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65a7318a0aba533e/01. Work/21. Lecture/13. M^0A^J FS^J Valuation^J IPO/2021.09 FS_패캠/22. 실습용 엑셀 - Full package/"/>
    </mc:Choice>
  </mc:AlternateContent>
  <xr:revisionPtr revIDLastSave="94" documentId="11_8E63645910F63EB70A1A4BAD7E7A2C4252FD526E" xr6:coauthVersionLast="47" xr6:coauthVersionMax="47" xr10:uidLastSave="{190F67B9-77FD-4685-B6CE-000E0691791E}"/>
  <bookViews>
    <workbookView xWindow="-110" yWindow="-110" windowWidth="25820" windowHeight="15280" tabRatio="871" activeTab="3" xr2:uid="{00000000-000D-0000-FFFF-FFFF00000000}"/>
  </bookViews>
  <sheets>
    <sheet name="보고서 목차" sheetId="1" r:id="rId1"/>
    <sheet name="보고서용" sheetId="21" r:id="rId2"/>
    <sheet name="추정FS" sheetId="24" r:id="rId3"/>
    <sheet name="DCF" sheetId="15" r:id="rId4"/>
    <sheet name="매출추정" sheetId="4" r:id="rId5"/>
    <sheet name="매출원가추정" sheetId="11" r:id="rId6"/>
    <sheet name="CAPEX" sheetId="10" r:id="rId7"/>
    <sheet name="R-SG&amp;A" sheetId="16" r:id="rId8"/>
    <sheet name="NWC" sheetId="20" r:id="rId9"/>
    <sheet name="NetDebt" sheetId="23" r:id="rId10"/>
    <sheet name="SG&amp;A" sheetId="17" r:id="rId11"/>
    <sheet name="WACC" sheetId="30" r:id="rId12"/>
    <sheet name="Multiple" sheetId="34" r:id="rId13"/>
    <sheet name="Multiple_대용기업 정리" sheetId="35" r:id="rId14"/>
    <sheet name="IS" sheetId="18" r:id="rId15"/>
    <sheet name="BS" sheetId="19" r:id="rId16"/>
    <sheet name="EIU_KR" sheetId="31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6" hidden="1">EIU_KR!$B$5:$E$5</definedName>
    <definedName name="_xlnm.Print_Area" localSheetId="7">'R-SG&amp;A'!$B$1:$O$41</definedName>
    <definedName name="Project_Name" localSheetId="8">'[1]Base Info'!$D$3</definedName>
    <definedName name="Project_Name" localSheetId="7">'[2]Base Info'!$D$3</definedName>
    <definedName name="Project_Name" localSheetId="10">'[3]Base Info'!$D$3</definedName>
    <definedName name="Project_Name" localSheetId="11">'[4]Base Info'!$D$3</definedName>
    <definedName name="Project_Name">'[5]Base Info'!$D$3</definedName>
    <definedName name="ReportCreated">TRUE</definedName>
    <definedName name="Sheet1" localSheetId="11">#REF!</definedName>
    <definedName name="Sheet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" i="10" l="1"/>
  <c r="C202" i="10"/>
  <c r="R27" i="21"/>
  <c r="V27" i="21"/>
  <c r="U27" i="21"/>
  <c r="T27" i="21"/>
  <c r="S27" i="21"/>
  <c r="C190" i="10"/>
  <c r="C191" i="10"/>
  <c r="C192" i="10"/>
  <c r="C201" i="10"/>
  <c r="C212" i="10" s="1"/>
  <c r="E212" i="10" s="1"/>
  <c r="F212" i="10" s="1"/>
  <c r="G212" i="10" s="1"/>
  <c r="H212" i="10" s="1"/>
  <c r="C144" i="10"/>
  <c r="C143" i="10"/>
  <c r="C142" i="10"/>
  <c r="C141" i="10"/>
  <c r="C140" i="10"/>
  <c r="C145" i="10" s="1"/>
  <c r="D144" i="10"/>
  <c r="D143" i="10"/>
  <c r="D142" i="10"/>
  <c r="D141" i="10"/>
  <c r="D140" i="10"/>
  <c r="D232" i="10"/>
  <c r="D216" i="10"/>
  <c r="D194" i="10"/>
  <c r="E144" i="10"/>
  <c r="E143" i="10"/>
  <c r="E141" i="10"/>
  <c r="E142" i="10"/>
  <c r="E140" i="10"/>
  <c r="E145" i="10" s="1"/>
  <c r="F143" i="10" s="1"/>
  <c r="C156" i="10"/>
  <c r="C232" i="10" s="1"/>
  <c r="I232" i="10" s="1"/>
  <c r="C155" i="10"/>
  <c r="C213" i="10"/>
  <c r="E213" i="10" s="1"/>
  <c r="F213" i="10" s="1"/>
  <c r="G213" i="10" s="1"/>
  <c r="H213" i="10" s="1"/>
  <c r="I213" i="10" s="1"/>
  <c r="C211" i="10"/>
  <c r="E211" i="10" s="1"/>
  <c r="F211" i="10" s="1"/>
  <c r="G211" i="10" s="1"/>
  <c r="C203" i="10"/>
  <c r="C167" i="10"/>
  <c r="C166" i="10"/>
  <c r="C165" i="10"/>
  <c r="P246" i="4"/>
  <c r="O246" i="4"/>
  <c r="N246" i="4"/>
  <c r="M246" i="4"/>
  <c r="L246" i="4"/>
  <c r="K246" i="4"/>
  <c r="J246" i="4"/>
  <c r="L85" i="17"/>
  <c r="M85" i="17"/>
  <c r="F130" i="4"/>
  <c r="H16" i="4" s="1"/>
  <c r="E130" i="4"/>
  <c r="I85" i="17"/>
  <c r="I84" i="17"/>
  <c r="J85" i="17"/>
  <c r="K85" i="17" s="1"/>
  <c r="J84" i="17"/>
  <c r="K84" i="17" s="1"/>
  <c r="L84" i="17" s="1"/>
  <c r="M84" i="17" s="1"/>
  <c r="CX48" i="21"/>
  <c r="CX47" i="21"/>
  <c r="CX46" i="21"/>
  <c r="CX56" i="21"/>
  <c r="CX55" i="21"/>
  <c r="CX66" i="21"/>
  <c r="CX65" i="21"/>
  <c r="CX64" i="21"/>
  <c r="CX63" i="21"/>
  <c r="CX62" i="21"/>
  <c r="CX76" i="21"/>
  <c r="CX75" i="21"/>
  <c r="CX74" i="21"/>
  <c r="CX73" i="21"/>
  <c r="CX72" i="21"/>
  <c r="D49" i="11"/>
  <c r="D47" i="11"/>
  <c r="D46" i="11"/>
  <c r="CZ77" i="21"/>
  <c r="DA76" i="21"/>
  <c r="CZ76" i="21"/>
  <c r="DA75" i="21"/>
  <c r="CZ75" i="21"/>
  <c r="CZ74" i="21"/>
  <c r="DA73" i="21"/>
  <c r="CZ73" i="21"/>
  <c r="CZ72" i="21"/>
  <c r="DA66" i="21"/>
  <c r="CZ66" i="21"/>
  <c r="DA65" i="21"/>
  <c r="CZ65" i="21"/>
  <c r="DA64" i="21"/>
  <c r="CZ64" i="21"/>
  <c r="DA63" i="21"/>
  <c r="CZ63" i="21"/>
  <c r="CZ62" i="21"/>
  <c r="CZ57" i="21"/>
  <c r="DA56" i="21"/>
  <c r="CZ56" i="21"/>
  <c r="DA55" i="21"/>
  <c r="CZ55" i="21"/>
  <c r="DA54" i="21"/>
  <c r="CZ54" i="21"/>
  <c r="CZ48" i="21"/>
  <c r="DA47" i="21"/>
  <c r="CZ47" i="21"/>
  <c r="CZ46" i="21"/>
  <c r="DA40" i="21"/>
  <c r="CZ40" i="21"/>
  <c r="CY40" i="21"/>
  <c r="CY39" i="21"/>
  <c r="CZ38" i="21"/>
  <c r="DA9" i="21"/>
  <c r="D25" i="34"/>
  <c r="I18" i="35"/>
  <c r="I19" i="35"/>
  <c r="I20" i="35"/>
  <c r="I21" i="35"/>
  <c r="I22" i="35"/>
  <c r="F23" i="35"/>
  <c r="I23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L33" i="35"/>
  <c r="O33" i="35"/>
  <c r="P16" i="34"/>
  <c r="P17" i="34"/>
  <c r="P24" i="34"/>
  <c r="Q24" i="34"/>
  <c r="P25" i="34"/>
  <c r="P26" i="34"/>
  <c r="Q26" i="34"/>
  <c r="P27" i="34"/>
  <c r="J31" i="34"/>
  <c r="J32" i="34" s="1"/>
  <c r="P33" i="34"/>
  <c r="P34" i="34"/>
  <c r="P35" i="34"/>
  <c r="P36" i="34"/>
  <c r="P37" i="34"/>
  <c r="Q37" i="34"/>
  <c r="P38" i="34"/>
  <c r="CZ67" i="21" s="1"/>
  <c r="P44" i="34"/>
  <c r="P45" i="34"/>
  <c r="P46" i="34"/>
  <c r="P47" i="34"/>
  <c r="P48" i="34"/>
  <c r="Q48" i="34"/>
  <c r="P49" i="34"/>
  <c r="G68" i="34"/>
  <c r="G69" i="34"/>
  <c r="G70" i="34"/>
  <c r="G71" i="34"/>
  <c r="G74" i="34"/>
  <c r="G75" i="34"/>
  <c r="G76" i="34"/>
  <c r="E88" i="34"/>
  <c r="E56" i="34" s="1"/>
  <c r="D70" i="34" s="1"/>
  <c r="CY26" i="21" s="1"/>
  <c r="F88" i="34"/>
  <c r="E57" i="34" s="1"/>
  <c r="E70" i="34" s="1"/>
  <c r="CZ26" i="21" s="1"/>
  <c r="G88" i="34"/>
  <c r="E58" i="34" s="1"/>
  <c r="F70" i="34" s="1"/>
  <c r="DA26" i="21" s="1"/>
  <c r="H88" i="34"/>
  <c r="E89" i="34"/>
  <c r="F89" i="34"/>
  <c r="G89" i="34"/>
  <c r="H89" i="34"/>
  <c r="E90" i="34"/>
  <c r="F90" i="34"/>
  <c r="G90" i="34"/>
  <c r="H90" i="34"/>
  <c r="E91" i="34"/>
  <c r="F91" i="34"/>
  <c r="G91" i="34"/>
  <c r="H91" i="34"/>
  <c r="E92" i="34"/>
  <c r="F92" i="34"/>
  <c r="G92" i="34"/>
  <c r="H92" i="34"/>
  <c r="E93" i="34"/>
  <c r="F93" i="34"/>
  <c r="G93" i="34"/>
  <c r="H93" i="34"/>
  <c r="E101" i="34"/>
  <c r="F101" i="34"/>
  <c r="G101" i="34"/>
  <c r="H101" i="34"/>
  <c r="E102" i="34"/>
  <c r="F102" i="34"/>
  <c r="G102" i="34"/>
  <c r="H102" i="34"/>
  <c r="E103" i="34"/>
  <c r="F103" i="34"/>
  <c r="G103" i="34"/>
  <c r="H103" i="34"/>
  <c r="E104" i="34"/>
  <c r="F104" i="34"/>
  <c r="G104" i="34"/>
  <c r="H104" i="34"/>
  <c r="E105" i="34"/>
  <c r="F105" i="34"/>
  <c r="G105" i="34"/>
  <c r="H105" i="34"/>
  <c r="E106" i="34"/>
  <c r="F106" i="34"/>
  <c r="G106" i="34"/>
  <c r="H106" i="34"/>
  <c r="E107" i="34"/>
  <c r="H56" i="34" s="1"/>
  <c r="F107" i="34"/>
  <c r="H57" i="34" s="1"/>
  <c r="G107" i="34"/>
  <c r="H58" i="34" s="1"/>
  <c r="H107" i="34"/>
  <c r="E113" i="34"/>
  <c r="F113" i="34"/>
  <c r="G113" i="34"/>
  <c r="H113" i="34"/>
  <c r="E114" i="34"/>
  <c r="F114" i="34"/>
  <c r="G114" i="34"/>
  <c r="H114" i="34"/>
  <c r="F115" i="34"/>
  <c r="G115" i="34"/>
  <c r="H115" i="34"/>
  <c r="E117" i="34"/>
  <c r="F117" i="34"/>
  <c r="G117" i="34"/>
  <c r="H117" i="34"/>
  <c r="E118" i="34"/>
  <c r="F118" i="34"/>
  <c r="G118" i="34"/>
  <c r="H118" i="34"/>
  <c r="E119" i="34"/>
  <c r="F119" i="34"/>
  <c r="G119" i="34"/>
  <c r="H119" i="34"/>
  <c r="E120" i="34"/>
  <c r="F120" i="34"/>
  <c r="G120" i="34"/>
  <c r="H120" i="34"/>
  <c r="J375" i="34"/>
  <c r="D56" i="34" s="1"/>
  <c r="J628" i="34"/>
  <c r="D57" i="34" s="1"/>
  <c r="J881" i="34"/>
  <c r="D58" i="34" s="1"/>
  <c r="J907" i="34"/>
  <c r="F918" i="34"/>
  <c r="N9" i="34" s="1"/>
  <c r="F919" i="34"/>
  <c r="N10" i="34" s="1"/>
  <c r="P18" i="34" s="1"/>
  <c r="F920" i="34"/>
  <c r="E921" i="34"/>
  <c r="K930" i="34"/>
  <c r="Q17" i="34" s="1"/>
  <c r="K931" i="34"/>
  <c r="K932" i="34"/>
  <c r="K933" i="34"/>
  <c r="K934" i="34"/>
  <c r="J935" i="34"/>
  <c r="J1189" i="34"/>
  <c r="K927" i="34" s="1"/>
  <c r="J1442" i="34"/>
  <c r="K928" i="34" s="1"/>
  <c r="J1695" i="34"/>
  <c r="K929" i="34" s="1"/>
  <c r="K1702" i="34"/>
  <c r="K1703" i="34"/>
  <c r="K1704" i="34"/>
  <c r="K1705" i="34"/>
  <c r="K1706" i="34"/>
  <c r="K1707" i="34"/>
  <c r="J1708" i="34"/>
  <c r="K1708" i="34"/>
  <c r="F1715" i="34"/>
  <c r="O8" i="34" s="1"/>
  <c r="F1717" i="34"/>
  <c r="O10" i="34" s="1"/>
  <c r="F1718" i="34"/>
  <c r="E1719" i="34"/>
  <c r="K1725" i="34"/>
  <c r="K1726" i="34"/>
  <c r="K1727" i="34"/>
  <c r="K1728" i="34"/>
  <c r="K1729" i="34"/>
  <c r="K1730" i="34"/>
  <c r="K1731" i="34"/>
  <c r="K1732" i="34"/>
  <c r="K1733" i="34"/>
  <c r="K1734" i="34"/>
  <c r="K1736" i="34"/>
  <c r="K1737" i="34"/>
  <c r="K1738" i="34"/>
  <c r="K1739" i="34"/>
  <c r="K1740" i="34"/>
  <c r="K1741" i="34"/>
  <c r="K1742" i="34"/>
  <c r="K1743" i="34"/>
  <c r="K1744" i="34"/>
  <c r="K1745" i="34"/>
  <c r="K1746" i="34"/>
  <c r="K1747" i="34"/>
  <c r="Q25" i="34" s="1"/>
  <c r="Q27" i="34" s="1"/>
  <c r="DA57" i="21" s="1"/>
  <c r="K1748" i="34"/>
  <c r="F1716" i="34" s="1"/>
  <c r="K1749" i="34"/>
  <c r="K1750" i="34"/>
  <c r="K1751" i="34"/>
  <c r="K1752" i="34"/>
  <c r="K1753" i="34"/>
  <c r="K1754" i="34"/>
  <c r="K1755" i="34"/>
  <c r="K1756" i="34"/>
  <c r="K1757" i="34"/>
  <c r="K1758" i="34"/>
  <c r="K1759" i="34"/>
  <c r="K1760" i="34"/>
  <c r="K1761" i="34"/>
  <c r="K1762" i="34"/>
  <c r="K1763" i="34"/>
  <c r="K1764" i="34"/>
  <c r="K1765" i="34"/>
  <c r="K1766" i="34"/>
  <c r="J1767" i="34"/>
  <c r="J2021" i="34"/>
  <c r="K1735" i="34" s="1"/>
  <c r="K1767" i="34" s="1"/>
  <c r="F2029" i="34"/>
  <c r="P10" i="34" s="1"/>
  <c r="F2030" i="34"/>
  <c r="K2040" i="34"/>
  <c r="Q34" i="34" s="1"/>
  <c r="K2041" i="34"/>
  <c r="K2042" i="34"/>
  <c r="K2043" i="34"/>
  <c r="K2044" i="34"/>
  <c r="K2045" i="34"/>
  <c r="K2046" i="34"/>
  <c r="K2047" i="34"/>
  <c r="K2048" i="34"/>
  <c r="K2049" i="34"/>
  <c r="K2050" i="34"/>
  <c r="K2051" i="34"/>
  <c r="I2052" i="34"/>
  <c r="J2052" i="34"/>
  <c r="J2306" i="34"/>
  <c r="K2037" i="34" s="1"/>
  <c r="C2559" i="34"/>
  <c r="K2038" i="34" s="1"/>
  <c r="J2559" i="34"/>
  <c r="J2812" i="34"/>
  <c r="K2039" i="34" s="1"/>
  <c r="I2819" i="34"/>
  <c r="I2820" i="34"/>
  <c r="I2821" i="34"/>
  <c r="Q36" i="34" s="1"/>
  <c r="I2822" i="34"/>
  <c r="I2824" i="34"/>
  <c r="Q35" i="34" s="1"/>
  <c r="I2825" i="34"/>
  <c r="H2826" i="34"/>
  <c r="J3080" i="34"/>
  <c r="I2823" i="34" s="1"/>
  <c r="J3295" i="34"/>
  <c r="F3304" i="34"/>
  <c r="Q10" i="34" s="1"/>
  <c r="F3305" i="34"/>
  <c r="E3306" i="34"/>
  <c r="J3313" i="34"/>
  <c r="Q45" i="34" s="1"/>
  <c r="J3314" i="34"/>
  <c r="J3315" i="34"/>
  <c r="I3316" i="34"/>
  <c r="J3344" i="34"/>
  <c r="J3312" i="34" s="1"/>
  <c r="I3350" i="34"/>
  <c r="Q47" i="34" s="1"/>
  <c r="I3352" i="34"/>
  <c r="I3353" i="34"/>
  <c r="I3354" i="34"/>
  <c r="I3355" i="34"/>
  <c r="I3356" i="34"/>
  <c r="I3357" i="34"/>
  <c r="I3358" i="34"/>
  <c r="I3359" i="34"/>
  <c r="I3360" i="34"/>
  <c r="I3361" i="34"/>
  <c r="I3362" i="34"/>
  <c r="I3363" i="34"/>
  <c r="J3394" i="34"/>
  <c r="I3351" i="34" s="1"/>
  <c r="J3421" i="34"/>
  <c r="I3364" i="34" s="1"/>
  <c r="Q46" i="34" s="1"/>
  <c r="DA74" i="21" s="1"/>
  <c r="J3448" i="34"/>
  <c r="I3365" i="34" s="1"/>
  <c r="H116" i="34" l="1"/>
  <c r="F116" i="34"/>
  <c r="J37" i="34"/>
  <c r="J36" i="34"/>
  <c r="J35" i="34"/>
  <c r="J33" i="34"/>
  <c r="D145" i="10"/>
  <c r="C153" i="10"/>
  <c r="C216" i="10" s="1"/>
  <c r="J216" i="10" s="1"/>
  <c r="C168" i="10"/>
  <c r="F140" i="10"/>
  <c r="F142" i="10"/>
  <c r="C152" i="10" s="1"/>
  <c r="F144" i="10"/>
  <c r="C154" i="10" s="1"/>
  <c r="F141" i="10"/>
  <c r="C151" i="10" s="1"/>
  <c r="C194" i="10" s="1"/>
  <c r="J194" i="10" s="1"/>
  <c r="F232" i="10"/>
  <c r="H232" i="10"/>
  <c r="J232" i="10"/>
  <c r="E232" i="10"/>
  <c r="G232" i="10"/>
  <c r="G216" i="10"/>
  <c r="H121" i="34"/>
  <c r="F121" i="34"/>
  <c r="G116" i="34"/>
  <c r="G121" i="34" s="1"/>
  <c r="E116" i="34"/>
  <c r="E121" i="34" s="1"/>
  <c r="F1719" i="34"/>
  <c r="F57" i="34" s="1"/>
  <c r="E71" i="34" s="1"/>
  <c r="CZ27" i="21" s="1"/>
  <c r="O9" i="34"/>
  <c r="CZ39" i="21" s="1"/>
  <c r="F917" i="34"/>
  <c r="Q16" i="34"/>
  <c r="DA46" i="21" s="1"/>
  <c r="Q18" i="34"/>
  <c r="DA48" i="21" s="1"/>
  <c r="P19" i="34"/>
  <c r="CZ49" i="21" s="1"/>
  <c r="E69" i="34"/>
  <c r="CZ25" i="21" s="1"/>
  <c r="F75" i="34"/>
  <c r="DA30" i="21" s="1"/>
  <c r="D75" i="34"/>
  <c r="CY30" i="21" s="1"/>
  <c r="O11" i="34"/>
  <c r="CZ41" i="21" s="1"/>
  <c r="Q44" i="34"/>
  <c r="F3302" i="34"/>
  <c r="J3316" i="34"/>
  <c r="F2027" i="34"/>
  <c r="K2052" i="34"/>
  <c r="Q33" i="34"/>
  <c r="F69" i="34"/>
  <c r="DA25" i="21" s="1"/>
  <c r="D69" i="34"/>
  <c r="CY25" i="21" s="1"/>
  <c r="E75" i="34"/>
  <c r="CZ30" i="21" s="1"/>
  <c r="I2826" i="34"/>
  <c r="I3366" i="34"/>
  <c r="K935" i="34"/>
  <c r="F3303" i="34"/>
  <c r="Q9" i="34" s="1"/>
  <c r="F2028" i="34"/>
  <c r="P9" i="34" s="1"/>
  <c r="DA39" i="21" s="1"/>
  <c r="Q49" i="34" l="1"/>
  <c r="DA77" i="21" s="1"/>
  <c r="DA72" i="21"/>
  <c r="E216" i="10"/>
  <c r="Q38" i="34"/>
  <c r="DA67" i="21" s="1"/>
  <c r="DA62" i="21"/>
  <c r="H216" i="10"/>
  <c r="G57" i="34"/>
  <c r="E68" i="34" s="1"/>
  <c r="CZ24" i="21" s="1"/>
  <c r="F216" i="10"/>
  <c r="I216" i="10"/>
  <c r="Q28" i="34"/>
  <c r="I194" i="10"/>
  <c r="E194" i="10"/>
  <c r="H194" i="10"/>
  <c r="F145" i="10"/>
  <c r="C150" i="10"/>
  <c r="G194" i="10"/>
  <c r="F194" i="10"/>
  <c r="I56" i="34"/>
  <c r="J56" i="34" s="1"/>
  <c r="D74" i="34" s="1"/>
  <c r="CY29" i="21" s="1"/>
  <c r="I57" i="34"/>
  <c r="J57" i="34" s="1"/>
  <c r="E74" i="34" s="1"/>
  <c r="CZ29" i="21" s="1"/>
  <c r="I58" i="34"/>
  <c r="J58" i="34" s="1"/>
  <c r="F74" i="34" s="1"/>
  <c r="DA29" i="21" s="1"/>
  <c r="N8" i="34"/>
  <c r="F921" i="34"/>
  <c r="F56" i="34" s="1"/>
  <c r="F2031" i="34"/>
  <c r="F58" i="34" s="1"/>
  <c r="P8" i="34"/>
  <c r="Q8" i="34"/>
  <c r="Q11" i="34" s="1"/>
  <c r="Q50" i="34" s="1"/>
  <c r="F3306" i="34"/>
  <c r="Q19" i="34"/>
  <c r="N11" i="34" l="1"/>
  <c r="CY41" i="21" s="1"/>
  <c r="CY38" i="21"/>
  <c r="P11" i="34"/>
  <c r="DA38" i="21"/>
  <c r="Q20" i="34"/>
  <c r="DA49" i="21"/>
  <c r="K57" i="34"/>
  <c r="F9" i="34" s="1"/>
  <c r="DA5" i="21" s="1"/>
  <c r="F76" i="34"/>
  <c r="DA31" i="21" s="1"/>
  <c r="E76" i="34"/>
  <c r="CZ31" i="21" s="1"/>
  <c r="D76" i="34"/>
  <c r="CY31" i="21" s="1"/>
  <c r="F71" i="34"/>
  <c r="DA27" i="21" s="1"/>
  <c r="G58" i="34"/>
  <c r="D71" i="34"/>
  <c r="CY27" i="21" s="1"/>
  <c r="G56" i="34"/>
  <c r="DA41" i="21" l="1"/>
  <c r="Q39" i="34"/>
  <c r="K56" i="34"/>
  <c r="D68" i="34"/>
  <c r="CY24" i="21" s="1"/>
  <c r="K58" i="34"/>
  <c r="F10" i="34" s="1"/>
  <c r="DA6" i="21" s="1"/>
  <c r="F68" i="34"/>
  <c r="DA24" i="21" s="1"/>
  <c r="F8" i="34" l="1"/>
  <c r="DA4" i="21" s="1"/>
  <c r="K60" i="34"/>
  <c r="K62" i="34"/>
  <c r="K61" i="34"/>
  <c r="D17" i="34" l="1"/>
  <c r="F49" i="34"/>
  <c r="F12" i="34"/>
  <c r="DA8" i="21" s="1"/>
  <c r="E17" i="34"/>
  <c r="F48" i="34"/>
  <c r="F17" i="34"/>
  <c r="F47" i="34"/>
  <c r="CY13" i="21" l="1"/>
  <c r="DA13" i="21"/>
  <c r="CZ13" i="21"/>
  <c r="AX47" i="21" l="1"/>
  <c r="AW47" i="21"/>
  <c r="AV47" i="21"/>
  <c r="AU47" i="21"/>
  <c r="AT47" i="21"/>
  <c r="S10" i="15"/>
  <c r="R10" i="15"/>
  <c r="CZ34" i="21" l="1"/>
  <c r="CY34" i="21" l="1"/>
  <c r="DA34" i="21"/>
  <c r="K152" i="24" l="1"/>
  <c r="L152" i="24" s="1"/>
  <c r="M152" i="24" s="1"/>
  <c r="J152" i="24"/>
  <c r="H410" i="10"/>
  <c r="BI85" i="21" s="1"/>
  <c r="CP19" i="21" s="1"/>
  <c r="H409" i="10"/>
  <c r="BI86" i="21" s="1"/>
  <c r="CP20" i="21" s="1"/>
  <c r="H408" i="10"/>
  <c r="BI79" i="21" s="1"/>
  <c r="CP18" i="21" s="1"/>
  <c r="F131" i="4"/>
  <c r="E67" i="4" s="1"/>
  <c r="AD14" i="21"/>
  <c r="AD20" i="21"/>
  <c r="AD19" i="21"/>
  <c r="CA12" i="21"/>
  <c r="L94" i="17"/>
  <c r="AW57" i="21" s="1"/>
  <c r="K94" i="17"/>
  <c r="AV57" i="21" s="1"/>
  <c r="J94" i="17"/>
  <c r="AU57" i="21" s="1"/>
  <c r="I94" i="17"/>
  <c r="F222" i="17"/>
  <c r="BI44" i="21" s="1"/>
  <c r="C230" i="17"/>
  <c r="D229" i="17" s="1"/>
  <c r="AG20" i="21"/>
  <c r="AH20" i="21"/>
  <c r="AF20" i="21"/>
  <c r="AE20" i="21"/>
  <c r="AH19" i="21"/>
  <c r="AG19" i="21"/>
  <c r="AF19" i="21"/>
  <c r="AE19" i="21"/>
  <c r="J261" i="17"/>
  <c r="E59" i="30"/>
  <c r="F59" i="30" s="1"/>
  <c r="D41" i="30" s="1"/>
  <c r="D66" i="30" s="1"/>
  <c r="E66" i="30" s="1"/>
  <c r="F23" i="30"/>
  <c r="E23" i="30"/>
  <c r="D23" i="30"/>
  <c r="F22" i="30"/>
  <c r="F24" i="30" s="1"/>
  <c r="E22" i="30"/>
  <c r="E24" i="30" s="1"/>
  <c r="D22" i="30"/>
  <c r="F14" i="30"/>
  <c r="E14" i="30"/>
  <c r="H13" i="30"/>
  <c r="I13" i="30" s="1"/>
  <c r="H12" i="30"/>
  <c r="I12" i="30" s="1"/>
  <c r="F10" i="30"/>
  <c r="F15" i="30" s="1"/>
  <c r="E10" i="30"/>
  <c r="E15" i="30" s="1"/>
  <c r="I9" i="30"/>
  <c r="H9" i="30"/>
  <c r="H8" i="30"/>
  <c r="I8" i="30" s="1"/>
  <c r="H7" i="30"/>
  <c r="I7" i="30" s="1"/>
  <c r="D24" i="30" l="1"/>
  <c r="H24" i="30" s="1"/>
  <c r="D19" i="30" s="1"/>
  <c r="F65" i="30" s="1"/>
  <c r="F66" i="30" s="1"/>
  <c r="CP21" i="21"/>
  <c r="D228" i="17"/>
  <c r="D230" i="17" s="1"/>
  <c r="AD5" i="21"/>
  <c r="BI78" i="21"/>
  <c r="M94" i="17"/>
  <c r="AT57" i="21"/>
  <c r="N152" i="24"/>
  <c r="G66" i="30"/>
  <c r="I10" i="30"/>
  <c r="O152" i="24" l="1"/>
  <c r="I15" i="30"/>
  <c r="D4" i="30" s="1"/>
  <c r="D27" i="30" s="1"/>
  <c r="D36" i="30" s="1"/>
  <c r="D65" i="30" s="1"/>
  <c r="E65" i="30" s="1"/>
  <c r="G65" i="30" s="1"/>
  <c r="G67" i="30" s="1"/>
  <c r="D62" i="30" s="1"/>
  <c r="N30" i="15" s="1"/>
  <c r="N32" i="15" s="1"/>
  <c r="I31" i="15" s="1"/>
  <c r="F32" i="15" s="1"/>
  <c r="I32" i="15" l="1"/>
  <c r="I30" i="15"/>
  <c r="P152" i="24"/>
  <c r="Q152" i="24" l="1"/>
  <c r="R152" i="24" l="1"/>
  <c r="D69" i="11"/>
  <c r="D72" i="11" s="1"/>
  <c r="D62" i="11"/>
  <c r="D65" i="11" s="1"/>
  <c r="D48" i="11"/>
  <c r="D51" i="11" s="1"/>
  <c r="D55" i="11"/>
  <c r="D58" i="11" s="1"/>
  <c r="E49" i="11"/>
  <c r="G62" i="11"/>
  <c r="G65" i="11" s="1"/>
  <c r="F62" i="11"/>
  <c r="F65" i="11" s="1"/>
  <c r="E62" i="11"/>
  <c r="E64" i="11" s="1"/>
  <c r="E66" i="11" s="1"/>
  <c r="G55" i="11"/>
  <c r="G58" i="11" s="1"/>
  <c r="F55" i="11"/>
  <c r="F57" i="11" s="1"/>
  <c r="F59" i="11" s="1"/>
  <c r="E55" i="11"/>
  <c r="E58" i="11" s="1"/>
  <c r="G69" i="11"/>
  <c r="G72" i="11" s="1"/>
  <c r="F69" i="11"/>
  <c r="F71" i="11" s="1"/>
  <c r="F73" i="11" s="1"/>
  <c r="E69" i="11"/>
  <c r="E72" i="11" s="1"/>
  <c r="G48" i="11"/>
  <c r="G51" i="11" s="1"/>
  <c r="F48" i="11"/>
  <c r="F51" i="11" s="1"/>
  <c r="E48" i="11"/>
  <c r="E51" i="11" s="1"/>
  <c r="L46" i="11" s="1"/>
  <c r="E2" i="18"/>
  <c r="K47" i="11" l="1"/>
  <c r="C37" i="11"/>
  <c r="K48" i="11"/>
  <c r="C38" i="11"/>
  <c r="K49" i="11"/>
  <c r="C39" i="11"/>
  <c r="E36" i="11"/>
  <c r="BZ42" i="21" s="1"/>
  <c r="M46" i="11"/>
  <c r="F36" i="11"/>
  <c r="CA42" i="21" s="1"/>
  <c r="N46" i="11"/>
  <c r="D64" i="11"/>
  <c r="D66" i="11" s="1"/>
  <c r="D39" i="11"/>
  <c r="BY45" i="21" s="1"/>
  <c r="L49" i="11"/>
  <c r="F39" i="11"/>
  <c r="CA45" i="21" s="1"/>
  <c r="N49" i="11"/>
  <c r="D71" i="11"/>
  <c r="D73" i="11" s="1"/>
  <c r="D37" i="11"/>
  <c r="BY43" i="21" s="1"/>
  <c r="L47" i="11"/>
  <c r="D57" i="11"/>
  <c r="D59" i="11" s="1"/>
  <c r="F37" i="11"/>
  <c r="CA43" i="21" s="1"/>
  <c r="N47" i="11"/>
  <c r="E38" i="11"/>
  <c r="BZ44" i="21" s="1"/>
  <c r="M48" i="11"/>
  <c r="F38" i="11"/>
  <c r="CA44" i="21" s="1"/>
  <c r="N48" i="11"/>
  <c r="C36" i="11"/>
  <c r="K46" i="11"/>
  <c r="BX42" i="21"/>
  <c r="D50" i="11"/>
  <c r="D52" i="11" s="1"/>
  <c r="H51" i="11"/>
  <c r="C79" i="11" s="1"/>
  <c r="F50" i="11"/>
  <c r="F52" i="11" s="1"/>
  <c r="E57" i="11"/>
  <c r="E59" i="11" s="1"/>
  <c r="H59" i="11" s="1"/>
  <c r="D80" i="11" s="1"/>
  <c r="G57" i="11"/>
  <c r="G59" i="11" s="1"/>
  <c r="F64" i="11"/>
  <c r="F66" i="11" s="1"/>
  <c r="E71" i="11"/>
  <c r="E73" i="11" s="1"/>
  <c r="G71" i="11"/>
  <c r="G73" i="11" s="1"/>
  <c r="F58" i="11"/>
  <c r="M47" i="11" s="1"/>
  <c r="E65" i="11"/>
  <c r="L48" i="11" s="1"/>
  <c r="F72" i="11"/>
  <c r="M49" i="11" s="1"/>
  <c r="E50" i="11"/>
  <c r="E52" i="11" s="1"/>
  <c r="G50" i="11"/>
  <c r="G52" i="11" s="1"/>
  <c r="G64" i="11"/>
  <c r="G66" i="11" s="1"/>
  <c r="AE178" i="24"/>
  <c r="AD178" i="24"/>
  <c r="AC178" i="24"/>
  <c r="AB178" i="24"/>
  <c r="AA178" i="24"/>
  <c r="Z178" i="24"/>
  <c r="Y178" i="24"/>
  <c r="AE176" i="24"/>
  <c r="AD176" i="24"/>
  <c r="AC176" i="24"/>
  <c r="AB176" i="24"/>
  <c r="AA176" i="24"/>
  <c r="Z176" i="24"/>
  <c r="Y176" i="24"/>
  <c r="AE174" i="24"/>
  <c r="AD174" i="24"/>
  <c r="AC174" i="24"/>
  <c r="AB174" i="24"/>
  <c r="AA174" i="24"/>
  <c r="Z174" i="24"/>
  <c r="Y174" i="24"/>
  <c r="AE168" i="24"/>
  <c r="AD168" i="24"/>
  <c r="AC168" i="24"/>
  <c r="AB168" i="24"/>
  <c r="AA168" i="24"/>
  <c r="Z168" i="24"/>
  <c r="Y168" i="24"/>
  <c r="AE167" i="24"/>
  <c r="AD167" i="24"/>
  <c r="AC167" i="24"/>
  <c r="AB167" i="24"/>
  <c r="AA167" i="24"/>
  <c r="Z167" i="24"/>
  <c r="Y167" i="24"/>
  <c r="AE150" i="24"/>
  <c r="AD150" i="24"/>
  <c r="AC150" i="24"/>
  <c r="AB150" i="24"/>
  <c r="AA150" i="24"/>
  <c r="Z150" i="24"/>
  <c r="Y150" i="24"/>
  <c r="AE149" i="24"/>
  <c r="AD149" i="24"/>
  <c r="AC149" i="24"/>
  <c r="AB149" i="24"/>
  <c r="AA149" i="24"/>
  <c r="Z149" i="24"/>
  <c r="Y149" i="24"/>
  <c r="AE146" i="24"/>
  <c r="AD146" i="24"/>
  <c r="AC146" i="24"/>
  <c r="AB146" i="24"/>
  <c r="AA146" i="24"/>
  <c r="Z146" i="24"/>
  <c r="Y146" i="24"/>
  <c r="AE145" i="24"/>
  <c r="AD145" i="24"/>
  <c r="AC145" i="24"/>
  <c r="AB145" i="24"/>
  <c r="AA145" i="24"/>
  <c r="Z145" i="24"/>
  <c r="Y145" i="24"/>
  <c r="AE144" i="24"/>
  <c r="AD144" i="24"/>
  <c r="AC144" i="24"/>
  <c r="AB144" i="24"/>
  <c r="AA144" i="24"/>
  <c r="Z144" i="24"/>
  <c r="Y144" i="24"/>
  <c r="AE130" i="24"/>
  <c r="AD130" i="24"/>
  <c r="AC130" i="24"/>
  <c r="AB130" i="24"/>
  <c r="AA130" i="24"/>
  <c r="Z130" i="24"/>
  <c r="Y130" i="24"/>
  <c r="AE129" i="24"/>
  <c r="AD129" i="24"/>
  <c r="AC129" i="24"/>
  <c r="AB129" i="24"/>
  <c r="AA129" i="24"/>
  <c r="Z129" i="24"/>
  <c r="Y129" i="24"/>
  <c r="AE128" i="24"/>
  <c r="AD128" i="24"/>
  <c r="AC128" i="24"/>
  <c r="AB128" i="24"/>
  <c r="AA128" i="24"/>
  <c r="Z128" i="24"/>
  <c r="Y128" i="24"/>
  <c r="AE127" i="24"/>
  <c r="AD127" i="24"/>
  <c r="AC127" i="24"/>
  <c r="AB127" i="24"/>
  <c r="AA127" i="24"/>
  <c r="Z127" i="24"/>
  <c r="Y127" i="24"/>
  <c r="AE124" i="24"/>
  <c r="AD124" i="24"/>
  <c r="AC124" i="24"/>
  <c r="AB124" i="24"/>
  <c r="AA124" i="24"/>
  <c r="Z124" i="24"/>
  <c r="Y124" i="24"/>
  <c r="AE123" i="24"/>
  <c r="AD123" i="24"/>
  <c r="AC123" i="24"/>
  <c r="AB123" i="24"/>
  <c r="AA123" i="24"/>
  <c r="Z123" i="24"/>
  <c r="Y123" i="24"/>
  <c r="AE122" i="24"/>
  <c r="AD122" i="24"/>
  <c r="AC122" i="24"/>
  <c r="AB122" i="24"/>
  <c r="AA122" i="24"/>
  <c r="Z122" i="24"/>
  <c r="Y122" i="24"/>
  <c r="AE120" i="24"/>
  <c r="AD120" i="24"/>
  <c r="AC120" i="24"/>
  <c r="AB120" i="24"/>
  <c r="AA120" i="24"/>
  <c r="Z120" i="24"/>
  <c r="Y120" i="24"/>
  <c r="AE119" i="24"/>
  <c r="AD119" i="24"/>
  <c r="AC119" i="24"/>
  <c r="AB119" i="24"/>
  <c r="AA119" i="24"/>
  <c r="Z119" i="24"/>
  <c r="Y119" i="24"/>
  <c r="AE118" i="24"/>
  <c r="AD118" i="24"/>
  <c r="AC118" i="24"/>
  <c r="AB118" i="24"/>
  <c r="AA118" i="24"/>
  <c r="Z118" i="24"/>
  <c r="Y118" i="24"/>
  <c r="AE117" i="24"/>
  <c r="AD117" i="24"/>
  <c r="AC117" i="24"/>
  <c r="AB117" i="24"/>
  <c r="AA117" i="24"/>
  <c r="Z117" i="24"/>
  <c r="Y117" i="24"/>
  <c r="AE116" i="24"/>
  <c r="AD116" i="24"/>
  <c r="AC116" i="24"/>
  <c r="AB116" i="24"/>
  <c r="AA116" i="24"/>
  <c r="Z116" i="24"/>
  <c r="Y116" i="24"/>
  <c r="AE115" i="24"/>
  <c r="AD115" i="24"/>
  <c r="AC115" i="24"/>
  <c r="AB115" i="24"/>
  <c r="AA115" i="24"/>
  <c r="Z115" i="24"/>
  <c r="Y115" i="24"/>
  <c r="AE114" i="24"/>
  <c r="AD114" i="24"/>
  <c r="AC114" i="24"/>
  <c r="AB114" i="24"/>
  <c r="AA114" i="24"/>
  <c r="Z114" i="24"/>
  <c r="Y114" i="24"/>
  <c r="AE113" i="24"/>
  <c r="AD113" i="24"/>
  <c r="AC113" i="24"/>
  <c r="AB113" i="24"/>
  <c r="AA113" i="24"/>
  <c r="Z113" i="24"/>
  <c r="Y113" i="24"/>
  <c r="AE112" i="24"/>
  <c r="AD112" i="24"/>
  <c r="AC112" i="24"/>
  <c r="AB112" i="24"/>
  <c r="AA112" i="24"/>
  <c r="Z112" i="24"/>
  <c r="Y112" i="24"/>
  <c r="AE111" i="24"/>
  <c r="AD111" i="24"/>
  <c r="AC111" i="24"/>
  <c r="AB111" i="24"/>
  <c r="AA111" i="24"/>
  <c r="Z111" i="24"/>
  <c r="Y111" i="24"/>
  <c r="AE110" i="24"/>
  <c r="AD110" i="24"/>
  <c r="AC110" i="24"/>
  <c r="AB110" i="24"/>
  <c r="AA110" i="24"/>
  <c r="Z110" i="24"/>
  <c r="Y110" i="24"/>
  <c r="AE109" i="24"/>
  <c r="AD109" i="24"/>
  <c r="AC109" i="24"/>
  <c r="AB109" i="24"/>
  <c r="AA109" i="24"/>
  <c r="Z109" i="24"/>
  <c r="Y109" i="24"/>
  <c r="AE106" i="24"/>
  <c r="AD106" i="24"/>
  <c r="AC106" i="24"/>
  <c r="AB106" i="24"/>
  <c r="AA106" i="24"/>
  <c r="Z106" i="24"/>
  <c r="Y106" i="24"/>
  <c r="AE105" i="24"/>
  <c r="AD105" i="24"/>
  <c r="AC105" i="24"/>
  <c r="AB105" i="24"/>
  <c r="AA105" i="24"/>
  <c r="Z105" i="24"/>
  <c r="Y105" i="24"/>
  <c r="AE104" i="24"/>
  <c r="AD104" i="24"/>
  <c r="AC104" i="24"/>
  <c r="AB104" i="24"/>
  <c r="AA104" i="24"/>
  <c r="Z104" i="24"/>
  <c r="Y104" i="24"/>
  <c r="AE103" i="24"/>
  <c r="AD103" i="24"/>
  <c r="AC103" i="24"/>
  <c r="AB103" i="24"/>
  <c r="AA103" i="24"/>
  <c r="Z103" i="24"/>
  <c r="Y103" i="24"/>
  <c r="AE101" i="24"/>
  <c r="AD101" i="24"/>
  <c r="AC101" i="24"/>
  <c r="AB101" i="24"/>
  <c r="AA101" i="24"/>
  <c r="Z101" i="24"/>
  <c r="Y101" i="24"/>
  <c r="AE100" i="24"/>
  <c r="AD100" i="24"/>
  <c r="AC100" i="24"/>
  <c r="AB100" i="24"/>
  <c r="AA100" i="24"/>
  <c r="Z100" i="24"/>
  <c r="Y100" i="24"/>
  <c r="AE98" i="24"/>
  <c r="AD98" i="24"/>
  <c r="AC98" i="24"/>
  <c r="AB98" i="24"/>
  <c r="AA98" i="24"/>
  <c r="Y98" i="24"/>
  <c r="AE96" i="24"/>
  <c r="AD96" i="24"/>
  <c r="AC96" i="24"/>
  <c r="AB96" i="24"/>
  <c r="AA96" i="24"/>
  <c r="Y96" i="24"/>
  <c r="AE74" i="24"/>
  <c r="AD74" i="24"/>
  <c r="AC74" i="24"/>
  <c r="AB74" i="24"/>
  <c r="AA74" i="24"/>
  <c r="Y74" i="24"/>
  <c r="AE73" i="24"/>
  <c r="AD73" i="24"/>
  <c r="AC73" i="24"/>
  <c r="AB73" i="24"/>
  <c r="AA73" i="24"/>
  <c r="Y73" i="24"/>
  <c r="AE71" i="24"/>
  <c r="AD71" i="24"/>
  <c r="AC71" i="24"/>
  <c r="AB71" i="24"/>
  <c r="AA71" i="24"/>
  <c r="Y71" i="24"/>
  <c r="AE69" i="24"/>
  <c r="AD69" i="24"/>
  <c r="AC69" i="24"/>
  <c r="AB69" i="24"/>
  <c r="AA69" i="24"/>
  <c r="Y69" i="24"/>
  <c r="AE68" i="24"/>
  <c r="AD68" i="24"/>
  <c r="AC68" i="24"/>
  <c r="AB68" i="24"/>
  <c r="AA68" i="24"/>
  <c r="Y68" i="24"/>
  <c r="AE67" i="24"/>
  <c r="AD67" i="24"/>
  <c r="AC67" i="24"/>
  <c r="AB67" i="24"/>
  <c r="AA67" i="24"/>
  <c r="Y67" i="24"/>
  <c r="AE66" i="24"/>
  <c r="AD66" i="24"/>
  <c r="AC66" i="24"/>
  <c r="AB66" i="24"/>
  <c r="AA66" i="24"/>
  <c r="Y66" i="24"/>
  <c r="AE64" i="24"/>
  <c r="AD64" i="24"/>
  <c r="AC64" i="24"/>
  <c r="AB64" i="24"/>
  <c r="AA64" i="24"/>
  <c r="Y64" i="24"/>
  <c r="AE63" i="24"/>
  <c r="AD63" i="24"/>
  <c r="AC63" i="24"/>
  <c r="AB63" i="24"/>
  <c r="AA63" i="24"/>
  <c r="Y63" i="24"/>
  <c r="AE62" i="24"/>
  <c r="AD62" i="24"/>
  <c r="AC62" i="24"/>
  <c r="AB62" i="24"/>
  <c r="AA62" i="24"/>
  <c r="Y62" i="24"/>
  <c r="AE61" i="24"/>
  <c r="AD61" i="24"/>
  <c r="AC61" i="24"/>
  <c r="AB61" i="24"/>
  <c r="AA61" i="24"/>
  <c r="Y61" i="24"/>
  <c r="AE56" i="24"/>
  <c r="AD56" i="24"/>
  <c r="AC56" i="24"/>
  <c r="AB56" i="24"/>
  <c r="AA56" i="24"/>
  <c r="Y56" i="24"/>
  <c r="AE55" i="24"/>
  <c r="AD55" i="24"/>
  <c r="AC55" i="24"/>
  <c r="AB55" i="24"/>
  <c r="AA55" i="24"/>
  <c r="Y55" i="24"/>
  <c r="AE54" i="24"/>
  <c r="AD54" i="24"/>
  <c r="AC54" i="24"/>
  <c r="AB54" i="24"/>
  <c r="AA54" i="24"/>
  <c r="Y54" i="24"/>
  <c r="AE53" i="24"/>
  <c r="AD53" i="24"/>
  <c r="AC53" i="24"/>
  <c r="AB53" i="24"/>
  <c r="AA53" i="24"/>
  <c r="Y53" i="24"/>
  <c r="AE52" i="24"/>
  <c r="AD52" i="24"/>
  <c r="AC52" i="24"/>
  <c r="AB52" i="24"/>
  <c r="AA52" i="24"/>
  <c r="Y52" i="24"/>
  <c r="AE51" i="24"/>
  <c r="AD51" i="24"/>
  <c r="AC51" i="24"/>
  <c r="AB51" i="24"/>
  <c r="AA51" i="24"/>
  <c r="Y51" i="24"/>
  <c r="AE50" i="24"/>
  <c r="AD50" i="24"/>
  <c r="AC50" i="24"/>
  <c r="AB50" i="24"/>
  <c r="AA50" i="24"/>
  <c r="Y50" i="24"/>
  <c r="AE49" i="24"/>
  <c r="AD49" i="24"/>
  <c r="AC49" i="24"/>
  <c r="AB49" i="24"/>
  <c r="AA49" i="24"/>
  <c r="Y49" i="24"/>
  <c r="AE47" i="24"/>
  <c r="AD47" i="24"/>
  <c r="AC47" i="24"/>
  <c r="AB47" i="24"/>
  <c r="AA47" i="24"/>
  <c r="Y47" i="24"/>
  <c r="AE46" i="24"/>
  <c r="AD46" i="24"/>
  <c r="AC46" i="24"/>
  <c r="AB46" i="24"/>
  <c r="AA46" i="24"/>
  <c r="Y46" i="24"/>
  <c r="AE45" i="24"/>
  <c r="AD45" i="24"/>
  <c r="AC45" i="24"/>
  <c r="AB45" i="24"/>
  <c r="AA45" i="24"/>
  <c r="Y45" i="24"/>
  <c r="AE44" i="24"/>
  <c r="AD44" i="24"/>
  <c r="AC44" i="24"/>
  <c r="AB44" i="24"/>
  <c r="AA44" i="24"/>
  <c r="Y44" i="24"/>
  <c r="AE43" i="24"/>
  <c r="AD43" i="24"/>
  <c r="AC43" i="24"/>
  <c r="AB43" i="24"/>
  <c r="AA43" i="24"/>
  <c r="Y43" i="24"/>
  <c r="AE42" i="24"/>
  <c r="AD42" i="24"/>
  <c r="AC42" i="24"/>
  <c r="AB42" i="24"/>
  <c r="AA42" i="24"/>
  <c r="Y42" i="24"/>
  <c r="AE41" i="24"/>
  <c r="AD41" i="24"/>
  <c r="AC41" i="24"/>
  <c r="AB41" i="24"/>
  <c r="AA41" i="24"/>
  <c r="Y41" i="24"/>
  <c r="AE40" i="24"/>
  <c r="AD40" i="24"/>
  <c r="AC40" i="24"/>
  <c r="AB40" i="24"/>
  <c r="AA40" i="24"/>
  <c r="Y40" i="24"/>
  <c r="AE39" i="24"/>
  <c r="AD39" i="24"/>
  <c r="AC39" i="24"/>
  <c r="AB39" i="24"/>
  <c r="AA39" i="24"/>
  <c r="Y39" i="24"/>
  <c r="AE38" i="24"/>
  <c r="AD38" i="24"/>
  <c r="AC38" i="24"/>
  <c r="AB38" i="24"/>
  <c r="AA38" i="24"/>
  <c r="Y38" i="24"/>
  <c r="AE37" i="24"/>
  <c r="AD37" i="24"/>
  <c r="AC37" i="24"/>
  <c r="AB37" i="24"/>
  <c r="AA37" i="24"/>
  <c r="Y37" i="24"/>
  <c r="BX45" i="21" l="1"/>
  <c r="C40" i="11"/>
  <c r="BX46" i="21" s="1"/>
  <c r="BX44" i="21"/>
  <c r="BX43" i="21"/>
  <c r="H52" i="11"/>
  <c r="C80" i="11" s="1"/>
  <c r="H65" i="11"/>
  <c r="E79" i="11" s="1"/>
  <c r="D38" i="11"/>
  <c r="BY44" i="21" s="1"/>
  <c r="H72" i="11"/>
  <c r="F79" i="11" s="1"/>
  <c r="E39" i="11"/>
  <c r="BZ45" i="21" s="1"/>
  <c r="H58" i="11"/>
  <c r="D79" i="11" s="1"/>
  <c r="G79" i="11" s="1"/>
  <c r="H79" i="11" s="1"/>
  <c r="E37" i="11"/>
  <c r="BZ43" i="21" s="1"/>
  <c r="H66" i="11"/>
  <c r="E80" i="11" s="1"/>
  <c r="H73" i="11"/>
  <c r="F80" i="11" s="1"/>
  <c r="G80" i="11" l="1"/>
  <c r="H31" i="10"/>
  <c r="H30" i="10"/>
  <c r="M98" i="24"/>
  <c r="Z98" i="24" s="1"/>
  <c r="M96" i="24"/>
  <c r="Z96" i="24" s="1"/>
  <c r="K91" i="24"/>
  <c r="X91" i="24" s="1"/>
  <c r="J91" i="24"/>
  <c r="W91" i="24" s="1"/>
  <c r="K94" i="24"/>
  <c r="X94" i="24" s="1"/>
  <c r="J94" i="24"/>
  <c r="W94" i="24" s="1"/>
  <c r="K99" i="24"/>
  <c r="J99" i="24"/>
  <c r="W99" i="24" s="1"/>
  <c r="K102" i="24"/>
  <c r="J102" i="24"/>
  <c r="W102" i="24" s="1"/>
  <c r="K108" i="24"/>
  <c r="X108" i="24" s="1"/>
  <c r="J108" i="24"/>
  <c r="W108" i="24" s="1"/>
  <c r="K107" i="24"/>
  <c r="X107" i="24" s="1"/>
  <c r="J107" i="24"/>
  <c r="W107" i="24" s="1"/>
  <c r="K121" i="24"/>
  <c r="J121" i="24"/>
  <c r="W121" i="24" s="1"/>
  <c r="K126" i="24"/>
  <c r="X126" i="24" s="1"/>
  <c r="J126" i="24"/>
  <c r="W126" i="24" s="1"/>
  <c r="K131" i="24"/>
  <c r="X131" i="24" s="1"/>
  <c r="J131" i="24"/>
  <c r="W131" i="24" s="1"/>
  <c r="K135" i="24"/>
  <c r="J135" i="24"/>
  <c r="W135" i="24" s="1"/>
  <c r="K137" i="24"/>
  <c r="J137" i="24"/>
  <c r="K139" i="24"/>
  <c r="X139" i="24" s="1"/>
  <c r="J139" i="24"/>
  <c r="W139" i="24" s="1"/>
  <c r="K140" i="24"/>
  <c r="X140" i="24" s="1"/>
  <c r="J140" i="24"/>
  <c r="W140" i="24" s="1"/>
  <c r="K143" i="24"/>
  <c r="J143" i="24"/>
  <c r="W143" i="24" s="1"/>
  <c r="K148" i="24"/>
  <c r="J148" i="24"/>
  <c r="W148" i="24" s="1"/>
  <c r="K153" i="24"/>
  <c r="X153" i="24" s="1"/>
  <c r="J153" i="24"/>
  <c r="W153" i="24" s="1"/>
  <c r="K182" i="24"/>
  <c r="J182" i="24"/>
  <c r="K181" i="24"/>
  <c r="X181" i="24" s="1"/>
  <c r="J181" i="24"/>
  <c r="W181" i="24" s="1"/>
  <c r="K180" i="24"/>
  <c r="J180" i="24"/>
  <c r="K178" i="24"/>
  <c r="J178" i="24"/>
  <c r="K176" i="24"/>
  <c r="J176" i="24"/>
  <c r="K174" i="24"/>
  <c r="J174" i="24"/>
  <c r="K171" i="24"/>
  <c r="X171" i="24" s="1"/>
  <c r="J171" i="24"/>
  <c r="W171" i="24" s="1"/>
  <c r="K170" i="24"/>
  <c r="J170" i="24"/>
  <c r="W170" i="24" s="1"/>
  <c r="K169" i="24"/>
  <c r="J169" i="24"/>
  <c r="W169" i="24" s="1"/>
  <c r="K168" i="24"/>
  <c r="X168" i="24" s="1"/>
  <c r="J168" i="24"/>
  <c r="W168" i="24" s="1"/>
  <c r="K167" i="24"/>
  <c r="X167" i="24" s="1"/>
  <c r="J167" i="24"/>
  <c r="W167" i="24" s="1"/>
  <c r="K166" i="24"/>
  <c r="J166" i="24"/>
  <c r="W166" i="24" s="1"/>
  <c r="K165" i="24"/>
  <c r="J165" i="24"/>
  <c r="W165" i="24" s="1"/>
  <c r="K164" i="24"/>
  <c r="X164" i="24" s="1"/>
  <c r="J164" i="24"/>
  <c r="W164" i="24" s="1"/>
  <c r="K163" i="24"/>
  <c r="J163" i="24"/>
  <c r="W163" i="24" s="1"/>
  <c r="K162" i="24"/>
  <c r="J162" i="24"/>
  <c r="W162" i="24" s="1"/>
  <c r="K161" i="24"/>
  <c r="X161" i="24" s="1"/>
  <c r="J161" i="24"/>
  <c r="W161" i="24" s="1"/>
  <c r="K160" i="24"/>
  <c r="X160" i="24" s="1"/>
  <c r="J160" i="24"/>
  <c r="W160" i="24" s="1"/>
  <c r="K159" i="24"/>
  <c r="J159" i="24"/>
  <c r="W159" i="24" s="1"/>
  <c r="K158" i="24"/>
  <c r="X158" i="24" s="1"/>
  <c r="J158" i="24"/>
  <c r="W158" i="24" s="1"/>
  <c r="J157" i="24"/>
  <c r="W157" i="24" s="1"/>
  <c r="J156" i="24"/>
  <c r="J155" i="24"/>
  <c r="J154" i="24"/>
  <c r="K151" i="24"/>
  <c r="X151" i="24" s="1"/>
  <c r="J151" i="24"/>
  <c r="W151" i="24" s="1"/>
  <c r="K150" i="24"/>
  <c r="X150" i="24" s="1"/>
  <c r="J150" i="24"/>
  <c r="W150" i="24" s="1"/>
  <c r="K149" i="24"/>
  <c r="X149" i="24" s="1"/>
  <c r="J149" i="24"/>
  <c r="W149" i="24" s="1"/>
  <c r="K147" i="24"/>
  <c r="J147" i="24"/>
  <c r="W147" i="24" s="1"/>
  <c r="K146" i="24"/>
  <c r="X146" i="24" s="1"/>
  <c r="J146" i="24"/>
  <c r="W146" i="24" s="1"/>
  <c r="K145" i="24"/>
  <c r="X145" i="24" s="1"/>
  <c r="J145" i="24"/>
  <c r="W145" i="24" s="1"/>
  <c r="K144" i="24"/>
  <c r="X144" i="24" s="1"/>
  <c r="J144" i="24"/>
  <c r="W144" i="24" s="1"/>
  <c r="K142" i="24"/>
  <c r="X142" i="24" s="1"/>
  <c r="J142" i="24"/>
  <c r="W142" i="24" s="1"/>
  <c r="K141" i="24"/>
  <c r="X141" i="24" s="1"/>
  <c r="J141" i="24"/>
  <c r="W141" i="24" s="1"/>
  <c r="K136" i="24"/>
  <c r="J136" i="24"/>
  <c r="W136" i="24" s="1"/>
  <c r="J134" i="24"/>
  <c r="W134" i="24" s="1"/>
  <c r="J133" i="24"/>
  <c r="J132" i="24"/>
  <c r="K130" i="24"/>
  <c r="X130" i="24" s="1"/>
  <c r="J130" i="24"/>
  <c r="W130" i="24" s="1"/>
  <c r="K129" i="24"/>
  <c r="X129" i="24" s="1"/>
  <c r="J129" i="24"/>
  <c r="W129" i="24" s="1"/>
  <c r="K128" i="24"/>
  <c r="X128" i="24" s="1"/>
  <c r="J128" i="24"/>
  <c r="W128" i="24" s="1"/>
  <c r="K127" i="24"/>
  <c r="X127" i="24" s="1"/>
  <c r="J127" i="24"/>
  <c r="W127" i="24" s="1"/>
  <c r="K125" i="24"/>
  <c r="J125" i="24"/>
  <c r="W125" i="24" s="1"/>
  <c r="K124" i="24"/>
  <c r="X124" i="24" s="1"/>
  <c r="J124" i="24"/>
  <c r="W124" i="24" s="1"/>
  <c r="K123" i="24"/>
  <c r="X123" i="24" s="1"/>
  <c r="J123" i="24"/>
  <c r="W123" i="24" s="1"/>
  <c r="K122" i="24"/>
  <c r="X122" i="24" s="1"/>
  <c r="J122" i="24"/>
  <c r="W122" i="24" s="1"/>
  <c r="K120" i="24"/>
  <c r="X120" i="24" s="1"/>
  <c r="J120" i="24"/>
  <c r="W120" i="24" s="1"/>
  <c r="K119" i="24"/>
  <c r="X119" i="24" s="1"/>
  <c r="J119" i="24"/>
  <c r="W119" i="24" s="1"/>
  <c r="K118" i="24"/>
  <c r="X118" i="24" s="1"/>
  <c r="J118" i="24"/>
  <c r="W118" i="24" s="1"/>
  <c r="K117" i="24"/>
  <c r="X117" i="24" s="1"/>
  <c r="J117" i="24"/>
  <c r="W117" i="24" s="1"/>
  <c r="K116" i="24"/>
  <c r="X116" i="24" s="1"/>
  <c r="J116" i="24"/>
  <c r="W116" i="24" s="1"/>
  <c r="K115" i="24"/>
  <c r="X115" i="24" s="1"/>
  <c r="J115" i="24"/>
  <c r="W115" i="24" s="1"/>
  <c r="K114" i="24"/>
  <c r="X114" i="24" s="1"/>
  <c r="J114" i="24"/>
  <c r="W114" i="24" s="1"/>
  <c r="K113" i="24"/>
  <c r="X113" i="24" s="1"/>
  <c r="J113" i="24"/>
  <c r="W113" i="24" s="1"/>
  <c r="K112" i="24"/>
  <c r="X112" i="24" s="1"/>
  <c r="J112" i="24"/>
  <c r="W112" i="24" s="1"/>
  <c r="K111" i="24"/>
  <c r="X111" i="24" s="1"/>
  <c r="J111" i="24"/>
  <c r="W111" i="24" s="1"/>
  <c r="K110" i="24"/>
  <c r="X110" i="24" s="1"/>
  <c r="J110" i="24"/>
  <c r="W110" i="24" s="1"/>
  <c r="K109" i="24"/>
  <c r="X109" i="24" s="1"/>
  <c r="J109" i="24"/>
  <c r="W109" i="24" s="1"/>
  <c r="K106" i="24"/>
  <c r="X106" i="24" s="1"/>
  <c r="J106" i="24"/>
  <c r="W106" i="24" s="1"/>
  <c r="K105" i="24"/>
  <c r="X105" i="24" s="1"/>
  <c r="J105" i="24"/>
  <c r="W105" i="24" s="1"/>
  <c r="K104" i="24"/>
  <c r="X104" i="24" s="1"/>
  <c r="J104" i="24"/>
  <c r="W104" i="24" s="1"/>
  <c r="K103" i="24"/>
  <c r="X103" i="24" s="1"/>
  <c r="J103" i="24"/>
  <c r="W103" i="24" s="1"/>
  <c r="K101" i="24"/>
  <c r="X101" i="24" s="1"/>
  <c r="J101" i="24"/>
  <c r="W101" i="24" s="1"/>
  <c r="K100" i="24"/>
  <c r="X100" i="24" s="1"/>
  <c r="J100" i="24"/>
  <c r="W100" i="24" s="1"/>
  <c r="K98" i="24"/>
  <c r="X98" i="24" s="1"/>
  <c r="J98" i="24"/>
  <c r="W98" i="24" s="1"/>
  <c r="K97" i="24"/>
  <c r="J97" i="24"/>
  <c r="W97" i="24" s="1"/>
  <c r="K96" i="24"/>
  <c r="X96" i="24" s="1"/>
  <c r="J96" i="24"/>
  <c r="W96" i="24" s="1"/>
  <c r="K95" i="24"/>
  <c r="X95" i="24" s="1"/>
  <c r="J95" i="24"/>
  <c r="W95" i="24" s="1"/>
  <c r="K93" i="24"/>
  <c r="X93" i="24" s="1"/>
  <c r="J93" i="24"/>
  <c r="W93" i="24" s="1"/>
  <c r="K92" i="24"/>
  <c r="J92" i="24"/>
  <c r="W92" i="24" s="1"/>
  <c r="R72" i="24"/>
  <c r="AE72" i="24" s="1"/>
  <c r="Q72" i="24"/>
  <c r="AD72" i="24" s="1"/>
  <c r="P72" i="24"/>
  <c r="AC72" i="24" s="1"/>
  <c r="O72" i="24"/>
  <c r="AB72" i="24" s="1"/>
  <c r="N72" i="24"/>
  <c r="AA72" i="24" s="1"/>
  <c r="L72" i="24"/>
  <c r="Y72" i="24" s="1"/>
  <c r="R70" i="24"/>
  <c r="AE70" i="24" s="1"/>
  <c r="Q70" i="24"/>
  <c r="AD70" i="24" s="1"/>
  <c r="P70" i="24"/>
  <c r="AC70" i="24" s="1"/>
  <c r="O70" i="24"/>
  <c r="AB70" i="24" s="1"/>
  <c r="N70" i="24"/>
  <c r="AA70" i="24" s="1"/>
  <c r="L70" i="24"/>
  <c r="Y70" i="24" s="1"/>
  <c r="R65" i="24"/>
  <c r="AE65" i="24" s="1"/>
  <c r="Q65" i="24"/>
  <c r="AD65" i="24" s="1"/>
  <c r="P65" i="24"/>
  <c r="AC65" i="24" s="1"/>
  <c r="O65" i="24"/>
  <c r="AB65" i="24" s="1"/>
  <c r="N65" i="24"/>
  <c r="AA65" i="24" s="1"/>
  <c r="L65" i="24"/>
  <c r="Y65" i="24" s="1"/>
  <c r="R48" i="24"/>
  <c r="AE48" i="24" s="1"/>
  <c r="Q48" i="24"/>
  <c r="AD48" i="24" s="1"/>
  <c r="P48" i="24"/>
  <c r="AC48" i="24" s="1"/>
  <c r="O48" i="24"/>
  <c r="AB48" i="24" s="1"/>
  <c r="N48" i="24"/>
  <c r="AA48" i="24" s="1"/>
  <c r="L48" i="24"/>
  <c r="Y48" i="24" s="1"/>
  <c r="R36" i="24"/>
  <c r="AE36" i="24" s="1"/>
  <c r="Q36" i="24"/>
  <c r="AD36" i="24" s="1"/>
  <c r="P36" i="24"/>
  <c r="AC36" i="24" s="1"/>
  <c r="O36" i="24"/>
  <c r="AB36" i="24" s="1"/>
  <c r="N36" i="24"/>
  <c r="AA36" i="24" s="1"/>
  <c r="L36" i="24"/>
  <c r="Y36" i="24" s="1"/>
  <c r="K76" i="24"/>
  <c r="X76" i="24" s="1"/>
  <c r="J76" i="24"/>
  <c r="W76" i="24" s="1"/>
  <c r="K74" i="24"/>
  <c r="J74" i="24"/>
  <c r="W74" i="24" s="1"/>
  <c r="K73" i="24"/>
  <c r="J73" i="24"/>
  <c r="K71" i="24"/>
  <c r="J71" i="24"/>
  <c r="K69" i="24"/>
  <c r="J69" i="24"/>
  <c r="W69" i="24" s="1"/>
  <c r="K68" i="24"/>
  <c r="J68" i="24"/>
  <c r="W68" i="24" s="1"/>
  <c r="K67" i="24"/>
  <c r="J67" i="24"/>
  <c r="W67" i="24" s="1"/>
  <c r="K66" i="24"/>
  <c r="J66" i="24"/>
  <c r="K64" i="24"/>
  <c r="J64" i="24"/>
  <c r="W64" i="24" s="1"/>
  <c r="K63" i="24"/>
  <c r="J63" i="24"/>
  <c r="W63" i="24" s="1"/>
  <c r="K62" i="24"/>
  <c r="J62" i="24"/>
  <c r="W62" i="24" s="1"/>
  <c r="K61" i="24"/>
  <c r="J61" i="24"/>
  <c r="W61" i="24" s="1"/>
  <c r="K60" i="24"/>
  <c r="J60" i="24"/>
  <c r="K56" i="24"/>
  <c r="J56" i="24"/>
  <c r="W56" i="24" s="1"/>
  <c r="K55" i="24"/>
  <c r="J55" i="24"/>
  <c r="W55" i="24" s="1"/>
  <c r="K54" i="24"/>
  <c r="J54" i="24"/>
  <c r="W54" i="24" s="1"/>
  <c r="K53" i="24"/>
  <c r="J53" i="24"/>
  <c r="W53" i="24" s="1"/>
  <c r="K52" i="24"/>
  <c r="J52" i="24"/>
  <c r="W52" i="24" s="1"/>
  <c r="K51" i="24"/>
  <c r="J51" i="24"/>
  <c r="W51" i="24" s="1"/>
  <c r="K50" i="24"/>
  <c r="J50" i="24"/>
  <c r="W50" i="24" s="1"/>
  <c r="K49" i="24"/>
  <c r="J49" i="24"/>
  <c r="K47" i="24"/>
  <c r="J47" i="24"/>
  <c r="W47" i="24" s="1"/>
  <c r="K46" i="24"/>
  <c r="J46" i="24"/>
  <c r="W46" i="24" s="1"/>
  <c r="K45" i="24"/>
  <c r="J45" i="24"/>
  <c r="W45" i="24" s="1"/>
  <c r="K44" i="24"/>
  <c r="J44" i="24"/>
  <c r="W44" i="24" s="1"/>
  <c r="K43" i="24"/>
  <c r="J43" i="24"/>
  <c r="W43" i="24" s="1"/>
  <c r="K42" i="24"/>
  <c r="J42" i="24"/>
  <c r="W42" i="24" s="1"/>
  <c r="K41" i="24"/>
  <c r="J41" i="24"/>
  <c r="W41" i="24" s="1"/>
  <c r="K40" i="24"/>
  <c r="J40" i="24"/>
  <c r="W40" i="24" s="1"/>
  <c r="K39" i="24"/>
  <c r="J39" i="24"/>
  <c r="W39" i="24" s="1"/>
  <c r="K38" i="24"/>
  <c r="J38" i="24"/>
  <c r="W38" i="24" s="1"/>
  <c r="K37" i="24"/>
  <c r="J37" i="24"/>
  <c r="K35" i="24"/>
  <c r="X35" i="24" s="1"/>
  <c r="J35" i="24"/>
  <c r="W35" i="24" s="1"/>
  <c r="K34" i="24"/>
  <c r="J34" i="24"/>
  <c r="K32" i="24"/>
  <c r="X32" i="24" s="1"/>
  <c r="J32" i="24"/>
  <c r="W32" i="24" s="1"/>
  <c r="K31" i="24"/>
  <c r="X31" i="24" s="1"/>
  <c r="J31" i="24"/>
  <c r="W31" i="24" s="1"/>
  <c r="K30" i="24"/>
  <c r="X30" i="24" s="1"/>
  <c r="J30" i="24"/>
  <c r="W30" i="24" s="1"/>
  <c r="K29" i="24"/>
  <c r="X29" i="24" s="1"/>
  <c r="J29" i="24"/>
  <c r="W29" i="24" s="1"/>
  <c r="K28" i="24"/>
  <c r="X28" i="24" s="1"/>
  <c r="J28" i="24"/>
  <c r="W28" i="24" s="1"/>
  <c r="K27" i="24"/>
  <c r="X27" i="24" s="1"/>
  <c r="J27" i="24"/>
  <c r="W27" i="24" s="1"/>
  <c r="K26" i="24"/>
  <c r="X26" i="24" s="1"/>
  <c r="J26" i="24"/>
  <c r="W26" i="24" s="1"/>
  <c r="K25" i="24"/>
  <c r="X25" i="24" s="1"/>
  <c r="J25" i="24"/>
  <c r="W25" i="24" s="1"/>
  <c r="K24" i="24"/>
  <c r="X24" i="24" s="1"/>
  <c r="J24" i="24"/>
  <c r="W24" i="24" s="1"/>
  <c r="K23" i="24"/>
  <c r="X23" i="24" s="1"/>
  <c r="J23" i="24"/>
  <c r="W23" i="24" s="1"/>
  <c r="K22" i="24"/>
  <c r="X22" i="24" s="1"/>
  <c r="J22" i="24"/>
  <c r="W22" i="24" s="1"/>
  <c r="K21" i="24"/>
  <c r="X21" i="24" s="1"/>
  <c r="J21" i="24"/>
  <c r="W21" i="24" s="1"/>
  <c r="K20" i="24"/>
  <c r="X20" i="24" s="1"/>
  <c r="J20" i="24"/>
  <c r="W20" i="24" s="1"/>
  <c r="K19" i="24"/>
  <c r="X19" i="24" s="1"/>
  <c r="J19" i="24"/>
  <c r="W19" i="24" s="1"/>
  <c r="K18" i="24"/>
  <c r="X18" i="24" s="1"/>
  <c r="J18" i="24"/>
  <c r="W18" i="24" s="1"/>
  <c r="K17" i="24"/>
  <c r="X17" i="24" s="1"/>
  <c r="J17" i="24"/>
  <c r="W17" i="24" s="1"/>
  <c r="K16" i="24"/>
  <c r="X16" i="24" s="1"/>
  <c r="J16" i="24"/>
  <c r="W16" i="24" s="1"/>
  <c r="K15" i="24"/>
  <c r="X15" i="24" s="1"/>
  <c r="J15" i="24"/>
  <c r="W15" i="24" s="1"/>
  <c r="K14" i="24"/>
  <c r="X14" i="24" s="1"/>
  <c r="J14" i="24"/>
  <c r="W14" i="24" s="1"/>
  <c r="K13" i="24"/>
  <c r="X13" i="24" s="1"/>
  <c r="J13" i="24"/>
  <c r="W13" i="24" s="1"/>
  <c r="K12" i="24"/>
  <c r="J12" i="24"/>
  <c r="K8" i="24"/>
  <c r="X8" i="24" s="1"/>
  <c r="J8" i="24"/>
  <c r="W8" i="24" s="1"/>
  <c r="K7" i="24"/>
  <c r="J7" i="24"/>
  <c r="BJ114" i="21"/>
  <c r="J11" i="24" l="1"/>
  <c r="W11" i="24" s="1"/>
  <c r="W12" i="24"/>
  <c r="J33" i="24"/>
  <c r="W33" i="24" s="1"/>
  <c r="W34" i="24"/>
  <c r="J36" i="24"/>
  <c r="W36" i="24" s="1"/>
  <c r="W37" i="24"/>
  <c r="J48" i="24"/>
  <c r="W48" i="24" s="1"/>
  <c r="W49" i="24"/>
  <c r="J59" i="24"/>
  <c r="W59" i="24" s="1"/>
  <c r="W60" i="24"/>
  <c r="J65" i="24"/>
  <c r="W65" i="24" s="1"/>
  <c r="W66" i="24"/>
  <c r="J70" i="24"/>
  <c r="W70" i="24" s="1"/>
  <c r="W71" i="24"/>
  <c r="J72" i="24"/>
  <c r="W72" i="24" s="1"/>
  <c r="W73" i="24"/>
  <c r="K132" i="24"/>
  <c r="L132" i="24" s="1"/>
  <c r="W132" i="24"/>
  <c r="L136" i="24"/>
  <c r="M136" i="24" s="1"/>
  <c r="X136" i="24"/>
  <c r="L147" i="24"/>
  <c r="Y147" i="24" s="1"/>
  <c r="X147" i="24"/>
  <c r="K155" i="24"/>
  <c r="X155" i="24" s="1"/>
  <c r="W155" i="24"/>
  <c r="L159" i="24"/>
  <c r="M159" i="24" s="1"/>
  <c r="X159" i="24"/>
  <c r="L162" i="24"/>
  <c r="M162" i="24" s="1"/>
  <c r="X162" i="24"/>
  <c r="L163" i="24"/>
  <c r="M163" i="24" s="1"/>
  <c r="X163" i="24"/>
  <c r="L165" i="24"/>
  <c r="Y165" i="24" s="1"/>
  <c r="X165" i="24"/>
  <c r="L166" i="24"/>
  <c r="M166" i="24" s="1"/>
  <c r="X166" i="24"/>
  <c r="L169" i="24"/>
  <c r="M169" i="24" s="1"/>
  <c r="X169" i="24"/>
  <c r="L170" i="24"/>
  <c r="M170" i="24" s="1"/>
  <c r="X170" i="24"/>
  <c r="K173" i="24"/>
  <c r="X173" i="24" s="1"/>
  <c r="X174" i="24"/>
  <c r="K175" i="24"/>
  <c r="X175" i="24" s="1"/>
  <c r="X176" i="24"/>
  <c r="K177" i="24"/>
  <c r="X177" i="24" s="1"/>
  <c r="X178" i="24"/>
  <c r="K179" i="24"/>
  <c r="X179" i="24" s="1"/>
  <c r="X180" i="24"/>
  <c r="K185" i="24"/>
  <c r="X182" i="24"/>
  <c r="L148" i="24"/>
  <c r="M148" i="24" s="1"/>
  <c r="X148" i="24"/>
  <c r="L143" i="24"/>
  <c r="Y143" i="24" s="1"/>
  <c r="X143" i="24"/>
  <c r="K184" i="24"/>
  <c r="X137" i="24"/>
  <c r="L135" i="24"/>
  <c r="M135" i="24" s="1"/>
  <c r="X135" i="24"/>
  <c r="L121" i="24"/>
  <c r="M121" i="24" s="1"/>
  <c r="X121" i="24"/>
  <c r="L102" i="24"/>
  <c r="M102" i="24" s="1"/>
  <c r="X102" i="24"/>
  <c r="L99" i="24"/>
  <c r="M99" i="24" s="1"/>
  <c r="X99" i="24"/>
  <c r="J9" i="24"/>
  <c r="W9" i="24" s="1"/>
  <c r="W7" i="24"/>
  <c r="K9" i="24"/>
  <c r="X9" i="24" s="1"/>
  <c r="X7" i="24"/>
  <c r="K11" i="24"/>
  <c r="X11" i="24" s="1"/>
  <c r="X12" i="24"/>
  <c r="K33" i="24"/>
  <c r="X33" i="24" s="1"/>
  <c r="X34" i="24"/>
  <c r="K36" i="24"/>
  <c r="X36" i="24" s="1"/>
  <c r="X37" i="24"/>
  <c r="M38" i="24"/>
  <c r="Z38" i="24" s="1"/>
  <c r="X38" i="24"/>
  <c r="M39" i="24"/>
  <c r="Z39" i="24" s="1"/>
  <c r="X39" i="24"/>
  <c r="M40" i="24"/>
  <c r="Z40" i="24" s="1"/>
  <c r="X40" i="24"/>
  <c r="M41" i="24"/>
  <c r="Z41" i="24" s="1"/>
  <c r="X41" i="24"/>
  <c r="M42" i="24"/>
  <c r="Z42" i="24" s="1"/>
  <c r="X42" i="24"/>
  <c r="M43" i="24"/>
  <c r="Z43" i="24" s="1"/>
  <c r="X43" i="24"/>
  <c r="M44" i="24"/>
  <c r="Z44" i="24" s="1"/>
  <c r="X44" i="24"/>
  <c r="M45" i="24"/>
  <c r="Z45" i="24" s="1"/>
  <c r="X45" i="24"/>
  <c r="M46" i="24"/>
  <c r="Z46" i="24" s="1"/>
  <c r="X46" i="24"/>
  <c r="M47" i="24"/>
  <c r="Z47" i="24" s="1"/>
  <c r="X47" i="24"/>
  <c r="K48" i="24"/>
  <c r="X48" i="24" s="1"/>
  <c r="X49" i="24"/>
  <c r="M50" i="24"/>
  <c r="Z50" i="24" s="1"/>
  <c r="X50" i="24"/>
  <c r="M51" i="24"/>
  <c r="Z51" i="24" s="1"/>
  <c r="X51" i="24"/>
  <c r="M52" i="24"/>
  <c r="Z52" i="24" s="1"/>
  <c r="X52" i="24"/>
  <c r="M53" i="24"/>
  <c r="Z53" i="24" s="1"/>
  <c r="X53" i="24"/>
  <c r="M54" i="24"/>
  <c r="Z54" i="24" s="1"/>
  <c r="X54" i="24"/>
  <c r="M55" i="24"/>
  <c r="Z55" i="24" s="1"/>
  <c r="X55" i="24"/>
  <c r="M56" i="24"/>
  <c r="Z56" i="24" s="1"/>
  <c r="X56" i="24"/>
  <c r="K59" i="24"/>
  <c r="X59" i="24" s="1"/>
  <c r="X60" i="24"/>
  <c r="M61" i="24"/>
  <c r="Z61" i="24" s="1"/>
  <c r="X61" i="24"/>
  <c r="M62" i="24"/>
  <c r="Z62" i="24" s="1"/>
  <c r="X62" i="24"/>
  <c r="M63" i="24"/>
  <c r="Z63" i="24" s="1"/>
  <c r="X63" i="24"/>
  <c r="M64" i="24"/>
  <c r="Z64" i="24" s="1"/>
  <c r="X64" i="24"/>
  <c r="K65" i="24"/>
  <c r="X65" i="24" s="1"/>
  <c r="X66" i="24"/>
  <c r="M67" i="24"/>
  <c r="Z67" i="24" s="1"/>
  <c r="X67" i="24"/>
  <c r="M68" i="24"/>
  <c r="Z68" i="24" s="1"/>
  <c r="X68" i="24"/>
  <c r="M69" i="24"/>
  <c r="Z69" i="24" s="1"/>
  <c r="X69" i="24"/>
  <c r="K70" i="24"/>
  <c r="X70" i="24" s="1"/>
  <c r="X71" i="24"/>
  <c r="K72" i="24"/>
  <c r="X72" i="24" s="1"/>
  <c r="X73" i="24"/>
  <c r="M74" i="24"/>
  <c r="Z74" i="24" s="1"/>
  <c r="X74" i="24"/>
  <c r="L210" i="24"/>
  <c r="X92" i="24"/>
  <c r="L97" i="24"/>
  <c r="Y97" i="24" s="1"/>
  <c r="X97" i="24"/>
  <c r="L125" i="24"/>
  <c r="Y125" i="24" s="1"/>
  <c r="X125" i="24"/>
  <c r="K133" i="24"/>
  <c r="X133" i="24" s="1"/>
  <c r="W133" i="24"/>
  <c r="K154" i="24"/>
  <c r="X154" i="24" s="1"/>
  <c r="W154" i="24"/>
  <c r="K156" i="24"/>
  <c r="X156" i="24" s="1"/>
  <c r="W156" i="24"/>
  <c r="J173" i="24"/>
  <c r="W173" i="24" s="1"/>
  <c r="W174" i="24"/>
  <c r="J175" i="24"/>
  <c r="W175" i="24" s="1"/>
  <c r="W176" i="24"/>
  <c r="J177" i="24"/>
  <c r="W177" i="24" s="1"/>
  <c r="W178" i="24"/>
  <c r="J179" i="24"/>
  <c r="W179" i="24" s="1"/>
  <c r="W180" i="24"/>
  <c r="J185" i="24"/>
  <c r="W182" i="24"/>
  <c r="J184" i="24"/>
  <c r="J186" i="24" s="1"/>
  <c r="W137" i="24"/>
  <c r="W184" i="24" s="1"/>
  <c r="M125" i="24"/>
  <c r="Y169" i="24"/>
  <c r="Y121" i="24"/>
  <c r="X132" i="24"/>
  <c r="L175" i="24"/>
  <c r="M143" i="24"/>
  <c r="M73" i="24"/>
  <c r="M49" i="24"/>
  <c r="M37" i="24"/>
  <c r="M66" i="24"/>
  <c r="M71" i="24"/>
  <c r="X184" i="24" l="1"/>
  <c r="K186" i="24"/>
  <c r="K10" i="24"/>
  <c r="X10" i="24" s="1"/>
  <c r="Y163" i="24"/>
  <c r="Y99" i="24"/>
  <c r="Y148" i="24"/>
  <c r="Y159" i="24"/>
  <c r="M165" i="24"/>
  <c r="Z165" i="24" s="1"/>
  <c r="L177" i="24"/>
  <c r="Y177" i="24" s="1"/>
  <c r="L173" i="24"/>
  <c r="M173" i="24" s="1"/>
  <c r="Y162" i="24"/>
  <c r="Y102" i="24"/>
  <c r="Y135" i="24"/>
  <c r="Y170" i="24"/>
  <c r="Y166" i="24"/>
  <c r="Y136" i="24"/>
  <c r="K134" i="24"/>
  <c r="H32" i="10" s="1"/>
  <c r="L133" i="24"/>
  <c r="Y133" i="24" s="1"/>
  <c r="K58" i="24"/>
  <c r="X58" i="24" s="1"/>
  <c r="M147" i="24"/>
  <c r="N147" i="24" s="1"/>
  <c r="L156" i="24"/>
  <c r="M156" i="24" s="1"/>
  <c r="K57" i="24"/>
  <c r="X57" i="24" s="1"/>
  <c r="J10" i="24"/>
  <c r="W10" i="24" s="1"/>
  <c r="Z166" i="24"/>
  <c r="N166" i="24"/>
  <c r="O166" i="24" s="1"/>
  <c r="Z163" i="24"/>
  <c r="N163" i="24"/>
  <c r="AA163" i="24" s="1"/>
  <c r="Y132" i="24"/>
  <c r="M132" i="24"/>
  <c r="N132" i="24" s="1"/>
  <c r="J58" i="24"/>
  <c r="W58" i="24" s="1"/>
  <c r="K157" i="24"/>
  <c r="X157" i="24" s="1"/>
  <c r="L154" i="24"/>
  <c r="Y154" i="24" s="1"/>
  <c r="M97" i="24"/>
  <c r="N99" i="24"/>
  <c r="Z99" i="24"/>
  <c r="N102" i="24"/>
  <c r="Z102" i="24"/>
  <c r="N121" i="24"/>
  <c r="Z121" i="24"/>
  <c r="N135" i="24"/>
  <c r="Z135" i="24"/>
  <c r="N148" i="24"/>
  <c r="Z148" i="24"/>
  <c r="N170" i="24"/>
  <c r="Z170" i="24"/>
  <c r="N169" i="24"/>
  <c r="Z169" i="24"/>
  <c r="N159" i="24"/>
  <c r="Z159" i="24"/>
  <c r="N136" i="24"/>
  <c r="Z136" i="24"/>
  <c r="N125" i="24"/>
  <c r="Z125" i="24"/>
  <c r="L157" i="24"/>
  <c r="M65" i="24"/>
  <c r="Z65" i="24" s="1"/>
  <c r="Z66" i="24"/>
  <c r="M48" i="24"/>
  <c r="Z48" i="24" s="1"/>
  <c r="Z49" i="24"/>
  <c r="Z132" i="24"/>
  <c r="M70" i="24"/>
  <c r="Z70" i="24" s="1"/>
  <c r="Z71" i="24"/>
  <c r="M36" i="24"/>
  <c r="Z36" i="24" s="1"/>
  <c r="Z37" i="24"/>
  <c r="M72" i="24"/>
  <c r="Z72" i="24" s="1"/>
  <c r="Z73" i="24"/>
  <c r="Y156" i="24"/>
  <c r="M133" i="24"/>
  <c r="M177" i="24"/>
  <c r="M175" i="24"/>
  <c r="Y175" i="24"/>
  <c r="Y173" i="24"/>
  <c r="N162" i="24"/>
  <c r="Z162" i="24"/>
  <c r="N143" i="24"/>
  <c r="Z143" i="24"/>
  <c r="Z147" i="24"/>
  <c r="M154" i="24" l="1"/>
  <c r="Z154" i="24" s="1"/>
  <c r="N165" i="24"/>
  <c r="AA165" i="24" s="1"/>
  <c r="AA166" i="24"/>
  <c r="X134" i="24"/>
  <c r="N154" i="24"/>
  <c r="AA154" i="24" s="1"/>
  <c r="AA132" i="24"/>
  <c r="O132" i="24"/>
  <c r="AB132" i="24" s="1"/>
  <c r="O163" i="24"/>
  <c r="AB163" i="24" s="1"/>
  <c r="K75" i="24"/>
  <c r="X75" i="24" s="1"/>
  <c r="J57" i="24"/>
  <c r="Z97" i="24"/>
  <c r="N97" i="24"/>
  <c r="O125" i="24"/>
  <c r="AA125" i="24"/>
  <c r="O136" i="24"/>
  <c r="AA136" i="24"/>
  <c r="AA159" i="24"/>
  <c r="O159" i="24"/>
  <c r="O169" i="24"/>
  <c r="AA169" i="24"/>
  <c r="O170" i="24"/>
  <c r="AA170" i="24"/>
  <c r="O148" i="24"/>
  <c r="AA148" i="24"/>
  <c r="O135" i="24"/>
  <c r="AA135" i="24"/>
  <c r="O121" i="24"/>
  <c r="AA121" i="24"/>
  <c r="O102" i="24"/>
  <c r="AA102" i="24"/>
  <c r="O99" i="24"/>
  <c r="AA99" i="24"/>
  <c r="O162" i="24"/>
  <c r="AA162" i="24"/>
  <c r="P166" i="24"/>
  <c r="AB166" i="24"/>
  <c r="N173" i="24"/>
  <c r="Z173" i="24"/>
  <c r="N177" i="24"/>
  <c r="Z177" i="24"/>
  <c r="Z133" i="24"/>
  <c r="N133" i="24"/>
  <c r="N156" i="24"/>
  <c r="Z156" i="24"/>
  <c r="K77" i="24"/>
  <c r="X77" i="24" s="1"/>
  <c r="M157" i="24"/>
  <c r="Y157" i="24"/>
  <c r="N175" i="24"/>
  <c r="Z175" i="24"/>
  <c r="O165" i="24"/>
  <c r="O147" i="24"/>
  <c r="AA147" i="24"/>
  <c r="O143" i="24"/>
  <c r="AA143" i="24"/>
  <c r="P132" i="24"/>
  <c r="AC132" i="24" s="1"/>
  <c r="P163" i="24" l="1"/>
  <c r="AC163" i="24" s="1"/>
  <c r="O154" i="24"/>
  <c r="AB154" i="24" s="1"/>
  <c r="W57" i="24"/>
  <c r="J75" i="24"/>
  <c r="O97" i="24"/>
  <c r="AA97" i="24"/>
  <c r="P99" i="24"/>
  <c r="AB99" i="24"/>
  <c r="P102" i="24"/>
  <c r="AB102" i="24"/>
  <c r="P121" i="24"/>
  <c r="AB121" i="24"/>
  <c r="P135" i="24"/>
  <c r="AB135" i="24"/>
  <c r="P148" i="24"/>
  <c r="AB148" i="24"/>
  <c r="P170" i="24"/>
  <c r="AB170" i="24"/>
  <c r="P169" i="24"/>
  <c r="AB169" i="24"/>
  <c r="P136" i="24"/>
  <c r="AB136" i="24"/>
  <c r="P125" i="24"/>
  <c r="AB125" i="24"/>
  <c r="AB159" i="24"/>
  <c r="P159" i="24"/>
  <c r="O175" i="24"/>
  <c r="AA175" i="24"/>
  <c r="N157" i="24"/>
  <c r="Z157" i="24"/>
  <c r="O156" i="24"/>
  <c r="AA156" i="24"/>
  <c r="O177" i="24"/>
  <c r="AA177" i="24"/>
  <c r="O173" i="24"/>
  <c r="AA173" i="24"/>
  <c r="Q166" i="24"/>
  <c r="AC166" i="24"/>
  <c r="AB162" i="24"/>
  <c r="P162" i="24"/>
  <c r="O133" i="24"/>
  <c r="AA133" i="24"/>
  <c r="P165" i="24"/>
  <c r="AB165" i="24"/>
  <c r="P143" i="24"/>
  <c r="AB143" i="24"/>
  <c r="P147" i="24"/>
  <c r="AB147" i="24"/>
  <c r="Q132" i="24"/>
  <c r="AD132" i="24" s="1"/>
  <c r="P154" i="24"/>
  <c r="AC154" i="24" s="1"/>
  <c r="Q163" i="24"/>
  <c r="AD163" i="24" s="1"/>
  <c r="J77" i="24" l="1"/>
  <c r="W77" i="24" s="1"/>
  <c r="W75" i="24"/>
  <c r="AB97" i="24"/>
  <c r="P97" i="24"/>
  <c r="AC159" i="24"/>
  <c r="Q159" i="24"/>
  <c r="Q125" i="24"/>
  <c r="AC125" i="24"/>
  <c r="Q136" i="24"/>
  <c r="AC136" i="24"/>
  <c r="Q169" i="24"/>
  <c r="AC169" i="24"/>
  <c r="Q170" i="24"/>
  <c r="AC170" i="24"/>
  <c r="Q148" i="24"/>
  <c r="AC148" i="24"/>
  <c r="Q135" i="24"/>
  <c r="AC135" i="24"/>
  <c r="Q121" i="24"/>
  <c r="AC121" i="24"/>
  <c r="Q102" i="24"/>
  <c r="AC102" i="24"/>
  <c r="Q99" i="24"/>
  <c r="AC99" i="24"/>
  <c r="AC162" i="24"/>
  <c r="Q162" i="24"/>
  <c r="P133" i="24"/>
  <c r="AB133" i="24"/>
  <c r="R166" i="24"/>
  <c r="AE166" i="24" s="1"/>
  <c r="AD166" i="24"/>
  <c r="P173" i="24"/>
  <c r="AB173" i="24"/>
  <c r="P177" i="24"/>
  <c r="AB177" i="24"/>
  <c r="P156" i="24"/>
  <c r="AB156" i="24"/>
  <c r="O157" i="24"/>
  <c r="AA157" i="24"/>
  <c r="P175" i="24"/>
  <c r="AB175" i="24"/>
  <c r="Q165" i="24"/>
  <c r="AC165" i="24"/>
  <c r="Q143" i="24"/>
  <c r="AC143" i="24"/>
  <c r="Q147" i="24"/>
  <c r="AC147" i="24"/>
  <c r="R132" i="24"/>
  <c r="AE132" i="24" s="1"/>
  <c r="Q154" i="24"/>
  <c r="AD154" i="24" s="1"/>
  <c r="R163" i="24"/>
  <c r="AE163" i="24" s="1"/>
  <c r="Q97" i="24" l="1"/>
  <c r="AC97" i="24"/>
  <c r="R99" i="24"/>
  <c r="AE99" i="24" s="1"/>
  <c r="AD99" i="24"/>
  <c r="R102" i="24"/>
  <c r="AE102" i="24" s="1"/>
  <c r="AD102" i="24"/>
  <c r="R121" i="24"/>
  <c r="AE121" i="24" s="1"/>
  <c r="AD121" i="24"/>
  <c r="R135" i="24"/>
  <c r="AE135" i="24" s="1"/>
  <c r="AD135" i="24"/>
  <c r="R148" i="24"/>
  <c r="AE148" i="24" s="1"/>
  <c r="AD148" i="24"/>
  <c r="R170" i="24"/>
  <c r="AE170" i="24" s="1"/>
  <c r="AD170" i="24"/>
  <c r="R169" i="24"/>
  <c r="AE169" i="24" s="1"/>
  <c r="AD169" i="24"/>
  <c r="R136" i="24"/>
  <c r="AE136" i="24" s="1"/>
  <c r="AD136" i="24"/>
  <c r="R125" i="24"/>
  <c r="AE125" i="24" s="1"/>
  <c r="AD125" i="24"/>
  <c r="AD159" i="24"/>
  <c r="R159" i="24"/>
  <c r="AE159" i="24" s="1"/>
  <c r="AD162" i="24"/>
  <c r="R162" i="24"/>
  <c r="AE162" i="24" s="1"/>
  <c r="Q175" i="24"/>
  <c r="AC175" i="24"/>
  <c r="P157" i="24"/>
  <c r="AB157" i="24"/>
  <c r="Q156" i="24"/>
  <c r="AC156" i="24"/>
  <c r="Q177" i="24"/>
  <c r="AC177" i="24"/>
  <c r="Q173" i="24"/>
  <c r="AC173" i="24"/>
  <c r="Q133" i="24"/>
  <c r="AC133" i="24"/>
  <c r="R165" i="24"/>
  <c r="AE165" i="24" s="1"/>
  <c r="AD165" i="24"/>
  <c r="R147" i="24"/>
  <c r="AE147" i="24" s="1"/>
  <c r="AD147" i="24"/>
  <c r="R143" i="24"/>
  <c r="AE143" i="24" s="1"/>
  <c r="AD143" i="24"/>
  <c r="R154" i="24"/>
  <c r="AE154" i="24" s="1"/>
  <c r="R97" i="24" l="1"/>
  <c r="AE97" i="24" s="1"/>
  <c r="AD97" i="24"/>
  <c r="R133" i="24"/>
  <c r="AE133" i="24" s="1"/>
  <c r="AD133" i="24"/>
  <c r="R173" i="24"/>
  <c r="AE173" i="24" s="1"/>
  <c r="AD173" i="24"/>
  <c r="R177" i="24"/>
  <c r="AE177" i="24" s="1"/>
  <c r="AD177" i="24"/>
  <c r="R156" i="24"/>
  <c r="AE156" i="24" s="1"/>
  <c r="AD156" i="24"/>
  <c r="Q157" i="24"/>
  <c r="AC157" i="24"/>
  <c r="R175" i="24"/>
  <c r="AE175" i="24" s="1"/>
  <c r="AD175" i="24"/>
  <c r="F4" i="23"/>
  <c r="D92" i="23"/>
  <c r="E92" i="23" s="1"/>
  <c r="D19" i="23" s="1"/>
  <c r="D81" i="23"/>
  <c r="F15" i="23"/>
  <c r="E28" i="23" s="1"/>
  <c r="F8" i="23"/>
  <c r="E25" i="23" s="1"/>
  <c r="G6" i="23"/>
  <c r="G4" i="23" s="1"/>
  <c r="H91" i="23"/>
  <c r="H90" i="23"/>
  <c r="H89" i="23"/>
  <c r="H88" i="23"/>
  <c r="H87" i="23"/>
  <c r="H86" i="23"/>
  <c r="H85" i="23"/>
  <c r="H84" i="23"/>
  <c r="H83" i="23"/>
  <c r="H82" i="23"/>
  <c r="H80" i="23"/>
  <c r="H79" i="23"/>
  <c r="H78" i="23"/>
  <c r="H77" i="23"/>
  <c r="H76" i="23"/>
  <c r="C89" i="21"/>
  <c r="C56" i="20"/>
  <c r="D55" i="20"/>
  <c r="C41" i="20"/>
  <c r="C40" i="20"/>
  <c r="D39" i="20"/>
  <c r="C22" i="20"/>
  <c r="C21" i="20"/>
  <c r="D20" i="20"/>
  <c r="BW75" i="21"/>
  <c r="BW74" i="21"/>
  <c r="BW73" i="21"/>
  <c r="BW72" i="21"/>
  <c r="BW71" i="21"/>
  <c r="AX46" i="21"/>
  <c r="AW46" i="21"/>
  <c r="AV46" i="21"/>
  <c r="AU46" i="21"/>
  <c r="AT46" i="21"/>
  <c r="E68" i="15"/>
  <c r="R157" i="24" l="1"/>
  <c r="AE157" i="24" s="1"/>
  <c r="AD157" i="24"/>
  <c r="E26" i="23"/>
  <c r="E29" i="23"/>
  <c r="D44" i="23" s="1"/>
  <c r="E81" i="23"/>
  <c r="D93" i="23"/>
  <c r="F9" i="23"/>
  <c r="F10" i="23" s="1"/>
  <c r="G9" i="23"/>
  <c r="F16" i="23"/>
  <c r="F17" i="23" s="1"/>
  <c r="G16" i="23"/>
  <c r="G7" i="23"/>
  <c r="H6" i="23"/>
  <c r="BJ121" i="21"/>
  <c r="BJ118" i="21"/>
  <c r="BK94" i="21"/>
  <c r="BO46" i="21"/>
  <c r="BN46" i="21"/>
  <c r="BM46" i="21"/>
  <c r="BL46" i="21"/>
  <c r="BK46" i="21"/>
  <c r="BJ46" i="21"/>
  <c r="AH5" i="21"/>
  <c r="AG5" i="21"/>
  <c r="AF5" i="21"/>
  <c r="K329" i="4"/>
  <c r="J329" i="4"/>
  <c r="I329" i="4"/>
  <c r="H329" i="4"/>
  <c r="G329" i="4"/>
  <c r="F329" i="4"/>
  <c r="E329" i="4"/>
  <c r="D329" i="4"/>
  <c r="J330" i="4" l="1"/>
  <c r="F330" i="4"/>
  <c r="H330" i="4"/>
  <c r="E330" i="4"/>
  <c r="G330" i="4"/>
  <c r="I330" i="4"/>
  <c r="K330" i="4"/>
  <c r="L327" i="4" s="1"/>
  <c r="AI19" i="21" s="1"/>
  <c r="D43" i="23"/>
  <c r="G10" i="23"/>
  <c r="G17" i="23"/>
  <c r="G19" i="23" s="1"/>
  <c r="H7" i="23"/>
  <c r="H4" i="23"/>
  <c r="G12" i="23"/>
  <c r="H16" i="23"/>
  <c r="H17" i="23" s="1"/>
  <c r="I6" i="23"/>
  <c r="I4" i="23" s="1"/>
  <c r="H9" i="23"/>
  <c r="H10" i="23" s="1"/>
  <c r="H12" i="23" s="1"/>
  <c r="BJ124" i="21"/>
  <c r="AH6" i="21"/>
  <c r="AG6" i="21"/>
  <c r="AE5" i="21"/>
  <c r="L328" i="4" l="1"/>
  <c r="AI20" i="21" s="1"/>
  <c r="AF6" i="21"/>
  <c r="AE6" i="21"/>
  <c r="M327" i="4"/>
  <c r="AJ19" i="21" s="1"/>
  <c r="G22" i="23"/>
  <c r="H19" i="23"/>
  <c r="I7" i="23"/>
  <c r="I16" i="23"/>
  <c r="I17" i="23" s="1"/>
  <c r="J6" i="23"/>
  <c r="J4" i="23" s="1"/>
  <c r="I9" i="23"/>
  <c r="I10" i="23" s="1"/>
  <c r="H18" i="15"/>
  <c r="G18" i="15"/>
  <c r="F18" i="15"/>
  <c r="H17" i="15"/>
  <c r="G17" i="15"/>
  <c r="F17" i="15"/>
  <c r="E18" i="15"/>
  <c r="E17" i="15"/>
  <c r="E24" i="10"/>
  <c r="D24" i="10"/>
  <c r="D413" i="10"/>
  <c r="F400" i="10" s="1"/>
  <c r="F394" i="10"/>
  <c r="L381" i="10" s="1"/>
  <c r="BY106" i="21" s="1"/>
  <c r="CN20" i="21" s="1"/>
  <c r="F395" i="10"/>
  <c r="M381" i="10" s="1"/>
  <c r="BZ106" i="21" s="1"/>
  <c r="CO20" i="21" s="1"/>
  <c r="F393" i="10"/>
  <c r="K381" i="10" s="1"/>
  <c r="BX106" i="21" s="1"/>
  <c r="CM20" i="21" s="1"/>
  <c r="F380" i="10"/>
  <c r="M375" i="10" s="1"/>
  <c r="F379" i="10"/>
  <c r="L375" i="10" s="1"/>
  <c r="F377" i="10"/>
  <c r="M374" i="10" s="1"/>
  <c r="F378" i="10"/>
  <c r="K375" i="10" s="1"/>
  <c r="F375" i="10"/>
  <c r="K374" i="10" s="1"/>
  <c r="F374" i="10"/>
  <c r="M373" i="10" s="1"/>
  <c r="F373" i="10"/>
  <c r="L373" i="10" s="1"/>
  <c r="F372" i="10"/>
  <c r="K373" i="10" s="1"/>
  <c r="F381" i="10"/>
  <c r="K377" i="10" s="1"/>
  <c r="BX104" i="21" s="1"/>
  <c r="F390" i="10"/>
  <c r="K379" i="10" s="1"/>
  <c r="BX105" i="21" s="1"/>
  <c r="CM19" i="21" s="1"/>
  <c r="F384" i="10"/>
  <c r="K376" i="10" s="1"/>
  <c r="BX103" i="21" s="1"/>
  <c r="F392" i="10"/>
  <c r="M379" i="10" s="1"/>
  <c r="BZ105" i="21" s="1"/>
  <c r="CO19" i="21" s="1"/>
  <c r="F391" i="10"/>
  <c r="L379" i="10" s="1"/>
  <c r="BY105" i="21" s="1"/>
  <c r="CN19" i="21" s="1"/>
  <c r="F383" i="10"/>
  <c r="M377" i="10" s="1"/>
  <c r="BZ104" i="21" s="1"/>
  <c r="F382" i="10"/>
  <c r="L377" i="10" s="1"/>
  <c r="BY104" i="21" s="1"/>
  <c r="F386" i="10"/>
  <c r="M376" i="10" s="1"/>
  <c r="BZ103" i="21" s="1"/>
  <c r="F385" i="10"/>
  <c r="L376" i="10" s="1"/>
  <c r="BY103" i="21" s="1"/>
  <c r="C134" i="10"/>
  <c r="D131" i="10"/>
  <c r="D130" i="10"/>
  <c r="D133" i="10"/>
  <c r="D132" i="10"/>
  <c r="C133" i="10"/>
  <c r="C198" i="10" s="1"/>
  <c r="C204" i="10" s="1"/>
  <c r="C132" i="10"/>
  <c r="C131" i="10"/>
  <c r="C130" i="10"/>
  <c r="I243" i="4"/>
  <c r="H243" i="4"/>
  <c r="G243" i="4"/>
  <c r="C93" i="10"/>
  <c r="C92" i="10"/>
  <c r="C91" i="10"/>
  <c r="C57" i="10"/>
  <c r="D57" i="10"/>
  <c r="F86" i="10"/>
  <c r="F85" i="10"/>
  <c r="F80" i="10"/>
  <c r="BJ101" i="21" s="1"/>
  <c r="F82" i="10"/>
  <c r="BK100" i="21" s="1"/>
  <c r="F79" i="10"/>
  <c r="BJ100" i="21" s="1"/>
  <c r="BJ99" i="21" s="1"/>
  <c r="G68" i="10"/>
  <c r="H68" i="10" s="1"/>
  <c r="I68" i="10" s="1"/>
  <c r="J68" i="10" s="1"/>
  <c r="K68" i="10" s="1"/>
  <c r="G65" i="10"/>
  <c r="H65" i="10" s="1"/>
  <c r="I65" i="10" s="1"/>
  <c r="J65" i="10" s="1"/>
  <c r="K65" i="10" s="1"/>
  <c r="L74" i="10"/>
  <c r="D41" i="4"/>
  <c r="G5" i="17"/>
  <c r="F194" i="17" s="1"/>
  <c r="I121" i="17"/>
  <c r="I119" i="17"/>
  <c r="I118" i="17"/>
  <c r="I117" i="17"/>
  <c r="G81" i="17"/>
  <c r="AT8" i="21" s="1"/>
  <c r="G80" i="17"/>
  <c r="AT7" i="21" s="1"/>
  <c r="G79" i="17"/>
  <c r="H79" i="17" s="1"/>
  <c r="I79" i="17" s="1"/>
  <c r="J79" i="17" s="1"/>
  <c r="K79" i="17" s="1"/>
  <c r="L79" i="17" s="1"/>
  <c r="M79" i="17" s="1"/>
  <c r="G78" i="17"/>
  <c r="H78" i="17" s="1"/>
  <c r="I78" i="17" s="1"/>
  <c r="J78" i="17" s="1"/>
  <c r="K78" i="17" s="1"/>
  <c r="L78" i="17" s="1"/>
  <c r="M78" i="17" s="1"/>
  <c r="D60" i="15"/>
  <c r="BJ109" i="21" s="1"/>
  <c r="BL109" i="21" s="1"/>
  <c r="D56" i="15"/>
  <c r="BJ108" i="21" s="1"/>
  <c r="E39" i="15"/>
  <c r="P23" i="21" s="1"/>
  <c r="F38" i="15"/>
  <c r="F39" i="15" s="1"/>
  <c r="R23" i="21" s="1"/>
  <c r="G55" i="20"/>
  <c r="F55" i="20"/>
  <c r="E55" i="20"/>
  <c r="G39" i="20"/>
  <c r="F39" i="20"/>
  <c r="E39" i="20"/>
  <c r="G20" i="20"/>
  <c r="F20" i="20"/>
  <c r="E20" i="20"/>
  <c r="G10" i="20"/>
  <c r="O103" i="21" s="1"/>
  <c r="G9" i="20"/>
  <c r="O102" i="21" s="1"/>
  <c r="G7" i="20"/>
  <c r="O100" i="21" s="1"/>
  <c r="G6" i="20"/>
  <c r="F11" i="20"/>
  <c r="N104" i="21" s="1"/>
  <c r="F10" i="20"/>
  <c r="N103" i="21" s="1"/>
  <c r="F9" i="20"/>
  <c r="F7" i="20"/>
  <c r="N100" i="21" s="1"/>
  <c r="F6" i="20"/>
  <c r="N99" i="21" s="1"/>
  <c r="E11" i="20"/>
  <c r="M104" i="21" s="1"/>
  <c r="E10" i="20"/>
  <c r="M103" i="21" s="1"/>
  <c r="E9" i="20"/>
  <c r="M102" i="21" s="1"/>
  <c r="E7" i="20"/>
  <c r="M100" i="21" s="1"/>
  <c r="E6" i="20"/>
  <c r="M99" i="21" s="1"/>
  <c r="D11" i="20"/>
  <c r="L104" i="21" s="1"/>
  <c r="D10" i="20"/>
  <c r="L103" i="21" s="1"/>
  <c r="D9" i="20"/>
  <c r="L102" i="21" s="1"/>
  <c r="D7" i="20"/>
  <c r="L100" i="21" s="1"/>
  <c r="D6" i="20"/>
  <c r="L99" i="21" s="1"/>
  <c r="I2" i="20"/>
  <c r="C5" i="20"/>
  <c r="C8" i="20"/>
  <c r="L329" i="4" l="1"/>
  <c r="L330" i="4" s="1"/>
  <c r="M328" i="4"/>
  <c r="AJ20" i="21" s="1"/>
  <c r="AJ5" i="21" s="1"/>
  <c r="F41" i="20"/>
  <c r="C162" i="10"/>
  <c r="C163" i="10" s="1"/>
  <c r="E134" i="10"/>
  <c r="F134" i="10" s="1"/>
  <c r="C209" i="10"/>
  <c r="E209" i="10" s="1"/>
  <c r="F209" i="10" s="1"/>
  <c r="C210" i="10"/>
  <c r="E210" i="10" s="1"/>
  <c r="F210" i="10" s="1"/>
  <c r="E132" i="10"/>
  <c r="F132" i="10" s="1"/>
  <c r="C222" i="10"/>
  <c r="BX102" i="21"/>
  <c r="BY102" i="21"/>
  <c r="N373" i="10"/>
  <c r="D91" i="10" s="1"/>
  <c r="BX101" i="21"/>
  <c r="BZ101" i="21"/>
  <c r="N374" i="10"/>
  <c r="D92" i="10" s="1"/>
  <c r="BZ102" i="21"/>
  <c r="N375" i="10"/>
  <c r="D93" i="10" s="1"/>
  <c r="E131" i="10"/>
  <c r="F131" i="10" s="1"/>
  <c r="F56" i="20"/>
  <c r="G57" i="20" s="1"/>
  <c r="G58" i="20" s="1"/>
  <c r="CA93" i="21" s="1"/>
  <c r="G22" i="20"/>
  <c r="BX100" i="21"/>
  <c r="K372" i="10"/>
  <c r="K383" i="10" s="1"/>
  <c r="BZ100" i="21"/>
  <c r="M372" i="10"/>
  <c r="M383" i="10" s="1"/>
  <c r="BY100" i="21"/>
  <c r="F40" i="20"/>
  <c r="D40" i="20"/>
  <c r="D42" i="20" s="1"/>
  <c r="D43" i="20" s="1"/>
  <c r="BX91" i="21" s="1"/>
  <c r="E21" i="20"/>
  <c r="AT6" i="21"/>
  <c r="AT5" i="21"/>
  <c r="D41" i="20"/>
  <c r="D44" i="20" s="1"/>
  <c r="D45" i="20" s="1"/>
  <c r="BX94" i="21" s="1"/>
  <c r="D22" i="20"/>
  <c r="D25" i="20" s="1"/>
  <c r="D26" i="20" s="1"/>
  <c r="BX92" i="21" s="1"/>
  <c r="AI5" i="21"/>
  <c r="AI6" i="21" s="1"/>
  <c r="G56" i="20"/>
  <c r="D56" i="20"/>
  <c r="D57" i="20" s="1"/>
  <c r="D58" i="20" s="1"/>
  <c r="BX93" i="21" s="1"/>
  <c r="E41" i="20"/>
  <c r="G40" i="20"/>
  <c r="E40" i="20"/>
  <c r="F22" i="20"/>
  <c r="G25" i="20" s="1"/>
  <c r="G26" i="20" s="1"/>
  <c r="CA92" i="21" s="1"/>
  <c r="N102" i="21"/>
  <c r="G21" i="20"/>
  <c r="O99" i="21"/>
  <c r="H22" i="23"/>
  <c r="F24" i="10"/>
  <c r="F25" i="10" s="1"/>
  <c r="I19" i="23"/>
  <c r="J7" i="23"/>
  <c r="J16" i="23"/>
  <c r="J17" i="23" s="1"/>
  <c r="I12" i="23"/>
  <c r="K6" i="23"/>
  <c r="K4" i="23" s="1"/>
  <c r="J9" i="23"/>
  <c r="J10" i="23" s="1"/>
  <c r="BJ110" i="21"/>
  <c r="BL108" i="21"/>
  <c r="BL110" i="21" s="1"/>
  <c r="D5" i="20"/>
  <c r="L101" i="21" s="1"/>
  <c r="BX71" i="21"/>
  <c r="BX73" i="21"/>
  <c r="BY71" i="21"/>
  <c r="BY74" i="21"/>
  <c r="BY75" i="21"/>
  <c r="BZ72" i="21"/>
  <c r="BZ74" i="21"/>
  <c r="G11" i="20"/>
  <c r="O104" i="21" s="1"/>
  <c r="BZ75" i="21"/>
  <c r="CA72" i="21"/>
  <c r="CA74" i="21"/>
  <c r="BX72" i="21"/>
  <c r="BX74" i="21"/>
  <c r="BX75" i="21"/>
  <c r="BY72" i="21"/>
  <c r="E22" i="20"/>
  <c r="BY73" i="21"/>
  <c r="F21" i="20"/>
  <c r="BZ71" i="21"/>
  <c r="BZ73" i="21"/>
  <c r="CA71" i="21"/>
  <c r="CA73" i="21"/>
  <c r="E25" i="10"/>
  <c r="E42" i="20"/>
  <c r="E43" i="20" s="1"/>
  <c r="BY91" i="21" s="1"/>
  <c r="F44" i="20"/>
  <c r="F42" i="20"/>
  <c r="E8" i="20"/>
  <c r="M105" i="21" s="1"/>
  <c r="H14" i="10"/>
  <c r="F397" i="10"/>
  <c r="E14" i="10" s="1"/>
  <c r="F399" i="10"/>
  <c r="F376" i="10"/>
  <c r="C94" i="10"/>
  <c r="D62" i="10" s="1"/>
  <c r="I64" i="10"/>
  <c r="K64" i="10"/>
  <c r="G64" i="10"/>
  <c r="H64" i="10"/>
  <c r="J64" i="10"/>
  <c r="D59" i="10"/>
  <c r="I79" i="10" s="1"/>
  <c r="G79" i="10"/>
  <c r="H79" i="10" s="1"/>
  <c r="L65" i="10"/>
  <c r="L68" i="10"/>
  <c r="F83" i="10"/>
  <c r="BK101" i="21" s="1"/>
  <c r="BK99" i="21" s="1"/>
  <c r="D61" i="15"/>
  <c r="E52" i="15" s="1"/>
  <c r="H31" i="34" s="1"/>
  <c r="C12" i="20"/>
  <c r="I122" i="17"/>
  <c r="G38" i="15"/>
  <c r="E56" i="20"/>
  <c r="D21" i="20"/>
  <c r="G5" i="20"/>
  <c r="O101" i="21" s="1"/>
  <c r="F8" i="20"/>
  <c r="N105" i="21" s="1"/>
  <c r="F5" i="20"/>
  <c r="N101" i="21" s="1"/>
  <c r="E5" i="20"/>
  <c r="M101" i="21" s="1"/>
  <c r="D8" i="20"/>
  <c r="L105" i="21" s="1"/>
  <c r="M329" i="4" l="1"/>
  <c r="M330" i="4" s="1"/>
  <c r="C169" i="10"/>
  <c r="C173" i="10" s="1"/>
  <c r="E173" i="10" s="1"/>
  <c r="F173" i="10" s="1"/>
  <c r="E25" i="20"/>
  <c r="E26" i="20" s="1"/>
  <c r="BY92" i="21" s="1"/>
  <c r="J12" i="23"/>
  <c r="G23" i="20"/>
  <c r="G134" i="10"/>
  <c r="H134" i="10" s="1"/>
  <c r="I134" i="10" s="1"/>
  <c r="J134" i="10" s="1"/>
  <c r="G42" i="20"/>
  <c r="G43" i="20" s="1"/>
  <c r="CA91" i="21" s="1"/>
  <c r="BZ99" i="21"/>
  <c r="CO18" i="21" s="1"/>
  <c r="CO21" i="21" s="1"/>
  <c r="G132" i="10"/>
  <c r="H132" i="10" s="1"/>
  <c r="I132" i="10" s="1"/>
  <c r="J132" i="10" s="1"/>
  <c r="G8" i="20"/>
  <c r="O105" i="21" s="1"/>
  <c r="I82" i="10"/>
  <c r="J82" i="10" s="1"/>
  <c r="J79" i="10"/>
  <c r="C228" i="10"/>
  <c r="C226" i="10"/>
  <c r="C229" i="10"/>
  <c r="C227" i="10"/>
  <c r="C225" i="10"/>
  <c r="E225" i="10" s="1"/>
  <c r="BX99" i="21"/>
  <c r="BX107" i="21" s="1"/>
  <c r="J215" i="10"/>
  <c r="J217" i="10" s="1"/>
  <c r="J133" i="10" s="1"/>
  <c r="I215" i="10"/>
  <c r="I217" i="10" s="1"/>
  <c r="I133" i="10" s="1"/>
  <c r="E215" i="10"/>
  <c r="E217" i="10" s="1"/>
  <c r="E133" i="10" s="1"/>
  <c r="G131" i="10"/>
  <c r="H131" i="10" s="1"/>
  <c r="I131" i="10" s="1"/>
  <c r="J131" i="10" s="1"/>
  <c r="F23" i="20"/>
  <c r="F24" i="20" s="1"/>
  <c r="BZ90" i="21" s="1"/>
  <c r="CM18" i="21"/>
  <c r="CM21" i="21" s="1"/>
  <c r="F398" i="10"/>
  <c r="F14" i="10" s="1"/>
  <c r="L374" i="10"/>
  <c r="AT9" i="21"/>
  <c r="D19" i="34"/>
  <c r="CY15" i="21" s="1"/>
  <c r="H35" i="34"/>
  <c r="H36" i="34"/>
  <c r="H37" i="34"/>
  <c r="H32" i="34"/>
  <c r="H33" i="34"/>
  <c r="E19" i="34"/>
  <c r="CZ15" i="21" s="1"/>
  <c r="F19" i="34"/>
  <c r="DA15" i="21" s="1"/>
  <c r="F45" i="20"/>
  <c r="BZ94" i="21" s="1"/>
  <c r="D48" i="20"/>
  <c r="F43" i="20"/>
  <c r="BZ91" i="21" s="1"/>
  <c r="CB91" i="21" s="1"/>
  <c r="D47" i="20"/>
  <c r="H42" i="20" s="1"/>
  <c r="AU5" i="21"/>
  <c r="AU6" i="21"/>
  <c r="G24" i="20"/>
  <c r="CA90" i="21" s="1"/>
  <c r="C32" i="20"/>
  <c r="D32" i="20" s="1"/>
  <c r="E44" i="20"/>
  <c r="E45" i="20" s="1"/>
  <c r="BY94" i="21" s="1"/>
  <c r="AJ6" i="21"/>
  <c r="F25" i="20"/>
  <c r="N30" i="21"/>
  <c r="D23" i="20"/>
  <c r="H24" i="15"/>
  <c r="O21" i="21" s="1"/>
  <c r="H23" i="10"/>
  <c r="E24" i="15"/>
  <c r="L21" i="21" s="1"/>
  <c r="E23" i="10"/>
  <c r="I22" i="23"/>
  <c r="J19" i="23"/>
  <c r="K7" i="23"/>
  <c r="K16" i="23"/>
  <c r="K17" i="23" s="1"/>
  <c r="L6" i="23"/>
  <c r="L4" i="23" s="1"/>
  <c r="K9" i="23"/>
  <c r="K10" i="23" s="1"/>
  <c r="BZ76" i="21"/>
  <c r="D12" i="20"/>
  <c r="L106" i="21" s="1"/>
  <c r="G12" i="20"/>
  <c r="O106" i="21" s="1"/>
  <c r="G41" i="20"/>
  <c r="G44" i="20" s="1"/>
  <c r="G45" i="20" s="1"/>
  <c r="CA94" i="21" s="1"/>
  <c r="CA75" i="21"/>
  <c r="BY76" i="21"/>
  <c r="BX76" i="21"/>
  <c r="E12" i="20"/>
  <c r="M106" i="21" s="1"/>
  <c r="F57" i="20"/>
  <c r="E57" i="20"/>
  <c r="E58" i="20" s="1"/>
  <c r="BY93" i="21" s="1"/>
  <c r="F12" i="20"/>
  <c r="N106" i="21" s="1"/>
  <c r="E23" i="20"/>
  <c r="D28" i="20" s="1"/>
  <c r="H23" i="20" s="1"/>
  <c r="I23" i="20" s="1"/>
  <c r="J23" i="20" s="1"/>
  <c r="K23" i="20" s="1"/>
  <c r="L23" i="20" s="1"/>
  <c r="M23" i="20" s="1"/>
  <c r="G14" i="10"/>
  <c r="D63" i="10"/>
  <c r="J63" i="10" s="1"/>
  <c r="D61" i="10"/>
  <c r="L64" i="10"/>
  <c r="G82" i="10"/>
  <c r="H38" i="15"/>
  <c r="G39" i="15"/>
  <c r="S23" i="21" s="1"/>
  <c r="G13" i="20"/>
  <c r="O107" i="21" s="1"/>
  <c r="I85" i="10" l="1"/>
  <c r="J85" i="10" s="1"/>
  <c r="C174" i="10"/>
  <c r="E174" i="10" s="1"/>
  <c r="F174" i="10" s="1"/>
  <c r="C175" i="10"/>
  <c r="E13" i="20"/>
  <c r="M107" i="21" s="1"/>
  <c r="BZ107" i="21"/>
  <c r="F225" i="10"/>
  <c r="I229" i="10"/>
  <c r="F229" i="10"/>
  <c r="J229" i="10"/>
  <c r="J231" i="10" s="1"/>
  <c r="J233" i="10" s="1"/>
  <c r="E229" i="10"/>
  <c r="H229" i="10"/>
  <c r="G229" i="10"/>
  <c r="I228" i="10"/>
  <c r="F228" i="10"/>
  <c r="E228" i="10"/>
  <c r="H228" i="10"/>
  <c r="G228" i="10"/>
  <c r="E227" i="10"/>
  <c r="G227" i="10"/>
  <c r="H227" i="10"/>
  <c r="F227" i="10"/>
  <c r="G226" i="10"/>
  <c r="F226" i="10"/>
  <c r="E226" i="10"/>
  <c r="O374" i="10"/>
  <c r="P375" i="10"/>
  <c r="O375" i="10"/>
  <c r="P374" i="10"/>
  <c r="P373" i="10"/>
  <c r="O373" i="10"/>
  <c r="H215" i="10"/>
  <c r="H217" i="10" s="1"/>
  <c r="H133" i="10" s="1"/>
  <c r="G215" i="10"/>
  <c r="G217" i="10" s="1"/>
  <c r="G133" i="10" s="1"/>
  <c r="F215" i="10"/>
  <c r="F217" i="10" s="1"/>
  <c r="F133" i="10" s="1"/>
  <c r="BY101" i="21"/>
  <c r="BY99" i="21" s="1"/>
  <c r="L372" i="10"/>
  <c r="L383" i="10" s="1"/>
  <c r="F58" i="20"/>
  <c r="BZ93" i="21" s="1"/>
  <c r="D60" i="20"/>
  <c r="H57" i="20" s="1"/>
  <c r="F26" i="20"/>
  <c r="BZ92" i="21" s="1"/>
  <c r="CB92" i="21" s="1"/>
  <c r="D29" i="20"/>
  <c r="H25" i="20" s="1"/>
  <c r="I25" i="20" s="1"/>
  <c r="J25" i="20" s="1"/>
  <c r="K25" i="20" s="1"/>
  <c r="AV6" i="21"/>
  <c r="AV5" i="21"/>
  <c r="D24" i="20"/>
  <c r="BX90" i="21" s="1"/>
  <c r="C33" i="20"/>
  <c r="C34" i="20" s="1"/>
  <c r="E32" i="20" s="1"/>
  <c r="CB94" i="21"/>
  <c r="H44" i="20"/>
  <c r="I44" i="20" s="1"/>
  <c r="F13" i="20"/>
  <c r="N107" i="21" s="1"/>
  <c r="CB93" i="21"/>
  <c r="J22" i="23"/>
  <c r="F24" i="15"/>
  <c r="M21" i="21" s="1"/>
  <c r="F23" i="10"/>
  <c r="G24" i="15"/>
  <c r="N21" i="21" s="1"/>
  <c r="G23" i="10"/>
  <c r="L61" i="10"/>
  <c r="BI90" i="21"/>
  <c r="BK90" i="21" s="1"/>
  <c r="H62" i="10"/>
  <c r="BI91" i="21"/>
  <c r="BK91" i="21" s="1"/>
  <c r="H63" i="10"/>
  <c r="BI92" i="21"/>
  <c r="BK92" i="21" s="1"/>
  <c r="K19" i="23"/>
  <c r="L7" i="23"/>
  <c r="L16" i="23"/>
  <c r="L17" i="23" s="1"/>
  <c r="K12" i="23"/>
  <c r="M6" i="23"/>
  <c r="M4" i="23" s="1"/>
  <c r="L9" i="23"/>
  <c r="L10" i="23" s="1"/>
  <c r="D13" i="20"/>
  <c r="L107" i="21" s="1"/>
  <c r="F23" i="15"/>
  <c r="M20" i="21" s="1"/>
  <c r="H23" i="15"/>
  <c r="O20" i="21" s="1"/>
  <c r="CA76" i="21"/>
  <c r="E24" i="20"/>
  <c r="BY90" i="21" s="1"/>
  <c r="CB90" i="21" s="1"/>
  <c r="I63" i="10"/>
  <c r="L62" i="10"/>
  <c r="D94" i="10"/>
  <c r="G62" i="10"/>
  <c r="L63" i="10"/>
  <c r="K63" i="10"/>
  <c r="G63" i="10"/>
  <c r="I62" i="10"/>
  <c r="K62" i="10"/>
  <c r="J62" i="10"/>
  <c r="G61" i="10"/>
  <c r="H61" i="10"/>
  <c r="I61" i="10"/>
  <c r="J61" i="10"/>
  <c r="K61" i="10"/>
  <c r="H82" i="10"/>
  <c r="G85" i="10"/>
  <c r="H85" i="10" s="1"/>
  <c r="I42" i="20"/>
  <c r="H43" i="20"/>
  <c r="I38" i="15"/>
  <c r="H39" i="15"/>
  <c r="T23" i="21" s="1"/>
  <c r="I231" i="10" l="1"/>
  <c r="I233" i="10" s="1"/>
  <c r="J26" i="20"/>
  <c r="C176" i="10"/>
  <c r="F175" i="10"/>
  <c r="E231" i="10"/>
  <c r="E233" i="10" s="1"/>
  <c r="H231" i="10"/>
  <c r="H233" i="10" s="1"/>
  <c r="G231" i="10"/>
  <c r="G233" i="10" s="1"/>
  <c r="F231" i="10"/>
  <c r="F233" i="10" s="1"/>
  <c r="CN18" i="21"/>
  <c r="CN21" i="21" s="1"/>
  <c r="BY107" i="21"/>
  <c r="H26" i="20"/>
  <c r="I26" i="20"/>
  <c r="H45" i="20"/>
  <c r="AW5" i="21"/>
  <c r="AW6" i="21"/>
  <c r="F32" i="20"/>
  <c r="G23" i="15"/>
  <c r="N20" i="21" s="1"/>
  <c r="J44" i="20"/>
  <c r="I45" i="20"/>
  <c r="H58" i="20"/>
  <c r="I57" i="20"/>
  <c r="K22" i="23"/>
  <c r="L19" i="23"/>
  <c r="M7" i="23"/>
  <c r="M16" i="23"/>
  <c r="M17" i="23" s="1"/>
  <c r="L12" i="23"/>
  <c r="N6" i="23"/>
  <c r="N4" i="23" s="1"/>
  <c r="M9" i="23"/>
  <c r="M10" i="23" s="1"/>
  <c r="E23" i="15"/>
  <c r="L20" i="21" s="1"/>
  <c r="H24" i="20"/>
  <c r="J42" i="20"/>
  <c r="I43" i="20"/>
  <c r="J38" i="15"/>
  <c r="I39" i="15"/>
  <c r="U23" i="21" s="1"/>
  <c r="K26" i="20"/>
  <c r="L25" i="20"/>
  <c r="C177" i="10" l="1"/>
  <c r="F176" i="10"/>
  <c r="E175" i="10"/>
  <c r="G175" i="10"/>
  <c r="AX6" i="21"/>
  <c r="AX5" i="21"/>
  <c r="G32" i="20"/>
  <c r="J45" i="20"/>
  <c r="K44" i="20"/>
  <c r="J57" i="20"/>
  <c r="I58" i="20"/>
  <c r="M19" i="23"/>
  <c r="L22" i="23"/>
  <c r="N7" i="23"/>
  <c r="N16" i="23"/>
  <c r="N17" i="23" s="1"/>
  <c r="M12" i="23"/>
  <c r="O6" i="23"/>
  <c r="O4" i="23" s="1"/>
  <c r="N9" i="23"/>
  <c r="N10" i="23" s="1"/>
  <c r="I24" i="20"/>
  <c r="J43" i="20"/>
  <c r="K42" i="20"/>
  <c r="J39" i="15"/>
  <c r="V23" i="21" s="1"/>
  <c r="K38" i="15"/>
  <c r="K39" i="15" s="1"/>
  <c r="M25" i="20"/>
  <c r="L26" i="20"/>
  <c r="C178" i="10" l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F177" i="10"/>
  <c r="E176" i="10"/>
  <c r="G176" i="10"/>
  <c r="H176" i="10" s="1"/>
  <c r="AZ5" i="21"/>
  <c r="AY5" i="21"/>
  <c r="AZ6" i="21"/>
  <c r="AY6" i="21"/>
  <c r="H32" i="20"/>
  <c r="K57" i="20"/>
  <c r="J58" i="20"/>
  <c r="L44" i="20"/>
  <c r="K45" i="20"/>
  <c r="M22" i="23"/>
  <c r="N19" i="23"/>
  <c r="O7" i="23"/>
  <c r="O16" i="23"/>
  <c r="O17" i="23" s="1"/>
  <c r="N12" i="23"/>
  <c r="P6" i="23"/>
  <c r="P4" i="23" s="1"/>
  <c r="O9" i="23"/>
  <c r="O10" i="23" s="1"/>
  <c r="J24" i="20"/>
  <c r="L42" i="20"/>
  <c r="K43" i="20"/>
  <c r="M26" i="20"/>
  <c r="O12" i="23" l="1"/>
  <c r="O19" i="23"/>
  <c r="E177" i="10"/>
  <c r="G177" i="10"/>
  <c r="H177" i="10" s="1"/>
  <c r="I177" i="10" s="1"/>
  <c r="I32" i="20"/>
  <c r="L45" i="20"/>
  <c r="M44" i="20"/>
  <c r="M45" i="20" s="1"/>
  <c r="K58" i="20"/>
  <c r="L57" i="20"/>
  <c r="O22" i="23"/>
  <c r="N22" i="23"/>
  <c r="P7" i="23"/>
  <c r="P16" i="23"/>
  <c r="P17" i="23" s="1"/>
  <c r="Q6" i="23"/>
  <c r="Q4" i="23" s="1"/>
  <c r="P9" i="23"/>
  <c r="P10" i="23" s="1"/>
  <c r="K24" i="20"/>
  <c r="L43" i="20"/>
  <c r="M42" i="20"/>
  <c r="M43" i="20" s="1"/>
  <c r="M57" i="20" l="1"/>
  <c r="M58" i="20" s="1"/>
  <c r="L58" i="20"/>
  <c r="P19" i="23"/>
  <c r="Q7" i="23"/>
  <c r="Q16" i="23"/>
  <c r="Q17" i="23" s="1"/>
  <c r="P12" i="23"/>
  <c r="R6" i="23"/>
  <c r="R4" i="23" s="1"/>
  <c r="Q9" i="23"/>
  <c r="Q10" i="23" s="1"/>
  <c r="Q12" i="23" s="1"/>
  <c r="L24" i="20"/>
  <c r="M24" i="20"/>
  <c r="P22" i="23" l="1"/>
  <c r="Q19" i="23"/>
  <c r="R7" i="23"/>
  <c r="R16" i="23"/>
  <c r="R17" i="23" s="1"/>
  <c r="S6" i="23"/>
  <c r="S4" i="23" s="1"/>
  <c r="R9" i="23"/>
  <c r="R10" i="23" s="1"/>
  <c r="Q22" i="23" l="1"/>
  <c r="R19" i="23"/>
  <c r="S7" i="23"/>
  <c r="S16" i="23"/>
  <c r="S17" i="23" s="1"/>
  <c r="R12" i="23"/>
  <c r="T6" i="23"/>
  <c r="T4" i="23" s="1"/>
  <c r="S9" i="23"/>
  <c r="S10" i="23" s="1"/>
  <c r="S19" i="23" l="1"/>
  <c r="R22" i="23"/>
  <c r="T7" i="23"/>
  <c r="T16" i="23"/>
  <c r="T17" i="23" s="1"/>
  <c r="S12" i="23"/>
  <c r="U6" i="23"/>
  <c r="U4" i="23" s="1"/>
  <c r="T9" i="23"/>
  <c r="T10" i="23" s="1"/>
  <c r="S22" i="23" l="1"/>
  <c r="T19" i="23"/>
  <c r="U7" i="23"/>
  <c r="U16" i="23"/>
  <c r="U17" i="23" s="1"/>
  <c r="T12" i="23"/>
  <c r="V6" i="23"/>
  <c r="V4" i="23" s="1"/>
  <c r="U9" i="23"/>
  <c r="U10" i="23" s="1"/>
  <c r="U19" i="23" l="1"/>
  <c r="T22" i="23"/>
  <c r="V7" i="23"/>
  <c r="V16" i="23"/>
  <c r="V17" i="23" s="1"/>
  <c r="U12" i="23"/>
  <c r="W6" i="23"/>
  <c r="W4" i="23" s="1"/>
  <c r="V9" i="23"/>
  <c r="V10" i="23" s="1"/>
  <c r="V12" i="23" s="1"/>
  <c r="H6" i="11"/>
  <c r="G6" i="11"/>
  <c r="AG31" i="21" s="1"/>
  <c r="F6" i="11"/>
  <c r="AF31" i="21" s="1"/>
  <c r="E6" i="11"/>
  <c r="AE31" i="21" s="1"/>
  <c r="I11" i="4"/>
  <c r="H11" i="4"/>
  <c r="G11" i="4"/>
  <c r="F11" i="4"/>
  <c r="K142" i="4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G33" i="19"/>
  <c r="H33" i="19"/>
  <c r="G34" i="19"/>
  <c r="H34" i="19"/>
  <c r="G35" i="19"/>
  <c r="H35" i="19"/>
  <c r="G36" i="19"/>
  <c r="H36" i="19"/>
  <c r="G37" i="19"/>
  <c r="H37" i="19"/>
  <c r="G38" i="19"/>
  <c r="H38" i="19"/>
  <c r="G39" i="19"/>
  <c r="H39" i="19"/>
  <c r="G40" i="19"/>
  <c r="H40" i="19"/>
  <c r="G41" i="19"/>
  <c r="H41" i="19"/>
  <c r="G42" i="19"/>
  <c r="H42" i="19"/>
  <c r="G43" i="19"/>
  <c r="H43" i="19"/>
  <c r="G44" i="19"/>
  <c r="H44" i="19"/>
  <c r="G45" i="19"/>
  <c r="H45" i="19"/>
  <c r="G46" i="19"/>
  <c r="H46" i="19"/>
  <c r="G47" i="19"/>
  <c r="H47" i="19"/>
  <c r="G48" i="19"/>
  <c r="H48" i="19"/>
  <c r="G49" i="19"/>
  <c r="H49" i="19"/>
  <c r="G50" i="19"/>
  <c r="H50" i="19"/>
  <c r="G51" i="19"/>
  <c r="H51" i="19"/>
  <c r="G54" i="19"/>
  <c r="H54" i="19"/>
  <c r="G55" i="19"/>
  <c r="H55" i="19"/>
  <c r="G56" i="19"/>
  <c r="H56" i="19"/>
  <c r="G57" i="19"/>
  <c r="H57" i="19"/>
  <c r="G58" i="19"/>
  <c r="H58" i="19"/>
  <c r="G59" i="19"/>
  <c r="H59" i="19"/>
  <c r="G60" i="19"/>
  <c r="H60" i="19"/>
  <c r="G61" i="19"/>
  <c r="H61" i="19"/>
  <c r="G62" i="19"/>
  <c r="H62" i="19"/>
  <c r="G63" i="19"/>
  <c r="H63" i="19"/>
  <c r="G64" i="19"/>
  <c r="H64" i="19"/>
  <c r="G65" i="19"/>
  <c r="H65" i="19"/>
  <c r="G66" i="19"/>
  <c r="H66" i="19"/>
  <c r="G67" i="19"/>
  <c r="H67" i="19"/>
  <c r="G68" i="19"/>
  <c r="H68" i="19"/>
  <c r="G69" i="19"/>
  <c r="H69" i="19"/>
  <c r="G70" i="19"/>
  <c r="H70" i="19"/>
  <c r="G71" i="19"/>
  <c r="H71" i="19"/>
  <c r="G73" i="19"/>
  <c r="H73" i="19"/>
  <c r="G74" i="19"/>
  <c r="H74" i="19"/>
  <c r="G75" i="19"/>
  <c r="H75" i="19"/>
  <c r="G76" i="19"/>
  <c r="H76" i="19"/>
  <c r="G77" i="19"/>
  <c r="H77" i="19"/>
  <c r="G78" i="19"/>
  <c r="H78" i="19"/>
  <c r="G79" i="19"/>
  <c r="H79" i="19"/>
  <c r="G80" i="19"/>
  <c r="H80" i="19"/>
  <c r="G81" i="19"/>
  <c r="H81" i="19"/>
  <c r="G82" i="19"/>
  <c r="H82" i="19"/>
  <c r="G83" i="19"/>
  <c r="H83" i="19"/>
  <c r="G84" i="19"/>
  <c r="H84" i="19"/>
  <c r="G85" i="19"/>
  <c r="H85" i="19"/>
  <c r="G88" i="19"/>
  <c r="H88" i="19"/>
  <c r="G90" i="19"/>
  <c r="H90" i="19"/>
  <c r="G92" i="19"/>
  <c r="H92" i="19"/>
  <c r="G94" i="19"/>
  <c r="H94" i="19"/>
  <c r="G95" i="19"/>
  <c r="H95" i="19"/>
  <c r="G96" i="19"/>
  <c r="H96" i="19"/>
  <c r="C97" i="19"/>
  <c r="D97" i="19"/>
  <c r="E97" i="19"/>
  <c r="F97" i="19"/>
  <c r="G4" i="18"/>
  <c r="H4" i="18"/>
  <c r="I4" i="18"/>
  <c r="J4" i="18"/>
  <c r="G5" i="18"/>
  <c r="H5" i="18"/>
  <c r="I5" i="18"/>
  <c r="J5" i="18"/>
  <c r="G6" i="18"/>
  <c r="H6" i="18"/>
  <c r="I6" i="18"/>
  <c r="J6" i="18"/>
  <c r="G7" i="18"/>
  <c r="H7" i="18"/>
  <c r="I7" i="18"/>
  <c r="J7" i="18"/>
  <c r="G8" i="18"/>
  <c r="H8" i="18"/>
  <c r="I8" i="18"/>
  <c r="J8" i="18"/>
  <c r="L8" i="18"/>
  <c r="G9" i="18"/>
  <c r="H9" i="18"/>
  <c r="I9" i="18"/>
  <c r="J9" i="18"/>
  <c r="L9" i="18"/>
  <c r="G10" i="18"/>
  <c r="H10" i="18"/>
  <c r="I10" i="18"/>
  <c r="J10" i="18"/>
  <c r="L10" i="18"/>
  <c r="G11" i="18"/>
  <c r="H11" i="18"/>
  <c r="I11" i="18"/>
  <c r="J11" i="18"/>
  <c r="L11" i="18"/>
  <c r="G12" i="18"/>
  <c r="H12" i="18"/>
  <c r="I12" i="18"/>
  <c r="J12" i="18"/>
  <c r="L12" i="18"/>
  <c r="G13" i="18"/>
  <c r="H13" i="18"/>
  <c r="I13" i="18"/>
  <c r="J13" i="18"/>
  <c r="L13" i="18"/>
  <c r="G14" i="18"/>
  <c r="H14" i="18"/>
  <c r="I14" i="18"/>
  <c r="J14" i="18"/>
  <c r="L14" i="18"/>
  <c r="G15" i="18"/>
  <c r="H15" i="18"/>
  <c r="I15" i="18"/>
  <c r="J15" i="18"/>
  <c r="L15" i="18"/>
  <c r="G16" i="18"/>
  <c r="H16" i="18"/>
  <c r="I16" i="18"/>
  <c r="J16" i="18"/>
  <c r="L16" i="18"/>
  <c r="G17" i="18"/>
  <c r="H17" i="18"/>
  <c r="I17" i="18"/>
  <c r="J17" i="18"/>
  <c r="L17" i="18"/>
  <c r="G18" i="18"/>
  <c r="H18" i="18"/>
  <c r="I18" i="18"/>
  <c r="J18" i="18"/>
  <c r="L18" i="18"/>
  <c r="G19" i="18"/>
  <c r="H19" i="18"/>
  <c r="I19" i="18"/>
  <c r="J19" i="18"/>
  <c r="L19" i="18"/>
  <c r="G20" i="18"/>
  <c r="H20" i="18"/>
  <c r="I20" i="18"/>
  <c r="J20" i="18"/>
  <c r="L20" i="18"/>
  <c r="G21" i="18"/>
  <c r="H21" i="18"/>
  <c r="I21" i="18"/>
  <c r="J21" i="18"/>
  <c r="L21" i="18"/>
  <c r="G22" i="18"/>
  <c r="H22" i="18"/>
  <c r="I22" i="18"/>
  <c r="J22" i="18"/>
  <c r="L22" i="18"/>
  <c r="G23" i="18"/>
  <c r="H23" i="18"/>
  <c r="I23" i="18"/>
  <c r="J23" i="18"/>
  <c r="L23" i="18"/>
  <c r="G24" i="18"/>
  <c r="H24" i="18"/>
  <c r="I24" i="18"/>
  <c r="J24" i="18"/>
  <c r="L24" i="18"/>
  <c r="G25" i="18"/>
  <c r="H25" i="18"/>
  <c r="I25" i="18"/>
  <c r="J25" i="18"/>
  <c r="L25" i="18"/>
  <c r="G26" i="18"/>
  <c r="H26" i="18"/>
  <c r="I26" i="18"/>
  <c r="J26" i="18"/>
  <c r="L26" i="18"/>
  <c r="G27" i="18"/>
  <c r="H27" i="18"/>
  <c r="I27" i="18"/>
  <c r="J27" i="18"/>
  <c r="L27" i="18"/>
  <c r="G28" i="18"/>
  <c r="H28" i="18"/>
  <c r="I28" i="18"/>
  <c r="J28" i="18"/>
  <c r="L28" i="18"/>
  <c r="G29" i="18"/>
  <c r="H29" i="18"/>
  <c r="I29" i="18"/>
  <c r="J29" i="18"/>
  <c r="L29" i="18"/>
  <c r="G30" i="18"/>
  <c r="H30" i="18"/>
  <c r="I30" i="18"/>
  <c r="J30" i="18"/>
  <c r="L30" i="18"/>
  <c r="G31" i="18"/>
  <c r="H31" i="18"/>
  <c r="I31" i="18"/>
  <c r="J31" i="18"/>
  <c r="L31" i="18"/>
  <c r="G32" i="18"/>
  <c r="H32" i="18"/>
  <c r="I32" i="18"/>
  <c r="J32" i="18"/>
  <c r="L32" i="18"/>
  <c r="G33" i="18"/>
  <c r="H33" i="18"/>
  <c r="I33" i="18"/>
  <c r="J33" i="18"/>
  <c r="L33" i="18"/>
  <c r="G34" i="18"/>
  <c r="H34" i="18"/>
  <c r="I34" i="18"/>
  <c r="J34" i="18"/>
  <c r="L34" i="18"/>
  <c r="G35" i="18"/>
  <c r="H35" i="18"/>
  <c r="I35" i="18"/>
  <c r="J35" i="18"/>
  <c r="L35" i="18"/>
  <c r="G36" i="18"/>
  <c r="H36" i="18"/>
  <c r="I36" i="18"/>
  <c r="J36" i="18"/>
  <c r="L36" i="18"/>
  <c r="G37" i="18"/>
  <c r="H37" i="18"/>
  <c r="I37" i="18"/>
  <c r="J37" i="18"/>
  <c r="L37" i="18"/>
  <c r="G38" i="18"/>
  <c r="H38" i="18"/>
  <c r="I38" i="18"/>
  <c r="J38" i="18"/>
  <c r="L38" i="18"/>
  <c r="G39" i="18"/>
  <c r="H39" i="18"/>
  <c r="I39" i="18"/>
  <c r="J39" i="18"/>
  <c r="L39" i="18"/>
  <c r="G40" i="18"/>
  <c r="H40" i="18"/>
  <c r="I40" i="18"/>
  <c r="J40" i="18"/>
  <c r="L40" i="18"/>
  <c r="G41" i="18"/>
  <c r="H41" i="18"/>
  <c r="I41" i="18"/>
  <c r="J41" i="18"/>
  <c r="L41" i="18"/>
  <c r="G42" i="18"/>
  <c r="H42" i="18"/>
  <c r="I42" i="18"/>
  <c r="J42" i="18"/>
  <c r="L42" i="18"/>
  <c r="G43" i="18"/>
  <c r="H43" i="18"/>
  <c r="I43" i="18"/>
  <c r="J43" i="18"/>
  <c r="L43" i="18"/>
  <c r="G44" i="18"/>
  <c r="H44" i="18"/>
  <c r="I44" i="18"/>
  <c r="J44" i="18"/>
  <c r="L44" i="18"/>
  <c r="G45" i="18"/>
  <c r="H45" i="18"/>
  <c r="I45" i="18"/>
  <c r="J45" i="18"/>
  <c r="L45" i="18"/>
  <c r="G46" i="18"/>
  <c r="H46" i="18"/>
  <c r="I46" i="18"/>
  <c r="J46" i="18"/>
  <c r="L46" i="18"/>
  <c r="G47" i="18"/>
  <c r="H47" i="18"/>
  <c r="I47" i="18"/>
  <c r="J47" i="18"/>
  <c r="L47" i="18"/>
  <c r="G48" i="18"/>
  <c r="H48" i="18"/>
  <c r="I48" i="18"/>
  <c r="J48" i="18"/>
  <c r="L48" i="18"/>
  <c r="G49" i="18"/>
  <c r="H49" i="18"/>
  <c r="I49" i="18"/>
  <c r="J49" i="18"/>
  <c r="L49" i="18"/>
  <c r="G50" i="18"/>
  <c r="H50" i="18"/>
  <c r="I50" i="18"/>
  <c r="J50" i="18"/>
  <c r="L50" i="18"/>
  <c r="G51" i="18"/>
  <c r="H51" i="18"/>
  <c r="I51" i="18"/>
  <c r="J51" i="18"/>
  <c r="L51" i="18"/>
  <c r="G52" i="18"/>
  <c r="H52" i="18"/>
  <c r="I52" i="18"/>
  <c r="J52" i="18"/>
  <c r="L52" i="18"/>
  <c r="G53" i="18"/>
  <c r="H53" i="18"/>
  <c r="I53" i="18"/>
  <c r="J53" i="18"/>
  <c r="L53" i="18"/>
  <c r="G54" i="18"/>
  <c r="H54" i="18"/>
  <c r="I54" i="18"/>
  <c r="J54" i="18"/>
  <c r="G55" i="18"/>
  <c r="H55" i="18"/>
  <c r="I55" i="18"/>
  <c r="J55" i="18"/>
  <c r="G56" i="18"/>
  <c r="H56" i="18"/>
  <c r="I56" i="18"/>
  <c r="J56" i="18"/>
  <c r="G57" i="18"/>
  <c r="H57" i="18"/>
  <c r="I57" i="18"/>
  <c r="J57" i="18"/>
  <c r="G58" i="18"/>
  <c r="H58" i="18"/>
  <c r="I58" i="18"/>
  <c r="J58" i="18"/>
  <c r="G59" i="18"/>
  <c r="H59" i="18"/>
  <c r="I59" i="18"/>
  <c r="J59" i="18"/>
  <c r="G60" i="18"/>
  <c r="H60" i="18"/>
  <c r="I60" i="18"/>
  <c r="J60" i="18"/>
  <c r="G61" i="18"/>
  <c r="H61" i="18"/>
  <c r="I61" i="18"/>
  <c r="J61" i="18"/>
  <c r="G62" i="18"/>
  <c r="H62" i="18"/>
  <c r="I62" i="18"/>
  <c r="J62" i="18"/>
  <c r="G63" i="18"/>
  <c r="H63" i="18"/>
  <c r="I63" i="18"/>
  <c r="J63" i="18"/>
  <c r="G64" i="18"/>
  <c r="H64" i="18"/>
  <c r="I64" i="18"/>
  <c r="J64" i="18"/>
  <c r="G65" i="18"/>
  <c r="H65" i="18"/>
  <c r="I65" i="18"/>
  <c r="J65" i="18"/>
  <c r="G66" i="18"/>
  <c r="H66" i="18"/>
  <c r="I66" i="18"/>
  <c r="J66" i="18"/>
  <c r="G67" i="18"/>
  <c r="H67" i="18"/>
  <c r="I67" i="18"/>
  <c r="J67" i="18"/>
  <c r="G68" i="18"/>
  <c r="H68" i="18"/>
  <c r="I68" i="18"/>
  <c r="J68" i="18"/>
  <c r="G69" i="18"/>
  <c r="H69" i="18"/>
  <c r="I69" i="18"/>
  <c r="J69" i="18"/>
  <c r="G70" i="18"/>
  <c r="H70" i="18"/>
  <c r="I70" i="18"/>
  <c r="J70" i="18"/>
  <c r="G71" i="18"/>
  <c r="H71" i="18"/>
  <c r="I71" i="18"/>
  <c r="J71" i="18"/>
  <c r="G72" i="18"/>
  <c r="H72" i="18"/>
  <c r="I72" i="18"/>
  <c r="J72" i="18"/>
  <c r="G73" i="18"/>
  <c r="H73" i="18"/>
  <c r="I73" i="18"/>
  <c r="J73" i="18"/>
  <c r="G74" i="18"/>
  <c r="H74" i="18"/>
  <c r="I74" i="18"/>
  <c r="J74" i="18"/>
  <c r="G75" i="18"/>
  <c r="H75" i="18"/>
  <c r="I75" i="18"/>
  <c r="J75" i="18"/>
  <c r="G76" i="18"/>
  <c r="H76" i="18"/>
  <c r="I76" i="18"/>
  <c r="J76" i="18"/>
  <c r="C77" i="18"/>
  <c r="D77" i="18"/>
  <c r="E77" i="18"/>
  <c r="F77" i="18"/>
  <c r="D5" i="17"/>
  <c r="E5" i="17"/>
  <c r="D194" i="17" s="1"/>
  <c r="F5" i="17"/>
  <c r="G32" i="16"/>
  <c r="D9" i="17"/>
  <c r="E9" i="17"/>
  <c r="F9" i="17"/>
  <c r="G9" i="17"/>
  <c r="D10" i="17"/>
  <c r="E10" i="17"/>
  <c r="D152" i="17" s="1"/>
  <c r="F10" i="17"/>
  <c r="G10" i="17"/>
  <c r="D11" i="17"/>
  <c r="E11" i="17"/>
  <c r="D153" i="17" s="1"/>
  <c r="F11" i="17"/>
  <c r="G11" i="17"/>
  <c r="D12" i="17"/>
  <c r="E12" i="17"/>
  <c r="D154" i="17" s="1"/>
  <c r="F12" i="17"/>
  <c r="G12" i="17"/>
  <c r="D14" i="17"/>
  <c r="E14" i="17"/>
  <c r="F14" i="17"/>
  <c r="G14" i="17"/>
  <c r="D15" i="17"/>
  <c r="E15" i="17"/>
  <c r="F15" i="17"/>
  <c r="G15" i="17"/>
  <c r="G46" i="17" s="1"/>
  <c r="D16" i="17"/>
  <c r="E16" i="17"/>
  <c r="F16" i="17"/>
  <c r="G16" i="17"/>
  <c r="D17" i="17"/>
  <c r="E17" i="17"/>
  <c r="F17" i="17"/>
  <c r="G17" i="17"/>
  <c r="D19" i="17"/>
  <c r="E19" i="17"/>
  <c r="C212" i="17" s="1"/>
  <c r="F19" i="17"/>
  <c r="G19" i="17"/>
  <c r="E212" i="17" s="1"/>
  <c r="D20" i="17"/>
  <c r="E20" i="17"/>
  <c r="C237" i="17" s="1"/>
  <c r="F20" i="17"/>
  <c r="D237" i="17" s="1"/>
  <c r="G20" i="17"/>
  <c r="E243" i="17" s="1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7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3" i="17"/>
  <c r="E33" i="17"/>
  <c r="F33" i="17"/>
  <c r="G33" i="17"/>
  <c r="D34" i="17"/>
  <c r="E34" i="17"/>
  <c r="F34" i="17"/>
  <c r="G34" i="17"/>
  <c r="D56" i="17"/>
  <c r="F56" i="17"/>
  <c r="E66" i="17"/>
  <c r="E68" i="17" s="1"/>
  <c r="F66" i="17"/>
  <c r="F68" i="17" s="1"/>
  <c r="G66" i="17"/>
  <c r="G68" i="17" s="1"/>
  <c r="G169" i="17"/>
  <c r="D211" i="17"/>
  <c r="E211" i="17"/>
  <c r="D244" i="17"/>
  <c r="E244" i="17"/>
  <c r="F251" i="17"/>
  <c r="G251" i="17" s="1"/>
  <c r="H251" i="17" s="1"/>
  <c r="I251" i="17" s="1"/>
  <c r="J251" i="17" s="1"/>
  <c r="K251" i="17" s="1"/>
  <c r="F253" i="17"/>
  <c r="G253" i="17" s="1"/>
  <c r="H253" i="17" s="1"/>
  <c r="I253" i="17" s="1"/>
  <c r="J253" i="17" s="1"/>
  <c r="K253" i="17" s="1"/>
  <c r="C254" i="17"/>
  <c r="D254" i="17"/>
  <c r="E254" i="17"/>
  <c r="G43" i="17" l="1"/>
  <c r="F154" i="17"/>
  <c r="G42" i="17"/>
  <c r="F153" i="17"/>
  <c r="G41" i="17"/>
  <c r="F152" i="17"/>
  <c r="G56" i="17"/>
  <c r="G72" i="17" s="1"/>
  <c r="F151" i="17"/>
  <c r="E56" i="17"/>
  <c r="D151" i="17"/>
  <c r="F43" i="17"/>
  <c r="E154" i="17"/>
  <c r="D43" i="17"/>
  <c r="C154" i="17"/>
  <c r="F42" i="17"/>
  <c r="E153" i="17"/>
  <c r="D42" i="17"/>
  <c r="C153" i="17"/>
  <c r="F41" i="17"/>
  <c r="E152" i="17"/>
  <c r="D41" i="17"/>
  <c r="C152" i="17"/>
  <c r="F5" i="16"/>
  <c r="N59" i="21" s="1"/>
  <c r="BZ122" i="21" s="1"/>
  <c r="E151" i="17"/>
  <c r="D5" i="16"/>
  <c r="L59" i="21" s="1"/>
  <c r="C151" i="17"/>
  <c r="C211" i="17"/>
  <c r="C213" i="17" s="1"/>
  <c r="E169" i="17"/>
  <c r="F48" i="17"/>
  <c r="BL27" i="21" s="1"/>
  <c r="E197" i="17"/>
  <c r="D48" i="17"/>
  <c r="C197" i="17"/>
  <c r="F47" i="17"/>
  <c r="BL26" i="21" s="1"/>
  <c r="E196" i="17"/>
  <c r="D47" i="17"/>
  <c r="C196" i="17"/>
  <c r="F45" i="17"/>
  <c r="BL25" i="21" s="1"/>
  <c r="E195" i="17"/>
  <c r="D45" i="17"/>
  <c r="C195" i="17"/>
  <c r="F32" i="16"/>
  <c r="E194" i="17"/>
  <c r="D32" i="16"/>
  <c r="C194" i="17"/>
  <c r="G48" i="17"/>
  <c r="BM27" i="21" s="1"/>
  <c r="F197" i="17"/>
  <c r="F201" i="17" s="1"/>
  <c r="E48" i="17"/>
  <c r="BK27" i="21" s="1"/>
  <c r="BN27" i="21" s="1"/>
  <c r="D197" i="17"/>
  <c r="D201" i="17" s="1"/>
  <c r="G47" i="17"/>
  <c r="BM26" i="21" s="1"/>
  <c r="F196" i="17"/>
  <c r="F200" i="17" s="1"/>
  <c r="E47" i="17"/>
  <c r="BK26" i="21" s="1"/>
  <c r="BN26" i="21" s="1"/>
  <c r="D196" i="17"/>
  <c r="D200" i="17" s="1"/>
  <c r="G45" i="17"/>
  <c r="BM25" i="21" s="1"/>
  <c r="F195" i="17"/>
  <c r="F199" i="17" s="1"/>
  <c r="E45" i="17"/>
  <c r="BK25" i="21" s="1"/>
  <c r="BN25" i="21" s="1"/>
  <c r="D195" i="17"/>
  <c r="D199" i="17" s="1"/>
  <c r="E43" i="17"/>
  <c r="E42" i="17"/>
  <c r="E41" i="17"/>
  <c r="BX122" i="21"/>
  <c r="F168" i="17"/>
  <c r="F46" i="17"/>
  <c r="D168" i="17"/>
  <c r="D46" i="17"/>
  <c r="E168" i="17"/>
  <c r="E46" i="17"/>
  <c r="H20" i="20"/>
  <c r="H22" i="20" s="1"/>
  <c r="H9" i="20" s="1"/>
  <c r="O9" i="20" s="1"/>
  <c r="AH31" i="21"/>
  <c r="U22" i="23"/>
  <c r="V19" i="23"/>
  <c r="W7" i="23"/>
  <c r="W16" i="23"/>
  <c r="W17" i="23" s="1"/>
  <c r="X6" i="23"/>
  <c r="X4" i="23" s="1"/>
  <c r="W9" i="23"/>
  <c r="W10" i="23" s="1"/>
  <c r="D190" i="17"/>
  <c r="D189" i="17"/>
  <c r="D188" i="17"/>
  <c r="D147" i="17"/>
  <c r="D146" i="17"/>
  <c r="D145" i="17"/>
  <c r="C145" i="17"/>
  <c r="C146" i="17" s="1"/>
  <c r="C147" i="17" s="1"/>
  <c r="C188" i="17"/>
  <c r="C189" i="17" s="1"/>
  <c r="D212" i="17"/>
  <c r="F212" i="17" s="1"/>
  <c r="H19" i="17"/>
  <c r="C243" i="17"/>
  <c r="H15" i="4"/>
  <c r="G5" i="16"/>
  <c r="O59" i="21" s="1"/>
  <c r="J122" i="17"/>
  <c r="E5" i="16"/>
  <c r="M59" i="21" s="1"/>
  <c r="E32" i="16"/>
  <c r="D243" i="17"/>
  <c r="D245" i="17" s="1"/>
  <c r="C190" i="17"/>
  <c r="F169" i="17"/>
  <c r="F69" i="17"/>
  <c r="F72" i="17"/>
  <c r="E237" i="17"/>
  <c r="G168" i="17"/>
  <c r="G170" i="17" s="1"/>
  <c r="E245" i="17"/>
  <c r="F57" i="17"/>
  <c r="E6" i="16"/>
  <c r="M60" i="21" s="1"/>
  <c r="BY123" i="21" s="1"/>
  <c r="E8" i="16"/>
  <c r="M62" i="21" s="1"/>
  <c r="BY125" i="21" s="1"/>
  <c r="E11" i="16"/>
  <c r="E13" i="16"/>
  <c r="M67" i="21" s="1"/>
  <c r="BY130" i="21" s="1"/>
  <c r="E16" i="16"/>
  <c r="M71" i="21" s="1"/>
  <c r="BY134" i="21" s="1"/>
  <c r="E18" i="16"/>
  <c r="M73" i="21" s="1"/>
  <c r="BY136" i="21" s="1"/>
  <c r="E20" i="16"/>
  <c r="M75" i="21" s="1"/>
  <c r="BY138" i="21" s="1"/>
  <c r="E22" i="16"/>
  <c r="M77" i="21" s="1"/>
  <c r="BY140" i="21" s="1"/>
  <c r="E24" i="16"/>
  <c r="M79" i="21" s="1"/>
  <c r="BY141" i="21" s="1"/>
  <c r="E26" i="16"/>
  <c r="M81" i="21" s="1"/>
  <c r="E29" i="16"/>
  <c r="F7" i="16"/>
  <c r="N61" i="21" s="1"/>
  <c r="BZ124" i="21" s="1"/>
  <c r="F10" i="16"/>
  <c r="N64" i="21" s="1"/>
  <c r="F12" i="16"/>
  <c r="N66" i="21" s="1"/>
  <c r="BZ129" i="21" s="1"/>
  <c r="F15" i="16"/>
  <c r="N69" i="21" s="1"/>
  <c r="F17" i="16"/>
  <c r="N72" i="21" s="1"/>
  <c r="BZ135" i="21" s="1"/>
  <c r="F19" i="16"/>
  <c r="N74" i="21" s="1"/>
  <c r="BZ137" i="21" s="1"/>
  <c r="F21" i="16"/>
  <c r="N76" i="21" s="1"/>
  <c r="BZ139" i="21" s="1"/>
  <c r="F23" i="16"/>
  <c r="N78" i="21" s="1"/>
  <c r="F25" i="16"/>
  <c r="N80" i="21" s="1"/>
  <c r="F27" i="16"/>
  <c r="N82" i="21" s="1"/>
  <c r="F30" i="16"/>
  <c r="G7" i="16"/>
  <c r="O61" i="21" s="1"/>
  <c r="CA124" i="21" s="1"/>
  <c r="G10" i="16"/>
  <c r="O64" i="21" s="1"/>
  <c r="G12" i="16"/>
  <c r="O66" i="21" s="1"/>
  <c r="G15" i="16"/>
  <c r="O69" i="21" s="1"/>
  <c r="G17" i="16"/>
  <c r="O72" i="21" s="1"/>
  <c r="CA135" i="21" s="1"/>
  <c r="G19" i="16"/>
  <c r="O74" i="21" s="1"/>
  <c r="CA137" i="21" s="1"/>
  <c r="G21" i="16"/>
  <c r="O76" i="21" s="1"/>
  <c r="CA139" i="21" s="1"/>
  <c r="G23" i="16"/>
  <c r="O78" i="21" s="1"/>
  <c r="G25" i="16"/>
  <c r="O80" i="21" s="1"/>
  <c r="G27" i="16"/>
  <c r="O82" i="21" s="1"/>
  <c r="G30" i="16"/>
  <c r="BI36" i="21" s="1"/>
  <c r="E213" i="17"/>
  <c r="E7" i="16"/>
  <c r="M61" i="21" s="1"/>
  <c r="BY124" i="21" s="1"/>
  <c r="E10" i="16"/>
  <c r="M64" i="21" s="1"/>
  <c r="E12" i="16"/>
  <c r="M66" i="21" s="1"/>
  <c r="BY129" i="21" s="1"/>
  <c r="E15" i="16"/>
  <c r="M69" i="21" s="1"/>
  <c r="E17" i="16"/>
  <c r="M72" i="21" s="1"/>
  <c r="BY135" i="21" s="1"/>
  <c r="E19" i="16"/>
  <c r="M74" i="21" s="1"/>
  <c r="BY137" i="21" s="1"/>
  <c r="E21" i="16"/>
  <c r="M76" i="21" s="1"/>
  <c r="BY139" i="21" s="1"/>
  <c r="E23" i="16"/>
  <c r="M78" i="21" s="1"/>
  <c r="E25" i="16"/>
  <c r="M80" i="21" s="1"/>
  <c r="E27" i="16"/>
  <c r="M82" i="21" s="1"/>
  <c r="E30" i="16"/>
  <c r="F6" i="16"/>
  <c r="N60" i="21" s="1"/>
  <c r="BZ123" i="21" s="1"/>
  <c r="F8" i="16"/>
  <c r="N62" i="21" s="1"/>
  <c r="BZ125" i="21" s="1"/>
  <c r="F11" i="16"/>
  <c r="F13" i="16"/>
  <c r="N67" i="21" s="1"/>
  <c r="BZ130" i="21" s="1"/>
  <c r="F16" i="16"/>
  <c r="N71" i="21" s="1"/>
  <c r="BZ134" i="21" s="1"/>
  <c r="F18" i="16"/>
  <c r="N73" i="21" s="1"/>
  <c r="BZ136" i="21" s="1"/>
  <c r="F20" i="16"/>
  <c r="N75" i="21" s="1"/>
  <c r="BZ138" i="21" s="1"/>
  <c r="F22" i="16"/>
  <c r="N77" i="21" s="1"/>
  <c r="BZ140" i="21" s="1"/>
  <c r="F24" i="16"/>
  <c r="N79" i="21" s="1"/>
  <c r="BZ141" i="21" s="1"/>
  <c r="F26" i="16"/>
  <c r="N81" i="21" s="1"/>
  <c r="F29" i="16"/>
  <c r="G6" i="16"/>
  <c r="O60" i="21" s="1"/>
  <c r="CA123" i="21" s="1"/>
  <c r="G8" i="16"/>
  <c r="O62" i="21" s="1"/>
  <c r="CA125" i="21" s="1"/>
  <c r="G11" i="16"/>
  <c r="G13" i="16"/>
  <c r="O67" i="21" s="1"/>
  <c r="G16" i="16"/>
  <c r="O71" i="21" s="1"/>
  <c r="G18" i="16"/>
  <c r="O73" i="21" s="1"/>
  <c r="CA136" i="21" s="1"/>
  <c r="G20" i="16"/>
  <c r="O75" i="21" s="1"/>
  <c r="CA138" i="21" s="1"/>
  <c r="G22" i="16"/>
  <c r="O77" i="21" s="1"/>
  <c r="CA140" i="21" s="1"/>
  <c r="G24" i="16"/>
  <c r="O79" i="21" s="1"/>
  <c r="CA141" i="21" s="1"/>
  <c r="G26" i="16"/>
  <c r="O81" i="21" s="1"/>
  <c r="G29" i="16"/>
  <c r="BI35" i="21" s="1"/>
  <c r="D6" i="16"/>
  <c r="L60" i="21" s="1"/>
  <c r="BX123" i="21" s="1"/>
  <c r="D8" i="16"/>
  <c r="L62" i="21" s="1"/>
  <c r="BX125" i="21" s="1"/>
  <c r="D11" i="16"/>
  <c r="D13" i="16"/>
  <c r="L67" i="21" s="1"/>
  <c r="BX130" i="21" s="1"/>
  <c r="D16" i="16"/>
  <c r="L71" i="21" s="1"/>
  <c r="BX134" i="21" s="1"/>
  <c r="D18" i="16"/>
  <c r="L73" i="21" s="1"/>
  <c r="BX136" i="21" s="1"/>
  <c r="D20" i="16"/>
  <c r="L75" i="21" s="1"/>
  <c r="BX138" i="21" s="1"/>
  <c r="D22" i="16"/>
  <c r="L77" i="21" s="1"/>
  <c r="BX140" i="21" s="1"/>
  <c r="D24" i="16"/>
  <c r="L79" i="21" s="1"/>
  <c r="BX141" i="21" s="1"/>
  <c r="D26" i="16"/>
  <c r="L81" i="21" s="1"/>
  <c r="D29" i="16"/>
  <c r="D7" i="16"/>
  <c r="L61" i="21" s="1"/>
  <c r="BX124" i="21" s="1"/>
  <c r="D10" i="16"/>
  <c r="L64" i="21" s="1"/>
  <c r="D12" i="16"/>
  <c r="L66" i="21" s="1"/>
  <c r="BX129" i="21" s="1"/>
  <c r="D15" i="16"/>
  <c r="L69" i="21" s="1"/>
  <c r="D17" i="16"/>
  <c r="L72" i="21" s="1"/>
  <c r="BX135" i="21" s="1"/>
  <c r="D19" i="16"/>
  <c r="L74" i="21" s="1"/>
  <c r="BX137" i="21" s="1"/>
  <c r="D21" i="16"/>
  <c r="L76" i="21" s="1"/>
  <c r="BX139" i="21" s="1"/>
  <c r="D23" i="16"/>
  <c r="L78" i="21" s="1"/>
  <c r="D25" i="16"/>
  <c r="L80" i="21" s="1"/>
  <c r="D27" i="16"/>
  <c r="L82" i="21" s="1"/>
  <c r="D30" i="16"/>
  <c r="F8" i="17"/>
  <c r="AV42" i="21" s="1"/>
  <c r="G32" i="17"/>
  <c r="E32" i="17"/>
  <c r="E72" i="17"/>
  <c r="F32" i="17"/>
  <c r="D32" i="17"/>
  <c r="H31" i="17"/>
  <c r="H30" i="17"/>
  <c r="H29" i="17"/>
  <c r="H28" i="17"/>
  <c r="H27" i="17"/>
  <c r="H26" i="17"/>
  <c r="H25" i="17"/>
  <c r="H24" i="17"/>
  <c r="H23" i="17"/>
  <c r="H22" i="17"/>
  <c r="H21" i="17"/>
  <c r="F18" i="17"/>
  <c r="D18" i="17"/>
  <c r="F13" i="17"/>
  <c r="D13" i="17"/>
  <c r="D8" i="17"/>
  <c r="G8" i="17"/>
  <c r="E8" i="17"/>
  <c r="G18" i="17"/>
  <c r="E18" i="17"/>
  <c r="G13" i="17"/>
  <c r="E13" i="17"/>
  <c r="E170" i="17" l="1"/>
  <c r="AW42" i="21"/>
  <c r="H17" i="16"/>
  <c r="P72" i="21" s="1"/>
  <c r="H19" i="16"/>
  <c r="P74" i="21" s="1"/>
  <c r="H23" i="16"/>
  <c r="P78" i="21" s="1"/>
  <c r="H25" i="16"/>
  <c r="P80" i="21" s="1"/>
  <c r="H18" i="16"/>
  <c r="L22" i="24" s="1"/>
  <c r="H20" i="16"/>
  <c r="L24" i="24" s="1"/>
  <c r="H22" i="16"/>
  <c r="L26" i="24" s="1"/>
  <c r="H24" i="16"/>
  <c r="L29" i="24" s="1"/>
  <c r="H26" i="16"/>
  <c r="L31" i="24" s="1"/>
  <c r="I19" i="17"/>
  <c r="H21" i="16"/>
  <c r="P76" i="21" s="1"/>
  <c r="H27" i="16"/>
  <c r="P82" i="21" s="1"/>
  <c r="AU42" i="21"/>
  <c r="C199" i="17"/>
  <c r="E199" i="17"/>
  <c r="H199" i="17" s="1"/>
  <c r="C200" i="17"/>
  <c r="E200" i="17"/>
  <c r="H200" i="17" s="1"/>
  <c r="C201" i="17"/>
  <c r="E201" i="17"/>
  <c r="H201" i="17" s="1"/>
  <c r="D213" i="17"/>
  <c r="BZ132" i="21"/>
  <c r="BZ127" i="21"/>
  <c r="BX132" i="21"/>
  <c r="BX127" i="21"/>
  <c r="BY132" i="21"/>
  <c r="BY127" i="21"/>
  <c r="CA132" i="21"/>
  <c r="BY122" i="21"/>
  <c r="BY121" i="21" s="1"/>
  <c r="M58" i="21"/>
  <c r="CA122" i="21"/>
  <c r="CA121" i="21" s="1"/>
  <c r="O58" i="21"/>
  <c r="L58" i="21"/>
  <c r="N58" i="21"/>
  <c r="F237" i="17"/>
  <c r="D232" i="17"/>
  <c r="E223" i="17" s="1"/>
  <c r="CA134" i="21"/>
  <c r="BI34" i="21"/>
  <c r="BI47" i="21" s="1"/>
  <c r="CA127" i="21"/>
  <c r="BI9" i="21"/>
  <c r="CA130" i="21"/>
  <c r="BI15" i="21"/>
  <c r="CA129" i="21"/>
  <c r="BI13" i="21"/>
  <c r="J15" i="16"/>
  <c r="N15" i="24" s="1"/>
  <c r="AA15" i="24" s="1"/>
  <c r="BZ121" i="21"/>
  <c r="F170" i="17"/>
  <c r="D181" i="17" s="1"/>
  <c r="H21" i="20"/>
  <c r="H6" i="20" s="1"/>
  <c r="BX121" i="21"/>
  <c r="L21" i="24"/>
  <c r="L23" i="24"/>
  <c r="L25" i="24"/>
  <c r="L27" i="24"/>
  <c r="AU40" i="21"/>
  <c r="AU41" i="21"/>
  <c r="AV40" i="21"/>
  <c r="AV41" i="21"/>
  <c r="P81" i="21"/>
  <c r="L141" i="24"/>
  <c r="P102" i="21"/>
  <c r="AW40" i="21"/>
  <c r="AW41" i="21"/>
  <c r="V22" i="23"/>
  <c r="W19" i="23"/>
  <c r="X7" i="23"/>
  <c r="X16" i="23"/>
  <c r="X17" i="23" s="1"/>
  <c r="W12" i="23"/>
  <c r="Y6" i="23"/>
  <c r="Y4" i="23" s="1"/>
  <c r="X9" i="23"/>
  <c r="X10" i="23" s="1"/>
  <c r="X12" i="23" s="1"/>
  <c r="BY143" i="21"/>
  <c r="BZ143" i="21"/>
  <c r="BX143" i="21"/>
  <c r="CA143" i="21"/>
  <c r="E22" i="15"/>
  <c r="L19" i="21" s="1"/>
  <c r="H22" i="15"/>
  <c r="O19" i="21" s="1"/>
  <c r="BI60" i="21" s="1"/>
  <c r="F21" i="15"/>
  <c r="M18" i="21" s="1"/>
  <c r="E21" i="15"/>
  <c r="L18" i="21" s="1"/>
  <c r="H21" i="15"/>
  <c r="O18" i="21" s="1"/>
  <c r="BI54" i="21" s="1"/>
  <c r="F22" i="15"/>
  <c r="M19" i="21" s="1"/>
  <c r="G22" i="15"/>
  <c r="N19" i="21" s="1"/>
  <c r="E145" i="17"/>
  <c r="F243" i="17"/>
  <c r="E190" i="17"/>
  <c r="E188" i="17"/>
  <c r="J118" i="17"/>
  <c r="G118" i="17" s="1"/>
  <c r="G90" i="17" s="1"/>
  <c r="J121" i="17"/>
  <c r="G121" i="17" s="1"/>
  <c r="G92" i="17" s="1"/>
  <c r="J119" i="17"/>
  <c r="G119" i="17" s="1"/>
  <c r="G91" i="17" s="1"/>
  <c r="J117" i="17"/>
  <c r="G117" i="17" s="1"/>
  <c r="G89" i="17" s="1"/>
  <c r="E189" i="17"/>
  <c r="E146" i="17"/>
  <c r="E147" i="17"/>
  <c r="F28" i="16"/>
  <c r="N83" i="21" s="1"/>
  <c r="BZ142" i="21" s="1"/>
  <c r="G21" i="15"/>
  <c r="N18" i="21" s="1"/>
  <c r="F4" i="16"/>
  <c r="E9" i="16"/>
  <c r="H15" i="16"/>
  <c r="E4" i="16"/>
  <c r="I15" i="16"/>
  <c r="Q69" i="21" s="1"/>
  <c r="G14" i="16"/>
  <c r="G9" i="16"/>
  <c r="D4" i="16"/>
  <c r="I22" i="16"/>
  <c r="Q77" i="21" s="1"/>
  <c r="E14" i="16"/>
  <c r="G28" i="16"/>
  <c r="O83" i="21" s="1"/>
  <c r="CA142" i="21" s="1"/>
  <c r="I21" i="16"/>
  <c r="Q76" i="21" s="1"/>
  <c r="F14" i="16"/>
  <c r="F9" i="16"/>
  <c r="E28" i="16"/>
  <c r="M83" i="21" s="1"/>
  <c r="BY142" i="21" s="1"/>
  <c r="G4" i="16"/>
  <c r="E181" i="17"/>
  <c r="D14" i="16"/>
  <c r="D28" i="16"/>
  <c r="L83" i="21" s="1"/>
  <c r="BX142" i="21" s="1"/>
  <c r="D9" i="16"/>
  <c r="C181" i="17"/>
  <c r="D35" i="17"/>
  <c r="I21" i="17"/>
  <c r="I23" i="17"/>
  <c r="I27" i="17"/>
  <c r="I29" i="17"/>
  <c r="I31" i="17"/>
  <c r="E35" i="17"/>
  <c r="G35" i="17"/>
  <c r="I22" i="17"/>
  <c r="I24" i="17"/>
  <c r="I26" i="17"/>
  <c r="I28" i="17"/>
  <c r="I30" i="17"/>
  <c r="H72" i="17"/>
  <c r="I72" i="17" s="1"/>
  <c r="J72" i="17" s="1"/>
  <c r="K72" i="17" s="1"/>
  <c r="L72" i="17" s="1"/>
  <c r="M72" i="17" s="1"/>
  <c r="F35" i="17"/>
  <c r="I25" i="17"/>
  <c r="P77" i="21" l="1"/>
  <c r="I23" i="16"/>
  <c r="Q78" i="21" s="1"/>
  <c r="P73" i="21"/>
  <c r="P79" i="21"/>
  <c r="P75" i="21"/>
  <c r="L32" i="24"/>
  <c r="I20" i="16"/>
  <c r="Q75" i="21" s="1"/>
  <c r="L30" i="24"/>
  <c r="Y30" i="24" s="1"/>
  <c r="AX42" i="21"/>
  <c r="J21" i="16"/>
  <c r="J24" i="16"/>
  <c r="N29" i="24" s="1"/>
  <c r="AA29" i="24" s="1"/>
  <c r="J20" i="16"/>
  <c r="J27" i="16"/>
  <c r="N32" i="24" s="1"/>
  <c r="AA32" i="24" s="1"/>
  <c r="J23" i="16"/>
  <c r="J17" i="16"/>
  <c r="N21" i="24" s="1"/>
  <c r="AA21" i="24" s="1"/>
  <c r="J19" i="17"/>
  <c r="J26" i="16"/>
  <c r="R81" i="21" s="1"/>
  <c r="J22" i="16"/>
  <c r="J18" i="16"/>
  <c r="R73" i="21" s="1"/>
  <c r="J25" i="16"/>
  <c r="J19" i="16"/>
  <c r="R74" i="21" s="1"/>
  <c r="I17" i="16"/>
  <c r="Q72" i="21" s="1"/>
  <c r="I25" i="16"/>
  <c r="Q80" i="21" s="1"/>
  <c r="I24" i="16"/>
  <c r="Q79" i="21" s="1"/>
  <c r="I19" i="16"/>
  <c r="Q74" i="21" s="1"/>
  <c r="I27" i="16"/>
  <c r="Q82" i="21" s="1"/>
  <c r="I18" i="16"/>
  <c r="Q73" i="21" s="1"/>
  <c r="I26" i="16"/>
  <c r="Q81" i="21" s="1"/>
  <c r="R69" i="21"/>
  <c r="G201" i="17"/>
  <c r="G199" i="17"/>
  <c r="G200" i="17"/>
  <c r="L93" i="24"/>
  <c r="Y93" i="24" s="1"/>
  <c r="O6" i="20"/>
  <c r="H91" i="17"/>
  <c r="I91" i="17" s="1"/>
  <c r="AT30" i="21"/>
  <c r="H90" i="17"/>
  <c r="I90" i="17" s="1"/>
  <c r="AT29" i="21"/>
  <c r="H89" i="17"/>
  <c r="I89" i="17" s="1"/>
  <c r="AT28" i="21"/>
  <c r="H92" i="17"/>
  <c r="I92" i="17" s="1"/>
  <c r="AT31" i="21"/>
  <c r="M31" i="24"/>
  <c r="Z31" i="24" s="1"/>
  <c r="Y31" i="24"/>
  <c r="M29" i="24"/>
  <c r="Z29" i="24" s="1"/>
  <c r="Y29" i="24"/>
  <c r="M26" i="24"/>
  <c r="Z26" i="24" s="1"/>
  <c r="Y26" i="24"/>
  <c r="M24" i="24"/>
  <c r="Z24" i="24" s="1"/>
  <c r="Y24" i="24"/>
  <c r="M22" i="24"/>
  <c r="Z22" i="24" s="1"/>
  <c r="Y22" i="24"/>
  <c r="M32" i="24"/>
  <c r="Z32" i="24" s="1"/>
  <c r="Y32" i="24"/>
  <c r="M30" i="24"/>
  <c r="Z30" i="24" s="1"/>
  <c r="M27" i="24"/>
  <c r="Z27" i="24" s="1"/>
  <c r="Y27" i="24"/>
  <c r="M25" i="24"/>
  <c r="Z25" i="24" s="1"/>
  <c r="Y25" i="24"/>
  <c r="M23" i="24"/>
  <c r="Z23" i="24" s="1"/>
  <c r="Y23" i="24"/>
  <c r="M21" i="24"/>
  <c r="Z21" i="24" s="1"/>
  <c r="Y21" i="24"/>
  <c r="P99" i="21"/>
  <c r="M141" i="24"/>
  <c r="Z141" i="24" s="1"/>
  <c r="Y141" i="24"/>
  <c r="M93" i="24"/>
  <c r="Z93" i="24" s="1"/>
  <c r="R76" i="21"/>
  <c r="N25" i="24"/>
  <c r="AA25" i="24" s="1"/>
  <c r="N31" i="24"/>
  <c r="AA31" i="24" s="1"/>
  <c r="R77" i="21"/>
  <c r="N26" i="24"/>
  <c r="AA26" i="24" s="1"/>
  <c r="N22" i="24"/>
  <c r="AA22" i="24" s="1"/>
  <c r="R80" i="21"/>
  <c r="N30" i="24"/>
  <c r="AA30" i="24" s="1"/>
  <c r="N23" i="24"/>
  <c r="AA23" i="24" s="1"/>
  <c r="P69" i="21"/>
  <c r="L15" i="24"/>
  <c r="AX41" i="21"/>
  <c r="R79" i="21"/>
  <c r="R75" i="21"/>
  <c r="N24" i="24"/>
  <c r="AA24" i="24" s="1"/>
  <c r="R82" i="21"/>
  <c r="R78" i="21"/>
  <c r="N27" i="24"/>
  <c r="AA27" i="24" s="1"/>
  <c r="R72" i="21"/>
  <c r="AX40" i="21"/>
  <c r="X19" i="23"/>
  <c r="W22" i="23"/>
  <c r="Y7" i="23"/>
  <c r="Y16" i="23"/>
  <c r="Y17" i="23" s="1"/>
  <c r="Z6" i="23"/>
  <c r="Z4" i="23" s="1"/>
  <c r="Y9" i="23"/>
  <c r="Y10" i="23" s="1"/>
  <c r="E31" i="16"/>
  <c r="M84" i="21" s="1"/>
  <c r="G31" i="16"/>
  <c r="O84" i="21" s="1"/>
  <c r="F31" i="16"/>
  <c r="N84" i="21" s="1"/>
  <c r="F181" i="17"/>
  <c r="I170" i="17" s="1"/>
  <c r="J170" i="17" s="1"/>
  <c r="D31" i="16"/>
  <c r="L84" i="21" s="1"/>
  <c r="J25" i="17"/>
  <c r="J28" i="17"/>
  <c r="J24" i="17"/>
  <c r="J31" i="17"/>
  <c r="J27" i="17"/>
  <c r="J23" i="17"/>
  <c r="J30" i="17"/>
  <c r="J26" i="17"/>
  <c r="J22" i="17"/>
  <c r="J29" i="17"/>
  <c r="J21" i="17"/>
  <c r="AU29" i="21" l="1"/>
  <c r="H96" i="17"/>
  <c r="K17" i="16"/>
  <c r="O21" i="24" s="1"/>
  <c r="AB21" i="24" s="1"/>
  <c r="K18" i="16"/>
  <c r="S73" i="21" s="1"/>
  <c r="K26" i="16"/>
  <c r="S81" i="21" s="1"/>
  <c r="K23" i="16"/>
  <c r="S78" i="21" s="1"/>
  <c r="K20" i="16"/>
  <c r="O24" i="24" s="1"/>
  <c r="AB24" i="24" s="1"/>
  <c r="K21" i="16"/>
  <c r="S76" i="21" s="1"/>
  <c r="J92" i="17"/>
  <c r="AV31" i="21"/>
  <c r="J89" i="17"/>
  <c r="AV28" i="21"/>
  <c r="J90" i="17"/>
  <c r="AV29" i="21"/>
  <c r="J91" i="17"/>
  <c r="AV30" i="21"/>
  <c r="K19" i="17"/>
  <c r="K15" i="16"/>
  <c r="K25" i="16"/>
  <c r="O30" i="24" s="1"/>
  <c r="AB30" i="24" s="1"/>
  <c r="K22" i="16"/>
  <c r="O26" i="24" s="1"/>
  <c r="AB26" i="24" s="1"/>
  <c r="K19" i="16"/>
  <c r="O23" i="24" s="1"/>
  <c r="AB23" i="24" s="1"/>
  <c r="K27" i="16"/>
  <c r="O32" i="24" s="1"/>
  <c r="AB32" i="24" s="1"/>
  <c r="K24" i="16"/>
  <c r="O29" i="24" s="1"/>
  <c r="AB29" i="24" s="1"/>
  <c r="AU30" i="21"/>
  <c r="AU28" i="21"/>
  <c r="H97" i="17"/>
  <c r="AU31" i="21"/>
  <c r="M15" i="24"/>
  <c r="Z15" i="24" s="1"/>
  <c r="Y15" i="24"/>
  <c r="S72" i="21"/>
  <c r="O22" i="24"/>
  <c r="AB22" i="24" s="1"/>
  <c r="O31" i="24"/>
  <c r="AB31" i="24" s="1"/>
  <c r="O27" i="24"/>
  <c r="AB27" i="24" s="1"/>
  <c r="S75" i="21"/>
  <c r="X22" i="23"/>
  <c r="Y19" i="23"/>
  <c r="Z7" i="23"/>
  <c r="Z16" i="23"/>
  <c r="Z17" i="23" s="1"/>
  <c r="Y12" i="23"/>
  <c r="AA6" i="23"/>
  <c r="AA4" i="23" s="1"/>
  <c r="Z9" i="23"/>
  <c r="Z10" i="23" s="1"/>
  <c r="I97" i="17"/>
  <c r="I96" i="17"/>
  <c r="H170" i="17"/>
  <c r="D33" i="16"/>
  <c r="D34" i="16" s="1"/>
  <c r="E11" i="15"/>
  <c r="L10" i="21" s="1"/>
  <c r="L111" i="21" s="1"/>
  <c r="F33" i="16"/>
  <c r="F34" i="16" s="1"/>
  <c r="G11" i="15"/>
  <c r="N10" i="21" s="1"/>
  <c r="N111" i="21" s="1"/>
  <c r="E33" i="16"/>
  <c r="E34" i="16" s="1"/>
  <c r="F11" i="15"/>
  <c r="M10" i="21" s="1"/>
  <c r="M111" i="21" s="1"/>
  <c r="G33" i="16"/>
  <c r="G34" i="16" s="1"/>
  <c r="H11" i="15"/>
  <c r="O10" i="21" s="1"/>
  <c r="O111" i="21" s="1"/>
  <c r="K170" i="17"/>
  <c r="K29" i="17"/>
  <c r="L25" i="16" s="1"/>
  <c r="K26" i="17"/>
  <c r="L22" i="16" s="1"/>
  <c r="K23" i="17"/>
  <c r="L19" i="16" s="1"/>
  <c r="K31" i="17"/>
  <c r="L27" i="16" s="1"/>
  <c r="K28" i="17"/>
  <c r="L24" i="16" s="1"/>
  <c r="K21" i="17"/>
  <c r="L17" i="16" s="1"/>
  <c r="K22" i="17"/>
  <c r="L18" i="16" s="1"/>
  <c r="K30" i="17"/>
  <c r="L26" i="16" s="1"/>
  <c r="K27" i="17"/>
  <c r="L23" i="16" s="1"/>
  <c r="K24" i="17"/>
  <c r="L20" i="16" s="1"/>
  <c r="K25" i="17"/>
  <c r="L21" i="16" s="1"/>
  <c r="O25" i="24" l="1"/>
  <c r="AB25" i="24" s="1"/>
  <c r="S74" i="21"/>
  <c r="S80" i="21"/>
  <c r="S79" i="21"/>
  <c r="S82" i="21"/>
  <c r="S77" i="21"/>
  <c r="S69" i="21"/>
  <c r="O15" i="24"/>
  <c r="AB15" i="24" s="1"/>
  <c r="L19" i="17"/>
  <c r="L15" i="16"/>
  <c r="K91" i="17"/>
  <c r="AW30" i="21"/>
  <c r="K90" i="17"/>
  <c r="AW29" i="21"/>
  <c r="K89" i="17"/>
  <c r="AW28" i="21"/>
  <c r="K92" i="17"/>
  <c r="AW31" i="21"/>
  <c r="O89" i="21"/>
  <c r="M89" i="21"/>
  <c r="N89" i="21"/>
  <c r="L89" i="21"/>
  <c r="T76" i="21"/>
  <c r="P25" i="24"/>
  <c r="AC25" i="24" s="1"/>
  <c r="T75" i="21"/>
  <c r="P24" i="24"/>
  <c r="AC24" i="24" s="1"/>
  <c r="T81" i="21"/>
  <c r="P31" i="24"/>
  <c r="AC31" i="24" s="1"/>
  <c r="T72" i="21"/>
  <c r="P21" i="24"/>
  <c r="AC21" i="24" s="1"/>
  <c r="T82" i="21"/>
  <c r="P32" i="24"/>
  <c r="AC32" i="24" s="1"/>
  <c r="T77" i="21"/>
  <c r="P26" i="24"/>
  <c r="AC26" i="24" s="1"/>
  <c r="T78" i="21"/>
  <c r="P27" i="24"/>
  <c r="AC27" i="24" s="1"/>
  <c r="T73" i="21"/>
  <c r="P22" i="24"/>
  <c r="AC22" i="24" s="1"/>
  <c r="T79" i="21"/>
  <c r="P29" i="24"/>
  <c r="AC29" i="24" s="1"/>
  <c r="T74" i="21"/>
  <c r="P23" i="24"/>
  <c r="AC23" i="24" s="1"/>
  <c r="T80" i="21"/>
  <c r="P30" i="24"/>
  <c r="AC30" i="24" s="1"/>
  <c r="Z19" i="23"/>
  <c r="Y22" i="23"/>
  <c r="AA7" i="23"/>
  <c r="AA16" i="23"/>
  <c r="AA17" i="23" s="1"/>
  <c r="Z12" i="23"/>
  <c r="AB6" i="23"/>
  <c r="AB4" i="23" s="1"/>
  <c r="AA9" i="23"/>
  <c r="AA10" i="23" s="1"/>
  <c r="CA70" i="21"/>
  <c r="CA83" i="21" s="1"/>
  <c r="BY70" i="21"/>
  <c r="BY83" i="21" s="1"/>
  <c r="BZ70" i="21"/>
  <c r="BZ83" i="21" s="1"/>
  <c r="BX70" i="21"/>
  <c r="BX83" i="21" s="1"/>
  <c r="J96" i="17"/>
  <c r="J97" i="17"/>
  <c r="L23" i="17"/>
  <c r="M19" i="16" s="1"/>
  <c r="L26" i="17"/>
  <c r="M22" i="16" s="1"/>
  <c r="L29" i="17"/>
  <c r="M25" i="16" s="1"/>
  <c r="L24" i="17"/>
  <c r="M20" i="16" s="1"/>
  <c r="L25" i="17"/>
  <c r="M21" i="16" s="1"/>
  <c r="L27" i="17"/>
  <c r="M23" i="16" s="1"/>
  <c r="L30" i="17"/>
  <c r="M26" i="16" s="1"/>
  <c r="L22" i="17"/>
  <c r="M18" i="16" s="1"/>
  <c r="L21" i="17"/>
  <c r="M17" i="16" s="1"/>
  <c r="L28" i="17"/>
  <c r="M24" i="16" s="1"/>
  <c r="L31" i="17"/>
  <c r="M27" i="16" s="1"/>
  <c r="L170" i="17"/>
  <c r="P15" i="24" l="1"/>
  <c r="AC15" i="24" s="1"/>
  <c r="T69" i="21"/>
  <c r="L92" i="17"/>
  <c r="AX31" i="21"/>
  <c r="L89" i="17"/>
  <c r="AX28" i="21"/>
  <c r="L90" i="17"/>
  <c r="AX29" i="21"/>
  <c r="L91" i="17"/>
  <c r="AX30" i="21"/>
  <c r="M19" i="17"/>
  <c r="N15" i="16" s="1"/>
  <c r="M15" i="16"/>
  <c r="U82" i="21"/>
  <c r="Q32" i="24"/>
  <c r="AD32" i="24" s="1"/>
  <c r="U79" i="21"/>
  <c r="Q29" i="24"/>
  <c r="AD29" i="24" s="1"/>
  <c r="U73" i="21"/>
  <c r="Q22" i="24"/>
  <c r="AD22" i="24" s="1"/>
  <c r="U78" i="21"/>
  <c r="Q27" i="24"/>
  <c r="AD27" i="24" s="1"/>
  <c r="U75" i="21"/>
  <c r="Q24" i="24"/>
  <c r="AD24" i="24" s="1"/>
  <c r="U77" i="21"/>
  <c r="Q26" i="24"/>
  <c r="AD26" i="24" s="1"/>
  <c r="U72" i="21"/>
  <c r="Q21" i="24"/>
  <c r="AD21" i="24" s="1"/>
  <c r="U81" i="21"/>
  <c r="Q31" i="24"/>
  <c r="AD31" i="24" s="1"/>
  <c r="U76" i="21"/>
  <c r="Q25" i="24"/>
  <c r="AD25" i="24" s="1"/>
  <c r="U80" i="21"/>
  <c r="Q30" i="24"/>
  <c r="AD30" i="24" s="1"/>
  <c r="U74" i="21"/>
  <c r="Q23" i="24"/>
  <c r="AD23" i="24" s="1"/>
  <c r="Z22" i="23"/>
  <c r="AA19" i="23"/>
  <c r="AB7" i="23"/>
  <c r="AB16" i="23"/>
  <c r="AA12" i="23"/>
  <c r="AC6" i="23"/>
  <c r="AC4" i="23" s="1"/>
  <c r="AB9" i="23"/>
  <c r="K97" i="17"/>
  <c r="K96" i="17"/>
  <c r="M170" i="17"/>
  <c r="M21" i="17"/>
  <c r="N17" i="16" s="1"/>
  <c r="M30" i="17"/>
  <c r="N26" i="16" s="1"/>
  <c r="M25" i="17"/>
  <c r="N21" i="16" s="1"/>
  <c r="M26" i="17"/>
  <c r="N22" i="16" s="1"/>
  <c r="M28" i="17"/>
  <c r="N24" i="16" s="1"/>
  <c r="M31" i="17"/>
  <c r="N27" i="16" s="1"/>
  <c r="M22" i="17"/>
  <c r="N18" i="16" s="1"/>
  <c r="M27" i="17"/>
  <c r="N23" i="16" s="1"/>
  <c r="M24" i="17"/>
  <c r="N20" i="16" s="1"/>
  <c r="M29" i="17"/>
  <c r="N25" i="16" s="1"/>
  <c r="M23" i="17"/>
  <c r="N19" i="16" s="1"/>
  <c r="U69" i="21" l="1"/>
  <c r="Q15" i="24"/>
  <c r="AD15" i="24" s="1"/>
  <c r="V69" i="21"/>
  <c r="R15" i="24"/>
  <c r="AE15" i="24" s="1"/>
  <c r="M91" i="17"/>
  <c r="AZ30" i="21" s="1"/>
  <c r="AY30" i="21"/>
  <c r="M90" i="17"/>
  <c r="AZ29" i="21" s="1"/>
  <c r="AY29" i="21"/>
  <c r="M89" i="17"/>
  <c r="AZ28" i="21" s="1"/>
  <c r="AY28" i="21"/>
  <c r="M92" i="17"/>
  <c r="AZ31" i="21" s="1"/>
  <c r="AY31" i="21"/>
  <c r="V80" i="21"/>
  <c r="R30" i="24"/>
  <c r="AE30" i="24" s="1"/>
  <c r="V74" i="21"/>
  <c r="R23" i="24"/>
  <c r="AE23" i="24" s="1"/>
  <c r="V75" i="21"/>
  <c r="R24" i="24"/>
  <c r="AE24" i="24" s="1"/>
  <c r="V73" i="21"/>
  <c r="R22" i="24"/>
  <c r="AE22" i="24" s="1"/>
  <c r="V79" i="21"/>
  <c r="R29" i="24"/>
  <c r="AE29" i="24" s="1"/>
  <c r="V76" i="21"/>
  <c r="R25" i="24"/>
  <c r="AE25" i="24" s="1"/>
  <c r="V72" i="21"/>
  <c r="R21" i="24"/>
  <c r="AE21" i="24" s="1"/>
  <c r="V78" i="21"/>
  <c r="R27" i="24"/>
  <c r="AE27" i="24" s="1"/>
  <c r="V82" i="21"/>
  <c r="R32" i="24"/>
  <c r="AE32" i="24" s="1"/>
  <c r="V77" i="21"/>
  <c r="R26" i="24"/>
  <c r="AE26" i="24" s="1"/>
  <c r="V81" i="21"/>
  <c r="R31" i="24"/>
  <c r="AE31" i="24" s="1"/>
  <c r="AB10" i="23"/>
  <c r="AA22" i="23"/>
  <c r="AB17" i="23"/>
  <c r="AC7" i="23"/>
  <c r="AC16" i="23"/>
  <c r="AC17" i="23" s="1"/>
  <c r="AB12" i="23"/>
  <c r="AD6" i="23"/>
  <c r="AD4" i="23" s="1"/>
  <c r="AC9" i="23"/>
  <c r="AC10" i="23" s="1"/>
  <c r="L97" i="17"/>
  <c r="L96" i="17"/>
  <c r="G311" i="10"/>
  <c r="F311" i="10"/>
  <c r="E311" i="10"/>
  <c r="D311" i="10"/>
  <c r="G316" i="10"/>
  <c r="F316" i="10"/>
  <c r="E316" i="10"/>
  <c r="D316" i="10"/>
  <c r="F116" i="10" s="1"/>
  <c r="C366" i="10"/>
  <c r="C363" i="10"/>
  <c r="D363" i="10"/>
  <c r="E363" i="10"/>
  <c r="D366" i="10"/>
  <c r="E366" i="10"/>
  <c r="D40" i="10"/>
  <c r="D41" i="10"/>
  <c r="D39" i="10"/>
  <c r="H20" i="15"/>
  <c r="G20" i="15"/>
  <c r="F20" i="15"/>
  <c r="E20" i="15"/>
  <c r="O18" i="15"/>
  <c r="N18" i="15"/>
  <c r="M18" i="15"/>
  <c r="L18" i="15"/>
  <c r="O17" i="15"/>
  <c r="N17" i="15"/>
  <c r="M17" i="15"/>
  <c r="L17" i="15"/>
  <c r="K18" i="15"/>
  <c r="K17" i="15"/>
  <c r="J18" i="15"/>
  <c r="I18" i="15" s="1"/>
  <c r="J17" i="15"/>
  <c r="I17" i="15" s="1"/>
  <c r="AC12" i="23" l="1"/>
  <c r="AC22" i="23" s="1"/>
  <c r="AC19" i="23"/>
  <c r="AB19" i="23"/>
  <c r="AD7" i="23"/>
  <c r="AD16" i="23"/>
  <c r="AD17" i="23" s="1"/>
  <c r="AE6" i="23"/>
  <c r="AE4" i="23" s="1"/>
  <c r="AD9" i="23"/>
  <c r="AD10" i="23" s="1"/>
  <c r="M96" i="17"/>
  <c r="M97" i="17"/>
  <c r="AB22" i="23" l="1"/>
  <c r="E54" i="23"/>
  <c r="D54" i="23"/>
  <c r="AD19" i="23"/>
  <c r="AE7" i="23"/>
  <c r="AE16" i="23"/>
  <c r="AD12" i="23"/>
  <c r="AF6" i="23"/>
  <c r="AF4" i="23" s="1"/>
  <c r="AE9" i="23"/>
  <c r="AD22" i="23" l="1"/>
  <c r="BJ128" i="21"/>
  <c r="BI128" i="21"/>
  <c r="AE10" i="23"/>
  <c r="AE12" i="23" s="1"/>
  <c r="AE17" i="23"/>
  <c r="F54" i="23"/>
  <c r="AF7" i="23"/>
  <c r="AF16" i="23"/>
  <c r="AF17" i="23" s="1"/>
  <c r="AG6" i="23"/>
  <c r="AG4" i="23" s="1"/>
  <c r="AF9" i="23"/>
  <c r="AF10" i="23" s="1"/>
  <c r="BK128" i="21" l="1"/>
  <c r="D55" i="23"/>
  <c r="AF19" i="23"/>
  <c r="AE19" i="23"/>
  <c r="AG7" i="23"/>
  <c r="AG16" i="23"/>
  <c r="AG17" i="23" s="1"/>
  <c r="AF12" i="23"/>
  <c r="AH6" i="23"/>
  <c r="AH4" i="23" s="1"/>
  <c r="AG9" i="23"/>
  <c r="AG10" i="23" s="1"/>
  <c r="AE22" i="23" l="1"/>
  <c r="AF22" i="23"/>
  <c r="E55" i="23"/>
  <c r="BI129" i="21"/>
  <c r="F55" i="23"/>
  <c r="AG19" i="23"/>
  <c r="AH7" i="23"/>
  <c r="AH16" i="23"/>
  <c r="AG12" i="23"/>
  <c r="AI6" i="23"/>
  <c r="AI4" i="23" s="1"/>
  <c r="AH9" i="23"/>
  <c r="F8" i="15"/>
  <c r="M7" i="21" s="1"/>
  <c r="BY57" i="21" s="1"/>
  <c r="E8" i="15"/>
  <c r="L7" i="21" s="1"/>
  <c r="BX57" i="21" s="1"/>
  <c r="J154" i="4"/>
  <c r="M135" i="4" s="1"/>
  <c r="I154" i="4"/>
  <c r="L135" i="4" s="1"/>
  <c r="H154" i="4"/>
  <c r="K135" i="4" s="1"/>
  <c r="G154" i="4"/>
  <c r="J135" i="4" s="1"/>
  <c r="J153" i="4"/>
  <c r="K153" i="4" s="1"/>
  <c r="I153" i="4"/>
  <c r="H153" i="4"/>
  <c r="G153" i="4"/>
  <c r="F154" i="4"/>
  <c r="H135" i="4" s="1"/>
  <c r="F153" i="4"/>
  <c r="H100" i="4"/>
  <c r="G100" i="4"/>
  <c r="F100" i="4"/>
  <c r="F14" i="11"/>
  <c r="K144" i="4"/>
  <c r="G133" i="4" s="1"/>
  <c r="I216" i="4"/>
  <c r="H216" i="4"/>
  <c r="G216" i="4"/>
  <c r="F216" i="4"/>
  <c r="I210" i="4"/>
  <c r="H210" i="4"/>
  <c r="G210" i="4"/>
  <c r="F210" i="4"/>
  <c r="I207" i="4"/>
  <c r="H207" i="4"/>
  <c r="G207" i="4"/>
  <c r="F207" i="4"/>
  <c r="I203" i="4"/>
  <c r="H203" i="4"/>
  <c r="G203" i="4"/>
  <c r="F203" i="4"/>
  <c r="H258" i="4"/>
  <c r="I200" i="4" s="1"/>
  <c r="G258" i="4"/>
  <c r="H200" i="4" s="1"/>
  <c r="H143" i="4" s="1"/>
  <c r="BY12" i="21" s="1"/>
  <c r="F258" i="4"/>
  <c r="G200" i="4" s="1"/>
  <c r="G143" i="4" s="1"/>
  <c r="BX12" i="21" s="1"/>
  <c r="E258" i="4"/>
  <c r="F200" i="4" s="1"/>
  <c r="F143" i="4" s="1"/>
  <c r="I209" i="4"/>
  <c r="H209" i="4"/>
  <c r="G209" i="4"/>
  <c r="F209" i="4"/>
  <c r="I206" i="4"/>
  <c r="H206" i="4"/>
  <c r="G206" i="4"/>
  <c r="F206" i="4"/>
  <c r="I202" i="4"/>
  <c r="H202" i="4"/>
  <c r="G202" i="4"/>
  <c r="F202" i="4"/>
  <c r="H192" i="4"/>
  <c r="I191" i="4" s="1"/>
  <c r="I100" i="4" s="1"/>
  <c r="G192" i="4"/>
  <c r="I188" i="4"/>
  <c r="I99" i="4" s="1"/>
  <c r="I185" i="4"/>
  <c r="G181" i="4"/>
  <c r="F181" i="4"/>
  <c r="I175" i="4"/>
  <c r="H175" i="4"/>
  <c r="G175" i="4"/>
  <c r="I174" i="4"/>
  <c r="H174" i="4"/>
  <c r="G174" i="4"/>
  <c r="F175" i="4"/>
  <c r="F174" i="4"/>
  <c r="I306" i="4"/>
  <c r="H306" i="4"/>
  <c r="G306" i="4"/>
  <c r="I303" i="4"/>
  <c r="H303" i="4"/>
  <c r="G303" i="4"/>
  <c r="F306" i="4"/>
  <c r="F303" i="4"/>
  <c r="I316" i="4"/>
  <c r="H316" i="4"/>
  <c r="G316" i="4"/>
  <c r="I315" i="4"/>
  <c r="H315" i="4"/>
  <c r="G315" i="4"/>
  <c r="F316" i="4"/>
  <c r="F315" i="4"/>
  <c r="J305" i="4"/>
  <c r="J302" i="4"/>
  <c r="J297" i="4"/>
  <c r="J295" i="4"/>
  <c r="I305" i="4"/>
  <c r="H305" i="4"/>
  <c r="G305" i="4"/>
  <c r="I302" i="4"/>
  <c r="H302" i="4"/>
  <c r="G302" i="4"/>
  <c r="N297" i="4"/>
  <c r="M297" i="4"/>
  <c r="L297" i="4"/>
  <c r="K297" i="4"/>
  <c r="I297" i="4"/>
  <c r="H297" i="4"/>
  <c r="G297" i="4"/>
  <c r="N295" i="4"/>
  <c r="M295" i="4"/>
  <c r="L295" i="4"/>
  <c r="K295" i="4"/>
  <c r="I295" i="4"/>
  <c r="H295" i="4"/>
  <c r="G295" i="4"/>
  <c r="N307" i="4"/>
  <c r="M307" i="4"/>
  <c r="L307" i="4"/>
  <c r="K307" i="4"/>
  <c r="I307" i="4"/>
  <c r="H307" i="4"/>
  <c r="H178" i="4" s="1"/>
  <c r="G307" i="4"/>
  <c r="F307" i="4"/>
  <c r="F178" i="4" s="1"/>
  <c r="BV5" i="21" s="1"/>
  <c r="N298" i="4"/>
  <c r="M298" i="4"/>
  <c r="L298" i="4"/>
  <c r="K298" i="4"/>
  <c r="G51" i="4" s="1"/>
  <c r="I298" i="4"/>
  <c r="H298" i="4"/>
  <c r="G298" i="4"/>
  <c r="F298" i="4"/>
  <c r="I233" i="4"/>
  <c r="H233" i="4"/>
  <c r="G233" i="4"/>
  <c r="G232" i="4"/>
  <c r="F231" i="4"/>
  <c r="K58" i="1"/>
  <c r="G110" i="11"/>
  <c r="G109" i="11" s="1"/>
  <c r="G112" i="11" s="1"/>
  <c r="G95" i="11"/>
  <c r="G94" i="11" s="1"/>
  <c r="G97" i="11" s="1"/>
  <c r="G100" i="11"/>
  <c r="G99" i="11" s="1"/>
  <c r="G102" i="11" s="1"/>
  <c r="F105" i="11"/>
  <c r="G105" i="11" s="1"/>
  <c r="G104" i="11" s="1"/>
  <c r="F112" i="11"/>
  <c r="E112" i="11"/>
  <c r="D112" i="11"/>
  <c r="F108" i="11"/>
  <c r="E108" i="11"/>
  <c r="D108" i="11"/>
  <c r="E107" i="11"/>
  <c r="D107" i="11"/>
  <c r="F102" i="11"/>
  <c r="E102" i="11"/>
  <c r="D102" i="11"/>
  <c r="F97" i="11"/>
  <c r="E97" i="11"/>
  <c r="D97" i="11"/>
  <c r="E103" i="11"/>
  <c r="D103" i="11"/>
  <c r="F98" i="11"/>
  <c r="H188" i="4" s="1"/>
  <c r="H99" i="4" s="1"/>
  <c r="E98" i="11"/>
  <c r="G188" i="4" s="1"/>
  <c r="D98" i="11"/>
  <c r="F188" i="4" s="1"/>
  <c r="F211" i="4" s="1"/>
  <c r="F93" i="11"/>
  <c r="H185" i="4" s="1"/>
  <c r="H98" i="4" s="1"/>
  <c r="E93" i="11"/>
  <c r="G185" i="4" s="1"/>
  <c r="D93" i="11"/>
  <c r="F185" i="4" s="1"/>
  <c r="I231" i="4"/>
  <c r="H231" i="4"/>
  <c r="G231" i="4"/>
  <c r="O269" i="4"/>
  <c r="N269" i="4"/>
  <c r="M269" i="4"/>
  <c r="L269" i="4"/>
  <c r="K269" i="4"/>
  <c r="J269" i="4"/>
  <c r="I269" i="4"/>
  <c r="H269" i="4"/>
  <c r="G269" i="4"/>
  <c r="F269" i="4"/>
  <c r="E269" i="4"/>
  <c r="L263" i="4"/>
  <c r="K263" i="4"/>
  <c r="J263" i="4"/>
  <c r="I263" i="4"/>
  <c r="O281" i="4"/>
  <c r="N281" i="4"/>
  <c r="M281" i="4"/>
  <c r="L281" i="4"/>
  <c r="K281" i="4"/>
  <c r="J281" i="4"/>
  <c r="I281" i="4"/>
  <c r="H281" i="4"/>
  <c r="G281" i="4"/>
  <c r="F281" i="4"/>
  <c r="G211" i="4" l="1"/>
  <c r="G205" i="4"/>
  <c r="E263" i="4"/>
  <c r="I205" i="4"/>
  <c r="F205" i="4"/>
  <c r="G152" i="4"/>
  <c r="G263" i="4"/>
  <c r="G208" i="4"/>
  <c r="I208" i="4"/>
  <c r="F263" i="4"/>
  <c r="H173" i="4"/>
  <c r="H193" i="4" s="1"/>
  <c r="BY31" i="21" s="1"/>
  <c r="H205" i="4"/>
  <c r="I173" i="4"/>
  <c r="I190" i="4" s="1"/>
  <c r="BZ30" i="21" s="1"/>
  <c r="H263" i="4"/>
  <c r="J108" i="4"/>
  <c r="I152" i="4"/>
  <c r="H152" i="4"/>
  <c r="G234" i="4"/>
  <c r="G204" i="4"/>
  <c r="J152" i="4"/>
  <c r="H142" i="4"/>
  <c r="H144" i="4" s="1"/>
  <c r="F152" i="4"/>
  <c r="F201" i="4"/>
  <c r="G38" i="11"/>
  <c r="G39" i="11"/>
  <c r="F104" i="11"/>
  <c r="AG22" i="23"/>
  <c r="BJ129" i="21"/>
  <c r="BK129" i="21" s="1"/>
  <c r="AH17" i="23"/>
  <c r="AH10" i="23"/>
  <c r="AH12" i="23" s="1"/>
  <c r="AI7" i="23"/>
  <c r="AI16" i="23"/>
  <c r="AJ6" i="23"/>
  <c r="AJ4" i="23" s="1"/>
  <c r="AI9" i="23"/>
  <c r="BY69" i="21"/>
  <c r="BY80" i="21" s="1"/>
  <c r="M110" i="21"/>
  <c r="BX69" i="21"/>
  <c r="BX82" i="21" s="1"/>
  <c r="L110" i="21"/>
  <c r="L46" i="21"/>
  <c r="L45" i="21" s="1"/>
  <c r="M46" i="21"/>
  <c r="M45" i="21" s="1"/>
  <c r="G173" i="4"/>
  <c r="G193" i="4" s="1"/>
  <c r="BX31" i="21" s="1"/>
  <c r="G54" i="4"/>
  <c r="I24" i="4" s="1"/>
  <c r="C131" i="17"/>
  <c r="E7" i="11"/>
  <c r="E6" i="15"/>
  <c r="G7" i="11"/>
  <c r="G6" i="15"/>
  <c r="F16" i="11"/>
  <c r="H8" i="15"/>
  <c r="O7" i="21" s="1"/>
  <c r="F7" i="11"/>
  <c r="F6" i="15"/>
  <c r="H7" i="11"/>
  <c r="H8" i="11" s="1"/>
  <c r="H6" i="15"/>
  <c r="O5" i="21" s="1"/>
  <c r="E16" i="11"/>
  <c r="G8" i="15"/>
  <c r="N7" i="21" s="1"/>
  <c r="BZ57" i="21" s="1"/>
  <c r="E14" i="11"/>
  <c r="BX48" i="21"/>
  <c r="I181" i="4"/>
  <c r="I204" i="4" s="1"/>
  <c r="G107" i="11"/>
  <c r="F173" i="4"/>
  <c r="F95" i="4" s="1"/>
  <c r="F116" i="4" s="1"/>
  <c r="I51" i="4"/>
  <c r="H51" i="4"/>
  <c r="H53" i="4" s="1"/>
  <c r="J51" i="4"/>
  <c r="F53" i="4" s="1"/>
  <c r="G108" i="4"/>
  <c r="I108" i="4"/>
  <c r="H108" i="4"/>
  <c r="K154" i="4"/>
  <c r="N135" i="4" s="1"/>
  <c r="I107" i="4"/>
  <c r="I95" i="4"/>
  <c r="H96" i="4"/>
  <c r="H95" i="4"/>
  <c r="BY8" i="21" s="1"/>
  <c r="F96" i="4"/>
  <c r="F97" i="4"/>
  <c r="F99" i="4"/>
  <c r="G97" i="4"/>
  <c r="G99" i="4"/>
  <c r="F98" i="4"/>
  <c r="G98" i="4"/>
  <c r="I98" i="4"/>
  <c r="H184" i="4"/>
  <c r="I189" i="4"/>
  <c r="G309" i="4"/>
  <c r="I309" i="4"/>
  <c r="J303" i="4"/>
  <c r="F142" i="4"/>
  <c r="F144" i="4" s="1"/>
  <c r="I143" i="4"/>
  <c r="BZ12" i="21" s="1"/>
  <c r="H299" i="4"/>
  <c r="J306" i="4"/>
  <c r="F184" i="4"/>
  <c r="H201" i="4"/>
  <c r="H180" i="4"/>
  <c r="BY27" i="21" s="1"/>
  <c r="I192" i="4"/>
  <c r="I193" i="4"/>
  <c r="BZ31" i="21" s="1"/>
  <c r="K299" i="4"/>
  <c r="M299" i="4"/>
  <c r="G308" i="4"/>
  <c r="I308" i="4"/>
  <c r="J308" i="4"/>
  <c r="G317" i="4"/>
  <c r="I317" i="4"/>
  <c r="F309" i="4"/>
  <c r="H309" i="4"/>
  <c r="G178" i="4"/>
  <c r="G177" i="4" s="1"/>
  <c r="I178" i="4"/>
  <c r="I142" i="4" s="1"/>
  <c r="G299" i="4"/>
  <c r="I299" i="4"/>
  <c r="L299" i="4"/>
  <c r="N299" i="4"/>
  <c r="H308" i="4"/>
  <c r="J299" i="4"/>
  <c r="F317" i="4"/>
  <c r="H317" i="4"/>
  <c r="F177" i="4"/>
  <c r="I211" i="4"/>
  <c r="F204" i="4"/>
  <c r="H211" i="4"/>
  <c r="F208" i="4"/>
  <c r="H208" i="4"/>
  <c r="G182" i="4"/>
  <c r="G189" i="4"/>
  <c r="G186" i="4"/>
  <c r="I186" i="4"/>
  <c r="H186" i="4"/>
  <c r="H189" i="4"/>
  <c r="G184" i="4"/>
  <c r="I184" i="4"/>
  <c r="I232" i="4"/>
  <c r="I234" i="4"/>
  <c r="H234" i="4"/>
  <c r="H232" i="4"/>
  <c r="G187" i="4" l="1"/>
  <c r="BX29" i="21" s="1"/>
  <c r="J309" i="4"/>
  <c r="G183" i="4"/>
  <c r="BX28" i="21" s="1"/>
  <c r="H187" i="4"/>
  <c r="BY29" i="21" s="1"/>
  <c r="H190" i="4"/>
  <c r="BY30" i="21" s="1"/>
  <c r="I187" i="4"/>
  <c r="BZ29" i="21" s="1"/>
  <c r="AI10" i="23"/>
  <c r="O129" i="21"/>
  <c r="H39" i="11"/>
  <c r="F187" i="4"/>
  <c r="AI17" i="23"/>
  <c r="N129" i="21"/>
  <c r="H38" i="11"/>
  <c r="BX80" i="21"/>
  <c r="BZ8" i="21"/>
  <c r="CO11" i="21" s="1"/>
  <c r="G96" i="4"/>
  <c r="G104" i="4" s="1"/>
  <c r="G142" i="4"/>
  <c r="I97" i="4"/>
  <c r="I113" i="4" s="1"/>
  <c r="AD26" i="21"/>
  <c r="CA57" i="21"/>
  <c r="N5" i="21"/>
  <c r="N85" i="21" s="1"/>
  <c r="G7" i="15"/>
  <c r="AD24" i="21"/>
  <c r="CA56" i="21"/>
  <c r="BI5" i="21"/>
  <c r="H17" i="4"/>
  <c r="E57" i="10"/>
  <c r="H116" i="4"/>
  <c r="CN11" i="21"/>
  <c r="G190" i="4"/>
  <c r="BX30" i="21" s="1"/>
  <c r="F194" i="4"/>
  <c r="F101" i="4" s="1"/>
  <c r="F117" i="4" s="1"/>
  <c r="F190" i="4"/>
  <c r="F113" i="4"/>
  <c r="G95" i="4"/>
  <c r="BX8" i="21" s="1"/>
  <c r="H181" i="4"/>
  <c r="I182" i="4" s="1"/>
  <c r="F107" i="11"/>
  <c r="F40" i="11"/>
  <c r="CA46" i="21" s="1"/>
  <c r="BY82" i="21"/>
  <c r="AH32" i="21"/>
  <c r="F8" i="11"/>
  <c r="AF32" i="21"/>
  <c r="G8" i="11"/>
  <c r="AG32" i="21"/>
  <c r="E8" i="11"/>
  <c r="D36" i="11" s="1"/>
  <c r="AE32" i="21"/>
  <c r="AI19" i="23"/>
  <c r="AH19" i="23"/>
  <c r="AJ7" i="23"/>
  <c r="AJ16" i="23"/>
  <c r="E56" i="23" s="1"/>
  <c r="AI12" i="23"/>
  <c r="AK6" i="23"/>
  <c r="AK4" i="23" s="1"/>
  <c r="AJ9" i="23"/>
  <c r="D56" i="23" s="1"/>
  <c r="CA69" i="21"/>
  <c r="CA82" i="21" s="1"/>
  <c r="O110" i="21"/>
  <c r="BZ69" i="21"/>
  <c r="BZ82" i="21" s="1"/>
  <c r="N110" i="21"/>
  <c r="O85" i="21"/>
  <c r="O109" i="21"/>
  <c r="BZ80" i="21"/>
  <c r="CA68" i="21"/>
  <c r="N46" i="21"/>
  <c r="N45" i="21" s="1"/>
  <c r="O46" i="21"/>
  <c r="O45" i="21" s="1"/>
  <c r="O41" i="21"/>
  <c r="O40" i="21" s="1"/>
  <c r="E9" i="15"/>
  <c r="L8" i="21" s="1"/>
  <c r="L5" i="21"/>
  <c r="BX56" i="21" s="1"/>
  <c r="F9" i="15"/>
  <c r="M8" i="21" s="1"/>
  <c r="M5" i="21"/>
  <c r="J56" i="4"/>
  <c r="J47" i="4"/>
  <c r="J53" i="4"/>
  <c r="K53" i="4" s="1"/>
  <c r="L53" i="4" s="1"/>
  <c r="I53" i="4"/>
  <c r="C134" i="17"/>
  <c r="C244" i="17"/>
  <c r="I54" i="4"/>
  <c r="K24" i="4" s="1"/>
  <c r="I56" i="4"/>
  <c r="J143" i="4"/>
  <c r="H54" i="4"/>
  <c r="J24" i="4" s="1"/>
  <c r="H56" i="4"/>
  <c r="G9" i="15"/>
  <c r="N8" i="21" s="1"/>
  <c r="H10" i="15"/>
  <c r="H12" i="15"/>
  <c r="O11" i="21" s="1"/>
  <c r="O86" i="21" s="1"/>
  <c r="F10" i="15"/>
  <c r="F12" i="15"/>
  <c r="M11" i="21" s="1"/>
  <c r="M86" i="21" s="1"/>
  <c r="G12" i="15"/>
  <c r="N11" i="21" s="1"/>
  <c r="N86" i="21" s="1"/>
  <c r="G10" i="15"/>
  <c r="E12" i="15"/>
  <c r="L11" i="21" s="1"/>
  <c r="L86" i="21" s="1"/>
  <c r="E10" i="15"/>
  <c r="H9" i="15"/>
  <c r="O8" i="21" s="1"/>
  <c r="G37" i="11"/>
  <c r="I177" i="4"/>
  <c r="I194" i="4" s="1"/>
  <c r="I101" i="4" s="1"/>
  <c r="I183" i="4"/>
  <c r="BZ28" i="21" s="1"/>
  <c r="J54" i="4"/>
  <c r="J95" i="4"/>
  <c r="F52" i="4" s="1"/>
  <c r="G52" i="4" s="1"/>
  <c r="H52" i="4" s="1"/>
  <c r="I52" i="4" s="1"/>
  <c r="J52" i="4" s="1"/>
  <c r="K52" i="4" s="1"/>
  <c r="L52" i="4" s="1"/>
  <c r="E51" i="4"/>
  <c r="F217" i="4"/>
  <c r="F114" i="4"/>
  <c r="F112" i="4"/>
  <c r="F193" i="4"/>
  <c r="F183" i="4"/>
  <c r="F180" i="4"/>
  <c r="H112" i="4"/>
  <c r="D66" i="4" s="1"/>
  <c r="H114" i="4"/>
  <c r="H115" i="4"/>
  <c r="K152" i="4"/>
  <c r="I115" i="4"/>
  <c r="E78" i="4" s="1"/>
  <c r="I116" i="4"/>
  <c r="G106" i="4"/>
  <c r="H106" i="4"/>
  <c r="G107" i="4"/>
  <c r="G105" i="4"/>
  <c r="J106" i="4"/>
  <c r="I106" i="4"/>
  <c r="I114" i="4"/>
  <c r="F115" i="4"/>
  <c r="J107" i="4"/>
  <c r="H107" i="4"/>
  <c r="I144" i="4"/>
  <c r="I96" i="4"/>
  <c r="F215" i="4"/>
  <c r="F196" i="4"/>
  <c r="H179" i="4"/>
  <c r="G144" i="4"/>
  <c r="J142" i="4"/>
  <c r="I179" i="4"/>
  <c r="I201" i="4"/>
  <c r="F133" i="4" s="1"/>
  <c r="I180" i="4"/>
  <c r="BZ27" i="21" s="1"/>
  <c r="G179" i="4"/>
  <c r="G201" i="4"/>
  <c r="G180" i="4"/>
  <c r="BX27" i="21" s="1"/>
  <c r="G194" i="4"/>
  <c r="G101" i="4" s="1"/>
  <c r="H104" i="4" l="1"/>
  <c r="G112" i="4"/>
  <c r="G113" i="4"/>
  <c r="J105" i="4"/>
  <c r="G114" i="4"/>
  <c r="G115" i="4"/>
  <c r="N41" i="21"/>
  <c r="O42" i="21" s="1"/>
  <c r="P129" i="21"/>
  <c r="H37" i="11"/>
  <c r="BZ68" i="21"/>
  <c r="BZ81" i="21" s="1"/>
  <c r="N109" i="21"/>
  <c r="CA80" i="21"/>
  <c r="AD27" i="21"/>
  <c r="E220" i="17"/>
  <c r="BY42" i="21"/>
  <c r="G36" i="11"/>
  <c r="G40" i="11" s="1"/>
  <c r="D40" i="11"/>
  <c r="BY46" i="21" s="1"/>
  <c r="AE33" i="21"/>
  <c r="E22" i="11"/>
  <c r="AG33" i="21"/>
  <c r="G22" i="11"/>
  <c r="AF33" i="21"/>
  <c r="F22" i="11"/>
  <c r="BY56" i="21"/>
  <c r="AD11" i="21"/>
  <c r="BZ56" i="21"/>
  <c r="BZ59" i="21" s="1"/>
  <c r="BZ63" i="21" s="1"/>
  <c r="CA5" i="21"/>
  <c r="CA11" i="21" s="1"/>
  <c r="BI16" i="21"/>
  <c r="BI14" i="21"/>
  <c r="BI10" i="21"/>
  <c r="G80" i="10"/>
  <c r="E59" i="10"/>
  <c r="I80" i="10" s="1"/>
  <c r="J80" i="10" s="1"/>
  <c r="G24" i="10"/>
  <c r="G116" i="4"/>
  <c r="CM11" i="21"/>
  <c r="N6" i="21"/>
  <c r="BZ60" i="21"/>
  <c r="BZ64" i="21" s="1"/>
  <c r="CA48" i="21"/>
  <c r="H97" i="4"/>
  <c r="H183" i="4"/>
  <c r="BY28" i="21" s="1"/>
  <c r="H177" i="4"/>
  <c r="H194" i="4" s="1"/>
  <c r="H196" i="4" s="1"/>
  <c r="BY32" i="21" s="1"/>
  <c r="H204" i="4"/>
  <c r="H182" i="4"/>
  <c r="E40" i="11"/>
  <c r="BZ46" i="21" s="1"/>
  <c r="AH22" i="23"/>
  <c r="BI130" i="21"/>
  <c r="BJ130" i="21"/>
  <c r="AI22" i="23"/>
  <c r="AJ10" i="23"/>
  <c r="AJ12" i="23" s="1"/>
  <c r="AJ17" i="23"/>
  <c r="AK7" i="23"/>
  <c r="AK16" i="23"/>
  <c r="AL6" i="23"/>
  <c r="AL4" i="23" s="1"/>
  <c r="AK9" i="23"/>
  <c r="CA145" i="21"/>
  <c r="CA151" i="21" s="1"/>
  <c r="O90" i="21"/>
  <c r="BZ145" i="21"/>
  <c r="BZ151" i="21" s="1"/>
  <c r="N90" i="21"/>
  <c r="M85" i="21"/>
  <c r="M109" i="21"/>
  <c r="L85" i="21"/>
  <c r="L109" i="21"/>
  <c r="BY68" i="21"/>
  <c r="BX68" i="21"/>
  <c r="CA59" i="21"/>
  <c r="CA63" i="21" s="1"/>
  <c r="CA81" i="21"/>
  <c r="CA84" i="21"/>
  <c r="O47" i="21"/>
  <c r="M41" i="21"/>
  <c r="L41" i="21"/>
  <c r="L40" i="21" s="1"/>
  <c r="BX5" i="21" s="1"/>
  <c r="BX9" i="21" s="1"/>
  <c r="F13" i="15"/>
  <c r="M12" i="21" s="1"/>
  <c r="M14" i="21" s="1"/>
  <c r="M15" i="21" s="1"/>
  <c r="M9" i="21"/>
  <c r="M50" i="21" s="1"/>
  <c r="H13" i="15"/>
  <c r="O12" i="21" s="1"/>
  <c r="O14" i="21" s="1"/>
  <c r="O15" i="21" s="1"/>
  <c r="O9" i="21"/>
  <c r="O50" i="21" s="1"/>
  <c r="O51" i="21" s="1"/>
  <c r="E13" i="15"/>
  <c r="L12" i="21" s="1"/>
  <c r="L14" i="21" s="1"/>
  <c r="L15" i="21" s="1"/>
  <c r="L9" i="21"/>
  <c r="L50" i="21" s="1"/>
  <c r="G13" i="15"/>
  <c r="N12" i="21" s="1"/>
  <c r="N14" i="21" s="1"/>
  <c r="N15" i="21" s="1"/>
  <c r="N9" i="21"/>
  <c r="N50" i="21" s="1"/>
  <c r="F244" i="17"/>
  <c r="F245" i="17" s="1"/>
  <c r="C245" i="17"/>
  <c r="E54" i="4"/>
  <c r="F24" i="4" s="1"/>
  <c r="G53" i="4"/>
  <c r="C238" i="17"/>
  <c r="C239" i="17" s="1"/>
  <c r="D131" i="17"/>
  <c r="D134" i="17" s="1"/>
  <c r="C138" i="17"/>
  <c r="J115" i="4"/>
  <c r="F78" i="4" s="1"/>
  <c r="G78" i="4" s="1"/>
  <c r="H78" i="4" s="1"/>
  <c r="F136" i="4"/>
  <c r="F26" i="4" s="1"/>
  <c r="L24" i="4"/>
  <c r="K54" i="4"/>
  <c r="J104" i="4"/>
  <c r="I104" i="4"/>
  <c r="I112" i="4"/>
  <c r="E79" i="4"/>
  <c r="J116" i="4"/>
  <c r="F79" i="4" s="1"/>
  <c r="J113" i="4"/>
  <c r="F76" i="4" s="1"/>
  <c r="E76" i="4"/>
  <c r="J114" i="4"/>
  <c r="F77" i="4" s="1"/>
  <c r="E77" i="4"/>
  <c r="G117" i="4"/>
  <c r="G109" i="4"/>
  <c r="J109" i="4"/>
  <c r="I117" i="4"/>
  <c r="I145" i="4"/>
  <c r="J145" i="4"/>
  <c r="G145" i="4"/>
  <c r="H145" i="4"/>
  <c r="G215" i="4"/>
  <c r="G217" i="4"/>
  <c r="I215" i="4"/>
  <c r="I217" i="4"/>
  <c r="G195" i="4"/>
  <c r="G196" i="4"/>
  <c r="BX32" i="21" s="1"/>
  <c r="I196" i="4"/>
  <c r="BZ32" i="21" s="1"/>
  <c r="F25" i="4" l="1"/>
  <c r="AD8" i="21" s="1"/>
  <c r="N42" i="21"/>
  <c r="CB136" i="21"/>
  <c r="BZ84" i="21"/>
  <c r="N40" i="21"/>
  <c r="BZ5" i="21" s="1"/>
  <c r="BZ11" i="21" s="1"/>
  <c r="N47" i="21"/>
  <c r="BJ102" i="21"/>
  <c r="BJ103" i="21" s="1"/>
  <c r="H80" i="10"/>
  <c r="H81" i="10" s="1"/>
  <c r="BX60" i="21"/>
  <c r="BX64" i="21" s="1"/>
  <c r="BY48" i="21"/>
  <c r="M129" i="21"/>
  <c r="H36" i="11"/>
  <c r="H40" i="11" s="1"/>
  <c r="CB143" i="21"/>
  <c r="CB132" i="21"/>
  <c r="I195" i="4"/>
  <c r="H217" i="4"/>
  <c r="CP12" i="21"/>
  <c r="CB122" i="21"/>
  <c r="CB142" i="21"/>
  <c r="CB123" i="21"/>
  <c r="CB140" i="21"/>
  <c r="CB139" i="21"/>
  <c r="CB134" i="21"/>
  <c r="CB138" i="21"/>
  <c r="CB129" i="21"/>
  <c r="CB130" i="21"/>
  <c r="CB127" i="21"/>
  <c r="CB124" i="21"/>
  <c r="CB137" i="21"/>
  <c r="CB141" i="21"/>
  <c r="CB135" i="21"/>
  <c r="G25" i="10"/>
  <c r="G83" i="10"/>
  <c r="J81" i="10"/>
  <c r="I83" i="10"/>
  <c r="CB125" i="21"/>
  <c r="H14" i="15"/>
  <c r="O13" i="21" s="1"/>
  <c r="H195" i="4"/>
  <c r="BZ48" i="21"/>
  <c r="BY60" i="21"/>
  <c r="H215" i="4"/>
  <c r="H101" i="4"/>
  <c r="H113" i="4"/>
  <c r="H105" i="4"/>
  <c r="I105" i="4"/>
  <c r="BX59" i="21"/>
  <c r="CM12" i="21"/>
  <c r="BK130" i="21"/>
  <c r="AJ19" i="23"/>
  <c r="AK10" i="23"/>
  <c r="AK12" i="23" s="1"/>
  <c r="AK17" i="23"/>
  <c r="F56" i="23"/>
  <c r="AL7" i="23"/>
  <c r="AL16" i="23"/>
  <c r="AM6" i="23"/>
  <c r="AM4" i="23" s="1"/>
  <c r="AL9" i="23"/>
  <c r="AL10" i="23" s="1"/>
  <c r="AL12" i="23" s="1"/>
  <c r="BX145" i="21"/>
  <c r="BX151" i="21" s="1"/>
  <c r="L90" i="21"/>
  <c r="BY145" i="21"/>
  <c r="BY151" i="21" s="1"/>
  <c r="M90" i="21"/>
  <c r="E14" i="15"/>
  <c r="L13" i="21" s="1"/>
  <c r="N65" i="21"/>
  <c r="N91" i="21"/>
  <c r="N70" i="21" s="1"/>
  <c r="O65" i="21"/>
  <c r="O63" i="21" s="1"/>
  <c r="O91" i="21"/>
  <c r="O70" i="21" s="1"/>
  <c r="L47" i="21"/>
  <c r="BX81" i="21"/>
  <c r="BX84" i="21"/>
  <c r="BY84" i="21"/>
  <c r="BY81" i="21"/>
  <c r="M42" i="21"/>
  <c r="BX6" i="21"/>
  <c r="CM14" i="21" s="1"/>
  <c r="CM13" i="21"/>
  <c r="BX11" i="21"/>
  <c r="M47" i="21"/>
  <c r="M40" i="21"/>
  <c r="BY5" i="21" s="1"/>
  <c r="BY9" i="21" s="1"/>
  <c r="G14" i="15"/>
  <c r="N13" i="21" s="1"/>
  <c r="E16" i="15"/>
  <c r="E15" i="15" s="1"/>
  <c r="E19" i="15" s="1"/>
  <c r="E27" i="15"/>
  <c r="F27" i="15" s="1"/>
  <c r="G27" i="15" s="1"/>
  <c r="H27" i="15" s="1"/>
  <c r="F14" i="15"/>
  <c r="M13" i="21" s="1"/>
  <c r="L51" i="21"/>
  <c r="D238" i="17"/>
  <c r="D239" i="17" s="1"/>
  <c r="E131" i="17"/>
  <c r="E134" i="17" s="1"/>
  <c r="D138" i="17"/>
  <c r="M24" i="4"/>
  <c r="L54" i="4"/>
  <c r="N24" i="4" s="1"/>
  <c r="K151" i="4"/>
  <c r="I151" i="4"/>
  <c r="G151" i="4"/>
  <c r="J151" i="4"/>
  <c r="H151" i="4"/>
  <c r="F151" i="4"/>
  <c r="J112" i="4"/>
  <c r="F75" i="4" s="1"/>
  <c r="E75" i="4"/>
  <c r="E66" i="4" s="1"/>
  <c r="E68" i="4" s="1"/>
  <c r="G79" i="4"/>
  <c r="H79" i="4" s="1"/>
  <c r="I79" i="4" s="1"/>
  <c r="J79" i="4" s="1"/>
  <c r="K79" i="4" s="1"/>
  <c r="L79" i="4" s="1"/>
  <c r="I78" i="4"/>
  <c r="J117" i="4"/>
  <c r="F80" i="4" s="1"/>
  <c r="E80" i="4"/>
  <c r="G76" i="4"/>
  <c r="G77" i="4"/>
  <c r="L134" i="4"/>
  <c r="J134" i="4"/>
  <c r="G134" i="4"/>
  <c r="N134" i="4"/>
  <c r="M134" i="4"/>
  <c r="K134" i="4"/>
  <c r="H134" i="4"/>
  <c r="H133" i="4" s="1"/>
  <c r="BZ9" i="21" l="1"/>
  <c r="CO13" i="21" s="1"/>
  <c r="CO12" i="21"/>
  <c r="BZ2" i="21"/>
  <c r="M51" i="21"/>
  <c r="E81" i="4"/>
  <c r="N51" i="21"/>
  <c r="F16" i="15"/>
  <c r="F15" i="15" s="1"/>
  <c r="F19" i="15" s="1"/>
  <c r="BK102" i="21"/>
  <c r="BK103" i="21" s="1"/>
  <c r="G70" i="10"/>
  <c r="H70" i="10" s="1"/>
  <c r="I70" i="10" s="1"/>
  <c r="CB121" i="21"/>
  <c r="CA133" i="21"/>
  <c r="CB133" i="21" s="1"/>
  <c r="CB131" i="21" s="1"/>
  <c r="O68" i="21"/>
  <c r="BI33" i="21" s="1"/>
  <c r="BI37" i="21" s="1"/>
  <c r="BZ133" i="21"/>
  <c r="BZ131" i="21" s="1"/>
  <c r="BZ153" i="21" s="1"/>
  <c r="N68" i="21"/>
  <c r="BI7" i="21"/>
  <c r="BI8" i="21" s="1"/>
  <c r="BZ128" i="21"/>
  <c r="BZ126" i="21" s="1"/>
  <c r="BZ152" i="21" s="1"/>
  <c r="N63" i="21"/>
  <c r="BX63" i="21"/>
  <c r="BY64" i="21"/>
  <c r="CC60" i="21"/>
  <c r="CA128" i="21"/>
  <c r="CB128" i="21" s="1"/>
  <c r="CB126" i="21" s="1"/>
  <c r="BI11" i="21"/>
  <c r="BI12" i="21" s="1"/>
  <c r="I86" i="10"/>
  <c r="J86" i="10" s="1"/>
  <c r="J87" i="10" s="1"/>
  <c r="J83" i="10"/>
  <c r="J84" i="10" s="1"/>
  <c r="H83" i="10"/>
  <c r="H84" i="10" s="1"/>
  <c r="D71" i="10" s="1"/>
  <c r="G71" i="10" s="1"/>
  <c r="G86" i="10"/>
  <c r="H86" i="10" s="1"/>
  <c r="H87" i="10" s="1"/>
  <c r="H117" i="4"/>
  <c r="I109" i="4"/>
  <c r="H109" i="4"/>
  <c r="BY59" i="21"/>
  <c r="BY63" i="21" s="1"/>
  <c r="CN12" i="21"/>
  <c r="AJ22" i="23"/>
  <c r="AL17" i="23"/>
  <c r="AL19" i="23"/>
  <c r="AL22" i="23" s="1"/>
  <c r="AK19" i="23"/>
  <c r="AM7" i="23"/>
  <c r="AM16" i="23"/>
  <c r="E57" i="23" s="1"/>
  <c r="AN6" i="23"/>
  <c r="AN4" i="23" s="1"/>
  <c r="AM9" i="23"/>
  <c r="D57" i="23" s="1"/>
  <c r="M65" i="21"/>
  <c r="M91" i="21"/>
  <c r="M70" i="21" s="1"/>
  <c r="L65" i="21"/>
  <c r="L91" i="21"/>
  <c r="L70" i="21" s="1"/>
  <c r="BY6" i="21"/>
  <c r="CN14" i="21" s="1"/>
  <c r="BY11" i="21"/>
  <c r="CN13" i="21"/>
  <c r="BZ6" i="21"/>
  <c r="CO14" i="21" s="1"/>
  <c r="L16" i="21"/>
  <c r="H16" i="15"/>
  <c r="G16" i="15"/>
  <c r="G15" i="15" s="1"/>
  <c r="E25" i="15"/>
  <c r="L22" i="21" s="1"/>
  <c r="L17" i="21"/>
  <c r="E121" i="17"/>
  <c r="E119" i="17"/>
  <c r="F131" i="17"/>
  <c r="E138" i="17"/>
  <c r="F138" i="17" s="1"/>
  <c r="J133" i="4"/>
  <c r="G75" i="4"/>
  <c r="H75" i="4" s="1"/>
  <c r="I75" i="4" s="1"/>
  <c r="J75" i="4" s="1"/>
  <c r="K75" i="4" s="1"/>
  <c r="L75" i="4" s="1"/>
  <c r="G80" i="4"/>
  <c r="H80" i="4" s="1"/>
  <c r="H77" i="4"/>
  <c r="J78" i="4"/>
  <c r="H76" i="4"/>
  <c r="BZ154" i="21" l="1"/>
  <c r="M16" i="21"/>
  <c r="CA131" i="21"/>
  <c r="CA153" i="21" s="1"/>
  <c r="BZ144" i="21"/>
  <c r="BZ160" i="21" s="1"/>
  <c r="CA126" i="21"/>
  <c r="CA152" i="21" s="1"/>
  <c r="BX133" i="21"/>
  <c r="BX131" i="21" s="1"/>
  <c r="BX153" i="21" s="1"/>
  <c r="L68" i="21"/>
  <c r="BY133" i="21"/>
  <c r="BY131" i="21" s="1"/>
  <c r="BY153" i="21" s="1"/>
  <c r="M68" i="21"/>
  <c r="CB59" i="21"/>
  <c r="CC61" i="21" s="1"/>
  <c r="N88" i="21"/>
  <c r="O88" i="21"/>
  <c r="BX128" i="21"/>
  <c r="BX126" i="21" s="1"/>
  <c r="BX152" i="21" s="1"/>
  <c r="L63" i="21"/>
  <c r="BY128" i="21"/>
  <c r="BY126" i="21" s="1"/>
  <c r="BY152" i="21" s="1"/>
  <c r="M63" i="21"/>
  <c r="H71" i="10"/>
  <c r="J70" i="10"/>
  <c r="BK93" i="21"/>
  <c r="BK95" i="21" s="1"/>
  <c r="G67" i="10"/>
  <c r="AK22" i="23"/>
  <c r="BI131" i="21"/>
  <c r="BJ131" i="21"/>
  <c r="AM10" i="23"/>
  <c r="AM12" i="23" s="1"/>
  <c r="AM17" i="23"/>
  <c r="AN7" i="23"/>
  <c r="AN16" i="23"/>
  <c r="AO6" i="23"/>
  <c r="AO4" i="23" s="1"/>
  <c r="AN9" i="23"/>
  <c r="N16" i="21"/>
  <c r="G19" i="15"/>
  <c r="F25" i="15"/>
  <c r="M22" i="21" s="1"/>
  <c r="M17" i="21"/>
  <c r="K133" i="4"/>
  <c r="G81" i="4"/>
  <c r="G86" i="4" s="1"/>
  <c r="I76" i="4"/>
  <c r="H81" i="4"/>
  <c r="H89" i="4" s="1"/>
  <c r="K78" i="4"/>
  <c r="I77" i="4"/>
  <c r="I80" i="4"/>
  <c r="BZ147" i="21" l="1"/>
  <c r="BZ161" i="21"/>
  <c r="CA154" i="21"/>
  <c r="BZ146" i="21"/>
  <c r="BZ159" i="21"/>
  <c r="BY154" i="21"/>
  <c r="BX154" i="21"/>
  <c r="CA144" i="21"/>
  <c r="CA160" i="21" s="1"/>
  <c r="BX144" i="21"/>
  <c r="BX147" i="21" s="1"/>
  <c r="BY144" i="21"/>
  <c r="BY160" i="21" s="1"/>
  <c r="M88" i="21"/>
  <c r="L88" i="21"/>
  <c r="H67" i="10"/>
  <c r="K70" i="10"/>
  <c r="I71" i="10"/>
  <c r="BK131" i="21"/>
  <c r="AN10" i="23"/>
  <c r="AN12" i="23" s="1"/>
  <c r="AM19" i="23"/>
  <c r="AN17" i="23"/>
  <c r="AN19" i="23" s="1"/>
  <c r="F57" i="23"/>
  <c r="AO7" i="23"/>
  <c r="AO16" i="23"/>
  <c r="AP6" i="23"/>
  <c r="AP4" i="23" s="1"/>
  <c r="AO9" i="23"/>
  <c r="AO10" i="23" s="1"/>
  <c r="AO12" i="23" s="1"/>
  <c r="G25" i="15"/>
  <c r="N22" i="21" s="1"/>
  <c r="N17" i="21"/>
  <c r="L133" i="4"/>
  <c r="G85" i="4"/>
  <c r="G87" i="4"/>
  <c r="G84" i="4"/>
  <c r="G88" i="4"/>
  <c r="G89" i="4"/>
  <c r="H86" i="4"/>
  <c r="H88" i="4"/>
  <c r="H84" i="4"/>
  <c r="H87" i="4"/>
  <c r="H85" i="4"/>
  <c r="J80" i="4"/>
  <c r="J77" i="4"/>
  <c r="L78" i="4"/>
  <c r="J76" i="4"/>
  <c r="I81" i="4"/>
  <c r="I89" i="4" s="1"/>
  <c r="CA147" i="21" l="1"/>
  <c r="CA146" i="21"/>
  <c r="CB146" i="21" s="1"/>
  <c r="BX159" i="21"/>
  <c r="BY159" i="21"/>
  <c r="BX161" i="21"/>
  <c r="BX146" i="21"/>
  <c r="CC160" i="21"/>
  <c r="CA161" i="21"/>
  <c r="CB144" i="21"/>
  <c r="CA159" i="21"/>
  <c r="BX160" i="21"/>
  <c r="CB160" i="21" s="1"/>
  <c r="BY146" i="21"/>
  <c r="BY147" i="21"/>
  <c r="BY161" i="21"/>
  <c r="J71" i="10"/>
  <c r="L70" i="10"/>
  <c r="I67" i="10"/>
  <c r="AM22" i="23"/>
  <c r="AO17" i="23"/>
  <c r="AO19" i="23" s="1"/>
  <c r="AN22" i="23"/>
  <c r="AP7" i="23"/>
  <c r="AP16" i="23"/>
  <c r="AP17" i="23" s="1"/>
  <c r="AQ6" i="23"/>
  <c r="AQ4" i="23" s="1"/>
  <c r="AP9" i="23"/>
  <c r="AP10" i="23" s="1"/>
  <c r="M133" i="4"/>
  <c r="I85" i="4"/>
  <c r="I88" i="4"/>
  <c r="I84" i="4"/>
  <c r="I87" i="4"/>
  <c r="I86" i="4"/>
  <c r="K76" i="4"/>
  <c r="J81" i="4"/>
  <c r="J85" i="4" s="1"/>
  <c r="K77" i="4"/>
  <c r="K80" i="4"/>
  <c r="CC159" i="21" l="1"/>
  <c r="CC161" i="21"/>
  <c r="CB161" i="21"/>
  <c r="CB159" i="21"/>
  <c r="J67" i="10"/>
  <c r="K71" i="10"/>
  <c r="AO22" i="23"/>
  <c r="AP19" i="23"/>
  <c r="D58" i="23"/>
  <c r="E58" i="23"/>
  <c r="AQ7" i="23"/>
  <c r="AQ16" i="23"/>
  <c r="AP12" i="23"/>
  <c r="AR6" i="23"/>
  <c r="AR4" i="23" s="1"/>
  <c r="AQ9" i="23"/>
  <c r="N133" i="4"/>
  <c r="J89" i="4"/>
  <c r="J88" i="4"/>
  <c r="J84" i="4"/>
  <c r="J87" i="4"/>
  <c r="J86" i="4"/>
  <c r="L76" i="4"/>
  <c r="K81" i="4"/>
  <c r="L80" i="4"/>
  <c r="L77" i="4"/>
  <c r="L71" i="10" l="1"/>
  <c r="K67" i="10"/>
  <c r="AP22" i="23"/>
  <c r="F58" i="23"/>
  <c r="BI132" i="21"/>
  <c r="BJ132" i="21"/>
  <c r="AQ17" i="23"/>
  <c r="AQ10" i="23"/>
  <c r="AQ12" i="23" s="1"/>
  <c r="AR7" i="23"/>
  <c r="AR16" i="23"/>
  <c r="AS6" i="23"/>
  <c r="AS4" i="23" s="1"/>
  <c r="AR9" i="23"/>
  <c r="AR10" i="23" s="1"/>
  <c r="K88" i="4"/>
  <c r="K84" i="4"/>
  <c r="K87" i="4"/>
  <c r="K89" i="4"/>
  <c r="K86" i="4"/>
  <c r="K85" i="4"/>
  <c r="L81" i="4"/>
  <c r="L67" i="10" l="1"/>
  <c r="AR17" i="23"/>
  <c r="AR19" i="23" s="1"/>
  <c r="BK132" i="21"/>
  <c r="D59" i="23"/>
  <c r="BI133" i="21" s="1"/>
  <c r="AQ19" i="23"/>
  <c r="AS7" i="23"/>
  <c r="AS16" i="23"/>
  <c r="AS17" i="23" s="1"/>
  <c r="AR12" i="23"/>
  <c r="AT6" i="23"/>
  <c r="AT4" i="23" s="1"/>
  <c r="AS9" i="23"/>
  <c r="L88" i="4"/>
  <c r="L84" i="4"/>
  <c r="L87" i="4"/>
  <c r="L85" i="4"/>
  <c r="L86" i="4"/>
  <c r="L89" i="4"/>
  <c r="AQ22" i="23" l="1"/>
  <c r="AR22" i="23"/>
  <c r="E59" i="23"/>
  <c r="BJ133" i="21" s="1"/>
  <c r="BK133" i="21" s="1"/>
  <c r="AS10" i="23"/>
  <c r="AS12" i="23" s="1"/>
  <c r="AS19" i="23"/>
  <c r="AT7" i="23"/>
  <c r="AT16" i="23"/>
  <c r="AU6" i="23"/>
  <c r="AU4" i="23" s="1"/>
  <c r="AT9" i="23"/>
  <c r="E282" i="10"/>
  <c r="G108" i="10" s="1"/>
  <c r="E249" i="10"/>
  <c r="E271" i="10"/>
  <c r="G107" i="10" s="1"/>
  <c r="E260" i="10"/>
  <c r="G106" i="10" s="1"/>
  <c r="F59" i="23" l="1"/>
  <c r="AT10" i="23"/>
  <c r="AT12" i="23" s="1"/>
  <c r="AT17" i="23"/>
  <c r="AS22" i="23"/>
  <c r="AU7" i="23"/>
  <c r="AU16" i="23"/>
  <c r="AU17" i="23" s="1"/>
  <c r="AV6" i="23"/>
  <c r="AV4" i="23" s="1"/>
  <c r="AU9" i="23"/>
  <c r="AU10" i="23" s="1"/>
  <c r="AU12" i="23" s="1"/>
  <c r="I18" i="10"/>
  <c r="BJ57" i="21" s="1"/>
  <c r="I17" i="10"/>
  <c r="BJ56" i="21" s="1"/>
  <c r="I19" i="10"/>
  <c r="BJ58" i="21" l="1"/>
  <c r="AU19" i="23"/>
  <c r="AU22" i="23" s="1"/>
  <c r="AT19" i="23"/>
  <c r="AV7" i="23"/>
  <c r="AV16" i="23"/>
  <c r="E60" i="23" s="1"/>
  <c r="BJ134" i="21" s="1"/>
  <c r="AW6" i="23"/>
  <c r="AW4" i="23" s="1"/>
  <c r="AV9" i="23"/>
  <c r="AV10" i="23" s="1"/>
  <c r="E293" i="10" l="1"/>
  <c r="G109" i="10" s="1"/>
  <c r="AT22" i="23"/>
  <c r="D60" i="23"/>
  <c r="BI134" i="21" s="1"/>
  <c r="BK134" i="21" s="1"/>
  <c r="AV17" i="23"/>
  <c r="AW7" i="23"/>
  <c r="AW16" i="23"/>
  <c r="AV12" i="23"/>
  <c r="AX6" i="23"/>
  <c r="AX4" i="23" s="1"/>
  <c r="AW9" i="23"/>
  <c r="I21" i="10" l="1"/>
  <c r="F60" i="23"/>
  <c r="AW10" i="23"/>
  <c r="AW12" i="23" s="1"/>
  <c r="AW17" i="23"/>
  <c r="AW19" i="23" s="1"/>
  <c r="AV19" i="23"/>
  <c r="AX7" i="23"/>
  <c r="AX16" i="23"/>
  <c r="AX17" i="23" s="1"/>
  <c r="AY6" i="23"/>
  <c r="AY4" i="23" s="1"/>
  <c r="AX9" i="23"/>
  <c r="AX10" i="23" l="1"/>
  <c r="H34" i="17"/>
  <c r="BJ60" i="21"/>
  <c r="BJ59" i="21" s="1"/>
  <c r="AV22" i="23"/>
  <c r="AX19" i="23"/>
  <c r="AW22" i="23"/>
  <c r="AY7" i="23"/>
  <c r="AY16" i="23"/>
  <c r="E61" i="23" s="1"/>
  <c r="BJ135" i="21" s="1"/>
  <c r="AX12" i="23"/>
  <c r="AZ6" i="23"/>
  <c r="AZ4" i="23" s="1"/>
  <c r="AY9" i="23"/>
  <c r="D61" i="23" s="1"/>
  <c r="BI135" i="21" s="1"/>
  <c r="H30" i="16" l="1"/>
  <c r="AX22" i="23"/>
  <c r="BK135" i="21"/>
  <c r="AY17" i="23"/>
  <c r="AY10" i="23"/>
  <c r="AY12" i="23" s="1"/>
  <c r="F61" i="23"/>
  <c r="AZ7" i="23"/>
  <c r="AZ16" i="23"/>
  <c r="BA6" i="23"/>
  <c r="BA4" i="23" s="1"/>
  <c r="AZ9" i="23"/>
  <c r="I22" i="15" l="1"/>
  <c r="I30" i="16"/>
  <c r="L20" i="24"/>
  <c r="BJ36" i="21"/>
  <c r="AY19" i="23"/>
  <c r="AZ10" i="23"/>
  <c r="AZ12" i="23" s="1"/>
  <c r="AZ17" i="23"/>
  <c r="AZ19" i="23" s="1"/>
  <c r="BA7" i="23"/>
  <c r="BA16" i="23"/>
  <c r="BB6" i="23"/>
  <c r="BB4" i="23" s="1"/>
  <c r="BA9" i="23"/>
  <c r="BA10" i="23" s="1"/>
  <c r="BA12" i="23" l="1"/>
  <c r="BA17" i="23"/>
  <c r="Y20" i="24"/>
  <c r="M20" i="24"/>
  <c r="L196" i="24"/>
  <c r="P19" i="21"/>
  <c r="BK36" i="21"/>
  <c r="J22" i="15"/>
  <c r="AY22" i="23"/>
  <c r="AZ22" i="23"/>
  <c r="BA19" i="23"/>
  <c r="BB7" i="23"/>
  <c r="BB16" i="23"/>
  <c r="E62" i="23" s="1"/>
  <c r="BJ136" i="21" s="1"/>
  <c r="BC6" i="23"/>
  <c r="BC4" i="23" s="1"/>
  <c r="BB9" i="23"/>
  <c r="D62" i="23" s="1"/>
  <c r="BI136" i="21" s="1"/>
  <c r="BK136" i="21" s="1"/>
  <c r="Q19" i="21" l="1"/>
  <c r="Z20" i="24"/>
  <c r="BA22" i="23"/>
  <c r="BB10" i="23"/>
  <c r="BB17" i="23"/>
  <c r="BC7" i="23"/>
  <c r="BC16" i="23"/>
  <c r="BB12" i="23"/>
  <c r="BD6" i="23"/>
  <c r="BD4" i="23" s="1"/>
  <c r="BC9" i="23"/>
  <c r="BC10" i="23" l="1"/>
  <c r="BC12" i="23" s="1"/>
  <c r="BB19" i="23"/>
  <c r="BC17" i="23"/>
  <c r="BC19" i="23" s="1"/>
  <c r="F62" i="23"/>
  <c r="BD7" i="23"/>
  <c r="BD16" i="23"/>
  <c r="BE6" i="23"/>
  <c r="BE4" i="23" s="1"/>
  <c r="BD9" i="23"/>
  <c r="BD10" i="23" s="1"/>
  <c r="BB22" i="23" l="1"/>
  <c r="BD17" i="23"/>
  <c r="BC22" i="23"/>
  <c r="BD19" i="23"/>
  <c r="BE7" i="23"/>
  <c r="BE16" i="23"/>
  <c r="BE17" i="23" s="1"/>
  <c r="BD12" i="23"/>
  <c r="BF6" i="23"/>
  <c r="BF4" i="23" s="1"/>
  <c r="BE9" i="23"/>
  <c r="BE10" i="23" s="1"/>
  <c r="BD22" i="23" l="1"/>
  <c r="D63" i="23"/>
  <c r="BI137" i="21" s="1"/>
  <c r="E63" i="23"/>
  <c r="BJ137" i="21" s="1"/>
  <c r="BE19" i="23"/>
  <c r="BF7" i="23"/>
  <c r="BF16" i="23"/>
  <c r="BE12" i="23"/>
  <c r="BG6" i="23"/>
  <c r="BG4" i="23" s="1"/>
  <c r="BF9" i="23"/>
  <c r="F63" i="23" l="1"/>
  <c r="BK137" i="21"/>
  <c r="BF17" i="23"/>
  <c r="BF10" i="23"/>
  <c r="BF12" i="23" s="1"/>
  <c r="BE22" i="23"/>
  <c r="BG7" i="23"/>
  <c r="BG16" i="23"/>
  <c r="BG17" i="23" s="1"/>
  <c r="BH6" i="23"/>
  <c r="BH4" i="23" s="1"/>
  <c r="BG9" i="23"/>
  <c r="BG10" i="23" l="1"/>
  <c r="BG12" i="23" s="1"/>
  <c r="BG19" i="23"/>
  <c r="BF19" i="23"/>
  <c r="BH7" i="23"/>
  <c r="BH16" i="23"/>
  <c r="E64" i="23" s="1"/>
  <c r="BJ138" i="21" s="1"/>
  <c r="BI6" i="23"/>
  <c r="BI4" i="23" s="1"/>
  <c r="BH9" i="23"/>
  <c r="D64" i="23" s="1"/>
  <c r="BI138" i="21" s="1"/>
  <c r="BF22" i="23" l="1"/>
  <c r="BG22" i="23"/>
  <c r="BK138" i="21"/>
  <c r="BH10" i="23"/>
  <c r="BH12" i="23" s="1"/>
  <c r="BH17" i="23"/>
  <c r="BI7" i="23"/>
  <c r="BI16" i="23"/>
  <c r="BJ6" i="23"/>
  <c r="BJ4" i="23" s="1"/>
  <c r="BI9" i="23"/>
  <c r="BI10" i="23" l="1"/>
  <c r="BH19" i="23"/>
  <c r="BI17" i="23"/>
  <c r="BI19" i="23" s="1"/>
  <c r="F64" i="23"/>
  <c r="BJ7" i="23"/>
  <c r="BJ16" i="23"/>
  <c r="BJ17" i="23" s="1"/>
  <c r="BI12" i="23"/>
  <c r="BK6" i="23"/>
  <c r="BK4" i="23" s="1"/>
  <c r="BJ9" i="23"/>
  <c r="BJ10" i="23" s="1"/>
  <c r="BH22" i="23" l="1"/>
  <c r="BI22" i="23"/>
  <c r="BJ19" i="23"/>
  <c r="BK7" i="23"/>
  <c r="BK16" i="23"/>
  <c r="BK17" i="23" s="1"/>
  <c r="BJ12" i="23"/>
  <c r="BL6" i="23"/>
  <c r="BL4" i="23" s="1"/>
  <c r="BK9" i="23"/>
  <c r="BK10" i="23" s="1"/>
  <c r="BJ22" i="23" l="1"/>
  <c r="D65" i="23"/>
  <c r="BI139" i="21" s="1"/>
  <c r="E65" i="23"/>
  <c r="BJ139" i="21" s="1"/>
  <c r="BK19" i="23"/>
  <c r="BL7" i="23"/>
  <c r="BL16" i="23"/>
  <c r="BK12" i="23"/>
  <c r="BM6" i="23"/>
  <c r="BM4" i="23" s="1"/>
  <c r="BL9" i="23"/>
  <c r="BK22" i="23" l="1"/>
  <c r="BK139" i="21"/>
  <c r="BL17" i="23"/>
  <c r="BL10" i="23"/>
  <c r="F65" i="23"/>
  <c r="BM7" i="23"/>
  <c r="BM16" i="23"/>
  <c r="BM17" i="23" s="1"/>
  <c r="BL12" i="23"/>
  <c r="BN6" i="23"/>
  <c r="BM9" i="23"/>
  <c r="BM10" i="23" s="1"/>
  <c r="BN16" i="23" l="1"/>
  <c r="E66" i="23" s="1"/>
  <c r="BN4" i="23"/>
  <c r="BM19" i="23"/>
  <c r="BL19" i="23"/>
  <c r="BM12" i="23"/>
  <c r="BN9" i="23"/>
  <c r="D66" i="23" s="1"/>
  <c r="BN7" i="23"/>
  <c r="BN10" i="23" l="1"/>
  <c r="BN12" i="23" s="1"/>
  <c r="BL22" i="23"/>
  <c r="BM22" i="23"/>
  <c r="BN17" i="23"/>
  <c r="E12" i="23"/>
  <c r="BN13" i="23" s="1"/>
  <c r="BN14" i="23" s="1"/>
  <c r="BJ140" i="21"/>
  <c r="BJ141" i="21" s="1"/>
  <c r="E67" i="23"/>
  <c r="E67" i="15" s="1"/>
  <c r="BN19" i="23"/>
  <c r="J40" i="23" s="1"/>
  <c r="BI140" i="21"/>
  <c r="D67" i="23"/>
  <c r="E66" i="15" s="1"/>
  <c r="E33" i="23"/>
  <c r="L206" i="24" s="1"/>
  <c r="E34" i="23"/>
  <c r="L207" i="24" s="1"/>
  <c r="H39" i="23"/>
  <c r="F34" i="23"/>
  <c r="N207" i="24" s="1"/>
  <c r="I40" i="23"/>
  <c r="J34" i="23"/>
  <c r="R207" i="24" s="1"/>
  <c r="F40" i="23"/>
  <c r="F33" i="23"/>
  <c r="G33" i="23"/>
  <c r="O206" i="24" s="1"/>
  <c r="J39" i="23"/>
  <c r="F39" i="23"/>
  <c r="F41" i="23" s="1"/>
  <c r="H40" i="23"/>
  <c r="I34" i="23"/>
  <c r="Q207" i="24" s="1"/>
  <c r="H34" i="23"/>
  <c r="P207" i="24" s="1"/>
  <c r="J33" i="23"/>
  <c r="G40" i="23"/>
  <c r="G39" i="23"/>
  <c r="I39" i="23"/>
  <c r="G34" i="23"/>
  <c r="O207" i="24" s="1"/>
  <c r="I33" i="23"/>
  <c r="H33" i="23"/>
  <c r="E39" i="23"/>
  <c r="J41" i="23" l="1"/>
  <c r="BN22" i="23"/>
  <c r="I41" i="23"/>
  <c r="L205" i="24"/>
  <c r="H35" i="23"/>
  <c r="P206" i="24"/>
  <c r="P205" i="24" s="1"/>
  <c r="I35" i="23"/>
  <c r="Q206" i="24"/>
  <c r="Q205" i="24" s="1"/>
  <c r="F35" i="23"/>
  <c r="N206" i="24"/>
  <c r="N205" i="24" s="1"/>
  <c r="E40" i="23"/>
  <c r="E41" i="23" s="1"/>
  <c r="E19" i="23"/>
  <c r="J35" i="23"/>
  <c r="R206" i="24"/>
  <c r="R205" i="24" s="1"/>
  <c r="G13" i="23"/>
  <c r="H13" i="23"/>
  <c r="H14" i="23" s="1"/>
  <c r="I13" i="23"/>
  <c r="I14" i="23" s="1"/>
  <c r="J13" i="23"/>
  <c r="J14" i="23" s="1"/>
  <c r="K13" i="23"/>
  <c r="K14" i="23" s="1"/>
  <c r="L13" i="23"/>
  <c r="L14" i="23" s="1"/>
  <c r="M13" i="23"/>
  <c r="N13" i="23"/>
  <c r="N14" i="23" s="1"/>
  <c r="O13" i="23"/>
  <c r="O14" i="23" s="1"/>
  <c r="Q13" i="23"/>
  <c r="Q14" i="23" s="1"/>
  <c r="P13" i="23"/>
  <c r="P14" i="23" s="1"/>
  <c r="R13" i="23"/>
  <c r="R14" i="23" s="1"/>
  <c r="S13" i="23"/>
  <c r="S14" i="23" s="1"/>
  <c r="T13" i="23"/>
  <c r="T14" i="23" s="1"/>
  <c r="U13" i="23"/>
  <c r="U14" i="23" s="1"/>
  <c r="V13" i="23"/>
  <c r="V14" i="23" s="1"/>
  <c r="X13" i="23"/>
  <c r="X14" i="23" s="1"/>
  <c r="W13" i="23"/>
  <c r="W14" i="23" s="1"/>
  <c r="Y13" i="23"/>
  <c r="Z13" i="23"/>
  <c r="Z14" i="23" s="1"/>
  <c r="AA13" i="23"/>
  <c r="AA14" i="23" s="1"/>
  <c r="AB13" i="23"/>
  <c r="AB14" i="23" s="1"/>
  <c r="AC13" i="23"/>
  <c r="AC14" i="23" s="1"/>
  <c r="AD13" i="23"/>
  <c r="AD14" i="23" s="1"/>
  <c r="AE13" i="23"/>
  <c r="AE14" i="23" s="1"/>
  <c r="AF13" i="23"/>
  <c r="AF14" i="23" s="1"/>
  <c r="AG13" i="23"/>
  <c r="AG14" i="23" s="1"/>
  <c r="AH13" i="23"/>
  <c r="AH14" i="23" s="1"/>
  <c r="AI13" i="23"/>
  <c r="AI14" i="23" s="1"/>
  <c r="AJ13" i="23"/>
  <c r="AJ14" i="23" s="1"/>
  <c r="AK13" i="23"/>
  <c r="AL13" i="23"/>
  <c r="AL14" i="23" s="1"/>
  <c r="AM13" i="23"/>
  <c r="AM14" i="23" s="1"/>
  <c r="AO13" i="23"/>
  <c r="AO14" i="23" s="1"/>
  <c r="AN13" i="23"/>
  <c r="AN14" i="23" s="1"/>
  <c r="AP13" i="23"/>
  <c r="AP14" i="23" s="1"/>
  <c r="AQ13" i="23"/>
  <c r="AQ14" i="23" s="1"/>
  <c r="AR13" i="23"/>
  <c r="AR14" i="23" s="1"/>
  <c r="AS13" i="23"/>
  <c r="AS14" i="23" s="1"/>
  <c r="AT13" i="23"/>
  <c r="AT14" i="23" s="1"/>
  <c r="AU13" i="23"/>
  <c r="AU14" i="23" s="1"/>
  <c r="AV13" i="23"/>
  <c r="AV14" i="23" s="1"/>
  <c r="AW13" i="23"/>
  <c r="AX13" i="23"/>
  <c r="AX14" i="23" s="1"/>
  <c r="AY13" i="23"/>
  <c r="AY14" i="23" s="1"/>
  <c r="AZ13" i="23"/>
  <c r="AZ14" i="23" s="1"/>
  <c r="BA13" i="23"/>
  <c r="BA14" i="23" s="1"/>
  <c r="BB13" i="23"/>
  <c r="BB14" i="23" s="1"/>
  <c r="BC13" i="23"/>
  <c r="BC14" i="23" s="1"/>
  <c r="BD13" i="23"/>
  <c r="BD14" i="23" s="1"/>
  <c r="BE13" i="23"/>
  <c r="BE14" i="23" s="1"/>
  <c r="BF13" i="23"/>
  <c r="BF14" i="23" s="1"/>
  <c r="BG13" i="23"/>
  <c r="BG14" i="23" s="1"/>
  <c r="BH13" i="23"/>
  <c r="BH14" i="23" s="1"/>
  <c r="BI13" i="23"/>
  <c r="BJ13" i="23"/>
  <c r="BJ14" i="23" s="1"/>
  <c r="BK13" i="23"/>
  <c r="BK14" i="23" s="1"/>
  <c r="BL13" i="23"/>
  <c r="BL14" i="23" s="1"/>
  <c r="O205" i="24"/>
  <c r="BM13" i="23"/>
  <c r="BM14" i="23" s="1"/>
  <c r="H41" i="23"/>
  <c r="G41" i="23"/>
  <c r="G35" i="23"/>
  <c r="E35" i="23"/>
  <c r="E69" i="15"/>
  <c r="F64" i="15" s="1"/>
  <c r="G31" i="34" s="1"/>
  <c r="BK140" i="21"/>
  <c r="BK141" i="21" s="1"/>
  <c r="BI141" i="21"/>
  <c r="F66" i="23"/>
  <c r="F67" i="23" s="1"/>
  <c r="G32" i="34" l="1"/>
  <c r="G33" i="34"/>
  <c r="D21" i="34"/>
  <c r="G35" i="34"/>
  <c r="G36" i="34"/>
  <c r="G37" i="34"/>
  <c r="E74" i="15"/>
  <c r="N32" i="21" s="1"/>
  <c r="BI14" i="23"/>
  <c r="J36" i="23"/>
  <c r="AW14" i="23"/>
  <c r="I36" i="23"/>
  <c r="AK14" i="23"/>
  <c r="H36" i="23"/>
  <c r="Y14" i="23"/>
  <c r="G36" i="23"/>
  <c r="M14" i="23"/>
  <c r="F36" i="23"/>
  <c r="E36" i="23"/>
  <c r="G14" i="23"/>
  <c r="G20" i="23"/>
  <c r="H20" i="23"/>
  <c r="H21" i="23" s="1"/>
  <c r="I20" i="23"/>
  <c r="I21" i="23" s="1"/>
  <c r="J20" i="23"/>
  <c r="J21" i="23" s="1"/>
  <c r="K20" i="23"/>
  <c r="K21" i="23" s="1"/>
  <c r="L20" i="23"/>
  <c r="L21" i="23" s="1"/>
  <c r="M20" i="23"/>
  <c r="N20" i="23"/>
  <c r="N21" i="23" s="1"/>
  <c r="O20" i="23"/>
  <c r="O21" i="23" s="1"/>
  <c r="P20" i="23"/>
  <c r="P21" i="23" s="1"/>
  <c r="Q20" i="23"/>
  <c r="Q21" i="23" s="1"/>
  <c r="R20" i="23"/>
  <c r="R21" i="23" s="1"/>
  <c r="S20" i="23"/>
  <c r="S21" i="23" s="1"/>
  <c r="T20" i="23"/>
  <c r="T21" i="23" s="1"/>
  <c r="U20" i="23"/>
  <c r="U21" i="23" s="1"/>
  <c r="V20" i="23"/>
  <c r="V21" i="23" s="1"/>
  <c r="W20" i="23"/>
  <c r="W21" i="23" s="1"/>
  <c r="X20" i="23"/>
  <c r="X21" i="23" s="1"/>
  <c r="Y20" i="23"/>
  <c r="Z20" i="23"/>
  <c r="Z21" i="23" s="1"/>
  <c r="AA20" i="23"/>
  <c r="AA21" i="23" s="1"/>
  <c r="AC20" i="23"/>
  <c r="AC21" i="23" s="1"/>
  <c r="AB20" i="23"/>
  <c r="AB21" i="23" s="1"/>
  <c r="AD20" i="23"/>
  <c r="AD21" i="23" s="1"/>
  <c r="AE20" i="23"/>
  <c r="AE21" i="23" s="1"/>
  <c r="AF20" i="23"/>
  <c r="AF21" i="23" s="1"/>
  <c r="AG20" i="23"/>
  <c r="AG21" i="23" s="1"/>
  <c r="AH20" i="23"/>
  <c r="AH21" i="23" s="1"/>
  <c r="AI20" i="23"/>
  <c r="AI21" i="23" s="1"/>
  <c r="AJ20" i="23"/>
  <c r="AJ21" i="23" s="1"/>
  <c r="AL20" i="23"/>
  <c r="AL21" i="23" s="1"/>
  <c r="AK20" i="23"/>
  <c r="AN20" i="23"/>
  <c r="AN21" i="23" s="1"/>
  <c r="AM20" i="23"/>
  <c r="AM21" i="23" s="1"/>
  <c r="AO20" i="23"/>
  <c r="AO21" i="23" s="1"/>
  <c r="AP20" i="23"/>
  <c r="AP21" i="23" s="1"/>
  <c r="AQ20" i="23"/>
  <c r="AQ21" i="23" s="1"/>
  <c r="AR20" i="23"/>
  <c r="AR21" i="23" s="1"/>
  <c r="AS20" i="23"/>
  <c r="AS21" i="23" s="1"/>
  <c r="AT20" i="23"/>
  <c r="AT21" i="23" s="1"/>
  <c r="AU20" i="23"/>
  <c r="AU21" i="23" s="1"/>
  <c r="AW20" i="23"/>
  <c r="AV20" i="23"/>
  <c r="AV21" i="23" s="1"/>
  <c r="AX20" i="23"/>
  <c r="AX21" i="23" s="1"/>
  <c r="AY20" i="23"/>
  <c r="AY21" i="23" s="1"/>
  <c r="AZ20" i="23"/>
  <c r="AZ21" i="23" s="1"/>
  <c r="BA20" i="23"/>
  <c r="BA21" i="23" s="1"/>
  <c r="BB20" i="23"/>
  <c r="BB21" i="23" s="1"/>
  <c r="BC20" i="23"/>
  <c r="BC21" i="23" s="1"/>
  <c r="BD20" i="23"/>
  <c r="BD21" i="23" s="1"/>
  <c r="BE20" i="23"/>
  <c r="BE21" i="23" s="1"/>
  <c r="BG20" i="23"/>
  <c r="BG21" i="23" s="1"/>
  <c r="BF20" i="23"/>
  <c r="BF21" i="23" s="1"/>
  <c r="BI20" i="23"/>
  <c r="BH20" i="23"/>
  <c r="BH21" i="23" s="1"/>
  <c r="BJ20" i="23"/>
  <c r="BJ21" i="23" s="1"/>
  <c r="BK20" i="23"/>
  <c r="BK21" i="23" s="1"/>
  <c r="BL20" i="23"/>
  <c r="BL21" i="23" s="1"/>
  <c r="BM20" i="23"/>
  <c r="BM21" i="23" s="1"/>
  <c r="BN20" i="23"/>
  <c r="BN21" i="23" s="1"/>
  <c r="E21" i="34" l="1"/>
  <c r="CY17" i="21"/>
  <c r="BI21" i="23"/>
  <c r="J37" i="23"/>
  <c r="J38" i="23" s="1"/>
  <c r="Y21" i="23"/>
  <c r="G37" i="23"/>
  <c r="G38" i="23" s="1"/>
  <c r="M21" i="23"/>
  <c r="F37" i="23"/>
  <c r="F38" i="23" s="1"/>
  <c r="E37" i="23"/>
  <c r="E44" i="23" s="1"/>
  <c r="G21" i="23"/>
  <c r="E43" i="23"/>
  <c r="AW21" i="23"/>
  <c r="I37" i="23"/>
  <c r="I38" i="23" s="1"/>
  <c r="AK21" i="23"/>
  <c r="H37" i="23"/>
  <c r="H38" i="23" s="1"/>
  <c r="F21" i="34" l="1"/>
  <c r="DA17" i="21" s="1"/>
  <c r="CZ17" i="21"/>
  <c r="E38" i="23"/>
  <c r="L195" i="24" s="1"/>
  <c r="N195" i="24"/>
  <c r="F42" i="23"/>
  <c r="N60" i="24" s="1"/>
  <c r="P195" i="24"/>
  <c r="H42" i="23"/>
  <c r="P60" i="24" s="1"/>
  <c r="L164" i="24"/>
  <c r="F44" i="23"/>
  <c r="R195" i="24"/>
  <c r="J42" i="23"/>
  <c r="R60" i="24" s="1"/>
  <c r="Q195" i="24"/>
  <c r="I42" i="23"/>
  <c r="Q60" i="24" s="1"/>
  <c r="F43" i="23"/>
  <c r="L161" i="24"/>
  <c r="Y161" i="24" s="1"/>
  <c r="O195" i="24"/>
  <c r="G42" i="23"/>
  <c r="O60" i="24" s="1"/>
  <c r="E42" i="23" l="1"/>
  <c r="L60" i="24" s="1"/>
  <c r="Y60" i="24" s="1"/>
  <c r="M164" i="24"/>
  <c r="Z164" i="24" s="1"/>
  <c r="Y164" i="24"/>
  <c r="O59" i="24"/>
  <c r="AB60" i="24"/>
  <c r="Q59" i="24"/>
  <c r="AD60" i="24"/>
  <c r="R59" i="24"/>
  <c r="AE60" i="24"/>
  <c r="P59" i="24"/>
  <c r="AC60" i="24"/>
  <c r="N59" i="24"/>
  <c r="AA60" i="24"/>
  <c r="L160" i="24"/>
  <c r="M161" i="24"/>
  <c r="N161" i="24"/>
  <c r="G43" i="23"/>
  <c r="G44" i="23"/>
  <c r="N164" i="24"/>
  <c r="AA164" i="24" s="1"/>
  <c r="L59" i="24" l="1"/>
  <c r="Y59" i="24" s="1"/>
  <c r="M60" i="24"/>
  <c r="M59" i="24" s="1"/>
  <c r="M160" i="24"/>
  <c r="Z161" i="24"/>
  <c r="N160" i="24"/>
  <c r="AA160" i="24" s="1"/>
  <c r="AA161" i="24"/>
  <c r="L158" i="24"/>
  <c r="Y158" i="24" s="1"/>
  <c r="Y160" i="24"/>
  <c r="L58" i="24"/>
  <c r="N58" i="24"/>
  <c r="AA59" i="24"/>
  <c r="P58" i="24"/>
  <c r="AC59" i="24"/>
  <c r="R58" i="24"/>
  <c r="AE59" i="24"/>
  <c r="Q58" i="24"/>
  <c r="AD59" i="24"/>
  <c r="O58" i="24"/>
  <c r="AB59" i="24"/>
  <c r="H44" i="23"/>
  <c r="O164" i="24"/>
  <c r="AB164" i="24" s="1"/>
  <c r="H43" i="23"/>
  <c r="O161" i="24"/>
  <c r="Z60" i="24" l="1"/>
  <c r="N158" i="24"/>
  <c r="AA158" i="24" s="1"/>
  <c r="O160" i="24"/>
  <c r="AB160" i="24" s="1"/>
  <c r="AB161" i="24"/>
  <c r="M158" i="24"/>
  <c r="Z158" i="24" s="1"/>
  <c r="Z160" i="24"/>
  <c r="O158" i="24"/>
  <c r="AB158" i="24" s="1"/>
  <c r="M58" i="24"/>
  <c r="Z59" i="24"/>
  <c r="AB58" i="24"/>
  <c r="AD58" i="24"/>
  <c r="AE58" i="24"/>
  <c r="AC58" i="24"/>
  <c r="AA58" i="24"/>
  <c r="Y58" i="24"/>
  <c r="I44" i="23"/>
  <c r="P164" i="24"/>
  <c r="AC164" i="24" s="1"/>
  <c r="I43" i="23"/>
  <c r="P161" i="24"/>
  <c r="P160" i="24" l="1"/>
  <c r="AC160" i="24" s="1"/>
  <c r="AC161" i="24"/>
  <c r="Z58" i="24"/>
  <c r="J43" i="23"/>
  <c r="R161" i="24" s="1"/>
  <c r="Q161" i="24"/>
  <c r="J44" i="23"/>
  <c r="R164" i="24" s="1"/>
  <c r="AE164" i="24" s="1"/>
  <c r="Q164" i="24"/>
  <c r="AD164" i="24" s="1"/>
  <c r="P158" i="24" l="1"/>
  <c r="AC158" i="24" s="1"/>
  <c r="Q160" i="24"/>
  <c r="AD160" i="24" s="1"/>
  <c r="AD161" i="24"/>
  <c r="R160" i="24"/>
  <c r="AE160" i="24" s="1"/>
  <c r="AE161" i="24"/>
  <c r="Q158" i="24"/>
  <c r="AD158" i="24" s="1"/>
  <c r="R158" i="24" l="1"/>
  <c r="AE158" i="24" s="1"/>
  <c r="AH33" i="21"/>
  <c r="AI33" i="21" s="1"/>
  <c r="H22" i="11"/>
  <c r="H19" i="11" l="1"/>
  <c r="I28" i="11" s="1"/>
  <c r="K28" i="11" s="1"/>
  <c r="L28" i="11" s="1"/>
  <c r="M28" i="11" s="1"/>
  <c r="N28" i="11" s="1"/>
  <c r="O28" i="11" s="1"/>
  <c r="H24" i="11"/>
  <c r="I24" i="11"/>
  <c r="H23" i="11"/>
  <c r="I23" i="11" s="1"/>
  <c r="H31" i="11"/>
  <c r="H32" i="11" s="1"/>
  <c r="I31" i="11" s="1"/>
  <c r="K24" i="11" l="1"/>
  <c r="L24" i="11" s="1"/>
  <c r="M24" i="11" s="1"/>
  <c r="N24" i="11" s="1"/>
  <c r="O24" i="11" s="1"/>
  <c r="I25" i="11"/>
  <c r="K23" i="11"/>
  <c r="I22" i="11"/>
  <c r="K22" i="11" s="1"/>
  <c r="L22" i="11" s="1"/>
  <c r="M22" i="11" s="1"/>
  <c r="K31" i="11"/>
  <c r="G15" i="11" l="1"/>
  <c r="L23" i="11"/>
  <c r="K25" i="11"/>
  <c r="L31" i="11"/>
  <c r="L25" i="11" l="1"/>
  <c r="M23" i="11"/>
  <c r="M31" i="11"/>
  <c r="N22" i="11"/>
  <c r="N23" i="11" l="1"/>
  <c r="M25" i="11"/>
  <c r="N31" i="11"/>
  <c r="O22" i="11"/>
  <c r="O23" i="11" l="1"/>
  <c r="O25" i="11" s="1"/>
  <c r="H25" i="11" s="1"/>
  <c r="N25" i="11"/>
  <c r="O31" i="11"/>
  <c r="G223" i="17"/>
  <c r="L243" i="4"/>
  <c r="K243" i="4"/>
  <c r="J130" i="4"/>
  <c r="L16" i="4" s="1"/>
  <c r="CN57" i="21" s="1"/>
  <c r="H130" i="4"/>
  <c r="G130" i="4"/>
  <c r="G136" i="4" s="1"/>
  <c r="G26" i="4" s="1"/>
  <c r="F33" i="4" s="1"/>
  <c r="F35" i="4" s="1"/>
  <c r="F57" i="10" l="1"/>
  <c r="F59" i="10" s="1"/>
  <c r="I16" i="4"/>
  <c r="G57" i="10"/>
  <c r="J16" i="4"/>
  <c r="K29" i="11"/>
  <c r="L29" i="11" s="1"/>
  <c r="I15" i="11"/>
  <c r="J15" i="11"/>
  <c r="H223" i="17"/>
  <c r="BJ45" i="21"/>
  <c r="D40" i="4"/>
  <c r="E40" i="4" s="1"/>
  <c r="F36" i="4" s="1"/>
  <c r="H26" i="4" s="1"/>
  <c r="J12" i="4" s="1"/>
  <c r="I17" i="4"/>
  <c r="AE14" i="21"/>
  <c r="AE15" i="21" s="1"/>
  <c r="H136" i="4"/>
  <c r="J13" i="4" s="1"/>
  <c r="K13" i="4" s="1"/>
  <c r="I130" i="4"/>
  <c r="AF14" i="21"/>
  <c r="J136" i="4"/>
  <c r="L13" i="4" s="1"/>
  <c r="H57" i="10"/>
  <c r="F220" i="17" l="1"/>
  <c r="BI43" i="21" s="1"/>
  <c r="H24" i="10"/>
  <c r="H25" i="10" s="1"/>
  <c r="G59" i="10"/>
  <c r="G54" i="10" s="1"/>
  <c r="I13" i="10" s="1"/>
  <c r="G220" i="17"/>
  <c r="BJ43" i="21" s="1"/>
  <c r="I24" i="10"/>
  <c r="I25" i="10" s="1"/>
  <c r="G58" i="10"/>
  <c r="G50" i="10" s="1"/>
  <c r="AF15" i="21"/>
  <c r="G48" i="10"/>
  <c r="I131" i="4"/>
  <c r="G67" i="4" s="1"/>
  <c r="K16" i="4"/>
  <c r="CM57" i="21" s="1"/>
  <c r="CN58" i="21" s="1"/>
  <c r="J127" i="4"/>
  <c r="J131" i="4"/>
  <c r="H67" i="4" s="1"/>
  <c r="M29" i="11"/>
  <c r="K15" i="11"/>
  <c r="F132" i="17"/>
  <c r="F134" i="17" s="1"/>
  <c r="G53" i="10"/>
  <c r="I12" i="10" s="1"/>
  <c r="BK45" i="21"/>
  <c r="I223" i="17"/>
  <c r="H220" i="17"/>
  <c r="J24" i="10"/>
  <c r="H59" i="10"/>
  <c r="I136" i="4"/>
  <c r="H58" i="10"/>
  <c r="I26" i="4"/>
  <c r="J11" i="4"/>
  <c r="K12" i="4"/>
  <c r="K11" i="4" s="1"/>
  <c r="G46" i="10" l="1"/>
  <c r="I7" i="10" s="1"/>
  <c r="G47" i="10"/>
  <c r="G45" i="10"/>
  <c r="BJ80" i="21" s="1"/>
  <c r="G221" i="17"/>
  <c r="G222" i="17" s="1"/>
  <c r="BJ44" i="21" s="1"/>
  <c r="H83" i="17"/>
  <c r="H87" i="17" s="1"/>
  <c r="F221" i="17"/>
  <c r="G49" i="10"/>
  <c r="H68" i="17"/>
  <c r="H69" i="17" s="1"/>
  <c r="BJ86" i="21"/>
  <c r="J25" i="10"/>
  <c r="BJ85" i="21"/>
  <c r="N29" i="11"/>
  <c r="O29" i="11"/>
  <c r="L15" i="11"/>
  <c r="I6" i="10"/>
  <c r="BL45" i="21"/>
  <c r="J223" i="17"/>
  <c r="M243" i="4"/>
  <c r="K130" i="4"/>
  <c r="M16" i="4" s="1"/>
  <c r="CO57" i="21" s="1"/>
  <c r="CO58" i="21" s="1"/>
  <c r="K17" i="4"/>
  <c r="K18" i="4" s="1"/>
  <c r="K15" i="4"/>
  <c r="AE12" i="21" s="1"/>
  <c r="H14" i="11"/>
  <c r="J7" i="11"/>
  <c r="J6" i="15"/>
  <c r="H48" i="10"/>
  <c r="H54" i="10"/>
  <c r="H47" i="10"/>
  <c r="H46" i="10"/>
  <c r="G132" i="17"/>
  <c r="I83" i="17" s="1"/>
  <c r="H53" i="10"/>
  <c r="H45" i="10"/>
  <c r="J17" i="4"/>
  <c r="I7" i="11"/>
  <c r="H5" i="17"/>
  <c r="H39" i="20"/>
  <c r="G14" i="11"/>
  <c r="G16" i="11" s="1"/>
  <c r="L7" i="24"/>
  <c r="I6" i="15"/>
  <c r="L202" i="24"/>
  <c r="I31" i="10"/>
  <c r="I27" i="4"/>
  <c r="I25" i="4"/>
  <c r="H49" i="10"/>
  <c r="H50" i="10"/>
  <c r="I32" i="10"/>
  <c r="L203" i="24"/>
  <c r="AU16" i="21"/>
  <c r="F254" i="17"/>
  <c r="F252" i="17" s="1"/>
  <c r="E238" i="17"/>
  <c r="G131" i="17"/>
  <c r="I9" i="10"/>
  <c r="BJ83" i="21"/>
  <c r="BK43" i="21"/>
  <c r="H221" i="17"/>
  <c r="BJ81" i="21" l="1"/>
  <c r="G51" i="10"/>
  <c r="H86" i="17"/>
  <c r="H222" i="17"/>
  <c r="H225" i="17" s="1"/>
  <c r="G225" i="17"/>
  <c r="H20" i="17" s="1"/>
  <c r="H16" i="16" s="1"/>
  <c r="I10" i="10"/>
  <c r="BJ84" i="21"/>
  <c r="H56" i="17"/>
  <c r="H57" i="17" s="1"/>
  <c r="I8" i="10"/>
  <c r="BJ82" i="21"/>
  <c r="M15" i="11"/>
  <c r="BM45" i="21"/>
  <c r="K223" i="17"/>
  <c r="G134" i="17"/>
  <c r="H131" i="17" s="1"/>
  <c r="K136" i="4"/>
  <c r="M13" i="4" s="1"/>
  <c r="K127" i="4"/>
  <c r="I57" i="10"/>
  <c r="K131" i="4"/>
  <c r="I67" i="4" s="1"/>
  <c r="AG14" i="21"/>
  <c r="AG15" i="21" s="1"/>
  <c r="N243" i="4"/>
  <c r="L130" i="4"/>
  <c r="N16" i="4" s="1"/>
  <c r="CP57" i="21" s="1"/>
  <c r="CP58" i="21" s="1"/>
  <c r="BK44" i="21"/>
  <c r="I20" i="17"/>
  <c r="E239" i="17"/>
  <c r="F238" i="17"/>
  <c r="F239" i="17" s="1"/>
  <c r="AU18" i="21"/>
  <c r="H80" i="17"/>
  <c r="L134" i="24"/>
  <c r="J10" i="10"/>
  <c r="BK84" i="21"/>
  <c r="Y7" i="24"/>
  <c r="M7" i="24"/>
  <c r="H41" i="20"/>
  <c r="H11" i="20" s="1"/>
  <c r="H40" i="20"/>
  <c r="H7" i="20" s="1"/>
  <c r="BK85" i="21"/>
  <c r="J12" i="10"/>
  <c r="N202" i="24" s="1"/>
  <c r="BK81" i="21"/>
  <c r="J7" i="10"/>
  <c r="J13" i="10"/>
  <c r="N203" i="24" s="1"/>
  <c r="BK86" i="21"/>
  <c r="J7" i="15"/>
  <c r="Q5" i="21"/>
  <c r="AU19" i="21"/>
  <c r="H81" i="17"/>
  <c r="BK83" i="21"/>
  <c r="J9" i="10"/>
  <c r="AE8" i="21"/>
  <c r="G66" i="4"/>
  <c r="L126" i="24"/>
  <c r="I7" i="15"/>
  <c r="P5" i="21"/>
  <c r="I6" i="11"/>
  <c r="H16" i="11"/>
  <c r="O21" i="17"/>
  <c r="O30" i="17"/>
  <c r="O24" i="17"/>
  <c r="O27" i="17"/>
  <c r="O25" i="17"/>
  <c r="O28" i="17"/>
  <c r="O34" i="17"/>
  <c r="O22" i="17"/>
  <c r="O23" i="17"/>
  <c r="O19" i="17"/>
  <c r="O26" i="17"/>
  <c r="O29" i="17"/>
  <c r="O31" i="17"/>
  <c r="H32" i="16"/>
  <c r="I32" i="16" s="1"/>
  <c r="H17" i="17"/>
  <c r="H14" i="17"/>
  <c r="H16" i="17"/>
  <c r="H169" i="17"/>
  <c r="H168" i="17" s="1"/>
  <c r="H15" i="17" s="1"/>
  <c r="H18" i="17"/>
  <c r="O18" i="17" s="1"/>
  <c r="O20" i="17"/>
  <c r="H51" i="10"/>
  <c r="BK80" i="21"/>
  <c r="J6" i="10"/>
  <c r="AV16" i="21"/>
  <c r="I87" i="17"/>
  <c r="AV19" i="21" s="1"/>
  <c r="I86" i="17"/>
  <c r="AV18" i="21" s="1"/>
  <c r="BK82" i="21"/>
  <c r="J8" i="10"/>
  <c r="I68" i="17"/>
  <c r="BJ79" i="21" l="1"/>
  <c r="BJ78" i="21" s="1"/>
  <c r="I2" i="10"/>
  <c r="I14" i="10"/>
  <c r="G254" i="17"/>
  <c r="G252" i="17" s="1"/>
  <c r="L201" i="24"/>
  <c r="L200" i="24" s="1"/>
  <c r="BN45" i="21"/>
  <c r="L223" i="17"/>
  <c r="BO45" i="21" s="1"/>
  <c r="O243" i="4"/>
  <c r="M130" i="4"/>
  <c r="O16" i="4" s="1"/>
  <c r="CQ57" i="21" s="1"/>
  <c r="CQ58" i="21" s="1"/>
  <c r="K24" i="10"/>
  <c r="K25" i="10" s="1"/>
  <c r="I220" i="17"/>
  <c r="I58" i="10"/>
  <c r="I59" i="10"/>
  <c r="J57" i="10"/>
  <c r="J58" i="10" s="1"/>
  <c r="AH14" i="21"/>
  <c r="AH15" i="21" s="1"/>
  <c r="L136" i="4"/>
  <c r="N13" i="4" s="1"/>
  <c r="L127" i="4"/>
  <c r="L131" i="4"/>
  <c r="J67" i="4" s="1"/>
  <c r="P243" i="4"/>
  <c r="N130" i="4"/>
  <c r="P16" i="4" s="1"/>
  <c r="CR57" i="21" s="1"/>
  <c r="AV20" i="21"/>
  <c r="BK79" i="21"/>
  <c r="BK78" i="21" s="1"/>
  <c r="H14" i="16"/>
  <c r="I16" i="16"/>
  <c r="P71" i="21"/>
  <c r="BJ34" i="21" s="1"/>
  <c r="BJ47" i="21" s="1"/>
  <c r="L18" i="24"/>
  <c r="H46" i="17"/>
  <c r="O15" i="17"/>
  <c r="H11" i="16"/>
  <c r="H45" i="17"/>
  <c r="O14" i="17"/>
  <c r="H13" i="17"/>
  <c r="O13" i="17" s="1"/>
  <c r="H10" i="16"/>
  <c r="J6" i="11"/>
  <c r="H15" i="11"/>
  <c r="Y126" i="24"/>
  <c r="M126" i="24"/>
  <c r="Z126" i="24" s="1"/>
  <c r="Q85" i="21"/>
  <c r="Q90" i="21" s="1"/>
  <c r="Q65" i="21" s="1"/>
  <c r="Q6" i="21"/>
  <c r="Q41" i="21"/>
  <c r="P100" i="21"/>
  <c r="O7" i="20"/>
  <c r="O5" i="20" s="1"/>
  <c r="L95" i="24"/>
  <c r="H5" i="20"/>
  <c r="Y134" i="24"/>
  <c r="L131" i="24"/>
  <c r="Y131" i="24" s="1"/>
  <c r="M134" i="24"/>
  <c r="AU20" i="21"/>
  <c r="I69" i="17"/>
  <c r="I56" i="17"/>
  <c r="I57" i="17" s="1"/>
  <c r="J2" i="10"/>
  <c r="J14" i="10"/>
  <c r="N201" i="24"/>
  <c r="N200" i="24" s="1"/>
  <c r="H47" i="17"/>
  <c r="O16" i="17"/>
  <c r="H12" i="16"/>
  <c r="H48" i="17"/>
  <c r="O17" i="17"/>
  <c r="H13" i="16"/>
  <c r="I8" i="11"/>
  <c r="L8" i="24"/>
  <c r="I8" i="15"/>
  <c r="P109" i="21"/>
  <c r="AE11" i="21"/>
  <c r="AE24" i="21" s="1"/>
  <c r="BJ5" i="21"/>
  <c r="P41" i="21"/>
  <c r="P85" i="21"/>
  <c r="P90" i="21" s="1"/>
  <c r="P65" i="21" s="1"/>
  <c r="BJ11" i="21" s="1"/>
  <c r="G68" i="4"/>
  <c r="H66" i="4" s="1"/>
  <c r="AU8" i="21"/>
  <c r="H99" i="17"/>
  <c r="I81" i="17"/>
  <c r="I24" i="15"/>
  <c r="I23" i="10"/>
  <c r="P104" i="21"/>
  <c r="O11" i="20"/>
  <c r="L155" i="24"/>
  <c r="Z7" i="24"/>
  <c r="AU7" i="21"/>
  <c r="H98" i="17"/>
  <c r="I80" i="17"/>
  <c r="I18" i="17"/>
  <c r="J16" i="16"/>
  <c r="J32" i="10"/>
  <c r="BJ12" i="21" l="1"/>
  <c r="CR58" i="21"/>
  <c r="H100" i="17"/>
  <c r="H9" i="17" s="1"/>
  <c r="H11" i="17" s="1"/>
  <c r="J50" i="10"/>
  <c r="J49" i="10"/>
  <c r="N131" i="4"/>
  <c r="L67" i="4" s="1"/>
  <c r="AJ14" i="21"/>
  <c r="L57" i="10"/>
  <c r="N127" i="4"/>
  <c r="N136" i="4"/>
  <c r="P13" i="4" s="1"/>
  <c r="BL43" i="21"/>
  <c r="I221" i="17"/>
  <c r="I222" i="17" s="1"/>
  <c r="I225" i="17" s="1"/>
  <c r="K57" i="10"/>
  <c r="K58" i="10" s="1"/>
  <c r="M127" i="4"/>
  <c r="M131" i="4"/>
  <c r="K67" i="4" s="1"/>
  <c r="AI14" i="21"/>
  <c r="AI15" i="21" s="1"/>
  <c r="M136" i="4"/>
  <c r="O13" i="4" s="1"/>
  <c r="L24" i="10"/>
  <c r="L25" i="10" s="1"/>
  <c r="J220" i="17"/>
  <c r="J59" i="10"/>
  <c r="I47" i="10"/>
  <c r="I48" i="10"/>
  <c r="I54" i="10"/>
  <c r="H132" i="17"/>
  <c r="I45" i="10"/>
  <c r="I46" i="10"/>
  <c r="I53" i="10"/>
  <c r="I50" i="10"/>
  <c r="I49" i="10"/>
  <c r="AU9" i="21"/>
  <c r="I66" i="4"/>
  <c r="J25" i="4"/>
  <c r="N134" i="24"/>
  <c r="J14" i="16"/>
  <c r="R71" i="21"/>
  <c r="BK34" i="21" s="1"/>
  <c r="BK47" i="21" s="1"/>
  <c r="N18" i="24"/>
  <c r="AA18" i="24" s="1"/>
  <c r="AV7" i="21"/>
  <c r="I98" i="17"/>
  <c r="I99" i="17"/>
  <c r="AV8" i="21"/>
  <c r="P40" i="21"/>
  <c r="P42" i="21"/>
  <c r="P7" i="21"/>
  <c r="I9" i="15"/>
  <c r="P8" i="21" s="1"/>
  <c r="I10" i="15"/>
  <c r="I12" i="16"/>
  <c r="Q66" i="21" s="1"/>
  <c r="P66" i="21"/>
  <c r="BJ13" i="21" s="1"/>
  <c r="BJ14" i="21" s="1"/>
  <c r="L34" i="24"/>
  <c r="P101" i="21"/>
  <c r="Q40" i="21"/>
  <c r="Q42" i="21"/>
  <c r="J8" i="11"/>
  <c r="J8" i="15"/>
  <c r="M18" i="24"/>
  <c r="Z18" i="24" s="1"/>
  <c r="Y18" i="24"/>
  <c r="Q71" i="21"/>
  <c r="I14" i="16"/>
  <c r="Y155" i="24"/>
  <c r="L153" i="24"/>
  <c r="Y153" i="24" s="1"/>
  <c r="M155" i="24"/>
  <c r="P21" i="21"/>
  <c r="J24" i="15"/>
  <c r="Q21" i="21" s="1"/>
  <c r="Y8" i="24"/>
  <c r="M8" i="24"/>
  <c r="L9" i="24"/>
  <c r="L35" i="24"/>
  <c r="P67" i="21"/>
  <c r="BJ15" i="21" s="1"/>
  <c r="BJ16" i="21" s="1"/>
  <c r="I13" i="16"/>
  <c r="Q67" i="21" s="1"/>
  <c r="K24" i="15"/>
  <c r="R21" i="21" s="1"/>
  <c r="J23" i="10"/>
  <c r="M131" i="24"/>
  <c r="Z131" i="24" s="1"/>
  <c r="Z134" i="24"/>
  <c r="Y95" i="24"/>
  <c r="L94" i="24"/>
  <c r="Y94" i="24" s="1"/>
  <c r="M95" i="24"/>
  <c r="H9" i="16"/>
  <c r="L16" i="24"/>
  <c r="I10" i="16"/>
  <c r="P64" i="21"/>
  <c r="L17" i="24"/>
  <c r="P91" i="21"/>
  <c r="P70" i="21" s="1"/>
  <c r="I11" i="16"/>
  <c r="Q91" i="21" s="1"/>
  <c r="Q70" i="21" s="1"/>
  <c r="O9" i="17" l="1"/>
  <c r="H5" i="16"/>
  <c r="L12" i="24" s="1"/>
  <c r="H10" i="17"/>
  <c r="O10" i="17" s="1"/>
  <c r="H12" i="17"/>
  <c r="O12" i="17" s="1"/>
  <c r="BL84" i="21"/>
  <c r="K10" i="10"/>
  <c r="K12" i="10"/>
  <c r="O202" i="24" s="1"/>
  <c r="BL85" i="21"/>
  <c r="I51" i="10"/>
  <c r="K6" i="10"/>
  <c r="BL80" i="21"/>
  <c r="BL86" i="21"/>
  <c r="K13" i="10"/>
  <c r="K8" i="10"/>
  <c r="BL82" i="21"/>
  <c r="K49" i="10"/>
  <c r="K50" i="10"/>
  <c r="BL44" i="21"/>
  <c r="J20" i="17"/>
  <c r="L58" i="10"/>
  <c r="N24" i="10"/>
  <c r="L220" i="17"/>
  <c r="L59" i="10"/>
  <c r="BM83" i="21"/>
  <c r="L9" i="10"/>
  <c r="K9" i="10"/>
  <c r="BL83" i="21"/>
  <c r="K7" i="10"/>
  <c r="BL81" i="21"/>
  <c r="J83" i="17"/>
  <c r="H134" i="17"/>
  <c r="J68" i="17"/>
  <c r="J48" i="10"/>
  <c r="J54" i="10"/>
  <c r="J47" i="10"/>
  <c r="J45" i="10"/>
  <c r="J46" i="10"/>
  <c r="I132" i="17"/>
  <c r="K83" i="17" s="1"/>
  <c r="J53" i="10"/>
  <c r="BM43" i="21"/>
  <c r="J221" i="17"/>
  <c r="J222" i="17" s="1"/>
  <c r="J225" i="17" s="1"/>
  <c r="K59" i="10"/>
  <c r="K220" i="17"/>
  <c r="M24" i="10"/>
  <c r="M25" i="10" s="1"/>
  <c r="L10" i="10"/>
  <c r="BM84" i="21"/>
  <c r="AJ15" i="21"/>
  <c r="AV9" i="21"/>
  <c r="M17" i="24"/>
  <c r="Z17" i="24" s="1"/>
  <c r="Y17" i="24"/>
  <c r="BJ9" i="21"/>
  <c r="BJ10" i="21" s="1"/>
  <c r="P63" i="21"/>
  <c r="BJ7" i="21" s="1"/>
  <c r="BJ8" i="21" s="1"/>
  <c r="M16" i="24"/>
  <c r="Z16" i="24" s="1"/>
  <c r="Y16" i="24"/>
  <c r="Z95" i="24"/>
  <c r="M94" i="24"/>
  <c r="Z94" i="24" s="1"/>
  <c r="Y35" i="24"/>
  <c r="M35" i="24"/>
  <c r="Z35" i="24" s="1"/>
  <c r="Z8" i="24"/>
  <c r="M9" i="24"/>
  <c r="H42" i="17"/>
  <c r="H7" i="16"/>
  <c r="O11" i="17"/>
  <c r="P9" i="21"/>
  <c r="P50" i="21" s="1"/>
  <c r="P51" i="21" s="1"/>
  <c r="P46" i="21"/>
  <c r="AE26" i="21"/>
  <c r="AE27" i="21" s="1"/>
  <c r="P110" i="21"/>
  <c r="AA134" i="24"/>
  <c r="N131" i="24"/>
  <c r="AA131" i="24" s="1"/>
  <c r="K25" i="4"/>
  <c r="J66" i="4"/>
  <c r="I100" i="17"/>
  <c r="I9" i="17" s="1"/>
  <c r="Q64" i="21"/>
  <c r="Q63" i="21" s="1"/>
  <c r="I9" i="16"/>
  <c r="Y9" i="24"/>
  <c r="Z155" i="24"/>
  <c r="M153" i="24"/>
  <c r="Z153" i="24" s="1"/>
  <c r="Q7" i="21"/>
  <c r="Q46" i="21" s="1"/>
  <c r="J9" i="15"/>
  <c r="Q8" i="21" s="1"/>
  <c r="J10" i="15"/>
  <c r="Y34" i="24"/>
  <c r="L33" i="24"/>
  <c r="Y33" i="24" s="1"/>
  <c r="M34" i="24"/>
  <c r="AF8" i="21"/>
  <c r="AF9" i="21" s="1"/>
  <c r="J26" i="4"/>
  <c r="H41" i="17" l="1"/>
  <c r="H43" i="17"/>
  <c r="H8" i="16"/>
  <c r="P62" i="21" s="1"/>
  <c r="I5" i="16"/>
  <c r="Q59" i="21" s="1"/>
  <c r="H8" i="17"/>
  <c r="O8" i="17" s="1"/>
  <c r="P59" i="21"/>
  <c r="H6" i="16"/>
  <c r="P60" i="21" s="1"/>
  <c r="BM44" i="21"/>
  <c r="K20" i="17"/>
  <c r="K221" i="17"/>
  <c r="K222" i="17" s="1"/>
  <c r="K225" i="17" s="1"/>
  <c r="BN43" i="21"/>
  <c r="BM85" i="21"/>
  <c r="L12" i="10"/>
  <c r="P202" i="24" s="1"/>
  <c r="L7" i="10"/>
  <c r="BM81" i="21"/>
  <c r="BM82" i="21"/>
  <c r="L8" i="10"/>
  <c r="I131" i="17"/>
  <c r="I134" i="17" s="1"/>
  <c r="H254" i="17"/>
  <c r="H252" i="17" s="1"/>
  <c r="L47" i="10"/>
  <c r="L48" i="10"/>
  <c r="L54" i="10"/>
  <c r="L45" i="10"/>
  <c r="K132" i="17"/>
  <c r="M83" i="17" s="1"/>
  <c r="L46" i="10"/>
  <c r="L53" i="10"/>
  <c r="BN84" i="21"/>
  <c r="M10" i="10"/>
  <c r="O203" i="24"/>
  <c r="K32" i="10"/>
  <c r="N25" i="10"/>
  <c r="BL79" i="21"/>
  <c r="BL78" i="21" s="1"/>
  <c r="K47" i="10"/>
  <c r="K54" i="10"/>
  <c r="K48" i="10"/>
  <c r="K45" i="10"/>
  <c r="K46" i="10"/>
  <c r="J132" i="17"/>
  <c r="L83" i="17" s="1"/>
  <c r="K53" i="10"/>
  <c r="AX16" i="21"/>
  <c r="K87" i="17"/>
  <c r="AX19" i="21" s="1"/>
  <c r="K86" i="17"/>
  <c r="AX18" i="21" s="1"/>
  <c r="BM80" i="21"/>
  <c r="J51" i="10"/>
  <c r="L6" i="10"/>
  <c r="L13" i="10"/>
  <c r="P203" i="24" s="1"/>
  <c r="BM86" i="21"/>
  <c r="J56" i="17"/>
  <c r="J57" i="17" s="1"/>
  <c r="J69" i="17"/>
  <c r="K68" i="17"/>
  <c r="AW16" i="21"/>
  <c r="J87" i="17"/>
  <c r="J86" i="17"/>
  <c r="BO43" i="21"/>
  <c r="L221" i="17"/>
  <c r="L49" i="10"/>
  <c r="L50" i="10"/>
  <c r="J18" i="17"/>
  <c r="K16" i="16"/>
  <c r="BN83" i="21"/>
  <c r="M9" i="10"/>
  <c r="O201" i="24"/>
  <c r="K2" i="10"/>
  <c r="K14" i="10"/>
  <c r="J27" i="4"/>
  <c r="L12" i="4"/>
  <c r="L11" i="4" s="1"/>
  <c r="Z34" i="24"/>
  <c r="M33" i="24"/>
  <c r="Z33" i="24" s="1"/>
  <c r="Q9" i="21"/>
  <c r="Q50" i="21" s="1"/>
  <c r="Q51" i="21" s="1"/>
  <c r="Q47" i="21"/>
  <c r="Q45" i="21"/>
  <c r="I12" i="17"/>
  <c r="I10" i="17"/>
  <c r="I11" i="17"/>
  <c r="J5" i="16"/>
  <c r="AG8" i="21"/>
  <c r="AG9" i="21" s="1"/>
  <c r="K26" i="4"/>
  <c r="Z9" i="24"/>
  <c r="K66" i="4"/>
  <c r="L25" i="4"/>
  <c r="P45" i="21"/>
  <c r="P47" i="21"/>
  <c r="P61" i="21"/>
  <c r="I7" i="16"/>
  <c r="Q61" i="21" s="1"/>
  <c r="L14" i="24"/>
  <c r="Y12" i="24"/>
  <c r="M12" i="24"/>
  <c r="H4" i="16" l="1"/>
  <c r="L28" i="24"/>
  <c r="L13" i="24"/>
  <c r="M13" i="24" s="1"/>
  <c r="Z13" i="24" s="1"/>
  <c r="I8" i="16"/>
  <c r="Q62" i="21" s="1"/>
  <c r="I6" i="16"/>
  <c r="Q60" i="21" s="1"/>
  <c r="O200" i="24"/>
  <c r="C254" i="10" a="1"/>
  <c r="C254" i="10" s="1"/>
  <c r="C287" i="10" a="1"/>
  <c r="C289" i="10" s="1"/>
  <c r="I8" i="17"/>
  <c r="BM79" i="21"/>
  <c r="BM78" i="21" s="1"/>
  <c r="K23" i="10"/>
  <c r="L24" i="15"/>
  <c r="S21" i="21" s="1"/>
  <c r="BO84" i="21"/>
  <c r="N10" i="10"/>
  <c r="AW19" i="21"/>
  <c r="J81" i="17"/>
  <c r="K56" i="17"/>
  <c r="K57" i="17" s="1"/>
  <c r="L68" i="17"/>
  <c r="K69" i="17"/>
  <c r="L86" i="17"/>
  <c r="AY18" i="21" s="1"/>
  <c r="L87" i="17"/>
  <c r="AY19" i="21" s="1"/>
  <c r="AY16" i="21"/>
  <c r="BN80" i="21"/>
  <c r="M6" i="10"/>
  <c r="M13" i="10"/>
  <c r="Q203" i="24" s="1"/>
  <c r="BN86" i="21"/>
  <c r="N12" i="10"/>
  <c r="R202" i="24" s="1"/>
  <c r="BO85" i="21"/>
  <c r="M86" i="17"/>
  <c r="AZ18" i="21" s="1"/>
  <c r="AZ16" i="21"/>
  <c r="M87" i="17"/>
  <c r="AZ19" i="21" s="1"/>
  <c r="N13" i="10"/>
  <c r="R203" i="24" s="1"/>
  <c r="BO86" i="21"/>
  <c r="BO82" i="21"/>
  <c r="N8" i="10"/>
  <c r="I254" i="17"/>
  <c r="I252" i="17" s="1"/>
  <c r="J131" i="17"/>
  <c r="J134" i="17" s="1"/>
  <c r="K18" i="17"/>
  <c r="L16" i="16"/>
  <c r="AX20" i="21"/>
  <c r="C276" i="10" a="1"/>
  <c r="S71" i="21"/>
  <c r="BL34" i="21" s="1"/>
  <c r="BL47" i="21" s="1"/>
  <c r="O18" i="24"/>
  <c r="AB18" i="24" s="1"/>
  <c r="K14" i="16"/>
  <c r="N9" i="10"/>
  <c r="BO83" i="21"/>
  <c r="AW18" i="21"/>
  <c r="J80" i="17"/>
  <c r="P201" i="24"/>
  <c r="P200" i="24" s="1"/>
  <c r="L2" i="10"/>
  <c r="L14" i="10"/>
  <c r="BN85" i="21"/>
  <c r="M12" i="10"/>
  <c r="Q202" i="24" s="1"/>
  <c r="M7" i="10"/>
  <c r="BN81" i="21"/>
  <c r="C243" i="10" a="1"/>
  <c r="BN82" i="21"/>
  <c r="M8" i="10"/>
  <c r="L32" i="10"/>
  <c r="O134" i="24"/>
  <c r="BO81" i="21"/>
  <c r="N7" i="10"/>
  <c r="L51" i="10"/>
  <c r="N6" i="10"/>
  <c r="BO80" i="21"/>
  <c r="BN44" i="21"/>
  <c r="L20" i="17"/>
  <c r="L222" i="17"/>
  <c r="L225" i="17" s="1"/>
  <c r="K51" i="10"/>
  <c r="C265" i="10" a="1"/>
  <c r="P58" i="21"/>
  <c r="Z12" i="24"/>
  <c r="M14" i="24"/>
  <c r="Z14" i="24" s="1"/>
  <c r="Y14" i="24"/>
  <c r="AH8" i="21"/>
  <c r="AH9" i="21" s="1"/>
  <c r="L26" i="4"/>
  <c r="I42" i="17"/>
  <c r="J7" i="16"/>
  <c r="I41" i="17"/>
  <c r="J6" i="16"/>
  <c r="Q58" i="21"/>
  <c r="M25" i="4"/>
  <c r="L66" i="4"/>
  <c r="N25" i="4" s="1"/>
  <c r="M28" i="24"/>
  <c r="Z28" i="24" s="1"/>
  <c r="Y28" i="24"/>
  <c r="K27" i="4"/>
  <c r="M12" i="4"/>
  <c r="M11" i="4" s="1"/>
  <c r="R59" i="21"/>
  <c r="N12" i="24"/>
  <c r="I43" i="17"/>
  <c r="J8" i="16"/>
  <c r="L15" i="4"/>
  <c r="AF12" i="21" s="1"/>
  <c r="K7" i="11"/>
  <c r="L17" i="4"/>
  <c r="L18" i="4" s="1"/>
  <c r="I39" i="20"/>
  <c r="I5" i="17"/>
  <c r="P11" i="17" s="1"/>
  <c r="K6" i="15"/>
  <c r="I14" i="11"/>
  <c r="I16" i="11" s="1"/>
  <c r="K6" i="11" s="1"/>
  <c r="N7" i="24"/>
  <c r="AW20" i="21" l="1"/>
  <c r="Y13" i="24"/>
  <c r="I4" i="16"/>
  <c r="C256" i="10"/>
  <c r="H256" i="10" s="1"/>
  <c r="I256" i="10" s="1"/>
  <c r="J256" i="10" s="1"/>
  <c r="C258" i="10"/>
  <c r="J258" i="10" s="1"/>
  <c r="C257" i="10"/>
  <c r="I257" i="10" s="1"/>
  <c r="J257" i="10" s="1"/>
  <c r="C255" i="10"/>
  <c r="G255" i="10" s="1"/>
  <c r="H255" i="10" s="1"/>
  <c r="C259" i="10"/>
  <c r="C290" i="10"/>
  <c r="I290" i="10" s="1"/>
  <c r="J290" i="10" s="1"/>
  <c r="C292" i="10"/>
  <c r="C287" i="10"/>
  <c r="F287" i="10" s="1"/>
  <c r="G287" i="10" s="1"/>
  <c r="C288" i="10"/>
  <c r="M14" i="10"/>
  <c r="M23" i="10" s="1"/>
  <c r="C291" i="10"/>
  <c r="J291" i="10" s="1"/>
  <c r="BO79" i="21"/>
  <c r="BO78" i="21" s="1"/>
  <c r="AY20" i="21"/>
  <c r="M16" i="16"/>
  <c r="L18" i="17"/>
  <c r="M32" i="10"/>
  <c r="P134" i="24"/>
  <c r="M24" i="15"/>
  <c r="T21" i="21" s="1"/>
  <c r="L23" i="10"/>
  <c r="C278" i="10"/>
  <c r="G278" i="10" s="1"/>
  <c r="C279" i="10"/>
  <c r="I279" i="10" s="1"/>
  <c r="J279" i="10" s="1"/>
  <c r="C277" i="10"/>
  <c r="C276" i="10"/>
  <c r="C281" i="10"/>
  <c r="C280" i="10"/>
  <c r="J280" i="10" s="1"/>
  <c r="L14" i="16"/>
  <c r="P18" i="24"/>
  <c r="AC18" i="24" s="1"/>
  <c r="T71" i="21"/>
  <c r="BM34" i="21" s="1"/>
  <c r="BM47" i="21" s="1"/>
  <c r="J254" i="17"/>
  <c r="J252" i="17" s="1"/>
  <c r="K131" i="17"/>
  <c r="K134" i="17" s="1"/>
  <c r="K254" i="17" s="1"/>
  <c r="K252" i="17" s="1"/>
  <c r="H289" i="10"/>
  <c r="I289" i="10" s="1"/>
  <c r="AZ20" i="21"/>
  <c r="BN79" i="21"/>
  <c r="BN78" i="21" s="1"/>
  <c r="C268" i="10"/>
  <c r="I268" i="10" s="1"/>
  <c r="J268" i="10" s="1"/>
  <c r="C269" i="10"/>
  <c r="J269" i="10" s="1"/>
  <c r="C265" i="10"/>
  <c r="C266" i="10"/>
  <c r="C267" i="10"/>
  <c r="C270" i="10"/>
  <c r="BO44" i="21"/>
  <c r="M20" i="17"/>
  <c r="R201" i="24"/>
  <c r="R200" i="24" s="1"/>
  <c r="N14" i="10"/>
  <c r="N2" i="10"/>
  <c r="O131" i="24"/>
  <c r="AB131" i="24" s="1"/>
  <c r="AB134" i="24"/>
  <c r="C246" i="10"/>
  <c r="I246" i="10" s="1"/>
  <c r="J246" i="10" s="1"/>
  <c r="C247" i="10"/>
  <c r="J247" i="10" s="1"/>
  <c r="C245" i="10"/>
  <c r="C248" i="10"/>
  <c r="C243" i="10"/>
  <c r="C244" i="10"/>
  <c r="J98" i="17"/>
  <c r="AW7" i="21"/>
  <c r="K80" i="17"/>
  <c r="F254" i="10"/>
  <c r="G254" i="10" s="1"/>
  <c r="M2" i="10"/>
  <c r="Q201" i="24"/>
  <c r="Q200" i="24" s="1"/>
  <c r="L69" i="17"/>
  <c r="L56" i="17"/>
  <c r="L57" i="17" s="1"/>
  <c r="M68" i="17"/>
  <c r="K81" i="17"/>
  <c r="J99" i="17"/>
  <c r="AW8" i="21"/>
  <c r="G288" i="10"/>
  <c r="H288" i="10" s="1"/>
  <c r="I288" i="10" s="1"/>
  <c r="AA7" i="24"/>
  <c r="K7" i="15"/>
  <c r="R5" i="21"/>
  <c r="I40" i="20"/>
  <c r="I7" i="20" s="1"/>
  <c r="I41" i="20"/>
  <c r="I11" i="20" s="1"/>
  <c r="R62" i="21"/>
  <c r="N28" i="24"/>
  <c r="AA28" i="24" s="1"/>
  <c r="L7" i="11"/>
  <c r="M17" i="4"/>
  <c r="M18" i="4" s="1"/>
  <c r="M15" i="4"/>
  <c r="AG12" i="21" s="1"/>
  <c r="J39" i="20"/>
  <c r="J5" i="17"/>
  <c r="L6" i="15"/>
  <c r="J14" i="11"/>
  <c r="J16" i="11" s="1"/>
  <c r="L6" i="11" s="1"/>
  <c r="O7" i="24"/>
  <c r="AJ8" i="21"/>
  <c r="N26" i="4"/>
  <c r="R60" i="21"/>
  <c r="N13" i="24"/>
  <c r="AA13" i="24" s="1"/>
  <c r="P8" i="17"/>
  <c r="J4" i="16"/>
  <c r="P10" i="17"/>
  <c r="K8" i="11"/>
  <c r="N8" i="24"/>
  <c r="AA8" i="24" s="1"/>
  <c r="K8" i="15"/>
  <c r="I20" i="20"/>
  <c r="P21" i="17"/>
  <c r="P25" i="17"/>
  <c r="P26" i="17"/>
  <c r="P31" i="17"/>
  <c r="P23" i="17"/>
  <c r="P19" i="17"/>
  <c r="P28" i="17"/>
  <c r="P22" i="17"/>
  <c r="P27" i="17"/>
  <c r="J32" i="16"/>
  <c r="P30" i="17"/>
  <c r="P24" i="17"/>
  <c r="P29" i="17"/>
  <c r="I16" i="17"/>
  <c r="I14" i="17"/>
  <c r="I169" i="17"/>
  <c r="I168" i="17" s="1"/>
  <c r="I15" i="17" s="1"/>
  <c r="I17" i="17"/>
  <c r="P20" i="17"/>
  <c r="P18" i="17"/>
  <c r="P9" i="17"/>
  <c r="AA12" i="24"/>
  <c r="AI8" i="21"/>
  <c r="AI9" i="21" s="1"/>
  <c r="M26" i="4"/>
  <c r="R61" i="21"/>
  <c r="N14" i="24"/>
  <c r="AA14" i="24" s="1"/>
  <c r="L27" i="4"/>
  <c r="N12" i="4"/>
  <c r="N11" i="4" s="1"/>
  <c r="P12" i="17"/>
  <c r="R58" i="21" l="1"/>
  <c r="N24" i="15"/>
  <c r="U21" i="21" s="1"/>
  <c r="J288" i="10"/>
  <c r="H254" i="10"/>
  <c r="H260" i="10" s="1"/>
  <c r="J106" i="10" s="1"/>
  <c r="L17" i="10" s="1"/>
  <c r="BM56" i="21" s="1"/>
  <c r="G260" i="10"/>
  <c r="I106" i="10" s="1"/>
  <c r="K17" i="10" s="1"/>
  <c r="BL56" i="21" s="1"/>
  <c r="G293" i="10"/>
  <c r="I109" i="10" s="1"/>
  <c r="K21" i="10" s="1"/>
  <c r="H287" i="10"/>
  <c r="H293" i="10" s="1"/>
  <c r="J109" i="10" s="1"/>
  <c r="L21" i="10" s="1"/>
  <c r="M69" i="17"/>
  <c r="M56" i="17"/>
  <c r="M57" i="17" s="1"/>
  <c r="L80" i="17"/>
  <c r="AX7" i="21"/>
  <c r="K98" i="17"/>
  <c r="F243" i="10"/>
  <c r="H245" i="10"/>
  <c r="I245" i="10" s="1"/>
  <c r="N23" i="10"/>
  <c r="O24" i="15"/>
  <c r="V21" i="21" s="1"/>
  <c r="M18" i="17"/>
  <c r="N16" i="16"/>
  <c r="G266" i="10"/>
  <c r="H266" i="10" s="1"/>
  <c r="G277" i="10"/>
  <c r="H277" i="10" s="1"/>
  <c r="H278" i="10"/>
  <c r="I278" i="10" s="1"/>
  <c r="N32" i="10"/>
  <c r="Q134" i="24"/>
  <c r="M14" i="16"/>
  <c r="U71" i="21"/>
  <c r="BN34" i="21" s="1"/>
  <c r="BN47" i="21" s="1"/>
  <c r="Q18" i="24"/>
  <c r="AD18" i="24" s="1"/>
  <c r="I255" i="10"/>
  <c r="J255" i="10" s="1"/>
  <c r="J100" i="17"/>
  <c r="J9" i="17" s="1"/>
  <c r="Q9" i="17" s="1"/>
  <c r="J289" i="10"/>
  <c r="AX8" i="21"/>
  <c r="L81" i="17"/>
  <c r="K99" i="17"/>
  <c r="F260" i="10"/>
  <c r="H106" i="10" s="1"/>
  <c r="J17" i="10" s="1"/>
  <c r="BK56" i="21" s="1"/>
  <c r="H267" i="10"/>
  <c r="I267" i="10" s="1"/>
  <c r="F265" i="10"/>
  <c r="F271" i="10" s="1"/>
  <c r="H107" i="10" s="1"/>
  <c r="J18" i="10" s="1"/>
  <c r="BK57" i="21" s="1"/>
  <c r="F293" i="10"/>
  <c r="H109" i="10" s="1"/>
  <c r="J21" i="10" s="1"/>
  <c r="F276" i="10"/>
  <c r="F282" i="10" s="1"/>
  <c r="H108" i="10" s="1"/>
  <c r="J19" i="10" s="1"/>
  <c r="BK58" i="21" s="1"/>
  <c r="AC134" i="24"/>
  <c r="P131" i="24"/>
  <c r="AC131" i="24" s="1"/>
  <c r="AW9" i="21"/>
  <c r="M7" i="11"/>
  <c r="N15" i="4"/>
  <c r="AH12" i="21" s="1"/>
  <c r="N17" i="4"/>
  <c r="N18" i="4" s="1"/>
  <c r="K39" i="20"/>
  <c r="K5" i="17"/>
  <c r="M6" i="15"/>
  <c r="K14" i="11"/>
  <c r="K16" i="11" s="1"/>
  <c r="M6" i="11" s="1"/>
  <c r="P7" i="24"/>
  <c r="M27" i="4"/>
  <c r="O12" i="4"/>
  <c r="O11" i="4" s="1"/>
  <c r="I48" i="17"/>
  <c r="P17" i="17"/>
  <c r="J13" i="16"/>
  <c r="P14" i="17"/>
  <c r="I45" i="17"/>
  <c r="I13" i="17"/>
  <c r="J10" i="16"/>
  <c r="K9" i="15"/>
  <c r="R8" i="21" s="1"/>
  <c r="R7" i="21"/>
  <c r="N27" i="4"/>
  <c r="P12" i="4"/>
  <c r="P11" i="4" s="1"/>
  <c r="O8" i="24"/>
  <c r="AB8" i="24" s="1"/>
  <c r="L8" i="11"/>
  <c r="L8" i="15"/>
  <c r="L10" i="15" s="1"/>
  <c r="J20" i="20"/>
  <c r="Q28" i="17"/>
  <c r="K32" i="16"/>
  <c r="Q30" i="17"/>
  <c r="Q23" i="17"/>
  <c r="Q25" i="17"/>
  <c r="Q21" i="17"/>
  <c r="Q29" i="17"/>
  <c r="Q27" i="17"/>
  <c r="Q31" i="17"/>
  <c r="Q19" i="17"/>
  <c r="Q22" i="17"/>
  <c r="Q26" i="17"/>
  <c r="Q24" i="17"/>
  <c r="J17" i="17"/>
  <c r="J14" i="17"/>
  <c r="J16" i="17"/>
  <c r="J169" i="17"/>
  <c r="J168" i="17" s="1"/>
  <c r="J15" i="17" s="1"/>
  <c r="Q20" i="17"/>
  <c r="Q18" i="17"/>
  <c r="Q100" i="21"/>
  <c r="N95" i="24"/>
  <c r="Q109" i="21"/>
  <c r="BK5" i="21"/>
  <c r="R6" i="21"/>
  <c r="AF11" i="21"/>
  <c r="AF24" i="21" s="1"/>
  <c r="R41" i="21"/>
  <c r="R85" i="21"/>
  <c r="R90" i="21" s="1"/>
  <c r="R65" i="21" s="1"/>
  <c r="BK11" i="21" s="1"/>
  <c r="N9" i="24"/>
  <c r="I46" i="17"/>
  <c r="P15" i="17"/>
  <c r="J11" i="16"/>
  <c r="P16" i="17"/>
  <c r="I47" i="17"/>
  <c r="J12" i="16"/>
  <c r="I22" i="20"/>
  <c r="I9" i="20" s="1"/>
  <c r="I21" i="20"/>
  <c r="I6" i="20" s="1"/>
  <c r="AB7" i="24"/>
  <c r="L7" i="15"/>
  <c r="S5" i="21"/>
  <c r="J40" i="20"/>
  <c r="J7" i="20" s="1"/>
  <c r="J41" i="20"/>
  <c r="J11" i="20" s="1"/>
  <c r="N155" i="24"/>
  <c r="Q104" i="21"/>
  <c r="AJ9" i="21"/>
  <c r="K10" i="15"/>
  <c r="BK12" i="21" l="1"/>
  <c r="I254" i="10"/>
  <c r="J254" i="10" s="1"/>
  <c r="J260" i="10" s="1"/>
  <c r="L106" i="10" s="1"/>
  <c r="N17" i="10" s="1"/>
  <c r="BO56" i="21" s="1"/>
  <c r="O9" i="24"/>
  <c r="AB9" i="24" s="1"/>
  <c r="R134" i="24"/>
  <c r="AE134" i="24" s="1"/>
  <c r="I287" i="10"/>
  <c r="I293" i="10" s="1"/>
  <c r="K109" i="10" s="1"/>
  <c r="M21" i="10" s="1"/>
  <c r="BN60" i="21" s="1"/>
  <c r="BN59" i="21" s="1"/>
  <c r="G276" i="10"/>
  <c r="G282" i="10" s="1"/>
  <c r="I108" i="10" s="1"/>
  <c r="K19" i="10" s="1"/>
  <c r="BL58" i="21" s="1"/>
  <c r="AY8" i="21"/>
  <c r="L99" i="17"/>
  <c r="M81" i="17"/>
  <c r="J10" i="17"/>
  <c r="J11" i="17"/>
  <c r="J12" i="17"/>
  <c r="K5" i="16"/>
  <c r="K34" i="17"/>
  <c r="L30" i="16" s="1"/>
  <c r="BM60" i="21"/>
  <c r="BM59" i="21" s="1"/>
  <c r="AX9" i="21"/>
  <c r="I34" i="17"/>
  <c r="BK60" i="21"/>
  <c r="BK59" i="21" s="1"/>
  <c r="J31" i="10"/>
  <c r="AD134" i="24"/>
  <c r="Q131" i="24"/>
  <c r="AD131" i="24" s="1"/>
  <c r="N14" i="16"/>
  <c r="V71" i="21"/>
  <c r="BO34" i="21" s="1"/>
  <c r="BO47" i="21" s="1"/>
  <c r="R18" i="24"/>
  <c r="AE18" i="24" s="1"/>
  <c r="M80" i="17"/>
  <c r="AY7" i="21"/>
  <c r="L98" i="17"/>
  <c r="BL60" i="21"/>
  <c r="BL59" i="21" s="1"/>
  <c r="J34" i="17"/>
  <c r="G265" i="10"/>
  <c r="J267" i="10"/>
  <c r="J278" i="10"/>
  <c r="I277" i="10"/>
  <c r="J277" i="10" s="1"/>
  <c r="I266" i="10"/>
  <c r="J266" i="10" s="1"/>
  <c r="J245" i="10"/>
  <c r="G243" i="10"/>
  <c r="K100" i="17"/>
  <c r="K9" i="17" s="1"/>
  <c r="R9" i="17" s="1"/>
  <c r="AA155" i="24"/>
  <c r="N153" i="24"/>
  <c r="AA153" i="24" s="1"/>
  <c r="BL5" i="21"/>
  <c r="R109" i="21"/>
  <c r="S6" i="21"/>
  <c r="AG11" i="21"/>
  <c r="AG24" i="21" s="1"/>
  <c r="S41" i="21"/>
  <c r="S85" i="21"/>
  <c r="S90" i="21" s="1"/>
  <c r="S65" i="21" s="1"/>
  <c r="BL11" i="21" s="1"/>
  <c r="Q99" i="21"/>
  <c r="N93" i="24"/>
  <c r="AA93" i="24" s="1"/>
  <c r="I5" i="20"/>
  <c r="R9" i="21"/>
  <c r="R50" i="21" s="1"/>
  <c r="R104" i="21"/>
  <c r="O155" i="24"/>
  <c r="S9" i="21"/>
  <c r="S50" i="21" s="1"/>
  <c r="Q102" i="21"/>
  <c r="N141" i="24"/>
  <c r="N17" i="24"/>
  <c r="AA17" i="24" s="1"/>
  <c r="R91" i="21"/>
  <c r="R70" i="21" s="1"/>
  <c r="AA9" i="24"/>
  <c r="R42" i="21"/>
  <c r="R40" i="21"/>
  <c r="Q16" i="17"/>
  <c r="J47" i="17"/>
  <c r="K12" i="16"/>
  <c r="J48" i="17"/>
  <c r="Q17" i="17"/>
  <c r="K13" i="16"/>
  <c r="J22" i="20"/>
  <c r="J9" i="20" s="1"/>
  <c r="J21" i="20"/>
  <c r="J6" i="20" s="1"/>
  <c r="O7" i="11"/>
  <c r="P17" i="4"/>
  <c r="P15" i="4"/>
  <c r="AJ12" i="21" s="1"/>
  <c r="M5" i="17"/>
  <c r="O6" i="15"/>
  <c r="R7" i="24"/>
  <c r="M39" i="20"/>
  <c r="M14" i="11"/>
  <c r="M16" i="11" s="1"/>
  <c r="O6" i="11" s="1"/>
  <c r="Q110" i="21"/>
  <c r="R46" i="21"/>
  <c r="AF26" i="21"/>
  <c r="AF27" i="21" s="1"/>
  <c r="N16" i="24"/>
  <c r="J9" i="16"/>
  <c r="R64" i="21"/>
  <c r="N35" i="24"/>
  <c r="AA35" i="24" s="1"/>
  <c r="R67" i="21"/>
  <c r="BK15" i="21" s="1"/>
  <c r="BK16" i="21" s="1"/>
  <c r="M8" i="11"/>
  <c r="P8" i="24"/>
  <c r="AC8" i="24" s="1"/>
  <c r="K20" i="20"/>
  <c r="M8" i="15"/>
  <c r="M10" i="15" s="1"/>
  <c r="R22" i="17"/>
  <c r="L32" i="16"/>
  <c r="R27" i="17"/>
  <c r="R26" i="17"/>
  <c r="R21" i="17"/>
  <c r="R31" i="17"/>
  <c r="R30" i="17"/>
  <c r="R25" i="17"/>
  <c r="R24" i="17"/>
  <c r="R19" i="17"/>
  <c r="R29" i="17"/>
  <c r="R28" i="17"/>
  <c r="R23" i="17"/>
  <c r="K17" i="17"/>
  <c r="K16" i="17"/>
  <c r="K14" i="17"/>
  <c r="K169" i="17"/>
  <c r="K168" i="17" s="1"/>
  <c r="K15" i="17" s="1"/>
  <c r="R20" i="17"/>
  <c r="R18" i="17"/>
  <c r="R100" i="21"/>
  <c r="O95" i="24"/>
  <c r="R66" i="21"/>
  <c r="BK13" i="21" s="1"/>
  <c r="BK14" i="21" s="1"/>
  <c r="N34" i="24"/>
  <c r="AA95" i="24"/>
  <c r="N94" i="24"/>
  <c r="AA94" i="24" s="1"/>
  <c r="Q15" i="17"/>
  <c r="J46" i="17"/>
  <c r="K11" i="16"/>
  <c r="J45" i="17"/>
  <c r="Q14" i="17"/>
  <c r="J13" i="17"/>
  <c r="K10" i="16"/>
  <c r="S7" i="21"/>
  <c r="L9" i="15"/>
  <c r="S8" i="21" s="1"/>
  <c r="P13" i="17"/>
  <c r="N7" i="11"/>
  <c r="O15" i="4"/>
  <c r="AI12" i="21" s="1"/>
  <c r="O17" i="4"/>
  <c r="O18" i="4" s="1"/>
  <c r="L39" i="20"/>
  <c r="L5" i="17"/>
  <c r="N6" i="15"/>
  <c r="L14" i="11"/>
  <c r="L16" i="11" s="1"/>
  <c r="N6" i="11" s="1"/>
  <c r="Q7" i="24"/>
  <c r="AC7" i="24"/>
  <c r="M7" i="15"/>
  <c r="T5" i="21"/>
  <c r="K40" i="20"/>
  <c r="K7" i="20" s="1"/>
  <c r="K41" i="20"/>
  <c r="K11" i="20" s="1"/>
  <c r="I260" i="10" l="1"/>
  <c r="K106" i="10" s="1"/>
  <c r="M17" i="10" s="1"/>
  <c r="BN56" i="21" s="1"/>
  <c r="R131" i="24"/>
  <c r="AE131" i="24" s="1"/>
  <c r="L100" i="17"/>
  <c r="L9" i="17" s="1"/>
  <c r="L12" i="17" s="1"/>
  <c r="S12" i="17" s="1"/>
  <c r="L34" i="17"/>
  <c r="M30" i="16" s="1"/>
  <c r="BO36" i="21" s="1"/>
  <c r="R34" i="17"/>
  <c r="J287" i="10"/>
  <c r="J293" i="10" s="1"/>
  <c r="L109" i="10" s="1"/>
  <c r="N21" i="10" s="1"/>
  <c r="H276" i="10"/>
  <c r="I276" i="10" s="1"/>
  <c r="AY9" i="21"/>
  <c r="J8" i="17"/>
  <c r="J2" i="17" s="1"/>
  <c r="K11" i="17"/>
  <c r="L5" i="16"/>
  <c r="K12" i="17"/>
  <c r="K10" i="17"/>
  <c r="G271" i="10"/>
  <c r="I107" i="10" s="1"/>
  <c r="K18" i="10" s="1"/>
  <c r="BL57" i="21" s="1"/>
  <c r="H265" i="10"/>
  <c r="Q34" i="17"/>
  <c r="K30" i="16"/>
  <c r="AZ7" i="21"/>
  <c r="M98" i="17"/>
  <c r="N126" i="24"/>
  <c r="AA126" i="24" s="1"/>
  <c r="K31" i="10"/>
  <c r="J30" i="16"/>
  <c r="P34" i="17"/>
  <c r="BN36" i="21"/>
  <c r="P20" i="24"/>
  <c r="M22" i="15"/>
  <c r="T19" i="21" s="1"/>
  <c r="J42" i="17"/>
  <c r="K7" i="16"/>
  <c r="Q11" i="17"/>
  <c r="M99" i="17"/>
  <c r="AZ8" i="21"/>
  <c r="H243" i="10"/>
  <c r="S59" i="21"/>
  <c r="O12" i="24"/>
  <c r="AB12" i="24" s="1"/>
  <c r="J43" i="17"/>
  <c r="K8" i="16"/>
  <c r="Q12" i="17"/>
  <c r="K6" i="16"/>
  <c r="J41" i="17"/>
  <c r="Q10" i="17"/>
  <c r="P9" i="24"/>
  <c r="AC9" i="24" s="1"/>
  <c r="S104" i="21"/>
  <c r="P155" i="24"/>
  <c r="S100" i="21"/>
  <c r="P95" i="24"/>
  <c r="S109" i="21"/>
  <c r="BM5" i="21"/>
  <c r="T41" i="21"/>
  <c r="T6" i="21"/>
  <c r="AH11" i="21"/>
  <c r="AH24" i="21" s="1"/>
  <c r="T85" i="21"/>
  <c r="T90" i="21" s="1"/>
  <c r="T65" i="21" s="1"/>
  <c r="BM11" i="21" s="1"/>
  <c r="N8" i="11"/>
  <c r="Q8" i="24"/>
  <c r="AD8" i="24" s="1"/>
  <c r="N8" i="15"/>
  <c r="N10" i="15" s="1"/>
  <c r="L20" i="20"/>
  <c r="S23" i="17"/>
  <c r="M32" i="16"/>
  <c r="S30" i="17"/>
  <c r="S27" i="17"/>
  <c r="S24" i="17"/>
  <c r="S21" i="17"/>
  <c r="S31" i="17"/>
  <c r="S28" i="17"/>
  <c r="S25" i="17"/>
  <c r="S22" i="17"/>
  <c r="S19" i="17"/>
  <c r="S29" i="17"/>
  <c r="S26" i="17"/>
  <c r="L17" i="17"/>
  <c r="L16" i="17"/>
  <c r="L14" i="17"/>
  <c r="L169" i="17"/>
  <c r="L168" i="17" s="1"/>
  <c r="L15" i="17" s="1"/>
  <c r="S20" i="17"/>
  <c r="S18" i="17"/>
  <c r="R110" i="21"/>
  <c r="S46" i="21"/>
  <c r="AG26" i="21"/>
  <c r="AG27" i="21" s="1"/>
  <c r="Q13" i="17"/>
  <c r="AA34" i="24"/>
  <c r="N33" i="24"/>
  <c r="AA33" i="24" s="1"/>
  <c r="AB95" i="24"/>
  <c r="O94" i="24"/>
  <c r="AB94" i="24" s="1"/>
  <c r="R14" i="17"/>
  <c r="K45" i="17"/>
  <c r="K13" i="17"/>
  <c r="L10" i="16"/>
  <c r="R17" i="17"/>
  <c r="K48" i="17"/>
  <c r="L13" i="16"/>
  <c r="M9" i="15"/>
  <c r="T8" i="21" s="1"/>
  <c r="T7" i="21"/>
  <c r="BK9" i="21"/>
  <c r="BK10" i="21" s="1"/>
  <c r="R63" i="21"/>
  <c r="AA16" i="24"/>
  <c r="R47" i="21"/>
  <c r="R45" i="21"/>
  <c r="O8" i="11"/>
  <c r="O8" i="15"/>
  <c r="O10" i="15" s="1"/>
  <c r="M20" i="20"/>
  <c r="R8" i="24"/>
  <c r="AE8" i="24" s="1"/>
  <c r="AE7" i="24"/>
  <c r="T31" i="17"/>
  <c r="T30" i="17"/>
  <c r="T25" i="17"/>
  <c r="T24" i="17"/>
  <c r="T19" i="17"/>
  <c r="T29" i="17"/>
  <c r="T28" i="17"/>
  <c r="T23" i="17"/>
  <c r="T22" i="17"/>
  <c r="N32" i="16"/>
  <c r="T27" i="17"/>
  <c r="T26" i="17"/>
  <c r="T21" i="17"/>
  <c r="M17" i="17"/>
  <c r="M16" i="17"/>
  <c r="M14" i="17"/>
  <c r="M169" i="17"/>
  <c r="M168" i="17" s="1"/>
  <c r="M15" i="17" s="1"/>
  <c r="T20" i="17"/>
  <c r="T18" i="17"/>
  <c r="O93" i="24"/>
  <c r="AB93" i="24" s="1"/>
  <c r="J5" i="20"/>
  <c r="R99" i="21"/>
  <c r="O35" i="24"/>
  <c r="AB35" i="24" s="1"/>
  <c r="S67" i="21"/>
  <c r="BL15" i="21" s="1"/>
  <c r="BL16" i="21" s="1"/>
  <c r="AA141" i="24"/>
  <c r="P18" i="4"/>
  <c r="R51" i="21"/>
  <c r="BL12" i="21"/>
  <c r="T9" i="21"/>
  <c r="T50" i="21" s="1"/>
  <c r="AD7" i="24"/>
  <c r="U5" i="21"/>
  <c r="N7" i="15"/>
  <c r="L40" i="20"/>
  <c r="L7" i="20" s="1"/>
  <c r="L41" i="20"/>
  <c r="L11" i="20" s="1"/>
  <c r="K9" i="16"/>
  <c r="O16" i="24"/>
  <c r="S64" i="21"/>
  <c r="O17" i="24"/>
  <c r="AB17" i="24" s="1"/>
  <c r="S91" i="21"/>
  <c r="S70" i="21" s="1"/>
  <c r="K46" i="17"/>
  <c r="R15" i="17"/>
  <c r="L11" i="16"/>
  <c r="K47" i="17"/>
  <c r="R16" i="17"/>
  <c r="L12" i="16"/>
  <c r="K21" i="20"/>
  <c r="K6" i="20" s="1"/>
  <c r="K22" i="20"/>
  <c r="K9" i="20" s="1"/>
  <c r="M40" i="20"/>
  <c r="M7" i="20" s="1"/>
  <c r="M41" i="20"/>
  <c r="M11" i="20" s="1"/>
  <c r="V5" i="21"/>
  <c r="O7" i="15"/>
  <c r="R102" i="21"/>
  <c r="O141" i="24"/>
  <c r="S66" i="21"/>
  <c r="BL13" i="21" s="1"/>
  <c r="BL14" i="21" s="1"/>
  <c r="O34" i="24"/>
  <c r="AB155" i="24"/>
  <c r="O153" i="24"/>
  <c r="AB153" i="24" s="1"/>
  <c r="Q101" i="21"/>
  <c r="S40" i="21"/>
  <c r="S51" i="21" s="1"/>
  <c r="S42" i="21"/>
  <c r="Q20" i="24" l="1"/>
  <c r="S9" i="17"/>
  <c r="R9" i="24"/>
  <c r="BM12" i="21"/>
  <c r="Q9" i="24"/>
  <c r="N22" i="15"/>
  <c r="U19" i="21" s="1"/>
  <c r="L10" i="17"/>
  <c r="S10" i="17" s="1"/>
  <c r="M5" i="16"/>
  <c r="U59" i="21" s="1"/>
  <c r="L11" i="17"/>
  <c r="S11" i="17" s="1"/>
  <c r="S34" i="17"/>
  <c r="H282" i="10"/>
  <c r="J108" i="10" s="1"/>
  <c r="L19" i="10" s="1"/>
  <c r="BM58" i="21" s="1"/>
  <c r="BO60" i="21"/>
  <c r="BO59" i="21" s="1"/>
  <c r="M34" i="17"/>
  <c r="I282" i="10"/>
  <c r="K108" i="10" s="1"/>
  <c r="M19" i="10" s="1"/>
  <c r="BN58" i="21" s="1"/>
  <c r="J276" i="10"/>
  <c r="J282" i="10" s="1"/>
  <c r="L108" i="10" s="1"/>
  <c r="N19" i="10" s="1"/>
  <c r="BO58" i="21" s="1"/>
  <c r="Q8" i="17"/>
  <c r="K8" i="17"/>
  <c r="K2" i="17" s="1"/>
  <c r="AC20" i="24"/>
  <c r="P196" i="24"/>
  <c r="O126" i="24"/>
  <c r="AB126" i="24" s="1"/>
  <c r="L31" i="10"/>
  <c r="O20" i="24"/>
  <c r="BM36" i="21"/>
  <c r="L22" i="15"/>
  <c r="S19" i="21" s="1"/>
  <c r="H271" i="10"/>
  <c r="J107" i="10" s="1"/>
  <c r="L18" i="10" s="1"/>
  <c r="BM57" i="21" s="1"/>
  <c r="I265" i="10"/>
  <c r="K43" i="17"/>
  <c r="L8" i="16"/>
  <c r="R12" i="17"/>
  <c r="K42" i="17"/>
  <c r="L7" i="16"/>
  <c r="R11" i="17"/>
  <c r="I243" i="10"/>
  <c r="M100" i="17"/>
  <c r="M9" i="17" s="1"/>
  <c r="K4" i="16"/>
  <c r="S60" i="21"/>
  <c r="O13" i="24"/>
  <c r="AB13" i="24" s="1"/>
  <c r="O28" i="24"/>
  <c r="AB28" i="24" s="1"/>
  <c r="S62" i="21"/>
  <c r="Q196" i="24"/>
  <c r="AD20" i="24"/>
  <c r="O14" i="24"/>
  <c r="AB14" i="24" s="1"/>
  <c r="S61" i="21"/>
  <c r="BL36" i="21"/>
  <c r="N20" i="24"/>
  <c r="K22" i="15"/>
  <c r="R19" i="21" s="1"/>
  <c r="M6" i="16"/>
  <c r="L43" i="17"/>
  <c r="M8" i="16"/>
  <c r="L6" i="16"/>
  <c r="K41" i="17"/>
  <c r="R10" i="17"/>
  <c r="T59" i="21"/>
  <c r="P12" i="24"/>
  <c r="AC12" i="24" s="1"/>
  <c r="AZ9" i="21"/>
  <c r="O33" i="24"/>
  <c r="AB33" i="24" s="1"/>
  <c r="AB34" i="24"/>
  <c r="AB141" i="24"/>
  <c r="R155" i="24"/>
  <c r="U104" i="21"/>
  <c r="L120" i="21" s="1"/>
  <c r="S102" i="21"/>
  <c r="P141" i="24"/>
  <c r="T66" i="21"/>
  <c r="BM13" i="21" s="1"/>
  <c r="BM14" i="21" s="1"/>
  <c r="P34" i="24"/>
  <c r="BL9" i="21"/>
  <c r="BL10" i="21" s="1"/>
  <c r="S63" i="21"/>
  <c r="T100" i="21"/>
  <c r="Q95" i="24"/>
  <c r="AD9" i="24"/>
  <c r="R101" i="21"/>
  <c r="T15" i="17"/>
  <c r="M46" i="17"/>
  <c r="N11" i="16"/>
  <c r="M47" i="17"/>
  <c r="T16" i="17"/>
  <c r="N12" i="16"/>
  <c r="M21" i="20"/>
  <c r="M6" i="20" s="1"/>
  <c r="M22" i="20"/>
  <c r="M9" i="20" s="1"/>
  <c r="P16" i="24"/>
  <c r="L9" i="16"/>
  <c r="T64" i="21"/>
  <c r="S47" i="21"/>
  <c r="S45" i="21"/>
  <c r="S15" i="17"/>
  <c r="L46" i="17"/>
  <c r="M11" i="16"/>
  <c r="L47" i="17"/>
  <c r="S16" i="17"/>
  <c r="M12" i="16"/>
  <c r="N9" i="15"/>
  <c r="U8" i="21" s="1"/>
  <c r="U7" i="21"/>
  <c r="T40" i="21"/>
  <c r="T51" i="21" s="1"/>
  <c r="T42" i="21"/>
  <c r="V9" i="21"/>
  <c r="V50" i="21" s="1"/>
  <c r="V6" i="21"/>
  <c r="V41" i="21"/>
  <c r="BO5" i="21"/>
  <c r="U109" i="21"/>
  <c r="AJ11" i="21"/>
  <c r="AJ24" i="21" s="1"/>
  <c r="V85" i="21"/>
  <c r="V90" i="21" s="1"/>
  <c r="V65" i="21" s="1"/>
  <c r="BO11" i="21" s="1"/>
  <c r="R95" i="24"/>
  <c r="U100" i="21"/>
  <c r="L116" i="21" s="1"/>
  <c r="S99" i="21"/>
  <c r="K5" i="20"/>
  <c r="P93" i="24"/>
  <c r="AC93" i="24" s="1"/>
  <c r="P17" i="24"/>
  <c r="AC17" i="24" s="1"/>
  <c r="T91" i="21"/>
  <c r="T70" i="21" s="1"/>
  <c r="AB16" i="24"/>
  <c r="T104" i="21"/>
  <c r="Q155" i="24"/>
  <c r="U9" i="21"/>
  <c r="U50" i="21" s="1"/>
  <c r="U6" i="21"/>
  <c r="BN5" i="21"/>
  <c r="U41" i="21"/>
  <c r="T109" i="21"/>
  <c r="AI11" i="21"/>
  <c r="AI24" i="21" s="1"/>
  <c r="U85" i="21"/>
  <c r="U90" i="21" s="1"/>
  <c r="U65" i="21" s="1"/>
  <c r="BN11" i="21" s="1"/>
  <c r="M45" i="17"/>
  <c r="T14" i="17"/>
  <c r="M13" i="17"/>
  <c r="N10" i="16"/>
  <c r="M48" i="17"/>
  <c r="T17" i="17"/>
  <c r="N13" i="16"/>
  <c r="AE9" i="24"/>
  <c r="O9" i="15"/>
  <c r="V8" i="21" s="1"/>
  <c r="V7" i="21"/>
  <c r="BK7" i="21"/>
  <c r="BK8" i="21" s="1"/>
  <c r="S110" i="21"/>
  <c r="AH26" i="21"/>
  <c r="AH27" i="21" s="1"/>
  <c r="T46" i="21"/>
  <c r="T67" i="21"/>
  <c r="BM15" i="21" s="1"/>
  <c r="BM16" i="21" s="1"/>
  <c r="P35" i="24"/>
  <c r="AC35" i="24" s="1"/>
  <c r="R13" i="17"/>
  <c r="L45" i="17"/>
  <c r="S14" i="17"/>
  <c r="L13" i="17"/>
  <c r="M10" i="16"/>
  <c r="S17" i="17"/>
  <c r="L48" i="17"/>
  <c r="M13" i="16"/>
  <c r="L21" i="20"/>
  <c r="L6" i="20" s="1"/>
  <c r="L22" i="20"/>
  <c r="L9" i="20" s="1"/>
  <c r="AC95" i="24"/>
  <c r="P94" i="24"/>
  <c r="AC94" i="24" s="1"/>
  <c r="AC155" i="24"/>
  <c r="P153" i="24"/>
  <c r="AC153" i="24" s="1"/>
  <c r="M7" i="16" l="1"/>
  <c r="Q14" i="24" s="1"/>
  <c r="AD14" i="24" s="1"/>
  <c r="BN12" i="21"/>
  <c r="Q12" i="24"/>
  <c r="AD12" i="24" s="1"/>
  <c r="L8" i="17"/>
  <c r="L2" i="17" s="1"/>
  <c r="L41" i="17"/>
  <c r="L42" i="17"/>
  <c r="N30" i="16"/>
  <c r="T34" i="17"/>
  <c r="L4" i="16"/>
  <c r="R8" i="17"/>
  <c r="S58" i="21"/>
  <c r="T60" i="21"/>
  <c r="P13" i="24"/>
  <c r="AC13" i="24" s="1"/>
  <c r="M10" i="17"/>
  <c r="M12" i="17"/>
  <c r="M11" i="17"/>
  <c r="N5" i="16"/>
  <c r="T9" i="17"/>
  <c r="P28" i="24"/>
  <c r="AC28" i="24" s="1"/>
  <c r="T62" i="21"/>
  <c r="I271" i="10"/>
  <c r="K107" i="10" s="1"/>
  <c r="M18" i="10" s="1"/>
  <c r="BN57" i="21" s="1"/>
  <c r="J265" i="10"/>
  <c r="J271" i="10" s="1"/>
  <c r="L107" i="10" s="1"/>
  <c r="N18" i="10" s="1"/>
  <c r="BO57" i="21" s="1"/>
  <c r="O196" i="24"/>
  <c r="AB20" i="24"/>
  <c r="U62" i="21"/>
  <c r="Q28" i="24"/>
  <c r="AD28" i="24" s="1"/>
  <c r="Q13" i="24"/>
  <c r="AD13" i="24" s="1"/>
  <c r="U60" i="21"/>
  <c r="AA20" i="24"/>
  <c r="N196" i="24"/>
  <c r="J243" i="10"/>
  <c r="T61" i="21"/>
  <c r="P14" i="24"/>
  <c r="AC14" i="24" s="1"/>
  <c r="P126" i="24"/>
  <c r="AC126" i="24" s="1"/>
  <c r="M31" i="10"/>
  <c r="BO12" i="21"/>
  <c r="T99" i="21"/>
  <c r="L5" i="20"/>
  <c r="Q93" i="24"/>
  <c r="AD93" i="24" s="1"/>
  <c r="T45" i="21"/>
  <c r="T47" i="21"/>
  <c r="N9" i="16"/>
  <c r="R16" i="24"/>
  <c r="V64" i="21"/>
  <c r="U42" i="21"/>
  <c r="U40" i="21"/>
  <c r="U51" i="21" s="1"/>
  <c r="S101" i="21"/>
  <c r="V42" i="21"/>
  <c r="V40" i="21"/>
  <c r="V51" i="21" s="1"/>
  <c r="Q17" i="24"/>
  <c r="AD17" i="24" s="1"/>
  <c r="U91" i="21"/>
  <c r="U70" i="21" s="1"/>
  <c r="U102" i="21"/>
  <c r="L117" i="21" s="1"/>
  <c r="R141" i="24"/>
  <c r="R34" i="24"/>
  <c r="V66" i="21"/>
  <c r="BO13" i="21" s="1"/>
  <c r="BO14" i="21" s="1"/>
  <c r="AD95" i="24"/>
  <c r="Q94" i="24"/>
  <c r="AD94" i="24" s="1"/>
  <c r="BL7" i="21"/>
  <c r="BL8" i="21" s="1"/>
  <c r="AC34" i="24"/>
  <c r="P33" i="24"/>
  <c r="AC33" i="24" s="1"/>
  <c r="AC141" i="24"/>
  <c r="M9" i="16"/>
  <c r="Q16" i="24"/>
  <c r="U64" i="21"/>
  <c r="T102" i="21"/>
  <c r="Q141" i="24"/>
  <c r="U67" i="21"/>
  <c r="BN15" i="21" s="1"/>
  <c r="BN16" i="21" s="1"/>
  <c r="Q35" i="24"/>
  <c r="AD35" i="24" s="1"/>
  <c r="S13" i="17"/>
  <c r="V46" i="21"/>
  <c r="U110" i="21"/>
  <c r="AJ26" i="21"/>
  <c r="AJ27" i="21" s="1"/>
  <c r="V67" i="21"/>
  <c r="BO15" i="21" s="1"/>
  <c r="BO16" i="21" s="1"/>
  <c r="R35" i="24"/>
  <c r="AE35" i="24" s="1"/>
  <c r="T13" i="17"/>
  <c r="Q153" i="24"/>
  <c r="AD153" i="24" s="1"/>
  <c r="AD155" i="24"/>
  <c r="R94" i="24"/>
  <c r="AE94" i="24" s="1"/>
  <c r="AE95" i="24"/>
  <c r="T110" i="21"/>
  <c r="AI26" i="21"/>
  <c r="AI27" i="21" s="1"/>
  <c r="U46" i="21"/>
  <c r="U66" i="21"/>
  <c r="BN13" i="21" s="1"/>
  <c r="BN14" i="21" s="1"/>
  <c r="Q34" i="24"/>
  <c r="BM9" i="21"/>
  <c r="BM10" i="21" s="1"/>
  <c r="T63" i="21"/>
  <c r="AC16" i="24"/>
  <c r="U99" i="21"/>
  <c r="L115" i="21" s="1"/>
  <c r="M5" i="20"/>
  <c r="R93" i="24"/>
  <c r="AE93" i="24" s="1"/>
  <c r="R17" i="24"/>
  <c r="AE17" i="24" s="1"/>
  <c r="V91" i="21"/>
  <c r="V70" i="21" s="1"/>
  <c r="R153" i="24"/>
  <c r="AE153" i="24" s="1"/>
  <c r="AE155" i="24"/>
  <c r="U61" i="21" l="1"/>
  <c r="U58" i="21" s="1"/>
  <c r="M4" i="16"/>
  <c r="S8" i="17"/>
  <c r="O22" i="15"/>
  <c r="V19" i="21" s="1"/>
  <c r="R20" i="24"/>
  <c r="M8" i="17"/>
  <c r="M2" i="17" s="1"/>
  <c r="Q126" i="24"/>
  <c r="AD126" i="24" s="1"/>
  <c r="N31" i="10"/>
  <c r="R126" i="24" s="1"/>
  <c r="AE126" i="24" s="1"/>
  <c r="R12" i="24"/>
  <c r="AE12" i="24" s="1"/>
  <c r="V59" i="21"/>
  <c r="N8" i="16"/>
  <c r="M43" i="17"/>
  <c r="T12" i="17"/>
  <c r="T58" i="21"/>
  <c r="T11" i="17"/>
  <c r="N7" i="16"/>
  <c r="M42" i="17"/>
  <c r="M41" i="17"/>
  <c r="T10" i="17"/>
  <c r="N6" i="16"/>
  <c r="U101" i="21"/>
  <c r="V47" i="21"/>
  <c r="V45" i="21"/>
  <c r="BN9" i="21"/>
  <c r="BN10" i="21" s="1"/>
  <c r="U63" i="21"/>
  <c r="AE141" i="24"/>
  <c r="AE16" i="24"/>
  <c r="BM7" i="21"/>
  <c r="BM8" i="21" s="1"/>
  <c r="AD34" i="24"/>
  <c r="Q33" i="24"/>
  <c r="AD33" i="24" s="1"/>
  <c r="U47" i="21"/>
  <c r="U45" i="21"/>
  <c r="AD141" i="24"/>
  <c r="AD16" i="24"/>
  <c r="R33" i="24"/>
  <c r="AE33" i="24" s="1"/>
  <c r="AE34" i="24"/>
  <c r="BO9" i="21"/>
  <c r="BO10" i="21" s="1"/>
  <c r="V63" i="21"/>
  <c r="T101" i="21"/>
  <c r="T8" i="17" l="1"/>
  <c r="R196" i="24"/>
  <c r="AE20" i="24"/>
  <c r="V60" i="21"/>
  <c r="R13" i="24"/>
  <c r="V61" i="21"/>
  <c r="R14" i="24"/>
  <c r="AE14" i="24" s="1"/>
  <c r="N4" i="16"/>
  <c r="V62" i="21"/>
  <c r="R28" i="24"/>
  <c r="AE28" i="24" s="1"/>
  <c r="BO7" i="21"/>
  <c r="BO8" i="21" s="1"/>
  <c r="BN7" i="21"/>
  <c r="BN8" i="21" s="1"/>
  <c r="V58" i="21" l="1"/>
  <c r="AE13" i="24"/>
  <c r="J190" i="10" l="1"/>
  <c r="F190" i="10"/>
  <c r="I190" i="10"/>
  <c r="E190" i="10"/>
  <c r="G190" i="10"/>
  <c r="H190" i="10"/>
  <c r="I191" i="10"/>
  <c r="G191" i="10"/>
  <c r="E191" i="10"/>
  <c r="H191" i="10"/>
  <c r="F191" i="10"/>
  <c r="J191" i="10"/>
  <c r="E189" i="10"/>
  <c r="H189" i="10"/>
  <c r="F189" i="10"/>
  <c r="J189" i="10"/>
  <c r="I189" i="10"/>
  <c r="G189" i="10"/>
  <c r="E192" i="10"/>
  <c r="G192" i="10"/>
  <c r="J192" i="10"/>
  <c r="I192" i="10"/>
  <c r="F192" i="10"/>
  <c r="H192" i="10"/>
  <c r="F187" i="10"/>
  <c r="E187" i="10"/>
  <c r="G187" i="10"/>
  <c r="J187" i="10"/>
  <c r="I187" i="10"/>
  <c r="H187" i="10"/>
  <c r="G188" i="10"/>
  <c r="I188" i="10"/>
  <c r="E188" i="10"/>
  <c r="J188" i="10"/>
  <c r="F188" i="10"/>
  <c r="H188" i="10"/>
  <c r="I184" i="10" l="1"/>
  <c r="G184" i="10"/>
  <c r="J184" i="10"/>
  <c r="F184" i="10"/>
  <c r="E184" i="10"/>
  <c r="H184" i="10"/>
  <c r="I186" i="10"/>
  <c r="E186" i="10"/>
  <c r="H186" i="10"/>
  <c r="F186" i="10"/>
  <c r="J186" i="10"/>
  <c r="G186" i="10"/>
  <c r="I182" i="10"/>
  <c r="G182" i="10"/>
  <c r="F182" i="10"/>
  <c r="H182" i="10"/>
  <c r="J182" i="10"/>
  <c r="E182" i="10"/>
  <c r="F178" i="10"/>
  <c r="H178" i="10"/>
  <c r="E178" i="10"/>
  <c r="I178" i="10"/>
  <c r="J178" i="10"/>
  <c r="G178" i="10"/>
  <c r="G183" i="10"/>
  <c r="H183" i="10"/>
  <c r="J183" i="10"/>
  <c r="E183" i="10"/>
  <c r="I183" i="10"/>
  <c r="F183" i="10"/>
  <c r="I179" i="10"/>
  <c r="H179" i="10"/>
  <c r="F179" i="10"/>
  <c r="J179" i="10"/>
  <c r="E179" i="10"/>
  <c r="G179" i="10"/>
  <c r="E180" i="10"/>
  <c r="F180" i="10"/>
  <c r="H180" i="10"/>
  <c r="G180" i="10"/>
  <c r="I180" i="10"/>
  <c r="J180" i="10"/>
  <c r="E185" i="10"/>
  <c r="F185" i="10"/>
  <c r="I185" i="10"/>
  <c r="G185" i="10"/>
  <c r="J185" i="10"/>
  <c r="H185" i="10"/>
  <c r="G181" i="10"/>
  <c r="F181" i="10"/>
  <c r="I181" i="10"/>
  <c r="J181" i="10"/>
  <c r="E181" i="10"/>
  <c r="H181" i="10"/>
  <c r="J193" i="10" l="1"/>
  <c r="J195" i="10" s="1"/>
  <c r="E193" i="10"/>
  <c r="F193" i="10"/>
  <c r="F195" i="10" s="1"/>
  <c r="F130" i="10" s="1"/>
  <c r="H193" i="10"/>
  <c r="H195" i="10" s="1"/>
  <c r="H130" i="10" s="1"/>
  <c r="G193" i="10"/>
  <c r="G195" i="10" s="1"/>
  <c r="G130" i="10" s="1"/>
  <c r="I193" i="10"/>
  <c r="I195" i="10" s="1"/>
  <c r="I130" i="10" s="1"/>
  <c r="J130" i="10" l="1"/>
  <c r="R193" i="10"/>
  <c r="M193" i="10"/>
  <c r="E195" i="10"/>
  <c r="Q193" i="10"/>
  <c r="O193" i="10"/>
  <c r="N193" i="10"/>
  <c r="P193" i="10"/>
  <c r="E130" i="10" l="1"/>
  <c r="G105" i="10" s="1"/>
  <c r="I16" i="10" s="1"/>
  <c r="BJ55" i="21" l="1"/>
  <c r="BJ54" i="21" s="1"/>
  <c r="I20" i="10"/>
  <c r="M194" i="10" s="1"/>
  <c r="M195" i="10" s="1"/>
  <c r="H33" i="17" l="1"/>
  <c r="H32" i="17" s="1"/>
  <c r="H35" i="17" s="1"/>
  <c r="I30" i="10"/>
  <c r="L108" i="24" s="1"/>
  <c r="Y108" i="24" s="1"/>
  <c r="O32" i="17"/>
  <c r="H29" i="16" l="1"/>
  <c r="O33" i="17"/>
  <c r="L107" i="24"/>
  <c r="Y107" i="24" s="1"/>
  <c r="M108" i="24"/>
  <c r="Z108" i="24" s="1"/>
  <c r="H28" i="16"/>
  <c r="P83" i="21" s="1"/>
  <c r="P68" i="21" s="1"/>
  <c r="I29" i="16"/>
  <c r="BK35" i="21" s="1"/>
  <c r="L19" i="24"/>
  <c r="Y19" i="24" s="1"/>
  <c r="J21" i="15"/>
  <c r="M107" i="24" l="1"/>
  <c r="Z107" i="24" s="1"/>
  <c r="I21" i="15"/>
  <c r="BJ35" i="21"/>
  <c r="I28" i="16"/>
  <c r="Q83" i="21" s="1"/>
  <c r="Q68" i="21" s="1"/>
  <c r="L194" i="24"/>
  <c r="H31" i="16"/>
  <c r="P84" i="21" s="1"/>
  <c r="M19" i="24"/>
  <c r="Z19" i="24" s="1"/>
  <c r="L11" i="24"/>
  <c r="Y11" i="24" s="1"/>
  <c r="J20" i="15"/>
  <c r="Q18" i="21"/>
  <c r="BJ33" i="21"/>
  <c r="BJ37" i="21" s="1"/>
  <c r="H55" i="20" l="1"/>
  <c r="H56" i="20" s="1"/>
  <c r="H10" i="20" s="1"/>
  <c r="O10" i="20" s="1"/>
  <c r="O8" i="20" s="1"/>
  <c r="P18" i="21"/>
  <c r="I20" i="15"/>
  <c r="H33" i="16"/>
  <c r="H34" i="16" s="1"/>
  <c r="I31" i="16"/>
  <c r="I33" i="16" s="1"/>
  <c r="I34" i="16" s="1"/>
  <c r="I11" i="15"/>
  <c r="I12" i="15" s="1"/>
  <c r="P11" i="21" s="1"/>
  <c r="P86" i="21" s="1"/>
  <c r="M11" i="24"/>
  <c r="Z11" i="24" s="1"/>
  <c r="L10" i="24"/>
  <c r="Y10" i="24" s="1"/>
  <c r="P88" i="21"/>
  <c r="I55" i="20" l="1"/>
  <c r="I56" i="20" s="1"/>
  <c r="I10" i="20" s="1"/>
  <c r="Q103" i="21" s="1"/>
  <c r="J11" i="15"/>
  <c r="J13" i="15" s="1"/>
  <c r="Q84" i="21"/>
  <c r="Q88" i="21" s="1"/>
  <c r="P103" i="21"/>
  <c r="L142" i="24"/>
  <c r="Y142" i="24" s="1"/>
  <c r="H8" i="20"/>
  <c r="P105" i="21" s="1"/>
  <c r="L57" i="24"/>
  <c r="L75" i="24" s="1"/>
  <c r="P10" i="21"/>
  <c r="P111" i="21" s="1"/>
  <c r="I13" i="15"/>
  <c r="I14" i="15" s="1"/>
  <c r="P13" i="21" s="1"/>
  <c r="M10" i="24"/>
  <c r="M57" i="24" s="1"/>
  <c r="L140" i="24" l="1"/>
  <c r="M142" i="24"/>
  <c r="M140" i="24" s="1"/>
  <c r="Q10" i="21"/>
  <c r="Q89" i="21" s="1"/>
  <c r="J12" i="15"/>
  <c r="Q11" i="21" s="1"/>
  <c r="Q86" i="21" s="1"/>
  <c r="I8" i="20"/>
  <c r="Q105" i="21" s="1"/>
  <c r="N142" i="24"/>
  <c r="AA142" i="24" s="1"/>
  <c r="H12" i="20"/>
  <c r="H13" i="20" s="1"/>
  <c r="I27" i="15"/>
  <c r="J16" i="15" s="1"/>
  <c r="J15" i="15" s="1"/>
  <c r="Z10" i="24"/>
  <c r="Y57" i="24"/>
  <c r="P12" i="21"/>
  <c r="P14" i="21" s="1"/>
  <c r="P15" i="21" s="1"/>
  <c r="I16" i="15"/>
  <c r="I15" i="15" s="1"/>
  <c r="P16" i="21" s="1"/>
  <c r="P89" i="21"/>
  <c r="Z57" i="24"/>
  <c r="M75" i="24"/>
  <c r="Z142" i="24"/>
  <c r="Y140" i="24"/>
  <c r="Y75" i="24"/>
  <c r="J14" i="15"/>
  <c r="Q13" i="21" s="1"/>
  <c r="Q12" i="21"/>
  <c r="Q14" i="21" s="1"/>
  <c r="I12" i="20" l="1"/>
  <c r="I13" i="20" s="1"/>
  <c r="P106" i="21"/>
  <c r="N140" i="24"/>
  <c r="J27" i="15"/>
  <c r="I19" i="15"/>
  <c r="P17" i="21" s="1"/>
  <c r="H15" i="15"/>
  <c r="Q16" i="21"/>
  <c r="AA140" i="24"/>
  <c r="L197" i="24"/>
  <c r="P107" i="21"/>
  <c r="I23" i="15"/>
  <c r="Z140" i="24"/>
  <c r="Z75" i="24"/>
  <c r="M76" i="24"/>
  <c r="F43" i="34"/>
  <c r="Q15" i="21"/>
  <c r="Q106" i="21"/>
  <c r="J19" i="15"/>
  <c r="Q17" i="21" l="1"/>
  <c r="Q107" i="21"/>
  <c r="K23" i="15"/>
  <c r="R20" i="21" s="1"/>
  <c r="N197" i="24"/>
  <c r="F33" i="34"/>
  <c r="I33" i="34" s="1"/>
  <c r="K33" i="34" s="1"/>
  <c r="F32" i="34"/>
  <c r="I32" i="34" s="1"/>
  <c r="K32" i="34" s="1"/>
  <c r="F31" i="34"/>
  <c r="I31" i="34" s="1"/>
  <c r="K31" i="34" s="1"/>
  <c r="Z76" i="24"/>
  <c r="L76" i="24"/>
  <c r="L151" i="24"/>
  <c r="P20" i="21"/>
  <c r="J23" i="15"/>
  <c r="Q20" i="21" s="1"/>
  <c r="I25" i="15"/>
  <c r="O16" i="21"/>
  <c r="H19" i="15"/>
  <c r="M77" i="24"/>
  <c r="Z77" i="24" s="1"/>
  <c r="H25" i="15" l="1"/>
  <c r="O22" i="21" s="1"/>
  <c r="O17" i="21"/>
  <c r="P22" i="21"/>
  <c r="E37" i="15"/>
  <c r="E40" i="15" s="1"/>
  <c r="Y151" i="24"/>
  <c r="M151" i="24"/>
  <c r="L198" i="24"/>
  <c r="L139" i="24"/>
  <c r="Y76" i="24"/>
  <c r="L77" i="24"/>
  <c r="J25" i="15"/>
  <c r="Q22" i="21" s="1"/>
  <c r="Y77" i="24" l="1"/>
  <c r="L193" i="24"/>
  <c r="L192" i="24" s="1"/>
  <c r="L209" i="24" s="1"/>
  <c r="L211" i="24" s="1"/>
  <c r="L180" i="24"/>
  <c r="Y139" i="24"/>
  <c r="L171" i="24"/>
  <c r="Z151" i="24"/>
  <c r="M139" i="24"/>
  <c r="P24" i="21"/>
  <c r="N210" i="24" l="1"/>
  <c r="L92" i="24"/>
  <c r="Z139" i="24"/>
  <c r="M171" i="24"/>
  <c r="Y171" i="24"/>
  <c r="Y180" i="24"/>
  <c r="M180" i="24"/>
  <c r="L179" i="24"/>
  <c r="Z180" i="24" l="1"/>
  <c r="M179" i="24"/>
  <c r="L181" i="24"/>
  <c r="Y179" i="24"/>
  <c r="Z171" i="24"/>
  <c r="Y92" i="24"/>
  <c r="L91" i="24"/>
  <c r="M92" i="24"/>
  <c r="Z92" i="24" l="1"/>
  <c r="M91" i="24"/>
  <c r="Y91" i="24"/>
  <c r="L137" i="24"/>
  <c r="Y181" i="24"/>
  <c r="L182" i="24"/>
  <c r="Z179" i="24"/>
  <c r="M181" i="24"/>
  <c r="L184" i="24" l="1"/>
  <c r="Y137" i="24"/>
  <c r="M137" i="24"/>
  <c r="Z91" i="24"/>
  <c r="Z181" i="24"/>
  <c r="M182" i="24"/>
  <c r="Y182" i="24"/>
  <c r="L185" i="24"/>
  <c r="Y184" i="24" l="1"/>
  <c r="Z182" i="24"/>
  <c r="M185" i="24"/>
  <c r="M184" i="24"/>
  <c r="Z137" i="24"/>
  <c r="L186" i="24"/>
  <c r="Z184" i="24" l="1"/>
  <c r="M186" i="24"/>
  <c r="F249" i="10"/>
  <c r="H105" i="10" s="1"/>
  <c r="J16" i="10" s="1"/>
  <c r="G244" i="10"/>
  <c r="G249" i="10" s="1"/>
  <c r="I105" i="10" s="1"/>
  <c r="K16" i="10" s="1"/>
  <c r="BL55" i="21" l="1"/>
  <c r="BL54" i="21" s="1"/>
  <c r="K20" i="10"/>
  <c r="BK55" i="21"/>
  <c r="BK54" i="21" s="1"/>
  <c r="J20" i="10"/>
  <c r="H244" i="10"/>
  <c r="H249" i="10" s="1"/>
  <c r="J105" i="10" s="1"/>
  <c r="L16" i="10" s="1"/>
  <c r="BM55" i="21" l="1"/>
  <c r="BM54" i="21" s="1"/>
  <c r="L20" i="10"/>
  <c r="N194" i="10"/>
  <c r="N195" i="10" s="1"/>
  <c r="J30" i="10"/>
  <c r="I33" i="17"/>
  <c r="O194" i="10"/>
  <c r="O195" i="10" s="1"/>
  <c r="J33" i="17"/>
  <c r="I244" i="10"/>
  <c r="I249" i="10" s="1"/>
  <c r="K105" i="10" s="1"/>
  <c r="M16" i="10" s="1"/>
  <c r="BN55" i="21" l="1"/>
  <c r="BN54" i="21" s="1"/>
  <c r="M20" i="10"/>
  <c r="K30" i="10"/>
  <c r="N108" i="24"/>
  <c r="P194" i="10"/>
  <c r="P195" i="10" s="1"/>
  <c r="K33" i="17"/>
  <c r="J244" i="10"/>
  <c r="J249" i="10" s="1"/>
  <c r="L105" i="10" s="1"/>
  <c r="N16" i="10" s="1"/>
  <c r="Q33" i="17"/>
  <c r="J32" i="17"/>
  <c r="K29" i="16"/>
  <c r="P33" i="17"/>
  <c r="I32" i="17"/>
  <c r="J29" i="16"/>
  <c r="BO55" i="21" l="1"/>
  <c r="BO54" i="21" s="1"/>
  <c r="N20" i="10"/>
  <c r="O108" i="24"/>
  <c r="L30" i="10"/>
  <c r="BL35" i="21"/>
  <c r="J28" i="16"/>
  <c r="N19" i="24"/>
  <c r="K21" i="15"/>
  <c r="J35" i="17"/>
  <c r="Q32" i="17"/>
  <c r="I35" i="17"/>
  <c r="P32" i="17"/>
  <c r="BM35" i="21"/>
  <c r="L21" i="15"/>
  <c r="K28" i="16"/>
  <c r="O19" i="24"/>
  <c r="K32" i="17"/>
  <c r="L29" i="16"/>
  <c r="R33" i="17"/>
  <c r="N107" i="24"/>
  <c r="AA107" i="24" s="1"/>
  <c r="AA108" i="24"/>
  <c r="Q194" i="10"/>
  <c r="Q195" i="10" s="1"/>
  <c r="L33" i="17"/>
  <c r="S33" i="17" l="1"/>
  <c r="L32" i="17"/>
  <c r="M29" i="16"/>
  <c r="R32" i="17"/>
  <c r="K35" i="17"/>
  <c r="S83" i="21"/>
  <c r="S68" i="21" s="1"/>
  <c r="K31" i="16"/>
  <c r="AA19" i="24"/>
  <c r="N194" i="24"/>
  <c r="N11" i="24"/>
  <c r="O107" i="24"/>
  <c r="AB107" i="24" s="1"/>
  <c r="AB108" i="24"/>
  <c r="BN35" i="21"/>
  <c r="M21" i="15"/>
  <c r="P19" i="24"/>
  <c r="L28" i="16"/>
  <c r="O194" i="24"/>
  <c r="O11" i="24"/>
  <c r="AB19" i="24"/>
  <c r="S18" i="21"/>
  <c r="L20" i="15"/>
  <c r="K20" i="15"/>
  <c r="R18" i="21"/>
  <c r="R83" i="21"/>
  <c r="R68" i="21" s="1"/>
  <c r="J31" i="16"/>
  <c r="M30" i="10"/>
  <c r="P108" i="24"/>
  <c r="M33" i="17"/>
  <c r="R194" i="10"/>
  <c r="R195" i="10" s="1"/>
  <c r="T33" i="17" l="1"/>
  <c r="M32" i="17"/>
  <c r="N29" i="16"/>
  <c r="BK33" i="21"/>
  <c r="BK37" i="21" s="1"/>
  <c r="AB11" i="24"/>
  <c r="O10" i="24"/>
  <c r="L31" i="16"/>
  <c r="T83" i="21"/>
  <c r="T68" i="21" s="1"/>
  <c r="M20" i="15"/>
  <c r="T18" i="21"/>
  <c r="P107" i="24"/>
  <c r="AC107" i="24" s="1"/>
  <c r="AC108" i="24"/>
  <c r="J55" i="20"/>
  <c r="J56" i="20" s="1"/>
  <c r="J10" i="20" s="1"/>
  <c r="K11" i="15"/>
  <c r="J33" i="16"/>
  <c r="J34" i="16" s="1"/>
  <c r="R84" i="21"/>
  <c r="P194" i="24"/>
  <c r="P11" i="24"/>
  <c r="AC19" i="24"/>
  <c r="K33" i="16"/>
  <c r="K34" i="16" s="1"/>
  <c r="S84" i="21"/>
  <c r="S88" i="21" s="1"/>
  <c r="L11" i="15"/>
  <c r="K55" i="20"/>
  <c r="K56" i="20" s="1"/>
  <c r="K10" i="20" s="1"/>
  <c r="N21" i="15"/>
  <c r="BO35" i="21"/>
  <c r="Q19" i="24"/>
  <c r="M28" i="16"/>
  <c r="Q108" i="24"/>
  <c r="N30" i="10"/>
  <c r="R108" i="24" s="1"/>
  <c r="AA11" i="24"/>
  <c r="N10" i="24"/>
  <c r="BL33" i="21"/>
  <c r="BL37" i="21" s="1"/>
  <c r="S32" i="17"/>
  <c r="L35" i="17"/>
  <c r="AA10" i="24" l="1"/>
  <c r="N57" i="24"/>
  <c r="M31" i="16"/>
  <c r="U83" i="21"/>
  <c r="U68" i="21" s="1"/>
  <c r="S103" i="21"/>
  <c r="K8" i="20"/>
  <c r="P142" i="24"/>
  <c r="AD108" i="24"/>
  <c r="Q107" i="24"/>
  <c r="AD107" i="24" s="1"/>
  <c r="Q194" i="24"/>
  <c r="AD19" i="24"/>
  <c r="Q11" i="24"/>
  <c r="U18" i="21"/>
  <c r="N20" i="15"/>
  <c r="S10" i="21"/>
  <c r="R111" i="21" s="1"/>
  <c r="L13" i="15"/>
  <c r="L12" i="15"/>
  <c r="S11" i="21" s="1"/>
  <c r="S86" i="21" s="1"/>
  <c r="AC11" i="24"/>
  <c r="P10" i="24"/>
  <c r="R10" i="21"/>
  <c r="Q111" i="21" s="1"/>
  <c r="K12" i="15"/>
  <c r="R11" i="21" s="1"/>
  <c r="R86" i="21" s="1"/>
  <c r="K13" i="15"/>
  <c r="BM33" i="21"/>
  <c r="BM37" i="21" s="1"/>
  <c r="O57" i="24"/>
  <c r="AB10" i="24"/>
  <c r="N28" i="16"/>
  <c r="R19" i="24"/>
  <c r="O21" i="15"/>
  <c r="R88" i="21"/>
  <c r="AE108" i="24"/>
  <c r="R107" i="24"/>
  <c r="AE107" i="24" s="1"/>
  <c r="J8" i="20"/>
  <c r="O142" i="24"/>
  <c r="R103" i="21"/>
  <c r="T84" i="21"/>
  <c r="T88" i="21" s="1"/>
  <c r="M11" i="15"/>
  <c r="L33" i="16"/>
  <c r="L34" i="16" s="1"/>
  <c r="L55" i="20"/>
  <c r="L56" i="20" s="1"/>
  <c r="L10" i="20" s="1"/>
  <c r="M35" i="17"/>
  <c r="T32" i="17"/>
  <c r="S89" i="21" l="1"/>
  <c r="R89" i="21"/>
  <c r="L8" i="20"/>
  <c r="Q142" i="24"/>
  <c r="T103" i="21"/>
  <c r="R105" i="21"/>
  <c r="J12" i="20"/>
  <c r="AB142" i="24"/>
  <c r="O140" i="24"/>
  <c r="O20" i="15"/>
  <c r="V18" i="21"/>
  <c r="N31" i="16"/>
  <c r="V83" i="21"/>
  <c r="V68" i="21" s="1"/>
  <c r="AB57" i="24"/>
  <c r="O75" i="24"/>
  <c r="AC10" i="24"/>
  <c r="P57" i="24"/>
  <c r="AC142" i="24"/>
  <c r="P140" i="24"/>
  <c r="M33" i="16"/>
  <c r="M34" i="16" s="1"/>
  <c r="N11" i="15"/>
  <c r="U84" i="21"/>
  <c r="U88" i="21" s="1"/>
  <c r="M55" i="20"/>
  <c r="M56" i="20" s="1"/>
  <c r="M10" i="20" s="1"/>
  <c r="M12" i="15"/>
  <c r="T11" i="21" s="1"/>
  <c r="M13" i="15"/>
  <c r="T10" i="21"/>
  <c r="S111" i="21" s="1"/>
  <c r="AE19" i="24"/>
  <c r="R194" i="24"/>
  <c r="R11" i="24"/>
  <c r="K14" i="15"/>
  <c r="R13" i="21" s="1"/>
  <c r="K27" i="15"/>
  <c r="L27" i="15" s="1"/>
  <c r="R12" i="21"/>
  <c r="R14" i="21" s="1"/>
  <c r="K16" i="15"/>
  <c r="K15" i="15" s="1"/>
  <c r="R16" i="21" s="1"/>
  <c r="S12" i="21"/>
  <c r="S14" i="21" s="1"/>
  <c r="S15" i="21" s="1"/>
  <c r="L14" i="15"/>
  <c r="S13" i="21" s="1"/>
  <c r="AD11" i="24"/>
  <c r="Q10" i="24"/>
  <c r="S105" i="21"/>
  <c r="K12" i="20"/>
  <c r="BN33" i="21"/>
  <c r="BN37" i="21" s="1"/>
  <c r="AA57" i="24"/>
  <c r="N75" i="24"/>
  <c r="M27" i="15" l="1"/>
  <c r="L16" i="15"/>
  <c r="L15" i="15" s="1"/>
  <c r="S16" i="21" s="1"/>
  <c r="T89" i="21"/>
  <c r="AA75" i="24"/>
  <c r="N76" i="24"/>
  <c r="N77" i="24" s="1"/>
  <c r="S106" i="21"/>
  <c r="K13" i="20"/>
  <c r="AD10" i="24"/>
  <c r="Q57" i="24"/>
  <c r="T2" i="21"/>
  <c r="T86" i="21"/>
  <c r="U103" i="21"/>
  <c r="L118" i="21" s="1"/>
  <c r="M8" i="20"/>
  <c r="R142" i="24"/>
  <c r="N12" i="15"/>
  <c r="U11" i="21" s="1"/>
  <c r="U86" i="21" s="1"/>
  <c r="U10" i="21"/>
  <c r="T111" i="21" s="1"/>
  <c r="N13" i="15"/>
  <c r="AC140" i="24"/>
  <c r="AC57" i="24"/>
  <c r="P75" i="24"/>
  <c r="AB75" i="24"/>
  <c r="O76" i="24"/>
  <c r="BO33" i="21"/>
  <c r="BO37" i="21" s="1"/>
  <c r="AB140" i="24"/>
  <c r="J13" i="20"/>
  <c r="R106" i="21"/>
  <c r="T105" i="21"/>
  <c r="L12" i="20"/>
  <c r="K19" i="15"/>
  <c r="R15" i="21"/>
  <c r="F44" i="34"/>
  <c r="F45" i="34" s="1"/>
  <c r="R10" i="24"/>
  <c r="AE11" i="24"/>
  <c r="T12" i="21"/>
  <c r="T14" i="21" s="1"/>
  <c r="T15" i="21" s="1"/>
  <c r="M16" i="15"/>
  <c r="M15" i="15" s="1"/>
  <c r="T16" i="21" s="1"/>
  <c r="M14" i="15"/>
  <c r="T13" i="21" s="1"/>
  <c r="V84" i="21"/>
  <c r="V88" i="21" s="1"/>
  <c r="N33" i="16"/>
  <c r="N34" i="16" s="1"/>
  <c r="O11" i="15"/>
  <c r="AD142" i="24"/>
  <c r="Q140" i="24"/>
  <c r="N27" i="15" l="1"/>
  <c r="U89" i="21"/>
  <c r="L19" i="15"/>
  <c r="S17" i="21" s="1"/>
  <c r="N193" i="24"/>
  <c r="N180" i="24"/>
  <c r="AA77" i="24"/>
  <c r="AE10" i="24"/>
  <c r="R57" i="24"/>
  <c r="F36" i="34"/>
  <c r="I36" i="34" s="1"/>
  <c r="K36" i="34" s="1"/>
  <c r="F35" i="34"/>
  <c r="I35" i="34" s="1"/>
  <c r="K35" i="34" s="1"/>
  <c r="F37" i="34"/>
  <c r="I37" i="34" s="1"/>
  <c r="K37" i="34" s="1"/>
  <c r="D18" i="34"/>
  <c r="R17" i="21"/>
  <c r="K25" i="15"/>
  <c r="R107" i="21"/>
  <c r="L23" i="15"/>
  <c r="S20" i="21" s="1"/>
  <c r="O197" i="24"/>
  <c r="AC75" i="24"/>
  <c r="P76" i="24"/>
  <c r="P77" i="24" s="1"/>
  <c r="N14" i="15"/>
  <c r="U13" i="21" s="1"/>
  <c r="U12" i="21"/>
  <c r="U14" i="21" s="1"/>
  <c r="U15" i="21" s="1"/>
  <c r="N16" i="15"/>
  <c r="N15" i="15" s="1"/>
  <c r="U16" i="21" s="1"/>
  <c r="U105" i="21"/>
  <c r="M12" i="20"/>
  <c r="Q75" i="24"/>
  <c r="AD57" i="24"/>
  <c r="P197" i="24"/>
  <c r="M23" i="15"/>
  <c r="T20" i="21" s="1"/>
  <c r="S107" i="21"/>
  <c r="AD140" i="24"/>
  <c r="V10" i="21"/>
  <c r="U111" i="21" s="1"/>
  <c r="O13" i="15"/>
  <c r="O27" i="15" s="1"/>
  <c r="O12" i="15"/>
  <c r="V11" i="21" s="1"/>
  <c r="V86" i="21" s="1"/>
  <c r="T106" i="21"/>
  <c r="L13" i="20"/>
  <c r="AB76" i="24"/>
  <c r="O151" i="24"/>
  <c r="AE142" i="24"/>
  <c r="R140" i="24"/>
  <c r="L121" i="21"/>
  <c r="M118" i="21" s="1"/>
  <c r="AA76" i="24"/>
  <c r="N151" i="24"/>
  <c r="M19" i="15"/>
  <c r="O77" i="24"/>
  <c r="V89" i="21" l="1"/>
  <c r="L25" i="15"/>
  <c r="S22" i="21" s="1"/>
  <c r="O193" i="24"/>
  <c r="AB77" i="24"/>
  <c r="T17" i="21"/>
  <c r="M25" i="15"/>
  <c r="AA151" i="24"/>
  <c r="N139" i="24"/>
  <c r="N198" i="24"/>
  <c r="N192" i="24" s="1"/>
  <c r="N209" i="24" s="1"/>
  <c r="N211" i="24" s="1"/>
  <c r="AE140" i="24"/>
  <c r="AB151" i="24"/>
  <c r="O198" i="24"/>
  <c r="O139" i="24"/>
  <c r="Q197" i="24"/>
  <c r="N23" i="15"/>
  <c r="U20" i="21" s="1"/>
  <c r="T107" i="21"/>
  <c r="M13" i="20"/>
  <c r="U106" i="21"/>
  <c r="P151" i="24"/>
  <c r="AC76" i="24"/>
  <c r="F37" i="15"/>
  <c r="F40" i="15" s="1"/>
  <c r="R22" i="21"/>
  <c r="CY14" i="21"/>
  <c r="E18" i="34"/>
  <c r="F18" i="34"/>
  <c r="D20" i="34"/>
  <c r="R75" i="24"/>
  <c r="AE57" i="24"/>
  <c r="N19" i="15"/>
  <c r="M116" i="21"/>
  <c r="M115" i="21"/>
  <c r="M120" i="21"/>
  <c r="M117" i="21"/>
  <c r="O14" i="15"/>
  <c r="V13" i="21" s="1"/>
  <c r="V12" i="21"/>
  <c r="V14" i="21" s="1"/>
  <c r="V15" i="21" s="1"/>
  <c r="O16" i="15"/>
  <c r="O15" i="15" s="1"/>
  <c r="V16" i="21" s="1"/>
  <c r="Q76" i="24"/>
  <c r="Q77" i="24" s="1"/>
  <c r="AD75" i="24"/>
  <c r="AC77" i="24"/>
  <c r="P193" i="24"/>
  <c r="AA180" i="24"/>
  <c r="N179" i="24"/>
  <c r="O180" i="24"/>
  <c r="G37" i="15" l="1"/>
  <c r="G40" i="15" s="1"/>
  <c r="S24" i="21" s="1"/>
  <c r="N181" i="24"/>
  <c r="AA181" i="24" s="1"/>
  <c r="AA179" i="24"/>
  <c r="AD76" i="24"/>
  <c r="Q151" i="24"/>
  <c r="AB180" i="24"/>
  <c r="P180" i="24"/>
  <c r="O179" i="24"/>
  <c r="O210" i="24"/>
  <c r="N92" i="24"/>
  <c r="D22" i="34"/>
  <c r="CY16" i="21"/>
  <c r="CZ14" i="21"/>
  <c r="E20" i="34"/>
  <c r="O19" i="15"/>
  <c r="O192" i="24"/>
  <c r="O209" i="24" s="1"/>
  <c r="Q193" i="24"/>
  <c r="AD77" i="24"/>
  <c r="U17" i="21"/>
  <c r="N25" i="15"/>
  <c r="R76" i="24"/>
  <c r="R77" i="24" s="1"/>
  <c r="AE75" i="24"/>
  <c r="DA14" i="21"/>
  <c r="F20" i="34"/>
  <c r="R24" i="21"/>
  <c r="P198" i="24"/>
  <c r="P192" i="24" s="1"/>
  <c r="P209" i="24" s="1"/>
  <c r="AC151" i="24"/>
  <c r="P139" i="24"/>
  <c r="R197" i="24"/>
  <c r="O23" i="15"/>
  <c r="V20" i="21" s="1"/>
  <c r="U107" i="21"/>
  <c r="AB139" i="24"/>
  <c r="O171" i="24"/>
  <c r="AA139" i="24"/>
  <c r="N171" i="24"/>
  <c r="H37" i="15"/>
  <c r="H40" i="15" s="1"/>
  <c r="T24" i="21" s="1"/>
  <c r="T22" i="21"/>
  <c r="O211" i="24" l="1"/>
  <c r="O92" i="24" s="1"/>
  <c r="AA171" i="24"/>
  <c r="N182" i="24"/>
  <c r="AB171" i="24"/>
  <c r="DA16" i="21"/>
  <c r="F22" i="34"/>
  <c r="R193" i="24"/>
  <c r="AE77" i="24"/>
  <c r="AE76" i="24"/>
  <c r="R151" i="24"/>
  <c r="O25" i="15"/>
  <c r="V17" i="21"/>
  <c r="E22" i="34"/>
  <c r="CZ16" i="21"/>
  <c r="AA92" i="24"/>
  <c r="N91" i="24"/>
  <c r="AB179" i="24"/>
  <c r="O181" i="24"/>
  <c r="AB181" i="24" s="1"/>
  <c r="AC139" i="24"/>
  <c r="P171" i="24"/>
  <c r="I37" i="15"/>
  <c r="I40" i="15" s="1"/>
  <c r="U24" i="21" s="1"/>
  <c r="U22" i="21"/>
  <c r="CY18" i="21"/>
  <c r="D23" i="34"/>
  <c r="CY19" i="21" s="1"/>
  <c r="AC180" i="24"/>
  <c r="P179" i="24"/>
  <c r="Q180" i="24"/>
  <c r="AD151" i="24"/>
  <c r="Q198" i="24"/>
  <c r="Q192" i="24" s="1"/>
  <c r="Q209" i="24" s="1"/>
  <c r="Q139" i="24"/>
  <c r="P210" i="24" l="1"/>
  <c r="P211" i="24" s="1"/>
  <c r="Q210" i="24" s="1"/>
  <c r="Q211" i="24" s="1"/>
  <c r="R180" i="24"/>
  <c r="Q179" i="24"/>
  <c r="AD180" i="24"/>
  <c r="AD139" i="24"/>
  <c r="Q171" i="24"/>
  <c r="AC179" i="24"/>
  <c r="P181" i="24"/>
  <c r="AC181" i="24" s="1"/>
  <c r="O91" i="24"/>
  <c r="AB92" i="24"/>
  <c r="AC171" i="24"/>
  <c r="AA91" i="24"/>
  <c r="N137" i="24"/>
  <c r="R198" i="24"/>
  <c r="R192" i="24" s="1"/>
  <c r="R209" i="24" s="1"/>
  <c r="AE151" i="24"/>
  <c r="R139" i="24"/>
  <c r="F23" i="34"/>
  <c r="DA19" i="21" s="1"/>
  <c r="DA18" i="21"/>
  <c r="N185" i="24"/>
  <c r="AA182" i="24"/>
  <c r="O182" i="24"/>
  <c r="CZ18" i="21"/>
  <c r="E23" i="34"/>
  <c r="CZ19" i="21" s="1"/>
  <c r="V22" i="21"/>
  <c r="J37" i="15"/>
  <c r="P92" i="24" l="1"/>
  <c r="AC92" i="24" s="1"/>
  <c r="J40" i="15"/>
  <c r="E44" i="15"/>
  <c r="E46" i="15" s="1"/>
  <c r="K37" i="15" s="1"/>
  <c r="K40" i="15" s="1"/>
  <c r="F43" i="15" s="1"/>
  <c r="E51" i="15" s="1"/>
  <c r="N29" i="21" s="1"/>
  <c r="AB182" i="24"/>
  <c r="O185" i="24"/>
  <c r="AE139" i="24"/>
  <c r="R171" i="24"/>
  <c r="AB91" i="24"/>
  <c r="O137" i="24"/>
  <c r="AD179" i="24"/>
  <c r="Q181" i="24"/>
  <c r="AD181" i="24" s="1"/>
  <c r="Q92" i="24"/>
  <c r="R210" i="24"/>
  <c r="R211" i="24" s="1"/>
  <c r="R92" i="24" s="1"/>
  <c r="P182" i="24"/>
  <c r="AA137" i="24"/>
  <c r="AA184" i="24" s="1"/>
  <c r="N184" i="24"/>
  <c r="N186" i="24" s="1"/>
  <c r="AD171" i="24"/>
  <c r="AE180" i="24"/>
  <c r="R179" i="24"/>
  <c r="P91" i="24" l="1"/>
  <c r="P137" i="24" s="1"/>
  <c r="Q182" i="24"/>
  <c r="Q185" i="24" s="1"/>
  <c r="AE92" i="24"/>
  <c r="R91" i="24"/>
  <c r="AE179" i="24"/>
  <c r="R181" i="24"/>
  <c r="AE181" i="24" s="1"/>
  <c r="AC182" i="24"/>
  <c r="P185" i="24"/>
  <c r="O184" i="24"/>
  <c r="O186" i="24" s="1"/>
  <c r="AB137" i="24"/>
  <c r="AB184" i="24" s="1"/>
  <c r="AE171" i="24"/>
  <c r="AD92" i="24"/>
  <c r="Q91" i="24"/>
  <c r="V24" i="21"/>
  <c r="F34" i="15"/>
  <c r="E50" i="15" s="1"/>
  <c r="AC91" i="24" l="1"/>
  <c r="R182" i="24"/>
  <c r="R185" i="24" s="1"/>
  <c r="AD182" i="24"/>
  <c r="E53" i="15"/>
  <c r="N28" i="21"/>
  <c r="AE91" i="24"/>
  <c r="R137" i="24"/>
  <c r="AD91" i="24"/>
  <c r="Q137" i="24"/>
  <c r="P184" i="24"/>
  <c r="P186" i="24" s="1"/>
  <c r="AC137" i="24"/>
  <c r="AC184" i="24" s="1"/>
  <c r="AE182" i="24" l="1"/>
  <c r="AD137" i="24"/>
  <c r="AD184" i="24" s="1"/>
  <c r="Q184" i="24"/>
  <c r="Q186" i="24" s="1"/>
  <c r="N31" i="21"/>
  <c r="F49" i="15"/>
  <c r="E73" i="15" s="1"/>
  <c r="E75" i="15" s="1"/>
  <c r="AE137" i="24"/>
  <c r="R184" i="24"/>
  <c r="R186" i="24" s="1"/>
  <c r="AE184" i="24" l="1"/>
  <c r="F72" i="15"/>
  <c r="K72" i="15" s="1"/>
  <c r="K74" i="15" s="1"/>
  <c r="N33" i="21"/>
  <c r="H33" i="15" l="1"/>
  <c r="N3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SPwC-X460</author>
  </authors>
  <commentList>
    <comment ref="P3" authorId="0" shapeId="0" xr:uid="{00000000-0006-0000-0700-000001000000}">
      <text>
        <r>
          <rPr>
            <sz val="9"/>
            <color indexed="81"/>
            <rFont val="Tahoma"/>
            <family val="2"/>
          </rPr>
          <t>(1) 인건비성 경비
- 급여 
a. 인원: 인수 후 상품본부 15명을 이마트로 배치 예정(2011.2H)
b. 인상율: ① 정규직 급여는 현재 이마트 급여대비 85% 수준으로 추정 --&gt; 4년간 catch-up하여 이마트 급여수준으로 일치 &amp; 기본인상율 5% 반영
②  비정규직 급여는 최저임금상승률(직전 3개년 가중평균, 최저임금위원회) 4.5% 가정
c. 기타 특이사항: 2011년 하반기 renovation으로 인한 영업중단일을  단순평균하여 38일로 가정 --&gt; 비정규직 급여 미발생(정규직은 발생 가정)
- 퇴직급여, 복리후생비, 교육훈련비: 직전 3개년 급여액 대비 평균비율 적용
(2) 매출연동 경비
-지급수수료
a. 카드판매수수료: 킴스클럽 카드수수료는 1.84%, 이마트 카드수수료는 1.48% --&gt; 카드매출금액이 총매출금액의 69%로 추정하여 총매출액 대비 1.02%를 이용하여 추정(AS-IS 1.27%)
b. 로열티수수료: 이마트와의 프랜차이즈 계약에 따른 순매출액의 2%를 판관비로 반영 --&gt; valuation시 제외
c. 기타지급수수료: 2010년 매출액 대비 비율과 동일하게 추정
- 광고선전비: 회사의 정책성 경비로 2011년은 매출액의 1% 추정, 2012년부터 매출액의 0.4% 유지(에브리데이 0.2%, Metor 0.6%)
- 기타 매출연동 경비: 운반비, 포장비, 소모품비 --&gt; 직전 3개년 매출액대비 3개년 비용의 평균 비율을 이용하여 추정
(3) 준고정비 추정
- 지급임차료
a. 지역구분: 2011년 예상 임차료를 서울지역(34%), 서울이외지역(66%)로 구분
b. 인상율: 매장용 빌딩임대료 가중평균상승률(국토해양부)를 이용하여 서울지역은 3.2%, 서울이외지역은 0.9% 상승 가정(가중평균 1.67%)
- 기타준고정비
a. 수도광열비, 세금과공과, 관리비, 수선비, 여비교통비, 보험료, 잡비, 통신비, 차량유지비, 사무비, 접대비, 도서인쇄비
b. 2010년 비용에 물가상승율만큼 상승한다고 가정(EIU information)
(4) 별도계산
- 감가상각비: CAPEX에서 별도 추정
- 무형자산상각비: 2010년 발생한 영업권 19억을 5년 상각, 추가발생 않는다고 가정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Samil User</author>
  </authors>
  <commentList>
    <comment ref="F3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Samil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이마트로 이전된 장기차입금 포함. 금액은 알수 없음.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Samil User</author>
  </authors>
  <commentList>
    <comment ref="C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Samil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하이마트홀딩스와의 합병으로 인하여 1~5월까지의 매출이 반영되어 있지 않음</t>
        </r>
      </text>
    </comment>
    <comment ref="C1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Samil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영업권상각비 포함</t>
        </r>
      </text>
    </comment>
  </commentList>
</comments>
</file>

<file path=xl/sharedStrings.xml><?xml version="1.0" encoding="utf-8"?>
<sst xmlns="http://schemas.openxmlformats.org/spreadsheetml/2006/main" count="10941" uniqueCount="3008">
  <si>
    <t>Executive Summary</t>
    <phoneticPr fontId="2" type="noConversion"/>
  </si>
  <si>
    <t>대상산업의 분석</t>
    <phoneticPr fontId="2" type="noConversion"/>
  </si>
  <si>
    <t>산업의 이해</t>
    <phoneticPr fontId="2" type="noConversion"/>
  </si>
  <si>
    <t>CAPEX</t>
    <phoneticPr fontId="2" type="noConversion"/>
  </si>
  <si>
    <t>1. 점포운영계획</t>
    <phoneticPr fontId="2" type="noConversion"/>
  </si>
  <si>
    <t>&lt;출처 : 사업보고서&gt;</t>
    <phoneticPr fontId="2" type="noConversion"/>
  </si>
  <si>
    <t>동사의 점포당 출점 비용은 20 억원 내외이며, 백화점이나 대형마트의 700~3,000 억원에 비해 현저히 낮은수준이다. 
있다.</t>
    <phoneticPr fontId="2" type="noConversion"/>
  </si>
  <si>
    <t>또한 월 BEP 도 6 개월 이내에 달성할 수 있어 어느 유통업태보다도 ROI 가 높다고 평가할 수 있다.</t>
    <phoneticPr fontId="2" type="noConversion"/>
  </si>
  <si>
    <t>&lt;출처 : SK증권 증권사리포트&gt;</t>
    <phoneticPr fontId="2" type="noConversion"/>
  </si>
  <si>
    <t>2. 시장점유율</t>
    <phoneticPr fontId="2" type="noConversion"/>
  </si>
  <si>
    <t>성장률</t>
    <phoneticPr fontId="2" type="noConversion"/>
  </si>
  <si>
    <t>시장점유률</t>
    <phoneticPr fontId="2" type="noConversion"/>
  </si>
  <si>
    <t>전자랜드</t>
    <phoneticPr fontId="2" type="noConversion"/>
  </si>
  <si>
    <t>기타</t>
    <phoneticPr fontId="2" type="noConversion"/>
  </si>
  <si>
    <t>국내 가전제품 판매액(십억)</t>
    <phoneticPr fontId="2" type="noConversion"/>
  </si>
  <si>
    <t>리빙플라자(삼성)</t>
    <phoneticPr fontId="2" type="noConversion"/>
  </si>
  <si>
    <t>하이플라자(LG)</t>
    <phoneticPr fontId="2" type="noConversion"/>
  </si>
  <si>
    <t>구분</t>
    <phoneticPr fontId="2" type="noConversion"/>
  </si>
  <si>
    <t>하이플라자</t>
    <phoneticPr fontId="2" type="noConversion"/>
  </si>
  <si>
    <t>리빙플라자</t>
    <phoneticPr fontId="2" type="noConversion"/>
  </si>
  <si>
    <t>점포수</t>
    <phoneticPr fontId="2" type="noConversion"/>
  </si>
  <si>
    <t>면적</t>
    <phoneticPr fontId="2" type="noConversion"/>
  </si>
  <si>
    <t>합계</t>
    <phoneticPr fontId="2" type="noConversion"/>
  </si>
  <si>
    <t>국내 가전유통업체 면적(천 m2)</t>
    <phoneticPr fontId="2" type="noConversion"/>
  </si>
  <si>
    <t>국내 가전제품 매장수(개)</t>
    <phoneticPr fontId="2" type="noConversion"/>
  </si>
  <si>
    <t>매장당 평균면적</t>
    <phoneticPr fontId="2" type="noConversion"/>
  </si>
  <si>
    <t>&lt;출처 : Euromonitor&gt;</t>
    <phoneticPr fontId="2" type="noConversion"/>
  </si>
  <si>
    <t>매출액</t>
    <phoneticPr fontId="2" type="noConversion"/>
  </si>
  <si>
    <t>Actual</t>
    <phoneticPr fontId="2" type="noConversion"/>
  </si>
  <si>
    <t>Forcast</t>
    <phoneticPr fontId="2" type="noConversion"/>
  </si>
  <si>
    <t>Consummer Electronics</t>
  </si>
  <si>
    <t>Consummer Appliances</t>
  </si>
  <si>
    <t>2011. 1H</t>
    <phoneticPr fontId="2" type="noConversion"/>
  </si>
  <si>
    <t>2011. 2H</t>
    <phoneticPr fontId="2" type="noConversion"/>
  </si>
  <si>
    <t>리빙프라자(삼성)</t>
    <phoneticPr fontId="2" type="noConversion"/>
  </si>
  <si>
    <t>상품매출액</t>
    <phoneticPr fontId="2" type="noConversion"/>
  </si>
  <si>
    <t>기타매출액</t>
    <phoneticPr fontId="2" type="noConversion"/>
  </si>
  <si>
    <t>하이프라자</t>
    <phoneticPr fontId="2" type="noConversion"/>
  </si>
  <si>
    <t>상품매출원가</t>
  </si>
  <si>
    <t>상품매출원가</t>
    <phoneticPr fontId="2" type="noConversion"/>
  </si>
  <si>
    <t>상품매출원가율(%)</t>
    <phoneticPr fontId="2" type="noConversion"/>
  </si>
  <si>
    <t>(*) 2010년 K-IFRS 기준</t>
    <phoneticPr fontId="2" type="noConversion"/>
  </si>
  <si>
    <t>구분</t>
    <phoneticPr fontId="2" type="noConversion"/>
  </si>
  <si>
    <t>(*) 매출 세부구분이 안되는 경우 기타매출액은 전기와 동일하다고 가정</t>
    <phoneticPr fontId="2" type="noConversion"/>
  </si>
  <si>
    <t>전자제품 유통산업의 개요</t>
    <phoneticPr fontId="2" type="noConversion"/>
  </si>
  <si>
    <t>전자제품 유통산업의 특징</t>
    <phoneticPr fontId="2" type="noConversion"/>
  </si>
  <si>
    <t>페이지수</t>
    <phoneticPr fontId="2" type="noConversion"/>
  </si>
  <si>
    <t>2.</t>
    <phoneticPr fontId="2" type="noConversion"/>
  </si>
  <si>
    <t>2.2</t>
  </si>
  <si>
    <t>2.3</t>
  </si>
  <si>
    <t>2.4</t>
  </si>
  <si>
    <t>3.2</t>
  </si>
  <si>
    <t>3.3</t>
  </si>
  <si>
    <t>3.4</t>
  </si>
  <si>
    <t>3.5</t>
  </si>
  <si>
    <t>3.6</t>
  </si>
  <si>
    <t>4.2</t>
  </si>
  <si>
    <t>4.3</t>
  </si>
  <si>
    <t>4.4</t>
  </si>
  <si>
    <t>2.2.1</t>
    <phoneticPr fontId="2" type="noConversion"/>
  </si>
  <si>
    <t>2.2.2</t>
  </si>
  <si>
    <t>2.2.3</t>
  </si>
  <si>
    <t>2.2.4</t>
  </si>
  <si>
    <t>2.4.2</t>
  </si>
  <si>
    <t>2.4.3</t>
  </si>
  <si>
    <t>3.1.2</t>
  </si>
  <si>
    <t>3.1.3</t>
  </si>
  <si>
    <t>3.1.4</t>
  </si>
  <si>
    <t>3.3.2</t>
  </si>
  <si>
    <t>3.4.2</t>
  </si>
  <si>
    <t>3.5.2</t>
  </si>
  <si>
    <t>3.5.3</t>
  </si>
  <si>
    <t>4.2.2</t>
  </si>
  <si>
    <t>4.2.3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</si>
  <si>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</si>
  <si>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</si>
  <si>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</si>
  <si>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</si>
  <si>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</si>
  <si>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</si>
  <si>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</si>
  <si>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</si>
  <si>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</si>
  <si>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산업의 수익성</t>
    <phoneticPr fontId="2" type="noConversion"/>
  </si>
  <si>
    <t>산업의 경쟁</t>
    <phoneticPr fontId="2" type="noConversion"/>
  </si>
  <si>
    <t>외부환경 분석</t>
    <phoneticPr fontId="2" type="noConversion"/>
  </si>
  <si>
    <t>전자재품 시장의 개요 및 특징</t>
    <phoneticPr fontId="2" type="noConversion"/>
  </si>
  <si>
    <t>회사의 경영자원현황</t>
    <phoneticPr fontId="2" type="noConversion"/>
  </si>
  <si>
    <t>회사의 영업현황</t>
    <phoneticPr fontId="2" type="noConversion"/>
  </si>
  <si>
    <t>회상의 원가구조 분석</t>
    <phoneticPr fontId="2" type="noConversion"/>
  </si>
  <si>
    <t>회사의 재무현황 분석</t>
    <phoneticPr fontId="2" type="noConversion"/>
  </si>
  <si>
    <t>회사의 SWOT 분석</t>
    <phoneticPr fontId="2" type="noConversion"/>
  </si>
  <si>
    <t>DCF(민감도 반영), Multipe에 의한 평가결과 요약</t>
    <phoneticPr fontId="2" type="noConversion"/>
  </si>
  <si>
    <t>DCF법에 의한 기업가치 평가결과 및 가정</t>
    <phoneticPr fontId="2" type="noConversion"/>
  </si>
  <si>
    <t>DCF법에 의한 기업가치 평가 세부내역</t>
    <phoneticPr fontId="2" type="noConversion"/>
  </si>
  <si>
    <t xml:space="preserve">상대가치법에 의한 기업가치 평가
</t>
    <phoneticPr fontId="2" type="noConversion"/>
  </si>
  <si>
    <t>비고</t>
    <phoneticPr fontId="2" type="noConversion"/>
  </si>
  <si>
    <t>1.</t>
    <phoneticPr fontId="2" type="noConversion"/>
  </si>
  <si>
    <t>2.1</t>
    <phoneticPr fontId="2" type="noConversion"/>
  </si>
  <si>
    <t>2.2.1</t>
    <phoneticPr fontId="2" type="noConversion"/>
  </si>
  <si>
    <t>시장규모 추이_ 거시적</t>
    <phoneticPr fontId="2" type="noConversion"/>
  </si>
  <si>
    <t>시장규모 추이분석_ C/E 유통</t>
    <phoneticPr fontId="2" type="noConversion"/>
  </si>
  <si>
    <t>시장규모 추이분석_ C/A 유통</t>
    <phoneticPr fontId="2" type="noConversion"/>
  </si>
  <si>
    <t>산업재무분석</t>
    <phoneticPr fontId="2" type="noConversion"/>
  </si>
  <si>
    <t>2.3.1</t>
    <phoneticPr fontId="2" type="noConversion"/>
  </si>
  <si>
    <t>국내 경쟁사 현황</t>
    <phoneticPr fontId="2" type="noConversion"/>
  </si>
  <si>
    <t>2.4.1</t>
    <phoneticPr fontId="2" type="noConversion"/>
  </si>
  <si>
    <t>산업의 전망</t>
    <phoneticPr fontId="2" type="noConversion"/>
  </si>
  <si>
    <t>세계 전자제품 유통시장성장 전망</t>
    <phoneticPr fontId="2" type="noConversion"/>
  </si>
  <si>
    <t>국내 전자제품 유통시장성장 전망</t>
    <phoneticPr fontId="2" type="noConversion"/>
  </si>
  <si>
    <t>3.</t>
    <phoneticPr fontId="2" type="noConversion"/>
  </si>
  <si>
    <t>대상회사의 분석</t>
    <phoneticPr fontId="2" type="noConversion"/>
  </si>
  <si>
    <t>3.1</t>
    <phoneticPr fontId="2" type="noConversion"/>
  </si>
  <si>
    <t>회사의 일반현황</t>
    <phoneticPr fontId="2" type="noConversion"/>
  </si>
  <si>
    <t>3.1.1</t>
    <phoneticPr fontId="2" type="noConversion"/>
  </si>
  <si>
    <t>회사의 개요</t>
    <phoneticPr fontId="2" type="noConversion"/>
  </si>
  <si>
    <t>주주 현황</t>
    <phoneticPr fontId="2" type="noConversion"/>
  </si>
  <si>
    <t>회사의 조직구조</t>
    <phoneticPr fontId="2" type="noConversion"/>
  </si>
  <si>
    <t>주요 인원 및 인원현황</t>
    <phoneticPr fontId="2" type="noConversion"/>
  </si>
  <si>
    <t>3.2.1</t>
    <phoneticPr fontId="2" type="noConversion"/>
  </si>
  <si>
    <t>운영 점포 현황</t>
    <phoneticPr fontId="2" type="noConversion"/>
  </si>
  <si>
    <t>3.3.1</t>
    <phoneticPr fontId="2" type="noConversion"/>
  </si>
  <si>
    <t>과거 영업분석</t>
    <phoneticPr fontId="2" type="noConversion"/>
  </si>
  <si>
    <t>매출 분석</t>
    <phoneticPr fontId="2" type="noConversion"/>
  </si>
  <si>
    <t>3.4.1</t>
    <phoneticPr fontId="2" type="noConversion"/>
  </si>
  <si>
    <t>매출원가</t>
    <phoneticPr fontId="2" type="noConversion"/>
  </si>
  <si>
    <t>판매비와관리비</t>
    <phoneticPr fontId="2" type="noConversion"/>
  </si>
  <si>
    <t>3.5.1</t>
    <phoneticPr fontId="2" type="noConversion"/>
  </si>
  <si>
    <t>회사의 재무 현황</t>
    <phoneticPr fontId="2" type="noConversion"/>
  </si>
  <si>
    <t>운전자본 분석</t>
    <phoneticPr fontId="2" type="noConversion"/>
  </si>
  <si>
    <t>유형자산 및 투자분석</t>
    <phoneticPr fontId="2" type="noConversion"/>
  </si>
  <si>
    <t>4.</t>
    <phoneticPr fontId="2" type="noConversion"/>
  </si>
  <si>
    <t>기업가치평가결과</t>
    <phoneticPr fontId="2" type="noConversion"/>
  </si>
  <si>
    <t>4.1</t>
    <phoneticPr fontId="2" type="noConversion"/>
  </si>
  <si>
    <t>Valuation 평가결과 요약</t>
    <phoneticPr fontId="2" type="noConversion"/>
  </si>
  <si>
    <t>4.2.1</t>
    <phoneticPr fontId="2" type="noConversion"/>
  </si>
  <si>
    <t>DCF 법에 의한 기업가치 평가결과 요약</t>
    <phoneticPr fontId="2" type="noConversion"/>
  </si>
  <si>
    <t>기본가정</t>
    <phoneticPr fontId="2" type="noConversion"/>
  </si>
  <si>
    <t>Valuation 을 위한 주요 고려사항</t>
    <phoneticPr fontId="2" type="noConversion"/>
  </si>
  <si>
    <t>4.3.1</t>
    <phoneticPr fontId="2" type="noConversion"/>
  </si>
  <si>
    <t>매출추정</t>
    <phoneticPr fontId="2" type="noConversion"/>
  </si>
  <si>
    <t>매출원가 추정</t>
    <phoneticPr fontId="2" type="noConversion"/>
  </si>
  <si>
    <t>판관비 추정_요약</t>
    <phoneticPr fontId="2" type="noConversion"/>
  </si>
  <si>
    <t>판관비 추정_인건비</t>
    <phoneticPr fontId="2" type="noConversion"/>
  </si>
  <si>
    <t>판관비 추정_판매관련 경비</t>
    <phoneticPr fontId="2" type="noConversion"/>
  </si>
  <si>
    <t>판관비 추정_고정비</t>
    <phoneticPr fontId="2" type="noConversion"/>
  </si>
  <si>
    <t>Working Capital 추정</t>
    <phoneticPr fontId="2" type="noConversion"/>
  </si>
  <si>
    <t>CAPEX 추정</t>
    <phoneticPr fontId="2" type="noConversion"/>
  </si>
  <si>
    <t>비영업용 자산</t>
    <phoneticPr fontId="2" type="noConversion"/>
  </si>
  <si>
    <t>순차입금</t>
    <phoneticPr fontId="2" type="noConversion"/>
  </si>
  <si>
    <t>리빙프라자, 하이프라자, 전자랜드</t>
    <phoneticPr fontId="2" type="noConversion"/>
  </si>
  <si>
    <t>해외진출(인도네시아) 진출에 대한 기대…</t>
    <phoneticPr fontId="2" type="noConversion"/>
  </si>
  <si>
    <t>과거 재무상태표 분석 내용 기술</t>
    <phoneticPr fontId="2" type="noConversion"/>
  </si>
  <si>
    <t>판관비 추정결과 및 비용 구분(인건비, 판매경비…) 기술</t>
    <phoneticPr fontId="2" type="noConversion"/>
  </si>
  <si>
    <r>
      <t>V.</t>
    </r>
    <r>
      <rPr>
        <b/>
        <sz val="10"/>
        <color indexed="8"/>
        <rFont val="가는각진제목체"/>
        <family val="1"/>
        <charset val="129"/>
      </rPr>
      <t>영업이익</t>
    </r>
  </si>
  <si>
    <t>인건비성경비</t>
    <phoneticPr fontId="28" type="noConversion"/>
  </si>
  <si>
    <r>
      <t>III.</t>
    </r>
    <r>
      <rPr>
        <b/>
        <sz val="10"/>
        <color indexed="8"/>
        <rFont val="가는각진제목체"/>
        <family val="1"/>
        <charset val="129"/>
      </rPr>
      <t>매출총이익</t>
    </r>
  </si>
  <si>
    <r>
      <rPr>
        <b/>
        <sz val="10"/>
        <color theme="3"/>
        <rFont val="가는각진제목체"/>
        <family val="1"/>
        <charset val="129"/>
      </rPr>
      <t>과목</t>
    </r>
  </si>
  <si>
    <r>
      <rPr>
        <b/>
        <sz val="10"/>
        <color theme="1"/>
        <rFont val="맑은 고딕"/>
        <family val="1"/>
        <charset val="129"/>
        <scheme val="minor"/>
      </rPr>
      <t>부채및자본총계</t>
    </r>
  </si>
  <si>
    <r>
      <rPr>
        <b/>
        <sz val="10"/>
        <color theme="1"/>
        <rFont val="맑은 고딕"/>
        <family val="1"/>
        <charset val="129"/>
        <scheme val="minor"/>
      </rPr>
      <t>자본총계</t>
    </r>
  </si>
  <si>
    <r>
      <rPr>
        <sz val="10"/>
        <color indexed="8"/>
        <rFont val="가는각진제목체"/>
        <family val="1"/>
        <charset val="129"/>
      </rPr>
      <t>자본</t>
    </r>
  </si>
  <si>
    <r>
      <rPr>
        <b/>
        <sz val="10"/>
        <color theme="1"/>
        <rFont val="맑은 고딕"/>
        <family val="1"/>
        <charset val="129"/>
        <scheme val="minor"/>
      </rPr>
      <t>부채총계</t>
    </r>
  </si>
  <si>
    <r>
      <rPr>
        <b/>
        <sz val="10"/>
        <color indexed="8"/>
        <rFont val="가는각진제목체"/>
        <family val="1"/>
        <charset val="129"/>
      </rPr>
      <t>Ⅱ</t>
    </r>
    <r>
      <rPr>
        <b/>
        <sz val="10"/>
        <color indexed="8"/>
        <rFont val="Arial"/>
        <family val="2"/>
      </rPr>
      <t>.</t>
    </r>
    <r>
      <rPr>
        <b/>
        <sz val="10"/>
        <color indexed="8"/>
        <rFont val="가는각진제목체"/>
        <family val="1"/>
        <charset val="129"/>
      </rPr>
      <t>비유동부채</t>
    </r>
  </si>
  <si>
    <r>
      <rPr>
        <b/>
        <sz val="10"/>
        <color indexed="8"/>
        <rFont val="가는각진제목체"/>
        <family val="1"/>
        <charset val="129"/>
      </rPr>
      <t>Ⅰ</t>
    </r>
    <r>
      <rPr>
        <b/>
        <sz val="10"/>
        <color indexed="8"/>
        <rFont val="Arial"/>
        <family val="2"/>
      </rPr>
      <t>.</t>
    </r>
    <r>
      <rPr>
        <b/>
        <sz val="10"/>
        <color indexed="8"/>
        <rFont val="가는각진제목체"/>
        <family val="1"/>
        <charset val="129"/>
      </rPr>
      <t>유동부채</t>
    </r>
  </si>
  <si>
    <r>
      <rPr>
        <sz val="10"/>
        <color indexed="8"/>
        <rFont val="가는각진제목체"/>
        <family val="1"/>
        <charset val="129"/>
      </rPr>
      <t>부채</t>
    </r>
  </si>
  <si>
    <r>
      <rPr>
        <b/>
        <sz val="10"/>
        <color theme="1"/>
        <rFont val="맑은 고딕"/>
        <family val="1"/>
        <charset val="129"/>
        <scheme val="minor"/>
      </rPr>
      <t>자산총계</t>
    </r>
  </si>
  <si>
    <r>
      <rPr>
        <b/>
        <sz val="10"/>
        <color indexed="8"/>
        <rFont val="가는각진제목체"/>
        <family val="1"/>
        <charset val="129"/>
      </rPr>
      <t>Ⅱ</t>
    </r>
    <r>
      <rPr>
        <b/>
        <sz val="10"/>
        <color indexed="8"/>
        <rFont val="Arial"/>
        <family val="2"/>
      </rPr>
      <t>.</t>
    </r>
    <r>
      <rPr>
        <b/>
        <sz val="10"/>
        <color indexed="8"/>
        <rFont val="가는각진제목체"/>
        <family val="1"/>
        <charset val="129"/>
      </rPr>
      <t>비유동자산</t>
    </r>
  </si>
  <si>
    <r>
      <t>I.</t>
    </r>
    <r>
      <rPr>
        <b/>
        <sz val="10"/>
        <color indexed="8"/>
        <rFont val="가는각진제목체"/>
        <family val="1"/>
        <charset val="129"/>
      </rPr>
      <t>유동자산</t>
    </r>
  </si>
  <si>
    <r>
      <rPr>
        <sz val="10"/>
        <color indexed="8"/>
        <rFont val="가는각진제목체"/>
        <family val="1"/>
        <charset val="129"/>
      </rPr>
      <t>자산</t>
    </r>
  </si>
  <si>
    <t>점당 평균매출액</t>
    <phoneticPr fontId="2" type="noConversion"/>
  </si>
  <si>
    <t>매출액 성장률</t>
    <phoneticPr fontId="2" type="noConversion"/>
  </si>
  <si>
    <t>점포수 성장률</t>
    <phoneticPr fontId="2" type="noConversion"/>
  </si>
  <si>
    <t>점당 평균매출액 성장률</t>
    <phoneticPr fontId="2" type="noConversion"/>
  </si>
  <si>
    <t>시장규모</t>
    <phoneticPr fontId="2" type="noConversion"/>
  </si>
  <si>
    <t>(*) Consummer Electronics에는 TV, 홈시어터, 오디오, PC, 디지털기기, 모바일 포함</t>
    <phoneticPr fontId="2" type="noConversion"/>
  </si>
  <si>
    <t>(*) Consummer Appliances에는 냉장고, 김치냉장고, 에어컨, 세탁기 등 포함</t>
    <phoneticPr fontId="2" type="noConversion"/>
  </si>
  <si>
    <t>CAGR</t>
    <phoneticPr fontId="2" type="noConversion"/>
  </si>
  <si>
    <t>&lt;단위 : 십억&gt;</t>
    <phoneticPr fontId="2" type="noConversion"/>
  </si>
  <si>
    <t>M/S</t>
  </si>
  <si>
    <t>M/S</t>
    <phoneticPr fontId="2" type="noConversion"/>
  </si>
  <si>
    <t>성장률</t>
    <phoneticPr fontId="2" type="noConversion"/>
  </si>
  <si>
    <t>&lt;출처: 회사제시 IR&gt;</t>
    <phoneticPr fontId="2" type="noConversion"/>
  </si>
  <si>
    <t>C/E</t>
    <phoneticPr fontId="2" type="noConversion"/>
  </si>
  <si>
    <t>C/A</t>
    <phoneticPr fontId="2" type="noConversion"/>
  </si>
  <si>
    <t>매출실적</t>
    <phoneticPr fontId="2" type="noConversion"/>
  </si>
  <si>
    <t>Category Killer</t>
  </si>
  <si>
    <t>전자랜드</t>
  </si>
  <si>
    <t>전자랜드</t>
    <phoneticPr fontId="2" type="noConversion"/>
  </si>
  <si>
    <t>대형제조업체</t>
  </si>
  <si>
    <t>리빙프라자(삼성)</t>
  </si>
  <si>
    <t>리빙프라자(삼성)</t>
    <phoneticPr fontId="2" type="noConversion"/>
  </si>
  <si>
    <t>하이프라지(LG)</t>
    <phoneticPr fontId="2" type="noConversion"/>
  </si>
  <si>
    <t>기타</t>
  </si>
  <si>
    <t>M/S</t>
    <phoneticPr fontId="2" type="noConversion"/>
  </si>
  <si>
    <t>성장률</t>
    <phoneticPr fontId="2" type="noConversion"/>
  </si>
  <si>
    <t>M/S</t>
    <phoneticPr fontId="2" type="noConversion"/>
  </si>
  <si>
    <t>Category Killer</t>
    <phoneticPr fontId="2" type="noConversion"/>
  </si>
  <si>
    <t>온라인쇼핑몰</t>
  </si>
  <si>
    <t>대형제조업체</t>
    <phoneticPr fontId="2" type="noConversion"/>
  </si>
  <si>
    <t>온라인쇼핑몰</t>
    <phoneticPr fontId="2" type="noConversion"/>
  </si>
  <si>
    <t>기타</t>
    <phoneticPr fontId="2" type="noConversion"/>
  </si>
  <si>
    <t>(*) 온라인쇼핑몰의 2010년 매출실적의 경우 2009년 성장률을 적용하여 추정</t>
    <phoneticPr fontId="2" type="noConversion"/>
  </si>
  <si>
    <t>&lt;출처 : 회사제시 IR자료 및 각사 감사보고서, 신영증권 증권사리포트(온라인쇼핑몰)&gt;</t>
    <phoneticPr fontId="2" type="noConversion"/>
  </si>
  <si>
    <t>점포수</t>
  </si>
  <si>
    <t>점포수</t>
    <phoneticPr fontId="2" type="noConversion"/>
  </si>
  <si>
    <t>점당매출액</t>
  </si>
  <si>
    <t>점당매출액</t>
    <phoneticPr fontId="2" type="noConversion"/>
  </si>
  <si>
    <t>(단위 : 십억)</t>
    <phoneticPr fontId="2" type="noConversion"/>
  </si>
  <si>
    <t>점당매출액 추정</t>
    <phoneticPr fontId="2" type="noConversion"/>
  </si>
  <si>
    <t>점당매출액</t>
    <phoneticPr fontId="2" type="noConversion"/>
  </si>
  <si>
    <t>점포운영 계획</t>
    <phoneticPr fontId="2" type="noConversion"/>
  </si>
  <si>
    <t>점포수</t>
    <phoneticPr fontId="2" type="noConversion"/>
  </si>
  <si>
    <t>2011. 1H</t>
  </si>
  <si>
    <t>매출액</t>
  </si>
  <si>
    <t>매출액</t>
    <phoneticPr fontId="2" type="noConversion"/>
  </si>
  <si>
    <t>CAGR</t>
    <phoneticPr fontId="2" type="noConversion"/>
  </si>
  <si>
    <t>매출추정</t>
    <phoneticPr fontId="2" type="noConversion"/>
  </si>
  <si>
    <t>점포수</t>
    <phoneticPr fontId="2" type="noConversion"/>
  </si>
  <si>
    <t>점당매출액</t>
    <phoneticPr fontId="2" type="noConversion"/>
  </si>
  <si>
    <t>South Korea</t>
  </si>
  <si>
    <t>Series Title</t>
  </si>
  <si>
    <t>Code</t>
  </si>
  <si>
    <t>Currency</t>
  </si>
  <si>
    <t>Units</t>
  </si>
  <si>
    <t xml:space="preserve"> 1997</t>
  </si>
  <si>
    <t xml:space="preserve"> 1998</t>
  </si>
  <si>
    <t xml:space="preserve"> 1999</t>
  </si>
  <si>
    <t xml:space="preserve"> 2000</t>
  </si>
  <si>
    <t xml:space="preserve"> 2001</t>
  </si>
  <si>
    <t xml:space="preserve"> 2002</t>
  </si>
  <si>
    <t xml:space="preserve"> 2003</t>
  </si>
  <si>
    <t xml:space="preserve"> 2004</t>
  </si>
  <si>
    <t xml:space="preserve"> 2005</t>
  </si>
  <si>
    <t xml:space="preserve"> 2006</t>
  </si>
  <si>
    <t xml:space="preserve"> 2007</t>
  </si>
  <si>
    <t xml:space="preserve"> 2008</t>
  </si>
  <si>
    <t xml:space="preserve"> 2009</t>
  </si>
  <si>
    <t xml:space="preserve"> 2010</t>
  </si>
  <si>
    <t xml:space="preserve"> 2011</t>
  </si>
  <si>
    <t xml:space="preserve"> 2012</t>
  </si>
  <si>
    <t xml:space="preserve"> 2013</t>
  </si>
  <si>
    <t xml:space="preserve"> 2014</t>
  </si>
  <si>
    <t xml:space="preserve"> 2015</t>
  </si>
  <si>
    <t>Definition</t>
  </si>
  <si>
    <t>Note</t>
  </si>
  <si>
    <t>Source</t>
  </si>
  <si>
    <t>Real GDP</t>
  </si>
  <si>
    <t>RGDP</t>
  </si>
  <si>
    <t>LCU</t>
  </si>
  <si>
    <t>bn</t>
  </si>
  <si>
    <t>Gross domestic product (GDP) at constant 2005 market prices.</t>
  </si>
  <si>
    <t>Includes statistical discrepancy.</t>
  </si>
  <si>
    <t>Bank of Korea</t>
  </si>
  <si>
    <t>Real private consumption</t>
  </si>
  <si>
    <t>RCPR</t>
  </si>
  <si>
    <t>Private consumption expenditure at constant 2005 market prices; data to 2000 are rebased by the EIU to 2005 prices.</t>
  </si>
  <si>
    <t>Pre-2000 data is grown in line with the old 2000 base GDP data.</t>
  </si>
  <si>
    <t>Real government consumption</t>
  </si>
  <si>
    <t>RGCE</t>
  </si>
  <si>
    <t>Government consumption expenditure at constant 2005 market prices; data to 2000 are rebased by the EIU to 2005 prices.</t>
  </si>
  <si>
    <t>Real gross fixed investment</t>
  </si>
  <si>
    <t>RFIN</t>
  </si>
  <si>
    <t>Gross fixed investment at constant 2005 market prices; data to 2000 are rebased by the EIU to 2005 prices.</t>
  </si>
  <si>
    <t>Real stockbuilding</t>
  </si>
  <si>
    <t>RSTK</t>
  </si>
  <si>
    <t>–</t>
  </si>
  <si>
    <t>Stockbuilding at constant 2005 market prices.</t>
  </si>
  <si>
    <t/>
  </si>
  <si>
    <t>Real exports of G&amp;S</t>
  </si>
  <si>
    <t>REXP</t>
  </si>
  <si>
    <t>Exports of goods and services at constant 2005 market prices; data to 2000 are rebased by the EIU to 2005 prices.</t>
  </si>
  <si>
    <t>Real imports of G&amp;S</t>
  </si>
  <si>
    <t>RIMP</t>
  </si>
  <si>
    <t>Imports of goods and services at constant 2005 market prices; data to 2000 are rebased by the EIU to 2005 prices.</t>
  </si>
  <si>
    <t>Real domestic demand</t>
  </si>
  <si>
    <t>RDMD</t>
  </si>
  <si>
    <t>Total domestic expenditure (including stockbuilding) at constant 2005 market prices.</t>
  </si>
  <si>
    <t>Derived from Bank of Korea</t>
  </si>
  <si>
    <t>GDP (% real change pa)</t>
  </si>
  <si>
    <t>DGDP</t>
  </si>
  <si>
    <t>Percentage change in real GDP, over previous year.</t>
  </si>
  <si>
    <t>Private consumption (real % change pa)</t>
  </si>
  <si>
    <t>DCPR</t>
  </si>
  <si>
    <t>Percentage change in real private consumption, over previous year.</t>
  </si>
  <si>
    <t>Government consumption (% real change pa)</t>
  </si>
  <si>
    <t>DGCE</t>
  </si>
  <si>
    <t>Percentage change in real government consumption, over previous year.</t>
  </si>
  <si>
    <t>Gross fixed investment (% real change pa)</t>
  </si>
  <si>
    <t>DFIN</t>
  </si>
  <si>
    <t>Percentage change in real gross fixed investment, over previous year.</t>
  </si>
  <si>
    <t>Stockbuilding, contribution to real GDP growth (% points)</t>
  </si>
  <si>
    <t>DSTK</t>
  </si>
  <si>
    <t>Change in real stockbuilding, as a percentage of real GDP in the previous year.</t>
  </si>
  <si>
    <t>Exports of G&amp;S (% real change pa)</t>
  </si>
  <si>
    <t>DEXP</t>
  </si>
  <si>
    <t>Percentage change in real exports of goods and services, over previous year.</t>
  </si>
  <si>
    <t>Imports of G&amp;S (% real change pa)</t>
  </si>
  <si>
    <t>DIMP</t>
  </si>
  <si>
    <t>Percentage change in real imports of goods and services, over previous year.</t>
  </si>
  <si>
    <t>Domestic demand (% real change pa)</t>
  </si>
  <si>
    <t>DDMD</t>
  </si>
  <si>
    <t>Percentage change in real total domestic expenditure (including stockbuilding), over previous year.</t>
  </si>
  <si>
    <t>Private consumption, contribution to real GDP growth (% points)</t>
  </si>
  <si>
    <t>CGPR</t>
  </si>
  <si>
    <t>Change in private consumption, as a percentage of real GDP in the previous period.</t>
  </si>
  <si>
    <t>Government consumption, contribution to real GDP growth (% points)</t>
  </si>
  <si>
    <t>CGGC</t>
  </si>
  <si>
    <t>Change in government consumption, as a percentage of real GDP in the previous period.</t>
  </si>
  <si>
    <t>Gross fixed investment, contribution to real GDP growth (% points)</t>
  </si>
  <si>
    <t>CGFI</t>
  </si>
  <si>
    <t>Change in gross fixed investment, as a percentage of real GDP in the previous period.</t>
  </si>
  <si>
    <t>External balance, contribution to real GDP growth (% points)</t>
  </si>
  <si>
    <t>CGEB</t>
  </si>
  <si>
    <t>Change in net exports, as a percentage of real GDP in the previous period.</t>
  </si>
  <si>
    <t>Nominal GDP</t>
  </si>
  <si>
    <t>GDPL</t>
  </si>
  <si>
    <t>Gross domestic product (GDP) at current market prices.  Line 99b in the IFS.</t>
  </si>
  <si>
    <t>IMF, International Financial Statistics</t>
  </si>
  <si>
    <t>Nominal private consumption</t>
  </si>
  <si>
    <t>CPRL</t>
  </si>
  <si>
    <t>Private consumption expenditure at current market prices.  Line 96f in the IFS.</t>
  </si>
  <si>
    <t>Nominal government consumption</t>
  </si>
  <si>
    <t>GCEL</t>
  </si>
  <si>
    <t>Government consumption expenditure at current market prices.  Line 91f in the IFS.</t>
  </si>
  <si>
    <t>Nominal gross fixed investment</t>
  </si>
  <si>
    <t>FINL</t>
  </si>
  <si>
    <t>Gross fixed investment expenditure at current market prices.  Line 93e in the IFS.</t>
  </si>
  <si>
    <t>Nominal stockbuilding</t>
  </si>
  <si>
    <t>STKL</t>
  </si>
  <si>
    <t>Stockbuilding at current market prices.  Line 93i in the IFS.</t>
  </si>
  <si>
    <t>Nominal exports of G&amp;S</t>
  </si>
  <si>
    <t>EXPL</t>
  </si>
  <si>
    <t>Value of exports of goods and non-factor services expenditure at current market prices.  Line 90c in the IFS.</t>
  </si>
  <si>
    <t>Nominal imports of G&amp;S</t>
  </si>
  <si>
    <t>IMPL</t>
  </si>
  <si>
    <t>Value of imports of goods and non-factor services expenditure at current market prices.  Line 98c in the IFS.</t>
  </si>
  <si>
    <t>Nominal domestic demand</t>
  </si>
  <si>
    <t>DMDL</t>
  </si>
  <si>
    <t>Total domestic expenditure (including stockbuilding) at current market prices.  Derived from lines 96f, 91f, 93e and 93i in the IFS.</t>
  </si>
  <si>
    <t>Derived from IMF, International Financial Statistics</t>
  </si>
  <si>
    <t>Nominal GDP (PPP$)</t>
  </si>
  <si>
    <t>GDPP</t>
  </si>
  <si>
    <t>PPP</t>
  </si>
  <si>
    <t xml:space="preserve">Gross domestic product (GDP) at purchasing power parity (PPP) in US$.  </t>
  </si>
  <si>
    <t>Based on figures from World Bank, World Development Indicators</t>
  </si>
  <si>
    <t>EIU calculation</t>
  </si>
  <si>
    <t>Nominal GDP (US$)</t>
  </si>
  <si>
    <t>GDPD</t>
  </si>
  <si>
    <t>$</t>
  </si>
  <si>
    <t>Gross domestic product (GDP) at current market prices in US$.  Derived from line 99b in the IFS and period-average exchange rate (line rf in the IFS).</t>
  </si>
  <si>
    <t>Private consumption (US$)</t>
  </si>
  <si>
    <t>PCRD</t>
  </si>
  <si>
    <t>Private consumption expenditure at current market prices in US$.  Derived from line 96f in the IFS and period-average exchange rate (line rf in the IFS).</t>
  </si>
  <si>
    <t>Nominal government consumption (US$)</t>
  </si>
  <si>
    <t>GCED</t>
  </si>
  <si>
    <t>Government consumption expenditure at current market prices in US$.  Derived from line 91f in the IFS and period-average exchange rate (line rf in the IFS).</t>
  </si>
  <si>
    <t>Nominal gross fixed investment (US$)</t>
  </si>
  <si>
    <t>FIND</t>
  </si>
  <si>
    <t>Gross fixed investment expenditure at current market prices in US$.  Derived from line 93e in the IFS and period-average exchange rate (line rf in the IFS).</t>
  </si>
  <si>
    <t>Nominal stockbuilding (US$)</t>
  </si>
  <si>
    <t>STKD</t>
  </si>
  <si>
    <t>Stockbuilding at current market prices in US$.  Derived from line 93i in the IFS and period-average exchange rate (line rf in the IFS).</t>
  </si>
  <si>
    <t>Nominal exports of G&amp;S (US$)</t>
  </si>
  <si>
    <t>EXPD</t>
  </si>
  <si>
    <t>Value of exports of goods and non-factor services expenditure at current market prices in US$.  Derived from line 90c in the IFS and period-average exchange rate (line rf in the IFS).</t>
  </si>
  <si>
    <t>Nominal imports of G&amp;S (US$)</t>
  </si>
  <si>
    <t>IMPD</t>
  </si>
  <si>
    <t>Value of imports of goods and non-factor services expenditure at current market prices in US$.  Derived from line 98c in the IFS and period-average exchange rate (line rf in the IFS).</t>
  </si>
  <si>
    <t>Nominal domestic demand (US$)</t>
  </si>
  <si>
    <t>DMDD</t>
  </si>
  <si>
    <t>Total domestic expenditure (including stockbuilding) at current market prices in US$.  Derived from lines 96f, 91f, 93e and 93i in the IFS and period-average exchange rate (line rf in the IFS).</t>
  </si>
  <si>
    <t>Private consumption (% of GDP)</t>
  </si>
  <si>
    <t>PPCR</t>
  </si>
  <si>
    <t>Private consumption expenditure at current market prices, as a percentage of GDP.  Derived from lines 96f and 99b in the IFS.</t>
  </si>
  <si>
    <t>Government consumption (% of GDP)</t>
  </si>
  <si>
    <t>PGCE</t>
  </si>
  <si>
    <t>Government consumption expenditure at current market prices, as a percentage of GDP.  Derived from lines 91f and 99b in the IFS.</t>
  </si>
  <si>
    <t>Gross fixed investment (% of GDP)</t>
  </si>
  <si>
    <t>PFIN</t>
  </si>
  <si>
    <t>Gross fixed investment expenditure at current market prices, as a percentage of GDP.  Derived from lines 93e and 99b in the IFS.</t>
  </si>
  <si>
    <t>Stockbuilding (% of GDP)</t>
  </si>
  <si>
    <t>PSTK</t>
  </si>
  <si>
    <t>Stockbuilding at current market prices, as a percentage of GDP.  Derived from lines 93i and 99b in the IFS.</t>
  </si>
  <si>
    <t>Exports of G&amp;S (% of GDP)</t>
  </si>
  <si>
    <t>PEXP</t>
  </si>
  <si>
    <t>Value of exports of goods and non-factor services expenditure at current market prices, as a percentage of GDP.  Derived from lines 90c and 99b in the IFS.</t>
  </si>
  <si>
    <t>Imports of G&amp;S (% of GDP)</t>
  </si>
  <si>
    <t>PIMP</t>
  </si>
  <si>
    <t>Value of imports of goods and non-factor services expenditure at current market prices, as a percentage of GDP.  Derived from lines 98c and 99b in the IFS.</t>
  </si>
  <si>
    <t>Domestic demand (% of GDP)</t>
  </si>
  <si>
    <t>PDDD</t>
  </si>
  <si>
    <t>Total domestic expenditure (including stockbuilding) at current market prices, as a percentage of GDP.  Derived from lines 96f, 91f, 93e, 93i and 99b in the IFS.</t>
  </si>
  <si>
    <t>GDP deflator (% change; av)</t>
  </si>
  <si>
    <t>GDFD</t>
  </si>
  <si>
    <t>Percentage change in GDP deflator index in local currency, period average (2005 = 100).</t>
  </si>
  <si>
    <t xml:space="preserve">Derived from Bank of Korea; IMF, International Financial Statistics </t>
  </si>
  <si>
    <t>Private consumption deflator (% change; av)</t>
  </si>
  <si>
    <t>CDFD</t>
  </si>
  <si>
    <t>Percentage change in private consumption deflator index in local currency, period average (2005 = 100).</t>
  </si>
  <si>
    <t>Government consumption deflator (% change; av)</t>
  </si>
  <si>
    <t>GOVD</t>
  </si>
  <si>
    <t>Percentage change in government consumption deflator index in local currency, period average (2005 = 100).</t>
  </si>
  <si>
    <t>Fixed investment deflator (% change; av)</t>
  </si>
  <si>
    <t>IDFD</t>
  </si>
  <si>
    <t>Percentage change in fixed investment deflator index in local currency, period average (2005 = 100).</t>
  </si>
  <si>
    <t>Real GDP at factor cost</t>
  </si>
  <si>
    <t>FGDP</t>
  </si>
  <si>
    <t>Real GDP at factor cost is equal to GDP at constant 2005 market prices, less indirect taxes and plus subsidies.</t>
  </si>
  <si>
    <t xml:space="preserve">Bank of Korea </t>
  </si>
  <si>
    <t>Real agriculture</t>
  </si>
  <si>
    <t>RAGR</t>
  </si>
  <si>
    <t>Agricultural value-added, including livestock, forestry and fishing, at constant 2005 prices.</t>
  </si>
  <si>
    <t>Real industry</t>
  </si>
  <si>
    <t>RIND</t>
  </si>
  <si>
    <t>Mining, quarrying, manufacturing, construction and utilities value-added at constant 2005 prices.</t>
  </si>
  <si>
    <t>Real manufacturing</t>
  </si>
  <si>
    <t>RMNF</t>
  </si>
  <si>
    <t>Manufacturing value-added at constant 2005 prices.</t>
  </si>
  <si>
    <t>Real services</t>
  </si>
  <si>
    <t>RSER</t>
  </si>
  <si>
    <t>Services sector value-added at constant 2005 prices.</t>
  </si>
  <si>
    <t>Agriculture (% real change pa)</t>
  </si>
  <si>
    <t>DAGR</t>
  </si>
  <si>
    <t>Percentage change in real agricultural value-added, including livestock, forestry and fishing, over previous year.</t>
  </si>
  <si>
    <t xml:space="preserve">Derived from Bank of Korea </t>
  </si>
  <si>
    <t>Industry (% real change pa)</t>
  </si>
  <si>
    <t>DIND</t>
  </si>
  <si>
    <t>Percentage change in real mining, quarrying, manufacturing, construction and utilities value-added, over previous year.</t>
  </si>
  <si>
    <t>Manufacturing (% real change pa)</t>
  </si>
  <si>
    <t>DMNF</t>
  </si>
  <si>
    <t>Percentage change in real manufacturing value-added, over previous year.</t>
  </si>
  <si>
    <t>Services (% real change pa)</t>
  </si>
  <si>
    <t>DSER</t>
  </si>
  <si>
    <t>Percentage change in real services sector value-added, over previous year.</t>
  </si>
  <si>
    <t>Agriculture (% of GDP)</t>
  </si>
  <si>
    <t>AGRP</t>
  </si>
  <si>
    <t>Agricultural value-added, including livestock, forestry and fishing, as percentage of nominal GDP at factor cost . GDP at factor cost is GDP at  market prices, less indirect taxes, plus subsidies.</t>
  </si>
  <si>
    <t>Constant data adjusted for inflation</t>
  </si>
  <si>
    <t>Industry (% of GDP)</t>
  </si>
  <si>
    <t>INDP</t>
  </si>
  <si>
    <t>Mining, quarrying, manufacturing, construction and utilities value-added as percentage of nominal GDP at factor cost . GDP at factor cost is GDP at  market prices, less indirect taxes, plus subsidies.</t>
  </si>
  <si>
    <t>Services (% of GDP)</t>
  </si>
  <si>
    <t>SERP</t>
  </si>
  <si>
    <t>Services sector value-added at constant prices as a percentage of nominal GDP at factor cost.  GDP at factor cost is GDP at  market prices, less indirect taxes, plus subsidies.</t>
  </si>
  <si>
    <t>Labour productivity growth (%)</t>
  </si>
  <si>
    <t>LBPG</t>
  </si>
  <si>
    <t>Efficiency of labour measured in terms of output per worker (real GDP per person employed).</t>
  </si>
  <si>
    <t>Total factor productivity growth (%)</t>
  </si>
  <si>
    <t>FAPG</t>
  </si>
  <si>
    <t>Total factor productivity (TFP or multifactor productivity) is the part of economic output growth not accounted for by the growth in inputs (labour and capital).</t>
  </si>
  <si>
    <t>TFP growth cannot be measured directly. It is calculated by dividing GDP growth by employment growth and estimated growth in the capital stock.</t>
  </si>
  <si>
    <t>Growth of real capital stock (%)</t>
  </si>
  <si>
    <t>GRCS</t>
  </si>
  <si>
    <t>Growth in the real stock of fixed assets (machinery &amp; equipment, buildings etc).</t>
  </si>
  <si>
    <t>Growth of real potential output (%)</t>
  </si>
  <si>
    <t>GRPO</t>
  </si>
  <si>
    <t>Potential output is the maximum level of output an economy can obtain without placing pressure on prices. Growth in potential output is estimated by a combination of growth in the labour force, the capital stock and total factor productivity (efficiency).</t>
  </si>
  <si>
    <t>Industrial production (% change pa)</t>
  </si>
  <si>
    <t>DIPI</t>
  </si>
  <si>
    <t>Percentage change in index of industrial production (line 66 of IFS), over previous year.</t>
  </si>
  <si>
    <t>Exchange rate LCU:US$ (av)</t>
  </si>
  <si>
    <t>XRPD</t>
  </si>
  <si>
    <t>National currency per US$, period average.  Line rf of IFS.</t>
  </si>
  <si>
    <t>Exchange rate LCU:$ (end-period)</t>
  </si>
  <si>
    <t>ENDR</t>
  </si>
  <si>
    <t>National currency per US$, end-period.  Line ae of IFS.</t>
  </si>
  <si>
    <t>Real effective exchange rate</t>
  </si>
  <si>
    <t>XRRE</t>
  </si>
  <si>
    <t>Trade-weighted basket of currencies converted to an index (1990=100) and adjusted for relative price movements.</t>
  </si>
  <si>
    <t>Budget balance (% of GDP)</t>
  </si>
  <si>
    <t>PSBR</t>
  </si>
  <si>
    <t>General government receipts minus central government outlays, as a percentage of GDP.</t>
  </si>
  <si>
    <t>Budget revenue (% of GDP)</t>
  </si>
  <si>
    <t>BREP</t>
  </si>
  <si>
    <t>General government receipts (including grants received and loan repayments), as a percentage of GDP.</t>
  </si>
  <si>
    <t>Budget expenditure (% of GDP)</t>
  </si>
  <si>
    <t>BEXP</t>
  </si>
  <si>
    <t>General government outlays (including loans), as a percentage of GDP.</t>
  </si>
  <si>
    <t>Debt interest payments (% of GDP)</t>
  </si>
  <si>
    <t>BINT</t>
  </si>
  <si>
    <t>Interest payments on central and provincial, state and local government debt (both domestic currency denominated and foreign currency debt), as a percentage of GDP.</t>
  </si>
  <si>
    <t>Derived from OECD, Economic Outlook</t>
  </si>
  <si>
    <t>Primary balance (% of GDP)</t>
  </si>
  <si>
    <t>PBAX</t>
  </si>
  <si>
    <t>General government receipts (including grants received and loan repayments) less non-interest expenditures, as a percentage of GDP.</t>
  </si>
  <si>
    <t>Derived from Bank of Korea; OECD, Economic Outlook</t>
  </si>
  <si>
    <t>Public debt  (% of GDP)</t>
  </si>
  <si>
    <t>PUDP</t>
  </si>
  <si>
    <t>General government debt.</t>
  </si>
  <si>
    <t>EIU calculation derived from OECD, Economic Outlook data</t>
  </si>
  <si>
    <t>Domestic credit growth (%)</t>
  </si>
  <si>
    <t>SODD</t>
  </si>
  <si>
    <t>Percentage change in bank lending to public and private sectors, plus bank lending in domestic currency overseas.  Line 32 in IFS.</t>
  </si>
  <si>
    <t>M2 (% pa)</t>
  </si>
  <si>
    <t>DMN2</t>
  </si>
  <si>
    <t>Percentage change in M1 plus quasi-money at end-period, over previous year.  Derived from lines 34 and 35 in IFS.</t>
  </si>
  <si>
    <t>Lending interest rate (%)</t>
  </si>
  <si>
    <t>LRAT</t>
  </si>
  <si>
    <t>Minimum rate charged to enterprises by commercial banks on loans up to one year.  Line 60p in IFS.</t>
  </si>
  <si>
    <t>Deposit interest rate (%)</t>
  </si>
  <si>
    <t>RAT2</t>
  </si>
  <si>
    <t>Average rate, weighted by deposits of between 1-2 years.</t>
  </si>
  <si>
    <t>Money market interest rate (%)</t>
  </si>
  <si>
    <t>RAT3</t>
  </si>
  <si>
    <t>Call Money Rate, Overnight Intermediated Transactions (% pa)</t>
  </si>
  <si>
    <t>Long-term bond yield (%)</t>
  </si>
  <si>
    <t>RAT4</t>
  </si>
  <si>
    <t>3-year corporate bond yields.</t>
  </si>
  <si>
    <t>Consumer prices (% change pa; av)</t>
  </si>
  <si>
    <t>DCPI</t>
  </si>
  <si>
    <t>Percentage change in consumer price index in local currency (period average), over previous year.</t>
  </si>
  <si>
    <t>Consumer prices (% change pa; end-period)</t>
  </si>
  <si>
    <t>DCPN</t>
  </si>
  <si>
    <t>Percentage change in consumer price index (end-period), over previous year.</t>
  </si>
  <si>
    <t>Producer prices (% change pa; av)</t>
  </si>
  <si>
    <t>DPPI</t>
  </si>
  <si>
    <t>Percentage change in producer price index in local currency, period average (2000 =100).</t>
  </si>
  <si>
    <t>Growth in average wages (LCU; % pa)</t>
  </si>
  <si>
    <t>DAWA</t>
  </si>
  <si>
    <t>Percentage change in monthly earnings (all industries) in local currency, over previous year.</t>
  </si>
  <si>
    <t>Korean National Statistical Office</t>
  </si>
  <si>
    <t>Average real wages (% change pa)</t>
  </si>
  <si>
    <t>DRWA</t>
  </si>
  <si>
    <t>Percentage change in hourly earnings (all industry) in local currency adjusted for inflation, over previous year.</t>
  </si>
  <si>
    <t>Derived from Korean National Statistical Office</t>
  </si>
  <si>
    <t>Overall unit labour costs (US$-based; % change pa)</t>
  </si>
  <si>
    <t>DULC</t>
  </si>
  <si>
    <t xml:space="preserve">Percentage change in the labour cost of producing one unit of output over previous year, in US$. </t>
  </si>
  <si>
    <t>Derived from US Bureau of Labor Statistics</t>
  </si>
  <si>
    <t>Labour costs per hour</t>
  </si>
  <si>
    <t>LCHD</t>
  </si>
  <si>
    <t>Average cost of labour per hour (pay and non-pay costs).</t>
  </si>
  <si>
    <t>For production workers. Includes pay for time worked, other direct pay (eg. holiday pay), employer expenditures on legally required insurance programmes and other labour taxes.</t>
  </si>
  <si>
    <t>US Bureau of Labor Statistics</t>
  </si>
  <si>
    <t>Population</t>
  </si>
  <si>
    <t>POPN</t>
  </si>
  <si>
    <t>m</t>
  </si>
  <si>
    <t>Population estimate</t>
  </si>
  <si>
    <t>KoreanNational Statistical Office, Major Statistics of Korean Economy</t>
  </si>
  <si>
    <t>Labour force</t>
  </si>
  <si>
    <t>LABF</t>
  </si>
  <si>
    <t>Economically active population.</t>
  </si>
  <si>
    <t>OECD</t>
  </si>
  <si>
    <t>Recorded unemployment (%)</t>
  </si>
  <si>
    <t>UNEM</t>
  </si>
  <si>
    <t>Recorded official unemployment as a percentage of total labour force.</t>
  </si>
  <si>
    <t>GDP per head</t>
  </si>
  <si>
    <t>YPCA</t>
  </si>
  <si>
    <t>Nominal GDP divided by population.  Derived from line 99b and National Statistical Office data and period-average exchange rate.</t>
  </si>
  <si>
    <t>Derived from Korean National Statistical Office, Major Statistics of Korean Economy</t>
  </si>
  <si>
    <t>Private consumption per head</t>
  </si>
  <si>
    <t>PCPC</t>
  </si>
  <si>
    <t>Private consumption expenditure divided by population.  Derived from line 96f and National Statistical Office data and period-average exchange rate.</t>
  </si>
  <si>
    <t>Derived from IMF, International Financial Statistics; Korean National Statistical Office, Major Statistics of Korean Economy</t>
  </si>
  <si>
    <t>GDP per head (US$ at PPP)</t>
  </si>
  <si>
    <t>YPCP</t>
  </si>
  <si>
    <t>GDP at purchasing power parity (PPP), divided by population.</t>
  </si>
  <si>
    <t>Growth of real GDP per head (% pa)</t>
  </si>
  <si>
    <t>RYPC</t>
  </si>
  <si>
    <t>Percentage change in real gross domestic product per head.</t>
  </si>
  <si>
    <t>Derived from Bank of Korea; Korean National Statistical Office, Major Statistics of Korean Economy.</t>
  </si>
  <si>
    <t>Personal disposable income</t>
  </si>
  <si>
    <t>DILC</t>
  </si>
  <si>
    <t>The total value of personal income after taxes and deductions.</t>
  </si>
  <si>
    <t>Derived from OECD; IMF, International Financial Statistics</t>
  </si>
  <si>
    <t>Personal disposable income (US$)</t>
  </si>
  <si>
    <t>PDIN</t>
  </si>
  <si>
    <t>The total value of personal income after taxes and deductions, in US$.</t>
  </si>
  <si>
    <t>OECD, Economic Outlook</t>
  </si>
  <si>
    <t>Real personal disposable income (% change pa)</t>
  </si>
  <si>
    <t>RPDI</t>
  </si>
  <si>
    <t>Real growth rate of total personal income after taxes and deductions.</t>
  </si>
  <si>
    <t>Current-account balance</t>
  </si>
  <si>
    <t>BALC</t>
  </si>
  <si>
    <t>Trade balance, plus net services, plus net income, plus net current transfers.  Line 78ald in the IFS.</t>
  </si>
  <si>
    <t>Goods: exports fob</t>
  </si>
  <si>
    <t>MEXP</t>
  </si>
  <si>
    <t>Exports of goods, free-on-board (fob) basis.  Line 78aad in the IFS.</t>
  </si>
  <si>
    <t>IMF, International Financial Statistics; Bank of Korea</t>
  </si>
  <si>
    <t>Goods: imports (fob) (US$)</t>
  </si>
  <si>
    <t>MIMP</t>
  </si>
  <si>
    <t>Imports of goods, free-on-board (fob) basis.  Line 78abd in the IFS.</t>
  </si>
  <si>
    <t>Trade balance</t>
  </si>
  <si>
    <t>BALM</t>
  </si>
  <si>
    <t>Exports of goods (fob) less imports of goods (fob).  Line 78acd in the IFS.</t>
  </si>
  <si>
    <t>Services: credit (US$)</t>
  </si>
  <si>
    <t>XSER</t>
  </si>
  <si>
    <t>Payments received for services rendered to overseas residents and companies.  Line 78add in the IFS.</t>
  </si>
  <si>
    <t>IMF, International Financial Statistics; data for 2005 are from the Bank of Korea.</t>
  </si>
  <si>
    <t>Services: debit (US$)</t>
  </si>
  <si>
    <t>MSER</t>
  </si>
  <si>
    <t>Payments made for overseas services rendered to domestic residents and companies.  Line 78aed in the IFS.</t>
  </si>
  <si>
    <t>Services: balance</t>
  </si>
  <si>
    <t>BALS</t>
  </si>
  <si>
    <t>Services credit less services debit. Derived from lines 78add and 78aed in the IFS.</t>
  </si>
  <si>
    <t>Income: credit</t>
  </si>
  <si>
    <t>XIPD</t>
  </si>
  <si>
    <t>Repatriated earnings on overseas investments, including interest, profit and dividends, plus all forms of employee compensation.  Line 78agd in the IFS.</t>
  </si>
  <si>
    <t>Income: debit</t>
  </si>
  <si>
    <t>MIPD</t>
  </si>
  <si>
    <t>Payments abroad in respect of foreign-owned investments in the domestic economy, including interest, profit and dividends, plus all forms of employee compensation.  Line 78ahd in the IFS.</t>
  </si>
  <si>
    <t>Income: balance</t>
  </si>
  <si>
    <t>BALI</t>
  </si>
  <si>
    <t>Income credit less income debt. Derived from lines 78agd and 78ahd in the IFS.</t>
  </si>
  <si>
    <t>Current transfers: credit</t>
  </si>
  <si>
    <t>GNTR</t>
  </si>
  <si>
    <t>Inward current transfers, including workers remittances, and foreign aid grants.  Line 78ajd in the IFS.</t>
  </si>
  <si>
    <t>Current transfers: debit</t>
  </si>
  <si>
    <t>PNTR</t>
  </si>
  <si>
    <t>Outward current transfers, including general government transfers, workers remittances and aid abroad.   Line 78akd in the IFS.</t>
  </si>
  <si>
    <t>Current transfers: balance</t>
  </si>
  <si>
    <t>BNTR</t>
  </si>
  <si>
    <t>Current transfers credit less current transfers debit.</t>
  </si>
  <si>
    <t>Derived from IMF, International Financial Statistics; data for 2005 are from the Bank of Korea.</t>
  </si>
  <si>
    <t>Inward direct investment (US$)</t>
  </si>
  <si>
    <t>INDV</t>
  </si>
  <si>
    <t>Net flows of direct investment capital by non-residents into the country.  Line 78bed in the IFS.</t>
  </si>
  <si>
    <t>Outward direct investment (US$)</t>
  </si>
  <si>
    <t>OUDV</t>
  </si>
  <si>
    <t>Net flows of direct investment capital by domestic residents out of the country.  Line 78bdd in the IFS.</t>
  </si>
  <si>
    <t>Net direct investment flows (US$)</t>
  </si>
  <si>
    <t>INVF</t>
  </si>
  <si>
    <t>Net flows of direct investment.  Derived from lines 78bed and 78bdd in the IFS.</t>
  </si>
  <si>
    <t>Derived from IMF, International Financial Statistics; Bank of Korea</t>
  </si>
  <si>
    <t>Inward FDI stock (US$)</t>
  </si>
  <si>
    <t>INSU</t>
  </si>
  <si>
    <t>Stock of direct investment by non-residents into the country at current prices.</t>
  </si>
  <si>
    <t>Current-account balance (% of GDP)</t>
  </si>
  <si>
    <t>CARA</t>
  </si>
  <si>
    <t>Current-account balance as a percentage of GDP.  Derived from lines 78ald and 99b in the IFS.</t>
  </si>
  <si>
    <t>Inward FDI flow/GDP (%)</t>
  </si>
  <si>
    <t>INVR</t>
  </si>
  <si>
    <t>Net flows of direct investment capital by non-residents into the country, as a percentage of GDP.</t>
  </si>
  <si>
    <t>Inward FDI flow (% of fixed investment)</t>
  </si>
  <si>
    <t>INVI</t>
  </si>
  <si>
    <t>Net flows of direct investment capital by non-residents into the country, as a percentage of fixed investment.</t>
  </si>
  <si>
    <t>Inward FDI stock per head (US$)</t>
  </si>
  <si>
    <t>INSC</t>
  </si>
  <si>
    <t>Stock of direct investment by non-residents into the country divided by total population.</t>
  </si>
  <si>
    <t>Inward FDI stock/GDP (%)</t>
  </si>
  <si>
    <t>INSR</t>
  </si>
  <si>
    <t>Stock of direct investment by non-residents into the country as a percentage of GDP.</t>
  </si>
  <si>
    <t>Total foreign debt</t>
  </si>
  <si>
    <t>TDBT</t>
  </si>
  <si>
    <t>Total external debt stock, comprising public and publicly guaranteed long-term debt, private non-guaranteed debt, use of IMF credit and short-term debt, at end-period.</t>
  </si>
  <si>
    <t>OECD, External Debt Statistics. Bank of Korea website. EIU.</t>
  </si>
  <si>
    <t>Total debt/exports of G&amp;S</t>
  </si>
  <si>
    <t>TDPX</t>
  </si>
  <si>
    <t>Total external debt stock as a percentage of exports of goods, non-factor services, income, and workers remittances.</t>
  </si>
  <si>
    <t>Derived from IMF, International Financial Statistics;  World Bank, Global Development Finance; OECD, External Debt Statistics</t>
  </si>
  <si>
    <t>Total debt/GDP</t>
  </si>
  <si>
    <t>TDPY</t>
  </si>
  <si>
    <t>Total external debt at end-period as a percentage of nominal GDP.</t>
  </si>
  <si>
    <t>Debt-service ratio, paid</t>
  </si>
  <si>
    <t>TSPX</t>
  </si>
  <si>
    <t>Total external debt service paid as a percentage of exports of goods, non-factor services, income and workers remittances.</t>
  </si>
  <si>
    <t>Derived from IMF, International Financial Statistics; World Bank, Global Development Finance; OECD, External Debt Statistics; EIU</t>
  </si>
  <si>
    <t>Export prices (% change pa; US$)</t>
  </si>
  <si>
    <t>DIPX</t>
  </si>
  <si>
    <t>Percentage growth over previous year in the US$ export price index of goods.  Index year 1990=100.</t>
  </si>
  <si>
    <t>Import prices (% change pa; US$)</t>
  </si>
  <si>
    <t>DIPM</t>
  </si>
  <si>
    <t>Percentage growth over previous year in the US$ import price index of goods.  Index year 1990=100.</t>
  </si>
  <si>
    <t>Terms of trade (1990=100)</t>
  </si>
  <si>
    <t>NBTT</t>
  </si>
  <si>
    <t>Ratio of the export price index to the import price index (1990=100).</t>
  </si>
  <si>
    <t>Copyright © 2011 The Economist Intelligence Unit.</t>
  </si>
  <si>
    <t>Real personal disposable income (% change pa)</t>
    <phoneticPr fontId="2" type="noConversion"/>
  </si>
  <si>
    <t>하이프라자(LG)</t>
  </si>
  <si>
    <t>하이프라자(LG)</t>
    <phoneticPr fontId="2" type="noConversion"/>
  </si>
  <si>
    <t>하이프라자(LG)</t>
    <phoneticPr fontId="2" type="noConversion"/>
  </si>
  <si>
    <t>매출성장률</t>
    <phoneticPr fontId="2" type="noConversion"/>
  </si>
  <si>
    <t>시장점율율</t>
    <phoneticPr fontId="2" type="noConversion"/>
  </si>
  <si>
    <t>CAGR</t>
    <phoneticPr fontId="2" type="noConversion"/>
  </si>
  <si>
    <t>합계</t>
  </si>
  <si>
    <t>합계</t>
    <phoneticPr fontId="2" type="noConversion"/>
  </si>
  <si>
    <t>시장규모</t>
    <phoneticPr fontId="2" type="noConversion"/>
  </si>
  <si>
    <t>시장점유률</t>
    <phoneticPr fontId="2" type="noConversion"/>
  </si>
  <si>
    <t>매출액</t>
    <phoneticPr fontId="2" type="noConversion"/>
  </si>
  <si>
    <t>구분</t>
    <phoneticPr fontId="2" type="noConversion"/>
  </si>
  <si>
    <t>(단위 : 백만원)</t>
    <phoneticPr fontId="2" type="noConversion"/>
  </si>
  <si>
    <t>적용 시장점유률</t>
    <phoneticPr fontId="2" type="noConversion"/>
  </si>
  <si>
    <t>(1) 과거 현황분석</t>
    <phoneticPr fontId="2" type="noConversion"/>
  </si>
  <si>
    <t>(2) 점당 매출액 성장률</t>
    <phoneticPr fontId="2" type="noConversion"/>
  </si>
  <si>
    <t>과거 3개년 평균성장률</t>
    <phoneticPr fontId="2" type="noConversion"/>
  </si>
  <si>
    <t>가구당 가처분소득성장률</t>
    <phoneticPr fontId="2" type="noConversion"/>
  </si>
  <si>
    <t>가구당 가처분소득성장률</t>
    <phoneticPr fontId="2" type="noConversion"/>
  </si>
  <si>
    <t>점당 매출액 성장률 가정</t>
    <phoneticPr fontId="2" type="noConversion"/>
  </si>
  <si>
    <t>과거 평균성장률</t>
    <phoneticPr fontId="2" type="noConversion"/>
  </si>
  <si>
    <t>가구당 가처분소득 성장률</t>
    <phoneticPr fontId="2" type="noConversion"/>
  </si>
  <si>
    <t>(2) 시장점유율 추정</t>
    <phoneticPr fontId="2" type="noConversion"/>
  </si>
  <si>
    <t>Actual</t>
    <phoneticPr fontId="2" type="noConversion"/>
  </si>
  <si>
    <t>Forcast</t>
    <phoneticPr fontId="2" type="noConversion"/>
  </si>
  <si>
    <t>시장규모(Euromonitor)</t>
    <phoneticPr fontId="2" type="noConversion"/>
  </si>
  <si>
    <t>추정시장규모</t>
    <phoneticPr fontId="2" type="noConversion"/>
  </si>
  <si>
    <t>(1) 2015년 및 2016년 시장규모 추정</t>
    <phoneticPr fontId="2" type="noConversion"/>
  </si>
  <si>
    <t>과거 평균성장률</t>
    <phoneticPr fontId="2" type="noConversion"/>
  </si>
  <si>
    <t>추정 평균성장률(Euromonitor)</t>
    <phoneticPr fontId="2" type="noConversion"/>
  </si>
  <si>
    <t>과거 평균성장률</t>
    <phoneticPr fontId="2" type="noConversion"/>
  </si>
  <si>
    <t>매출추정 방법</t>
    <phoneticPr fontId="2" type="noConversion"/>
  </si>
  <si>
    <t>매출원가율</t>
  </si>
  <si>
    <t>매출원가율</t>
    <phoneticPr fontId="2" type="noConversion"/>
  </si>
  <si>
    <t>매출원가 추정</t>
    <phoneticPr fontId="2" type="noConversion"/>
  </si>
  <si>
    <t>매출원가</t>
  </si>
  <si>
    <t>시장점유률(CAGR 성장가정)</t>
    <phoneticPr fontId="2" type="noConversion"/>
  </si>
  <si>
    <t>I. 매출원가 추정</t>
    <phoneticPr fontId="2" type="noConversion"/>
  </si>
  <si>
    <t>전자랜드</t>
    <phoneticPr fontId="2" type="noConversion"/>
  </si>
  <si>
    <t>리빙프라자</t>
    <phoneticPr fontId="2" type="noConversion"/>
  </si>
  <si>
    <t>하이프라자</t>
    <phoneticPr fontId="2" type="noConversion"/>
  </si>
  <si>
    <t>3개년 평균</t>
    <phoneticPr fontId="2" type="noConversion"/>
  </si>
  <si>
    <t>(1) 전자유통업 4개사 매출원가율 현황</t>
    <phoneticPr fontId="2" type="noConversion"/>
  </si>
  <si>
    <t>평균</t>
    <phoneticPr fontId="2" type="noConversion"/>
  </si>
  <si>
    <t>매출추정</t>
    <phoneticPr fontId="2" type="noConversion"/>
  </si>
  <si>
    <t>적용원가율</t>
    <phoneticPr fontId="2" type="noConversion"/>
  </si>
  <si>
    <t>매출원가 추정</t>
    <phoneticPr fontId="2" type="noConversion"/>
  </si>
  <si>
    <t>매출원가</t>
    <phoneticPr fontId="2" type="noConversion"/>
  </si>
  <si>
    <t xml:space="preserve">가구수 및 가처분소득 증가 등의 내용으로 증권사리포트 활용 </t>
    <phoneticPr fontId="2" type="noConversion"/>
  </si>
  <si>
    <t>전자유통업 메이져 4개사</t>
    <phoneticPr fontId="2" type="noConversion"/>
  </si>
  <si>
    <t>매출성장률, 시장점유율 활용</t>
    <phoneticPr fontId="2" type="noConversion"/>
  </si>
  <si>
    <t>경쟁사 대비 매출원가율이 낮다.. 이유 기술</t>
    <phoneticPr fontId="2" type="noConversion"/>
  </si>
  <si>
    <t>DCF</t>
    <phoneticPr fontId="2" type="noConversion"/>
  </si>
  <si>
    <t>매출총이익</t>
  </si>
  <si>
    <t>판매비와관리비</t>
  </si>
  <si>
    <t>매출판관비율</t>
  </si>
  <si>
    <t>EBIT</t>
  </si>
  <si>
    <t>영업이익율</t>
  </si>
  <si>
    <t>EBIT에 대한 법인세</t>
  </si>
  <si>
    <t>과세표준</t>
  </si>
  <si>
    <t>2억원이하</t>
  </si>
  <si>
    <t>2억원초과</t>
  </si>
  <si>
    <t>NOPLAT</t>
  </si>
  <si>
    <t>비현금성비용</t>
  </si>
  <si>
    <t>감가상각비</t>
  </si>
  <si>
    <t>무형자산상각비</t>
  </si>
  <si>
    <t>운전자본변동</t>
  </si>
  <si>
    <t>CAPEX</t>
  </si>
  <si>
    <t>Free Cash Flow</t>
  </si>
  <si>
    <t>이월결손금잔액</t>
  </si>
  <si>
    <t>구분</t>
    <phoneticPr fontId="28" type="noConversion"/>
  </si>
  <si>
    <t>법인세율(주민세 포함)</t>
    <phoneticPr fontId="28" type="noConversion"/>
  </si>
  <si>
    <t>2011년</t>
    <phoneticPr fontId="28" type="noConversion"/>
  </si>
  <si>
    <t>2012년 이후</t>
    <phoneticPr fontId="28" type="noConversion"/>
  </si>
  <si>
    <t>2011년 이전 법인세율 확인</t>
    <phoneticPr fontId="2" type="noConversion"/>
  </si>
  <si>
    <t>토지</t>
  </si>
  <si>
    <t>건물</t>
  </si>
  <si>
    <t>구축물</t>
  </si>
  <si>
    <t>차량운반구</t>
  </si>
  <si>
    <t>비품</t>
  </si>
  <si>
    <t>건설중인자산</t>
  </si>
  <si>
    <t>합계</t>
    <phoneticPr fontId="2" type="noConversion"/>
  </si>
  <si>
    <t>감가상각비</t>
    <phoneticPr fontId="2" type="noConversion"/>
  </si>
  <si>
    <t>I. 신규취득</t>
    <phoneticPr fontId="2" type="noConversion"/>
  </si>
  <si>
    <t>추정매출액</t>
    <phoneticPr fontId="2" type="noConversion"/>
  </si>
  <si>
    <t>2008년</t>
    <phoneticPr fontId="2" type="noConversion"/>
  </si>
  <si>
    <t>취득가액</t>
  </si>
  <si>
    <t>임차보증금</t>
  </si>
  <si>
    <t>-</t>
  </si>
  <si>
    <t>2009년</t>
    <phoneticPr fontId="2" type="noConversion"/>
  </si>
  <si>
    <t>기초금액</t>
  </si>
  <si>
    <t>취득금액</t>
  </si>
  <si>
    <t>처분금액</t>
  </si>
  <si>
    <t>기타증(감)액</t>
  </si>
  <si>
    <t>기말금액</t>
  </si>
  <si>
    <t> -</t>
  </si>
  <si>
    <t>합   계</t>
  </si>
  <si>
    <t>토   지</t>
  </si>
  <si>
    <t>건   물</t>
  </si>
  <si>
    <t>비   품</t>
  </si>
  <si>
    <t>리스자산</t>
  </si>
  <si>
    <t>2010년</t>
    <phoneticPr fontId="2" type="noConversion"/>
  </si>
  <si>
    <t>무형자산</t>
  </si>
  <si>
    <t>2010년(단위 : 천원)</t>
    <phoneticPr fontId="2" type="noConversion"/>
  </si>
  <si>
    <t>2009년(단위: 천원)</t>
    <phoneticPr fontId="2" type="noConversion"/>
  </si>
  <si>
    <t>보증금의 증가</t>
    <phoneticPr fontId="2" type="noConversion"/>
  </si>
  <si>
    <t>보증금의 감소</t>
    <phoneticPr fontId="2" type="noConversion"/>
  </si>
  <si>
    <t>무형자산의 증가</t>
    <phoneticPr fontId="2" type="noConversion"/>
  </si>
  <si>
    <t>무형자산의 처분</t>
    <phoneticPr fontId="2" type="noConversion"/>
  </si>
  <si>
    <t>(단위: 천원)</t>
    <phoneticPr fontId="2" type="noConversion"/>
  </si>
  <si>
    <t>기초</t>
  </si>
  <si>
    <t>합병증가</t>
  </si>
  <si>
    <t>취득</t>
  </si>
  <si>
    <t>처분</t>
  </si>
  <si>
    <t>대체</t>
  </si>
  <si>
    <t>기말</t>
  </si>
  <si>
    <t>2008년(단위 :천원)</t>
    <phoneticPr fontId="2" type="noConversion"/>
  </si>
  <si>
    <t>III. 감가상각비</t>
    <phoneticPr fontId="2" type="noConversion"/>
  </si>
  <si>
    <t>&lt;감가상각방법&gt;</t>
    <phoneticPr fontId="2" type="noConversion"/>
  </si>
  <si>
    <t>상각방법</t>
    <phoneticPr fontId="2" type="noConversion"/>
  </si>
  <si>
    <t>정액법</t>
    <phoneticPr fontId="2" type="noConversion"/>
  </si>
  <si>
    <t>내용연수</t>
    <phoneticPr fontId="2" type="noConversion"/>
  </si>
  <si>
    <t>KRW in millions</t>
    <phoneticPr fontId="28" type="noConversion"/>
  </si>
  <si>
    <t>토지</t>
    <phoneticPr fontId="28" type="noConversion"/>
  </si>
  <si>
    <t>건물</t>
    <phoneticPr fontId="28" type="noConversion"/>
  </si>
  <si>
    <t>비품</t>
    <phoneticPr fontId="28" type="noConversion"/>
  </si>
  <si>
    <t>건설중인자산</t>
    <phoneticPr fontId="28" type="noConversion"/>
  </si>
  <si>
    <t>합계</t>
    <phoneticPr fontId="28" type="noConversion"/>
  </si>
  <si>
    <t>내용연수</t>
    <phoneticPr fontId="28" type="noConversion"/>
  </si>
  <si>
    <t>N/A</t>
    <phoneticPr fontId="28" type="noConversion"/>
  </si>
  <si>
    <t>5~40</t>
    <phoneticPr fontId="28" type="noConversion"/>
  </si>
  <si>
    <t>&lt;취득원가&gt;</t>
    <phoneticPr fontId="28" type="noConversion"/>
  </si>
  <si>
    <t>기초금액</t>
    <phoneticPr fontId="28" type="noConversion"/>
  </si>
  <si>
    <t>취득</t>
    <phoneticPr fontId="28" type="noConversion"/>
  </si>
  <si>
    <t>처분</t>
    <phoneticPr fontId="28" type="noConversion"/>
  </si>
  <si>
    <t>기타증감</t>
    <phoneticPr fontId="28" type="noConversion"/>
  </si>
  <si>
    <t>기말금액</t>
    <phoneticPr fontId="28" type="noConversion"/>
  </si>
  <si>
    <t>&lt;상각누계액&gt;</t>
    <phoneticPr fontId="28" type="noConversion"/>
  </si>
  <si>
    <t>감가상각비</t>
    <phoneticPr fontId="28" type="noConversion"/>
  </si>
  <si>
    <t>처분금액</t>
    <phoneticPr fontId="28" type="noConversion"/>
  </si>
  <si>
    <t>상각률</t>
    <phoneticPr fontId="28" type="noConversion"/>
  </si>
  <si>
    <t>토지</t>
    <phoneticPr fontId="28" type="noConversion"/>
  </si>
  <si>
    <t>건물</t>
    <phoneticPr fontId="28" type="noConversion"/>
  </si>
  <si>
    <r>
      <t>자산별 상각비 비중</t>
    </r>
    <r>
      <rPr>
        <i/>
        <sz val="9"/>
        <color theme="3"/>
        <rFont val="Arial"/>
        <family val="2"/>
      </rPr>
      <t>(%)</t>
    </r>
    <phoneticPr fontId="28" type="noConversion"/>
  </si>
  <si>
    <t>1. 기존자산</t>
    <phoneticPr fontId="2" type="noConversion"/>
  </si>
  <si>
    <t>감가상각누계액</t>
  </si>
  <si>
    <t>2. 신규투자자산</t>
    <phoneticPr fontId="2" type="noConversion"/>
  </si>
  <si>
    <t>2011. 2H</t>
  </si>
  <si>
    <t>투자금액</t>
    <phoneticPr fontId="2" type="noConversion"/>
  </si>
  <si>
    <t>(1) 건물</t>
    <phoneticPr fontId="2" type="noConversion"/>
  </si>
  <si>
    <t>(2) 구축물</t>
    <phoneticPr fontId="2" type="noConversion"/>
  </si>
  <si>
    <t>(3) 차량운반구</t>
    <phoneticPr fontId="2" type="noConversion"/>
  </si>
  <si>
    <t>(4) 비품</t>
    <phoneticPr fontId="2" type="noConversion"/>
  </si>
  <si>
    <t>(5) 무형자산</t>
    <phoneticPr fontId="2" type="noConversion"/>
  </si>
  <si>
    <t>무형자산</t>
    <phoneticPr fontId="2" type="noConversion"/>
  </si>
  <si>
    <t>무형자산상각비</t>
    <phoneticPr fontId="2" type="noConversion"/>
  </si>
  <si>
    <r>
      <rPr>
        <sz val="10"/>
        <color theme="1"/>
        <rFont val="가는각진제목체"/>
        <family val="1"/>
        <charset val="129"/>
      </rPr>
      <t>판관비율</t>
    </r>
    <phoneticPr fontId="91" type="noConversion"/>
  </si>
  <si>
    <t>판매비와관리비</t>
    <phoneticPr fontId="91" type="noConversion"/>
  </si>
  <si>
    <t>매출액</t>
    <phoneticPr fontId="91" type="noConversion"/>
  </si>
  <si>
    <t>Total</t>
    <phoneticPr fontId="91" type="noConversion"/>
  </si>
  <si>
    <t xml:space="preserve"> 무형자산상각비</t>
    <phoneticPr fontId="15" type="noConversion"/>
  </si>
  <si>
    <t xml:space="preserve"> 감가상각비</t>
  </si>
  <si>
    <t>상각비</t>
    <phoneticPr fontId="28" type="noConversion"/>
  </si>
  <si>
    <t xml:space="preserve"> 잡비</t>
  </si>
  <si>
    <t xml:space="preserve"> 접대비</t>
  </si>
  <si>
    <t xml:space="preserve"> 차량유지비</t>
  </si>
  <si>
    <t xml:space="preserve"> 보험료</t>
  </si>
  <si>
    <t xml:space="preserve"> 도서인쇄비</t>
  </si>
  <si>
    <t xml:space="preserve"> 소모품비</t>
  </si>
  <si>
    <t xml:space="preserve"> 수선비</t>
  </si>
  <si>
    <t xml:space="preserve"> 통신비</t>
  </si>
  <si>
    <t xml:space="preserve"> 여비교통비</t>
  </si>
  <si>
    <t xml:space="preserve"> 세금과공과</t>
  </si>
  <si>
    <t xml:space="preserve"> 수도광열비</t>
  </si>
  <si>
    <t xml:space="preserve"> 지급임차료</t>
  </si>
  <si>
    <t xml:space="preserve"> 광고선전비</t>
  </si>
  <si>
    <t>준고정비</t>
    <phoneticPr fontId="28" type="noConversion"/>
  </si>
  <si>
    <t xml:space="preserve"> 설치비</t>
    <phoneticPr fontId="28" type="noConversion"/>
  </si>
  <si>
    <t xml:space="preserve"> 운반비</t>
  </si>
  <si>
    <t xml:space="preserve"> 지급수수료</t>
    <phoneticPr fontId="28" type="noConversion"/>
  </si>
  <si>
    <t xml:space="preserve"> 판매촉진비</t>
    <phoneticPr fontId="28" type="noConversion"/>
  </si>
  <si>
    <t>매출연동 경비</t>
    <phoneticPr fontId="28" type="noConversion"/>
  </si>
  <si>
    <t xml:space="preserve"> 교육비</t>
    <phoneticPr fontId="28" type="noConversion"/>
  </si>
  <si>
    <t xml:space="preserve"> 복리후생비</t>
  </si>
  <si>
    <t xml:space="preserve"> 퇴직급여</t>
  </si>
  <si>
    <t xml:space="preserve"> 급여</t>
  </si>
  <si>
    <t>인건비성 경비</t>
    <phoneticPr fontId="28" type="noConversion"/>
  </si>
  <si>
    <t>2011.2H</t>
    <phoneticPr fontId="28" type="noConversion"/>
  </si>
  <si>
    <t>2011.1H</t>
    <phoneticPr fontId="28" type="noConversion"/>
  </si>
  <si>
    <t>KRW in millions</t>
  </si>
  <si>
    <t>SG&amp;A</t>
    <phoneticPr fontId="15" type="noConversion"/>
  </si>
  <si>
    <t>Consumer price inflation (av)</t>
  </si>
  <si>
    <t>2016.12
Forecast</t>
  </si>
  <si>
    <t>2015.12
Forecast</t>
  </si>
  <si>
    <t>2014.12
Forecast</t>
  </si>
  <si>
    <t>2013.12
Forecast</t>
  </si>
  <si>
    <t>2012.12
Forecast</t>
  </si>
  <si>
    <t>2011.2H
Forecast</t>
  </si>
  <si>
    <t>2010.12
Actual</t>
  </si>
  <si>
    <t>2009.12
Actual</t>
  </si>
  <si>
    <t>2008.12
Actual</t>
  </si>
  <si>
    <t>Total</t>
  </si>
  <si>
    <t xml:space="preserve"> 무형자산상각비</t>
  </si>
  <si>
    <t>상각비</t>
    <phoneticPr fontId="28" type="noConversion"/>
  </si>
  <si>
    <t xml:space="preserve"> 지급임차료</t>
    <phoneticPr fontId="28" type="noConversion"/>
  </si>
  <si>
    <t xml:space="preserve"> 광고선전비</t>
    <phoneticPr fontId="28" type="noConversion"/>
  </si>
  <si>
    <t>준고정비</t>
    <phoneticPr fontId="28" type="noConversion"/>
  </si>
  <si>
    <t xml:space="preserve"> 지급수수료</t>
    <phoneticPr fontId="28" type="noConversion"/>
  </si>
  <si>
    <t xml:space="preserve"> 판매촉진비</t>
    <phoneticPr fontId="28" type="noConversion"/>
  </si>
  <si>
    <t>매출연동경비</t>
    <phoneticPr fontId="28" type="noConversion"/>
  </si>
  <si>
    <t>인건비성경비</t>
    <phoneticPr fontId="28" type="noConversion"/>
  </si>
  <si>
    <r>
      <t>XIII.</t>
    </r>
    <r>
      <rPr>
        <b/>
        <sz val="10"/>
        <color indexed="8"/>
        <rFont val="가는각진제목체"/>
        <family val="1"/>
        <charset val="129"/>
      </rPr>
      <t>총포괄손익</t>
    </r>
    <phoneticPr fontId="28" type="noConversion"/>
  </si>
  <si>
    <r>
      <t>XII.</t>
    </r>
    <r>
      <rPr>
        <b/>
        <sz val="10"/>
        <color indexed="8"/>
        <rFont val="가는각진제목체"/>
        <family val="1"/>
        <charset val="129"/>
      </rPr>
      <t>기타포괄손익</t>
    </r>
    <phoneticPr fontId="28" type="noConversion"/>
  </si>
  <si>
    <r>
      <t>XI.</t>
    </r>
    <r>
      <rPr>
        <b/>
        <sz val="10"/>
        <color indexed="8"/>
        <rFont val="가는각진제목체"/>
        <family val="1"/>
        <charset val="129"/>
      </rPr>
      <t>당기순이익</t>
    </r>
    <phoneticPr fontId="28" type="noConversion"/>
  </si>
  <si>
    <r>
      <t>X.</t>
    </r>
    <r>
      <rPr>
        <b/>
        <sz val="10"/>
        <color indexed="8"/>
        <rFont val="가는각진제목체"/>
        <family val="1"/>
        <charset val="129"/>
      </rPr>
      <t>법인세비용</t>
    </r>
    <phoneticPr fontId="28" type="noConversion"/>
  </si>
  <si>
    <r>
      <t>IX.</t>
    </r>
    <r>
      <rPr>
        <b/>
        <sz val="10"/>
        <color indexed="8"/>
        <rFont val="가는각진제목체"/>
        <family val="1"/>
        <charset val="129"/>
      </rPr>
      <t>법인세차감전순이익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</si>
  <si>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잡손실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</si>
  <si>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지급수수료</t>
    </r>
    <phoneticPr fontId="28" type="noConversion"/>
  </si>
  <si>
    <r>
      <t>VIII.</t>
    </r>
    <r>
      <rPr>
        <b/>
        <sz val="10"/>
        <color indexed="8"/>
        <rFont val="가는각진제목체"/>
        <family val="1"/>
        <charset val="129"/>
      </rPr>
      <t>영업외기타비용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</si>
  <si>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잡이익</t>
    </r>
    <phoneticPr fontId="28" type="noConversion"/>
  </si>
  <si>
    <r>
      <t>VII.</t>
    </r>
    <r>
      <rPr>
        <b/>
        <sz val="10"/>
        <color indexed="8"/>
        <rFont val="가는각진제목체"/>
        <family val="1"/>
        <charset val="129"/>
      </rPr>
      <t>영업외기타수익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</si>
  <si>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당기손익인식금융부채평가이익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</si>
  <si>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사채상환이익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</si>
  <si>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전환상환우선주상환이익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</si>
  <si>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이자수익</t>
    </r>
    <phoneticPr fontId="28" type="noConversion"/>
  </si>
  <si>
    <r>
      <t>(2)</t>
    </r>
    <r>
      <rPr>
        <sz val="10"/>
        <color indexed="8"/>
        <rFont val="가는각진제목체"/>
        <family val="1"/>
        <charset val="129"/>
      </rPr>
      <t>금융수익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</si>
  <si>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공정가치변동손실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</si>
  <si>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사채상환손실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</si>
  <si>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전환우선주상환손실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</si>
  <si>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당기손익인식금융부채평가손실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</si>
  <si>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이자비용</t>
    </r>
    <phoneticPr fontId="28" type="noConversion"/>
  </si>
  <si>
    <r>
      <t>(1)</t>
    </r>
    <r>
      <rPr>
        <sz val="10"/>
        <color indexed="8"/>
        <rFont val="가는각진제목체"/>
        <family val="1"/>
        <charset val="129"/>
      </rPr>
      <t>금융원가</t>
    </r>
    <phoneticPr fontId="28" type="noConversion"/>
  </si>
  <si>
    <r>
      <t>VI.</t>
    </r>
    <r>
      <rPr>
        <b/>
        <sz val="10"/>
        <color indexed="8"/>
        <rFont val="가는각진제목체"/>
        <family val="1"/>
        <charset val="129"/>
      </rPr>
      <t>순금융원가</t>
    </r>
    <phoneticPr fontId="28" type="noConversion"/>
  </si>
  <si>
    <t xml:space="preserve"> 잡손실</t>
    <phoneticPr fontId="28" type="noConversion"/>
  </si>
  <si>
    <t xml:space="preserve"> 무형자산손상차손</t>
    <phoneticPr fontId="28" type="noConversion"/>
  </si>
  <si>
    <t xml:space="preserve"> 매각예정자산손상차손</t>
    <phoneticPr fontId="28" type="noConversion"/>
  </si>
  <si>
    <t xml:space="preserve"> 매도가능증권처분손실</t>
    <phoneticPr fontId="28" type="noConversion"/>
  </si>
  <si>
    <t xml:space="preserve"> 기부금</t>
    <phoneticPr fontId="28" type="noConversion"/>
  </si>
  <si>
    <t xml:space="preserve"> 이자비용(수입보증금)</t>
    <phoneticPr fontId="28" type="noConversion"/>
  </si>
  <si>
    <t xml:space="preserve"> 임차료(임차보증금)</t>
    <phoneticPr fontId="28" type="noConversion"/>
  </si>
  <si>
    <t xml:space="preserve"> 유형자산처분손실</t>
    <phoneticPr fontId="28" type="noConversion"/>
  </si>
  <si>
    <r>
      <t>(4)</t>
    </r>
    <r>
      <rPr>
        <sz val="10"/>
        <color indexed="8"/>
        <rFont val="가는각진제목체"/>
        <family val="1"/>
        <charset val="129"/>
      </rPr>
      <t>기타비용</t>
    </r>
    <phoneticPr fontId="28" type="noConversion"/>
  </si>
  <si>
    <t xml:space="preserve"> 잡이익</t>
    <phoneticPr fontId="28" type="noConversion"/>
  </si>
  <si>
    <t xml:space="preserve"> 배당금수익</t>
    <phoneticPr fontId="28" type="noConversion"/>
  </si>
  <si>
    <t xml:space="preserve"> 보험차익</t>
    <phoneticPr fontId="28" type="noConversion"/>
  </si>
  <si>
    <t xml:space="preserve"> 매도가능증권처분이익</t>
    <phoneticPr fontId="28" type="noConversion"/>
  </si>
  <si>
    <t xml:space="preserve"> 대손충당금환입</t>
    <phoneticPr fontId="28" type="noConversion"/>
  </si>
  <si>
    <t xml:space="preserve"> 임대수익(수입보증금)</t>
    <phoneticPr fontId="28" type="noConversion"/>
  </si>
  <si>
    <t xml:space="preserve"> 이자수익(임차보증금)</t>
    <phoneticPr fontId="28" type="noConversion"/>
  </si>
  <si>
    <t xml:space="preserve"> 무형자산손상차손환입</t>
    <phoneticPr fontId="28" type="noConversion"/>
  </si>
  <si>
    <t xml:space="preserve"> 무형자산처분이익</t>
    <phoneticPr fontId="28" type="noConversion"/>
  </si>
  <si>
    <t xml:space="preserve"> 유형자산처분이익</t>
    <phoneticPr fontId="28" type="noConversion"/>
  </si>
  <si>
    <t xml:space="preserve"> 수입수수료</t>
    <phoneticPr fontId="28" type="noConversion"/>
  </si>
  <si>
    <r>
      <t>(3)</t>
    </r>
    <r>
      <rPr>
        <sz val="10"/>
        <color indexed="8"/>
        <rFont val="가는각진제목체"/>
        <family val="1"/>
        <charset val="129"/>
      </rPr>
      <t>기타수익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</si>
  <si>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설치비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</si>
  <si>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운반비</t>
    </r>
    <phoneticPr fontId="28" type="noConversion"/>
  </si>
  <si>
    <r>
      <t>(2)</t>
    </r>
    <r>
      <rPr>
        <sz val="10"/>
        <color indexed="8"/>
        <rFont val="가는각진제목체"/>
        <family val="1"/>
        <charset val="129"/>
      </rPr>
      <t>물류원가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</si>
  <si>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잡비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</si>
  <si>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접대비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</si>
  <si>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차량유지비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</si>
  <si>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보험료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</si>
  <si>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교육비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</si>
  <si>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도서인쇄비</t>
    </r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</si>
  <si>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소모품비</t>
    </r>
    <phoneticPr fontId="28" type="noConversion"/>
  </si>
  <si>
    <t xml:space="preserve"> 수선비</t>
    <phoneticPr fontId="28" type="noConversion"/>
  </si>
  <si>
    <t xml:space="preserve"> 통신비</t>
    <phoneticPr fontId="28" type="noConversion"/>
  </si>
  <si>
    <t xml:space="preserve"> 여비교통비</t>
    <phoneticPr fontId="28" type="noConversion"/>
  </si>
  <si>
    <t xml:space="preserve"> 세금과공과</t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</si>
  <si>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수도광열비</t>
    </r>
    <phoneticPr fontId="28" type="noConversion"/>
  </si>
  <si>
    <t xml:space="preserve"> 무형자산상각비</t>
    <phoneticPr fontId="28" type="noConversion"/>
  </si>
  <si>
    <t xml:space="preserve"> 감가상각비</t>
    <phoneticPr fontId="28" type="noConversion"/>
  </si>
  <si>
    <t>매출연동경비, 준고정비</t>
    <phoneticPr fontId="28" type="noConversion"/>
  </si>
  <si>
    <r>
      <t xml:space="preserve"> </t>
    </r>
    <r>
      <rPr>
        <sz val="10"/>
        <color indexed="8"/>
        <rFont val="가는각진제목체"/>
        <family val="1"/>
        <charset val="129"/>
      </rPr>
      <t>복리후생비</t>
    </r>
    <phoneticPr fontId="28" type="noConversion"/>
  </si>
  <si>
    <t xml:space="preserve"> 퇴직급여</t>
    <phoneticPr fontId="28" type="noConversion"/>
  </si>
  <si>
    <t xml:space="preserve"> 급여</t>
    <phoneticPr fontId="28" type="noConversion"/>
  </si>
  <si>
    <r>
      <t>(1)</t>
    </r>
    <r>
      <rPr>
        <sz val="10"/>
        <color indexed="8"/>
        <rFont val="가는각진제목체"/>
        <family val="1"/>
        <charset val="129"/>
      </rPr>
      <t>판매관리비</t>
    </r>
    <phoneticPr fontId="28" type="noConversion"/>
  </si>
  <si>
    <r>
      <t>IV.</t>
    </r>
    <r>
      <rPr>
        <b/>
        <sz val="10"/>
        <color indexed="8"/>
        <rFont val="가는각진제목체"/>
        <family val="1"/>
        <charset val="129"/>
      </rPr>
      <t>판매비와관리비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가는각진제목체"/>
        <family val="1"/>
        <charset val="129"/>
      </rPr>
      <t>등</t>
    </r>
    <phoneticPr fontId="28" type="noConversion"/>
  </si>
  <si>
    <r>
      <t>II.</t>
    </r>
    <r>
      <rPr>
        <b/>
        <sz val="10"/>
        <color indexed="8"/>
        <rFont val="가는각진제목체"/>
        <family val="1"/>
        <charset val="129"/>
      </rPr>
      <t>매출원가</t>
    </r>
    <phoneticPr fontId="28" type="noConversion"/>
  </si>
  <si>
    <r>
      <t>I.</t>
    </r>
    <r>
      <rPr>
        <b/>
        <sz val="10"/>
        <color indexed="8"/>
        <rFont val="가는각진제목체"/>
        <family val="1"/>
        <charset val="129"/>
      </rPr>
      <t>매출액</t>
    </r>
    <phoneticPr fontId="28" type="noConversion"/>
  </si>
  <si>
    <t>Notes</t>
    <phoneticPr fontId="28" type="noConversion"/>
  </si>
  <si>
    <t>항목별 비중</t>
    <phoneticPr fontId="28" type="noConversion"/>
  </si>
  <si>
    <t>CAGR</t>
    <phoneticPr fontId="28" type="noConversion"/>
  </si>
  <si>
    <t>(%) of Sales
(2011.1H)</t>
    <phoneticPr fontId="28" type="noConversion"/>
  </si>
  <si>
    <t>(%) of Sales
(2010)</t>
    <phoneticPr fontId="28" type="noConversion"/>
  </si>
  <si>
    <t>(%) of Sales
(2009)</t>
    <phoneticPr fontId="28" type="noConversion"/>
  </si>
  <si>
    <t>(%) of Sales
(2008)</t>
    <phoneticPr fontId="28" type="noConversion"/>
  </si>
  <si>
    <t>FY2011.1H</t>
    <phoneticPr fontId="28" type="noConversion"/>
  </si>
  <si>
    <t>FY2010</t>
    <phoneticPr fontId="28" type="noConversion"/>
  </si>
  <si>
    <t>FY2009</t>
    <phoneticPr fontId="28" type="noConversion"/>
  </si>
  <si>
    <t>FY2008</t>
    <phoneticPr fontId="28" type="noConversion"/>
  </si>
  <si>
    <t>Income Statement</t>
    <phoneticPr fontId="28" type="noConversion"/>
  </si>
  <si>
    <t>미처분이익잉여금</t>
    <phoneticPr fontId="28" type="noConversion"/>
  </si>
  <si>
    <r>
      <rPr>
        <sz val="10"/>
        <color indexed="8"/>
        <rFont val="가는각진제목체"/>
        <family val="1"/>
        <charset val="129"/>
      </rPr>
      <t>Ⅳ</t>
    </r>
    <r>
      <rPr>
        <sz val="10"/>
        <color indexed="8"/>
        <rFont val="Arial"/>
        <family val="2"/>
      </rPr>
      <t>.</t>
    </r>
    <r>
      <rPr>
        <sz val="10"/>
        <color indexed="8"/>
        <rFont val="가는각진제목체"/>
        <family val="1"/>
        <charset val="129"/>
      </rPr>
      <t>이익잉여금</t>
    </r>
    <phoneticPr fontId="28" type="noConversion"/>
  </si>
  <si>
    <t>기타자본구성요소</t>
    <phoneticPr fontId="28" type="noConversion"/>
  </si>
  <si>
    <r>
      <rPr>
        <sz val="10"/>
        <color indexed="8"/>
        <rFont val="가는각진제목체"/>
        <family val="1"/>
        <charset val="129"/>
      </rPr>
      <t>Ⅲ</t>
    </r>
    <r>
      <rPr>
        <sz val="10"/>
        <color indexed="8"/>
        <rFont val="Arial"/>
        <family val="2"/>
      </rPr>
      <t>.</t>
    </r>
    <r>
      <rPr>
        <sz val="10"/>
        <color indexed="8"/>
        <rFont val="가는각진제목체"/>
        <family val="1"/>
        <charset val="129"/>
      </rPr>
      <t>기타자본구성요소</t>
    </r>
    <phoneticPr fontId="28" type="noConversion"/>
  </si>
  <si>
    <t>주식발행초과금</t>
    <phoneticPr fontId="28" type="noConversion"/>
  </si>
  <si>
    <r>
      <rPr>
        <sz val="10"/>
        <color indexed="8"/>
        <rFont val="가는각진제목체"/>
        <family val="1"/>
        <charset val="129"/>
      </rPr>
      <t>Ⅱ</t>
    </r>
    <r>
      <rPr>
        <sz val="10"/>
        <color indexed="8"/>
        <rFont val="Arial"/>
        <family val="2"/>
      </rPr>
      <t>.</t>
    </r>
    <r>
      <rPr>
        <sz val="10"/>
        <color indexed="8"/>
        <rFont val="가는각진제목체"/>
        <family val="1"/>
        <charset val="129"/>
      </rPr>
      <t>자본잉여금</t>
    </r>
    <phoneticPr fontId="28" type="noConversion"/>
  </si>
  <si>
    <t>보통주자본금</t>
    <phoneticPr fontId="28" type="noConversion"/>
  </si>
  <si>
    <r>
      <rPr>
        <sz val="10"/>
        <color indexed="8"/>
        <rFont val="가는각진제목체"/>
        <family val="1"/>
        <charset val="129"/>
      </rPr>
      <t>Ⅰ</t>
    </r>
    <r>
      <rPr>
        <sz val="10"/>
        <color indexed="8"/>
        <rFont val="Arial"/>
        <family val="2"/>
      </rPr>
      <t>.</t>
    </r>
    <r>
      <rPr>
        <sz val="10"/>
        <color indexed="8"/>
        <rFont val="가는각진제목체"/>
        <family val="1"/>
        <charset val="129"/>
      </rPr>
      <t>자본금</t>
    </r>
    <phoneticPr fontId="28" type="noConversion"/>
  </si>
  <si>
    <t>영업부채</t>
    <phoneticPr fontId="28" type="noConversion"/>
  </si>
  <si>
    <t>기타부채(장기선수수익)</t>
    <phoneticPr fontId="28" type="noConversion"/>
  </si>
  <si>
    <t>이연법인세부채</t>
    <phoneticPr fontId="28" type="noConversion"/>
  </si>
  <si>
    <t>Net Debt</t>
    <phoneticPr fontId="28" type="noConversion"/>
  </si>
  <si>
    <t>당기손익인식금융부채</t>
    <phoneticPr fontId="28" type="noConversion"/>
  </si>
  <si>
    <t>수입보증금</t>
    <phoneticPr fontId="28" type="noConversion"/>
  </si>
  <si>
    <t>기타금융부채</t>
    <phoneticPr fontId="28" type="noConversion"/>
  </si>
  <si>
    <t>전환사채</t>
    <phoneticPr fontId="28" type="noConversion"/>
  </si>
  <si>
    <t>자산유동화사채</t>
    <phoneticPr fontId="28" type="noConversion"/>
  </si>
  <si>
    <t>전환우선주</t>
    <phoneticPr fontId="28" type="noConversion"/>
  </si>
  <si>
    <t>전환상환우선주</t>
    <phoneticPr fontId="28" type="noConversion"/>
  </si>
  <si>
    <t>장기차입금</t>
    <phoneticPr fontId="28" type="noConversion"/>
  </si>
  <si>
    <t>차입금</t>
    <phoneticPr fontId="28" type="noConversion"/>
  </si>
  <si>
    <t>퇴직급여부채</t>
    <phoneticPr fontId="28" type="noConversion"/>
  </si>
  <si>
    <t>WC</t>
    <phoneticPr fontId="28" type="noConversion"/>
  </si>
  <si>
    <t>예수금</t>
    <phoneticPr fontId="28" type="noConversion"/>
  </si>
  <si>
    <t>선수수익</t>
    <phoneticPr fontId="28" type="noConversion"/>
  </si>
  <si>
    <t>선수금</t>
    <phoneticPr fontId="28" type="noConversion"/>
  </si>
  <si>
    <t>미지급비용</t>
    <phoneticPr fontId="28" type="noConversion"/>
  </si>
  <si>
    <t>기타부채</t>
    <phoneticPr fontId="28" type="noConversion"/>
  </si>
  <si>
    <t>미지급법인세</t>
    <phoneticPr fontId="28" type="noConversion"/>
  </si>
  <si>
    <t>유동성장기미지급금</t>
    <phoneticPr fontId="28" type="noConversion"/>
  </si>
  <si>
    <t>단기차입금</t>
    <phoneticPr fontId="28" type="noConversion"/>
  </si>
  <si>
    <t>미지급금</t>
    <phoneticPr fontId="28" type="noConversion"/>
  </si>
  <si>
    <t>매입채무</t>
    <phoneticPr fontId="28" type="noConversion"/>
  </si>
  <si>
    <t>매입채무 및 기타채무</t>
    <phoneticPr fontId="28" type="noConversion"/>
  </si>
  <si>
    <r>
      <rPr>
        <sz val="10"/>
        <color rgb="FF000000"/>
        <rFont val="가는각진제목체"/>
        <family val="1"/>
        <charset val="129"/>
      </rPr>
      <t>비영업자산</t>
    </r>
    <phoneticPr fontId="28" type="noConversion"/>
  </si>
  <si>
    <t>종속회사투자</t>
    <phoneticPr fontId="28" type="noConversion"/>
  </si>
  <si>
    <t>기타자산(장기선급비용)</t>
    <phoneticPr fontId="28" type="noConversion"/>
  </si>
  <si>
    <t>보증금</t>
    <phoneticPr fontId="28" type="noConversion"/>
  </si>
  <si>
    <t>장기매도가능증권</t>
    <phoneticPr fontId="28" type="noConversion"/>
  </si>
  <si>
    <t>장기금융상품</t>
    <phoneticPr fontId="28" type="noConversion"/>
  </si>
  <si>
    <t>기타금융자산</t>
    <phoneticPr fontId="28" type="noConversion"/>
  </si>
  <si>
    <r>
      <rPr>
        <sz val="10"/>
        <color rgb="FF000000"/>
        <rFont val="가는각진제목체"/>
        <family val="1"/>
        <charset val="129"/>
      </rPr>
      <t>영업자산</t>
    </r>
    <phoneticPr fontId="28" type="noConversion"/>
  </si>
  <si>
    <t>기타의무형자산</t>
    <phoneticPr fontId="28" type="noConversion"/>
  </si>
  <si>
    <t>임차권리금</t>
    <phoneticPr fontId="28" type="noConversion"/>
  </si>
  <si>
    <t>회원권</t>
    <phoneticPr fontId="28" type="noConversion"/>
  </si>
  <si>
    <t>상표권</t>
    <phoneticPr fontId="28" type="noConversion"/>
  </si>
  <si>
    <t>무형자산</t>
    <phoneticPr fontId="28" type="noConversion"/>
  </si>
  <si>
    <t>영업권</t>
    <phoneticPr fontId="28" type="noConversion"/>
  </si>
  <si>
    <t>감가상각누계액</t>
    <phoneticPr fontId="28" type="noConversion"/>
  </si>
  <si>
    <t>투자부동산</t>
    <phoneticPr fontId="28" type="noConversion"/>
  </si>
  <si>
    <t>건설중인자산</t>
    <phoneticPr fontId="28" type="noConversion"/>
  </si>
  <si>
    <t>리스자산</t>
    <phoneticPr fontId="28" type="noConversion"/>
  </si>
  <si>
    <t>비품</t>
    <phoneticPr fontId="28" type="noConversion"/>
  </si>
  <si>
    <t>차량운반구</t>
    <phoneticPr fontId="28" type="noConversion"/>
  </si>
  <si>
    <t>구축물</t>
    <phoneticPr fontId="28" type="noConversion"/>
  </si>
  <si>
    <t>유형자산</t>
    <phoneticPr fontId="28" type="noConversion"/>
  </si>
  <si>
    <t>비영업자산</t>
    <phoneticPr fontId="28" type="noConversion"/>
  </si>
  <si>
    <t>매각예정비유동자산</t>
    <phoneticPr fontId="28" type="noConversion"/>
  </si>
  <si>
    <t>선급비용</t>
    <phoneticPr fontId="28" type="noConversion"/>
  </si>
  <si>
    <t>선급금</t>
    <phoneticPr fontId="28" type="noConversion"/>
  </si>
  <si>
    <t>미수수익</t>
    <phoneticPr fontId="28" type="noConversion"/>
  </si>
  <si>
    <t>기타자산</t>
    <phoneticPr fontId="28" type="noConversion"/>
  </si>
  <si>
    <t>단기매도가능증권</t>
    <phoneticPr fontId="28" type="noConversion"/>
  </si>
  <si>
    <t>단기금융상품</t>
    <phoneticPr fontId="28" type="noConversion"/>
  </si>
  <si>
    <t>대손충당금</t>
    <phoneticPr fontId="28" type="noConversion"/>
  </si>
  <si>
    <t>미수금</t>
    <phoneticPr fontId="28" type="noConversion"/>
  </si>
  <si>
    <t>매출채권</t>
    <phoneticPr fontId="28" type="noConversion"/>
  </si>
  <si>
    <t>매출채권 및 기타채권</t>
    <phoneticPr fontId="28" type="noConversion"/>
  </si>
  <si>
    <t>재고자산</t>
    <phoneticPr fontId="28" type="noConversion"/>
  </si>
  <si>
    <t>현금및현금성자산</t>
    <phoneticPr fontId="28" type="noConversion"/>
  </si>
  <si>
    <t>(%) of Total Assets (2011.1H)</t>
    <phoneticPr fontId="28" type="noConversion"/>
  </si>
  <si>
    <t>(%) of Total Assets (2010)</t>
    <phoneticPr fontId="28" type="noConversion"/>
  </si>
  <si>
    <t>Balance Sheet</t>
    <phoneticPr fontId="28" type="noConversion"/>
  </si>
  <si>
    <t>Selling, General &amp; Administrative Expenses</t>
    <phoneticPr fontId="28" type="noConversion"/>
  </si>
  <si>
    <t>2011.1H
Actual</t>
    <phoneticPr fontId="28" type="noConversion"/>
  </si>
  <si>
    <t>매출액</t>
    <phoneticPr fontId="28" type="noConversion"/>
  </si>
  <si>
    <t>SG&amp;A</t>
    <phoneticPr fontId="28" type="noConversion"/>
  </si>
  <si>
    <t xml:space="preserve"> 교육비</t>
    <phoneticPr fontId="28" type="noConversion"/>
  </si>
  <si>
    <t>매출연동경비</t>
    <phoneticPr fontId="28" type="noConversion"/>
  </si>
  <si>
    <t xml:space="preserve"> 판매촉진비</t>
    <phoneticPr fontId="28" type="noConversion"/>
  </si>
  <si>
    <t xml:space="preserve"> 지급수수료</t>
    <phoneticPr fontId="28" type="noConversion"/>
  </si>
  <si>
    <t xml:space="preserve"> 운반비</t>
    <phoneticPr fontId="28" type="noConversion"/>
  </si>
  <si>
    <t xml:space="preserve"> 설치비</t>
    <phoneticPr fontId="28" type="noConversion"/>
  </si>
  <si>
    <t>준고정비</t>
    <phoneticPr fontId="28" type="noConversion"/>
  </si>
  <si>
    <t xml:space="preserve"> 광고선전비</t>
    <phoneticPr fontId="28" type="noConversion"/>
  </si>
  <si>
    <t xml:space="preserve"> 지급임차료</t>
    <phoneticPr fontId="28" type="noConversion"/>
  </si>
  <si>
    <t xml:space="preserve"> 소모품비</t>
    <phoneticPr fontId="28" type="noConversion"/>
  </si>
  <si>
    <t xml:space="preserve"> 도서인쇄비</t>
    <phoneticPr fontId="28" type="noConversion"/>
  </si>
  <si>
    <t>상각비</t>
    <phoneticPr fontId="28" type="noConversion"/>
  </si>
  <si>
    <t>변동비율(IR자료와 거의 동일)</t>
    <phoneticPr fontId="28" type="noConversion"/>
  </si>
  <si>
    <r>
      <t xml:space="preserve">1. </t>
    </r>
    <r>
      <rPr>
        <b/>
        <sz val="10"/>
        <color theme="1"/>
        <rFont val="맑은 고딕"/>
        <family val="3"/>
        <charset val="129"/>
        <scheme val="minor"/>
      </rPr>
      <t>인건비성경비 추정</t>
    </r>
    <phoneticPr fontId="28" type="noConversion"/>
  </si>
  <si>
    <t>(1) 급여</t>
    <phoneticPr fontId="28" type="noConversion"/>
  </si>
  <si>
    <t>2008
Actual</t>
    <phoneticPr fontId="28" type="noConversion"/>
  </si>
  <si>
    <t>2009
Actual</t>
    <phoneticPr fontId="28" type="noConversion"/>
  </si>
  <si>
    <t>2010
Actual</t>
    <phoneticPr fontId="28" type="noConversion"/>
  </si>
  <si>
    <t>2011.1H
Actual</t>
    <phoneticPr fontId="28" type="noConversion"/>
  </si>
  <si>
    <t>2012
Forecast</t>
    <phoneticPr fontId="28" type="noConversion"/>
  </si>
  <si>
    <t>2013
Forecast</t>
    <phoneticPr fontId="28" type="noConversion"/>
  </si>
  <si>
    <t>2014
Forecast</t>
    <phoneticPr fontId="28" type="noConversion"/>
  </si>
  <si>
    <t>2015
Forecast</t>
    <phoneticPr fontId="28" type="noConversion"/>
  </si>
  <si>
    <t>2016
Forecast</t>
    <phoneticPr fontId="28" type="noConversion"/>
  </si>
  <si>
    <t>급여</t>
    <phoneticPr fontId="28" type="noConversion"/>
  </si>
  <si>
    <t>급여증가율</t>
    <phoneticPr fontId="28" type="noConversion"/>
  </si>
  <si>
    <t>&lt;인원수 추정&gt;</t>
    <phoneticPr fontId="28" type="noConversion"/>
  </si>
  <si>
    <t>2011.1H</t>
    <phoneticPr fontId="28" type="noConversion"/>
  </si>
  <si>
    <t>2011.2H</t>
    <phoneticPr fontId="28" type="noConversion"/>
  </si>
  <si>
    <t>정직원</t>
    <phoneticPr fontId="28" type="noConversion"/>
  </si>
  <si>
    <t>본사</t>
    <phoneticPr fontId="28" type="noConversion"/>
  </si>
  <si>
    <t>사업부</t>
    <phoneticPr fontId="28" type="noConversion"/>
  </si>
  <si>
    <t>매장</t>
    <phoneticPr fontId="28" type="noConversion"/>
  </si>
  <si>
    <t>기타</t>
    <phoneticPr fontId="28" type="noConversion"/>
  </si>
  <si>
    <t>계</t>
    <phoneticPr fontId="28" type="noConversion"/>
  </si>
  <si>
    <t>계약직</t>
    <phoneticPr fontId="28" type="noConversion"/>
  </si>
  <si>
    <t>Total</t>
    <phoneticPr fontId="28" type="noConversion"/>
  </si>
  <si>
    <t>인원증가율</t>
    <phoneticPr fontId="28" type="noConversion"/>
  </si>
  <si>
    <t>1인당 평균급여(백만원)</t>
    <phoneticPr fontId="28" type="noConversion"/>
  </si>
  <si>
    <t>도소매업임금상승률(3개년 가중평균, 한국은행)</t>
    <phoneticPr fontId="28" type="noConversion"/>
  </si>
  <si>
    <t>&lt;향후 출점계획&gt;</t>
    <phoneticPr fontId="28" type="noConversion"/>
  </si>
  <si>
    <t>기초매장수</t>
    <phoneticPr fontId="28" type="noConversion"/>
  </si>
  <si>
    <t>오픈</t>
    <phoneticPr fontId="28" type="noConversion"/>
  </si>
  <si>
    <t>폐점</t>
    <phoneticPr fontId="28" type="noConversion"/>
  </si>
  <si>
    <t>기말매장수</t>
    <phoneticPr fontId="28" type="noConversion"/>
  </si>
  <si>
    <t>평균</t>
    <phoneticPr fontId="28" type="noConversion"/>
  </si>
  <si>
    <t>매장당 평균인원</t>
    <phoneticPr fontId="28" type="noConversion"/>
  </si>
  <si>
    <t>과거 매장당 평균인원에 새로 개설할 점포수를 적용하여 인원수 추정</t>
    <phoneticPr fontId="28" type="noConversion"/>
  </si>
  <si>
    <r>
      <t xml:space="preserve">(2) </t>
    </r>
    <r>
      <rPr>
        <b/>
        <sz val="9"/>
        <color theme="1"/>
        <rFont val="맑은 고딕"/>
        <family val="3"/>
        <charset val="129"/>
        <scheme val="minor"/>
      </rPr>
      <t>퇴직급여, 복리후생비, 교육비</t>
    </r>
    <phoneticPr fontId="28" type="noConversion"/>
  </si>
  <si>
    <t>과거 급여</t>
    <phoneticPr fontId="28" type="noConversion"/>
  </si>
  <si>
    <t>과거 비용</t>
    <phoneticPr fontId="28" type="noConversion"/>
  </si>
  <si>
    <t>평균비율</t>
    <phoneticPr fontId="28" type="noConversion"/>
  </si>
  <si>
    <t>3년평균</t>
    <phoneticPr fontId="28" type="noConversion"/>
  </si>
  <si>
    <t>퇴직급여</t>
    <phoneticPr fontId="28" type="noConversion"/>
  </si>
  <si>
    <t>복리후생비</t>
    <phoneticPr fontId="28" type="noConversion"/>
  </si>
  <si>
    <t>교육비</t>
    <phoneticPr fontId="28" type="noConversion"/>
  </si>
  <si>
    <t>2. 매출연동경비 추정</t>
    <phoneticPr fontId="28" type="noConversion"/>
  </si>
  <si>
    <r>
      <t xml:space="preserve">(1) </t>
    </r>
    <r>
      <rPr>
        <b/>
        <sz val="9"/>
        <color theme="1"/>
        <rFont val="맑은 고딕"/>
        <family val="3"/>
        <charset val="129"/>
        <scheme val="minor"/>
      </rPr>
      <t>지급수수료</t>
    </r>
    <phoneticPr fontId="28" type="noConversion"/>
  </si>
  <si>
    <t>회사에 지급수수료 상세구성내역 질문할 것.</t>
    <phoneticPr fontId="28" type="noConversion"/>
  </si>
  <si>
    <t>지급수수료</t>
    <phoneticPr fontId="28" type="noConversion"/>
  </si>
  <si>
    <t xml:space="preserve"> 카드판매수수료(매출연동경비)</t>
    <phoneticPr fontId="28" type="noConversion"/>
  </si>
  <si>
    <t xml:space="preserve"> 기타지급수수료(준고정비)</t>
    <phoneticPr fontId="28" type="noConversion"/>
  </si>
  <si>
    <t>&lt;카드판매수수료&gt; : 변동비</t>
    <phoneticPr fontId="28" type="noConversion"/>
  </si>
  <si>
    <t>카드판매수수료율</t>
    <phoneticPr fontId="28" type="noConversion"/>
  </si>
  <si>
    <t>IR자료에서 제시된 연도별 판관비율 추이를 보면, 지급수수료 중에서 변동비에 해당하는 부분은 카드수수료임. 매출대비 비율은 2008~2011.1H까지 동일하게 매출의 1.8%를 유지</t>
    <phoneticPr fontId="28" type="noConversion"/>
  </si>
  <si>
    <t>&lt;기타지급수수료&gt; : 고정비</t>
    <phoneticPr fontId="28" type="noConversion"/>
  </si>
  <si>
    <t>기타지급수수료</t>
    <phoneticPr fontId="28" type="noConversion"/>
  </si>
  <si>
    <r>
      <t>(3) 판매촉진비, 운반비, 설치</t>
    </r>
    <r>
      <rPr>
        <b/>
        <sz val="9"/>
        <color theme="1"/>
        <rFont val="맑은 고딕"/>
        <family val="3"/>
        <charset val="129"/>
        <scheme val="minor"/>
      </rPr>
      <t>비</t>
    </r>
    <phoneticPr fontId="28" type="noConversion"/>
  </si>
  <si>
    <t>과거 매출</t>
    <phoneticPr fontId="28" type="noConversion"/>
  </si>
  <si>
    <t>판매촉진비</t>
    <phoneticPr fontId="28" type="noConversion"/>
  </si>
  <si>
    <t>매년 매출대비 비율이 증가하는것 고려</t>
    <phoneticPr fontId="28" type="noConversion"/>
  </si>
  <si>
    <t>운반비</t>
    <phoneticPr fontId="28" type="noConversion"/>
  </si>
  <si>
    <t>설치비</t>
    <phoneticPr fontId="28" type="noConversion"/>
  </si>
  <si>
    <t>3. 준고정비 추정</t>
    <phoneticPr fontId="28" type="noConversion"/>
  </si>
  <si>
    <r>
      <t xml:space="preserve">(1) </t>
    </r>
    <r>
      <rPr>
        <b/>
        <sz val="9"/>
        <color theme="1"/>
        <rFont val="맑은 고딕"/>
        <family val="3"/>
        <charset val="129"/>
        <scheme val="minor"/>
      </rPr>
      <t>광고선전비</t>
    </r>
    <phoneticPr fontId="28" type="noConversion"/>
  </si>
  <si>
    <t>매출액</t>
    <phoneticPr fontId="28" type="noConversion"/>
  </si>
  <si>
    <t>매출이 증가함에도 불구하고 광고선전비는 금액 및 매출대비 비율이 모두 감소하고 있음</t>
    <phoneticPr fontId="28" type="noConversion"/>
  </si>
  <si>
    <t>광고선전비</t>
    <phoneticPr fontId="28" type="noConversion"/>
  </si>
  <si>
    <t>광고선전비는 대부분이 TV광고비로 추정되며, 연간 금액이 거의 고정되어 있음</t>
    <phoneticPr fontId="28" type="noConversion"/>
  </si>
  <si>
    <t>비율</t>
    <phoneticPr fontId="28" type="noConversion"/>
  </si>
  <si>
    <t>따라서, 광고선전비는 보수적으로 볼 경우에도 과거 2.5개년 발생액의 평균금액이 향후에도 유지된다고 가정</t>
    <phoneticPr fontId="28" type="noConversion"/>
  </si>
  <si>
    <r>
      <t xml:space="preserve">(2) </t>
    </r>
    <r>
      <rPr>
        <b/>
        <sz val="9"/>
        <color theme="1"/>
        <rFont val="맑은 고딕"/>
        <family val="3"/>
        <charset val="129"/>
        <scheme val="minor"/>
      </rPr>
      <t>지급임차료</t>
    </r>
    <phoneticPr fontId="28" type="noConversion"/>
  </si>
  <si>
    <t>지급임차료</t>
    <phoneticPr fontId="28" type="noConversion"/>
  </si>
  <si>
    <t>연평균 점포수</t>
    <phoneticPr fontId="28" type="noConversion"/>
  </si>
  <si>
    <t>2010년 점포당 임차료가 연간 소비자물가상승률만큼 상승한다고 가정</t>
    <phoneticPr fontId="28" type="noConversion"/>
  </si>
  <si>
    <t>점포당 임차료</t>
    <phoneticPr fontId="28" type="noConversion"/>
  </si>
  <si>
    <t>추가로 개설되는 점포의 임차료는 과거 점포당 평균임차료에 소비자물가상승률을 적용</t>
    <phoneticPr fontId="28" type="noConversion"/>
  </si>
  <si>
    <t>임차료 지급대상 점포</t>
    <phoneticPr fontId="28" type="noConversion"/>
  </si>
  <si>
    <t>토지와 건물을 소유하고 있는 36개 점포는 임차료 지급대상에서 제외</t>
    <phoneticPr fontId="28" type="noConversion"/>
  </si>
  <si>
    <t>임차료는 토지임차후 건물건축분(토지임차료)과 건물임차(건물임차료)만 발생</t>
    <phoneticPr fontId="28" type="noConversion"/>
  </si>
  <si>
    <t>토지와 건물 소유</t>
    <phoneticPr fontId="28" type="noConversion"/>
  </si>
  <si>
    <t>현재수준 유지</t>
    <phoneticPr fontId="28" type="noConversion"/>
  </si>
  <si>
    <t>토지임차후 건물건축</t>
    <phoneticPr fontId="28" type="noConversion"/>
  </si>
  <si>
    <t>향후 CAPEX 투자</t>
    <phoneticPr fontId="28" type="noConversion"/>
  </si>
  <si>
    <t>건물 임차</t>
    <phoneticPr fontId="28" type="noConversion"/>
  </si>
  <si>
    <r>
      <t>(3) 그</t>
    </r>
    <r>
      <rPr>
        <b/>
        <sz val="9"/>
        <color theme="1"/>
        <rFont val="맑은 고딕"/>
        <family val="3"/>
        <charset val="129"/>
        <scheme val="minor"/>
      </rPr>
      <t>외의 준고정비</t>
    </r>
    <phoneticPr fontId="28" type="noConversion"/>
  </si>
  <si>
    <t>2010년 발생비용이 물가상승율만큼 상승</t>
    <phoneticPr fontId="28" type="noConversion"/>
  </si>
  <si>
    <t>2011-09-07 기준</t>
    <phoneticPr fontId="28" type="noConversion"/>
  </si>
  <si>
    <t>(Source : EIU information)</t>
    <phoneticPr fontId="28" type="noConversion"/>
  </si>
  <si>
    <t>4. 상각비 추정</t>
    <phoneticPr fontId="28" type="noConversion"/>
  </si>
  <si>
    <r>
      <t>(1) 감가상각</t>
    </r>
    <r>
      <rPr>
        <b/>
        <sz val="9"/>
        <color theme="1"/>
        <rFont val="맑은 고딕"/>
        <family val="3"/>
        <charset val="129"/>
        <scheme val="minor"/>
      </rPr>
      <t>비</t>
    </r>
    <phoneticPr fontId="28" type="noConversion"/>
  </si>
  <si>
    <t>CAPEX에서 별도 추정</t>
    <phoneticPr fontId="28" type="noConversion"/>
  </si>
  <si>
    <r>
      <t>(2) 무형자산상각</t>
    </r>
    <r>
      <rPr>
        <b/>
        <sz val="9"/>
        <color theme="1"/>
        <rFont val="맑은 고딕"/>
        <family val="3"/>
        <charset val="129"/>
        <scheme val="minor"/>
      </rPr>
      <t>비</t>
    </r>
    <phoneticPr fontId="28" type="noConversion"/>
  </si>
  <si>
    <t>평균임차료</t>
    <phoneticPr fontId="2" type="noConversion"/>
  </si>
  <si>
    <t>지급임차료</t>
    <phoneticPr fontId="2" type="noConversion"/>
  </si>
  <si>
    <t>점포수 증가율</t>
    <phoneticPr fontId="2" type="noConversion"/>
  </si>
  <si>
    <t>II. 점당 매출액 기준</t>
    <phoneticPr fontId="2" type="noConversion"/>
  </si>
  <si>
    <t>I. 시장점유율 기준</t>
    <phoneticPr fontId="2" type="noConversion"/>
  </si>
  <si>
    <t>매장수 증가율</t>
    <phoneticPr fontId="2" type="noConversion"/>
  </si>
  <si>
    <t>- 매장수 증가율로 성장 가정</t>
    <phoneticPr fontId="2" type="noConversion"/>
  </si>
  <si>
    <t>- 과거 평균성장률 가정_ 경쟁사 고려</t>
    <phoneticPr fontId="2" type="noConversion"/>
  </si>
  <si>
    <t>점당매출액 성장률</t>
    <phoneticPr fontId="2" type="noConversion"/>
  </si>
  <si>
    <t>매장수</t>
    <phoneticPr fontId="2" type="noConversion"/>
  </si>
  <si>
    <t>2010년말 잔액이 유지된다고 가정</t>
    <phoneticPr fontId="28" type="noConversion"/>
  </si>
  <si>
    <r>
      <rPr>
        <sz val="9"/>
        <color theme="1"/>
        <rFont val="가는각진제목체"/>
        <family val="1"/>
        <charset val="129"/>
      </rPr>
      <t>과거</t>
    </r>
    <r>
      <rPr>
        <sz val="9"/>
        <color theme="1"/>
        <rFont val="Arial"/>
        <family val="2"/>
      </rPr>
      <t xml:space="preserve"> 2.5</t>
    </r>
    <r>
      <rPr>
        <sz val="9"/>
        <color theme="1"/>
        <rFont val="가는각진제목체"/>
        <family val="1"/>
        <charset val="129"/>
      </rPr>
      <t>개년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평균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미지급금회전율</t>
    </r>
    <phoneticPr fontId="28" type="noConversion"/>
  </si>
  <si>
    <t>회전기일</t>
    <phoneticPr fontId="28" type="noConversion"/>
  </si>
  <si>
    <t>미지급금회전율</t>
    <phoneticPr fontId="28" type="noConversion"/>
  </si>
  <si>
    <t>판매비와관리비</t>
    <phoneticPr fontId="28" type="noConversion"/>
  </si>
  <si>
    <t>2011.1H
Actual</t>
    <phoneticPr fontId="28" type="noConversion"/>
  </si>
  <si>
    <r>
      <t xml:space="preserve">3. </t>
    </r>
    <r>
      <rPr>
        <b/>
        <sz val="10"/>
        <color theme="1"/>
        <rFont val="가는각진제목체"/>
        <family val="1"/>
        <charset val="129"/>
      </rPr>
      <t>미수금</t>
    </r>
    <r>
      <rPr>
        <b/>
        <sz val="10"/>
        <color theme="1"/>
        <rFont val="Arial"/>
        <family val="2"/>
      </rPr>
      <t xml:space="preserve">, </t>
    </r>
    <r>
      <rPr>
        <b/>
        <sz val="10"/>
        <color theme="1"/>
        <rFont val="가는각진제목체"/>
        <family val="1"/>
        <charset val="129"/>
      </rPr>
      <t>미지급금</t>
    </r>
    <r>
      <rPr>
        <b/>
        <sz val="10"/>
        <color theme="1"/>
        <rFont val="Arial"/>
        <family val="2"/>
      </rPr>
      <t xml:space="preserve">, </t>
    </r>
    <r>
      <rPr>
        <b/>
        <sz val="10"/>
        <color theme="1"/>
        <rFont val="가는각진제목체"/>
        <family val="1"/>
        <charset val="129"/>
      </rPr>
      <t>미지급비용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추정</t>
    </r>
    <r>
      <rPr>
        <b/>
        <sz val="10"/>
        <color theme="1"/>
        <rFont val="Arial"/>
        <family val="2"/>
      </rPr>
      <t xml:space="preserve"> (</t>
    </r>
    <r>
      <rPr>
        <b/>
        <sz val="10"/>
        <color theme="1"/>
        <rFont val="가는각진제목체"/>
        <family val="1"/>
        <charset val="129"/>
      </rPr>
      <t>판관비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대비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비율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기준</t>
    </r>
    <r>
      <rPr>
        <b/>
        <sz val="10"/>
        <color theme="1"/>
        <rFont val="Arial"/>
        <family val="2"/>
      </rPr>
      <t>)</t>
    </r>
    <phoneticPr fontId="28" type="noConversion"/>
  </si>
  <si>
    <r>
      <rPr>
        <sz val="9"/>
        <color theme="1"/>
        <rFont val="가는각진제목체"/>
        <family val="1"/>
        <charset val="129"/>
      </rPr>
      <t>과거</t>
    </r>
    <r>
      <rPr>
        <sz val="9"/>
        <color theme="1"/>
        <rFont val="Arial"/>
        <family val="2"/>
      </rPr>
      <t xml:space="preserve"> 2</t>
    </r>
    <r>
      <rPr>
        <sz val="9"/>
        <color theme="1"/>
        <rFont val="가는각진제목체"/>
        <family val="1"/>
        <charset val="129"/>
      </rPr>
      <t>개년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평균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선수금회전율</t>
    </r>
    <phoneticPr fontId="28" type="noConversion"/>
  </si>
  <si>
    <r>
      <rPr>
        <sz val="9"/>
        <color theme="1"/>
        <rFont val="가는각진제목체"/>
        <family val="1"/>
        <charset val="129"/>
      </rPr>
      <t>과거</t>
    </r>
    <r>
      <rPr>
        <sz val="9"/>
        <color theme="1"/>
        <rFont val="Arial"/>
        <family val="2"/>
      </rPr>
      <t xml:space="preserve"> 2.5</t>
    </r>
    <r>
      <rPr>
        <sz val="9"/>
        <color theme="1"/>
        <rFont val="가는각진제목체"/>
        <family val="1"/>
        <charset val="129"/>
      </rPr>
      <t>개년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평균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매출채권회전율</t>
    </r>
    <phoneticPr fontId="28" type="noConversion"/>
  </si>
  <si>
    <t>회전기일</t>
    <phoneticPr fontId="28" type="noConversion"/>
  </si>
  <si>
    <t>선수금회전율</t>
    <phoneticPr fontId="28" type="noConversion"/>
  </si>
  <si>
    <t>매출채권회전율</t>
    <phoneticPr fontId="28" type="noConversion"/>
  </si>
  <si>
    <t>선수금</t>
    <phoneticPr fontId="28" type="noConversion"/>
  </si>
  <si>
    <t>매출채권</t>
    <phoneticPr fontId="28" type="noConversion"/>
  </si>
  <si>
    <t>매출액</t>
    <phoneticPr fontId="28" type="noConversion"/>
  </si>
  <si>
    <r>
      <t xml:space="preserve">2. </t>
    </r>
    <r>
      <rPr>
        <b/>
        <sz val="10"/>
        <color theme="1"/>
        <rFont val="가는각진제목체"/>
        <family val="1"/>
        <charset val="129"/>
      </rPr>
      <t>매출채권</t>
    </r>
    <r>
      <rPr>
        <b/>
        <sz val="10"/>
        <color theme="1"/>
        <rFont val="Arial"/>
        <family val="2"/>
      </rPr>
      <t xml:space="preserve">, </t>
    </r>
    <r>
      <rPr>
        <b/>
        <sz val="10"/>
        <color theme="1"/>
        <rFont val="가는각진제목체"/>
        <family val="1"/>
        <charset val="129"/>
      </rPr>
      <t>충당부채</t>
    </r>
    <r>
      <rPr>
        <b/>
        <sz val="10"/>
        <color theme="1"/>
        <rFont val="Arial"/>
        <family val="2"/>
      </rPr>
      <t xml:space="preserve">, </t>
    </r>
    <r>
      <rPr>
        <b/>
        <sz val="10"/>
        <color theme="1"/>
        <rFont val="가는각진제목체"/>
        <family val="1"/>
        <charset val="129"/>
      </rPr>
      <t>선수금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추정</t>
    </r>
    <r>
      <rPr>
        <b/>
        <sz val="10"/>
        <color theme="1"/>
        <rFont val="Arial"/>
        <family val="2"/>
      </rPr>
      <t xml:space="preserve"> (</t>
    </r>
    <r>
      <rPr>
        <b/>
        <sz val="10"/>
        <color theme="1"/>
        <rFont val="가는각진제목체"/>
        <family val="1"/>
        <charset val="129"/>
      </rPr>
      <t>매출액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대비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비율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기준</t>
    </r>
    <r>
      <rPr>
        <b/>
        <sz val="10"/>
        <color theme="1"/>
        <rFont val="Arial"/>
        <family val="2"/>
      </rPr>
      <t>)</t>
    </r>
    <phoneticPr fontId="28" type="noConversion"/>
  </si>
  <si>
    <r>
      <rPr>
        <sz val="9"/>
        <color theme="1"/>
        <rFont val="가는각진제목체"/>
        <family val="1"/>
        <charset val="129"/>
      </rPr>
      <t>과거</t>
    </r>
    <r>
      <rPr>
        <sz val="9"/>
        <color theme="1"/>
        <rFont val="Arial"/>
        <family val="2"/>
      </rPr>
      <t xml:space="preserve"> 2.5</t>
    </r>
    <r>
      <rPr>
        <sz val="9"/>
        <color theme="1"/>
        <rFont val="가는각진제목체"/>
        <family val="1"/>
        <charset val="129"/>
      </rPr>
      <t>개년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평균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매입채무회전율</t>
    </r>
    <phoneticPr fontId="28" type="noConversion"/>
  </si>
  <si>
    <r>
      <rPr>
        <sz val="9"/>
        <color theme="1"/>
        <rFont val="가는각진제목체"/>
        <family val="1"/>
        <charset val="129"/>
      </rPr>
      <t>과거</t>
    </r>
    <r>
      <rPr>
        <sz val="9"/>
        <color theme="1"/>
        <rFont val="Arial"/>
        <family val="2"/>
      </rPr>
      <t xml:space="preserve"> 2.5</t>
    </r>
    <r>
      <rPr>
        <sz val="9"/>
        <color theme="1"/>
        <rFont val="가는각진제목체"/>
        <family val="1"/>
        <charset val="129"/>
      </rPr>
      <t>개년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평균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가는각진제목체"/>
        <family val="1"/>
        <charset val="129"/>
      </rPr>
      <t>재고자산회전율</t>
    </r>
    <phoneticPr fontId="28" type="noConversion"/>
  </si>
  <si>
    <t>매입채무회전율</t>
    <phoneticPr fontId="28" type="noConversion"/>
  </si>
  <si>
    <t>재고자산회전율</t>
    <phoneticPr fontId="28" type="noConversion"/>
  </si>
  <si>
    <t>매입채무</t>
    <phoneticPr fontId="28" type="noConversion"/>
  </si>
  <si>
    <t>재고자산</t>
    <phoneticPr fontId="28" type="noConversion"/>
  </si>
  <si>
    <t>매출원가</t>
    <phoneticPr fontId="28" type="noConversion"/>
  </si>
  <si>
    <r>
      <t xml:space="preserve">1. </t>
    </r>
    <r>
      <rPr>
        <b/>
        <sz val="10"/>
        <color theme="1"/>
        <rFont val="가는각진제목체"/>
        <family val="1"/>
        <charset val="129"/>
      </rPr>
      <t>재고자산</t>
    </r>
    <r>
      <rPr>
        <b/>
        <sz val="10"/>
        <color theme="1"/>
        <rFont val="Arial"/>
        <family val="2"/>
      </rPr>
      <t xml:space="preserve">, </t>
    </r>
    <r>
      <rPr>
        <b/>
        <sz val="10"/>
        <color theme="1"/>
        <rFont val="가는각진제목체"/>
        <family val="1"/>
        <charset val="129"/>
      </rPr>
      <t>매입채무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추정</t>
    </r>
    <r>
      <rPr>
        <b/>
        <sz val="10"/>
        <color theme="1"/>
        <rFont val="Arial"/>
        <family val="2"/>
      </rPr>
      <t xml:space="preserve"> (</t>
    </r>
    <r>
      <rPr>
        <b/>
        <sz val="10"/>
        <color theme="1"/>
        <rFont val="가는각진제목체"/>
        <family val="1"/>
        <charset val="129"/>
      </rPr>
      <t>매출원가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대비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비율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기준</t>
    </r>
    <r>
      <rPr>
        <b/>
        <sz val="10"/>
        <color theme="1"/>
        <rFont val="Arial"/>
        <family val="2"/>
      </rPr>
      <t>)</t>
    </r>
    <phoneticPr fontId="28" type="noConversion"/>
  </si>
  <si>
    <t>△NWC</t>
  </si>
  <si>
    <t>NWC</t>
  </si>
  <si>
    <t>선수금</t>
  </si>
  <si>
    <t>미지급금</t>
  </si>
  <si>
    <t>매입채무</t>
  </si>
  <si>
    <t>Liabilities</t>
  </si>
  <si>
    <t>Assets</t>
    <phoneticPr fontId="28" type="noConversion"/>
  </si>
  <si>
    <t>2007.12
Actual</t>
    <phoneticPr fontId="28" type="noConversion"/>
  </si>
  <si>
    <t>Net Working Capital</t>
    <phoneticPr fontId="28" type="noConversion"/>
  </si>
  <si>
    <t>(*) 2011년 6월 말 BS상 보증금, 미지급비용, 선수금은 구분 불가. 2010년 말과 동일하다고 가정</t>
    <phoneticPr fontId="2" type="noConversion"/>
  </si>
  <si>
    <t>무형자산</t>
    <phoneticPr fontId="2" type="noConversion"/>
  </si>
  <si>
    <t>임차보증금</t>
    <phoneticPr fontId="2" type="noConversion"/>
  </si>
  <si>
    <t>구분</t>
    <phoneticPr fontId="2" type="noConversion"/>
  </si>
  <si>
    <t>평가기준일</t>
    <phoneticPr fontId="2" type="noConversion"/>
  </si>
  <si>
    <t>영구성장률</t>
    <phoneticPr fontId="2" type="noConversion"/>
  </si>
  <si>
    <t>WACC</t>
    <phoneticPr fontId="2" type="noConversion"/>
  </si>
  <si>
    <t>할인기간</t>
  </si>
  <si>
    <t>할인계수</t>
  </si>
  <si>
    <t>Discounted FCF</t>
  </si>
  <si>
    <t>추정기간 동안 발생할 현금흐름의 현재가치</t>
    <phoneticPr fontId="2" type="noConversion"/>
  </si>
  <si>
    <t>CV</t>
    <phoneticPr fontId="2" type="noConversion"/>
  </si>
  <si>
    <t>추정기간 이후 발생할 현금흐름의 현재가치(CV)</t>
    <phoneticPr fontId="2" type="noConversion"/>
  </si>
  <si>
    <t>2016년 FCF</t>
    <phoneticPr fontId="2" type="noConversion"/>
  </si>
  <si>
    <t>조정항목</t>
    <phoneticPr fontId="2" type="noConversion"/>
  </si>
  <si>
    <t>1. 추정기간 동안 현금흐름의 현재가치</t>
  </si>
  <si>
    <t>2. 추정기간 이후 현금흐름의 현재가치</t>
  </si>
  <si>
    <t>3. 비업무용자산(단기금융상품, 투자자산)</t>
  </si>
  <si>
    <t>4. 기업가치(1+2+3)</t>
  </si>
  <si>
    <t>기업의 가치(2011년 6월말 기준)</t>
    <phoneticPr fontId="2" type="noConversion"/>
  </si>
  <si>
    <t>부채의 가치(2011년 6월말 기준)</t>
    <phoneticPr fontId="2" type="noConversion"/>
  </si>
  <si>
    <t xml:space="preserve"> 1. 단기차입금</t>
  </si>
  <si>
    <t>1. 기업가치</t>
  </si>
  <si>
    <t>2. 부채가치</t>
  </si>
  <si>
    <t>3. 자기자본의 가치(1-2)</t>
  </si>
  <si>
    <t>자기자본의 가치(2011년 6월말 기준)</t>
    <phoneticPr fontId="2" type="noConversion"/>
  </si>
  <si>
    <t>기타금융자산</t>
  </si>
  <si>
    <t>투자부동산</t>
  </si>
  <si>
    <t>장기금융상품</t>
  </si>
  <si>
    <t>장기매도가능증권</t>
  </si>
  <si>
    <t>기타자산</t>
  </si>
  <si>
    <t>종속회사투자</t>
  </si>
  <si>
    <t>장기선급비용</t>
    <phoneticPr fontId="2" type="noConversion"/>
  </si>
  <si>
    <t xml:space="preserve"> 2. 장기차입금</t>
    <phoneticPr fontId="2" type="noConversion"/>
  </si>
  <si>
    <t xml:space="preserve"> 3. 자산유동화사채</t>
    <phoneticPr fontId="2" type="noConversion"/>
  </si>
  <si>
    <t>&lt;2011년 6개월 기준&gt;</t>
    <phoneticPr fontId="2" type="noConversion"/>
  </si>
  <si>
    <t>임원</t>
  </si>
  <si>
    <t>임원</t>
    <phoneticPr fontId="2" type="noConversion"/>
  </si>
  <si>
    <t>사무</t>
  </si>
  <si>
    <t>영업</t>
  </si>
  <si>
    <t>본사</t>
  </si>
  <si>
    <t>매장</t>
  </si>
  <si>
    <t>인원현황</t>
    <phoneticPr fontId="2" type="noConversion"/>
  </si>
  <si>
    <t>인원현황</t>
    <phoneticPr fontId="2" type="noConversion"/>
  </si>
  <si>
    <t>사무직_매장</t>
  </si>
  <si>
    <t>사무직_매장</t>
    <phoneticPr fontId="2" type="noConversion"/>
  </si>
  <si>
    <t>영업직</t>
  </si>
  <si>
    <t>영업직</t>
    <phoneticPr fontId="2" type="noConversion"/>
  </si>
  <si>
    <t>사무직_본사</t>
  </si>
  <si>
    <t>사무직_본사</t>
    <phoneticPr fontId="2" type="noConversion"/>
  </si>
  <si>
    <t>신규매장수</t>
    <phoneticPr fontId="2" type="noConversion"/>
  </si>
  <si>
    <t>매장당 인원</t>
    <phoneticPr fontId="2" type="noConversion"/>
  </si>
  <si>
    <t>추가인력</t>
    <phoneticPr fontId="2" type="noConversion"/>
  </si>
  <si>
    <t>신규매장수</t>
    <phoneticPr fontId="2" type="noConversion"/>
  </si>
  <si>
    <t>사무직_매장</t>
    <phoneticPr fontId="2" type="noConversion"/>
  </si>
  <si>
    <t>영업직</t>
    <phoneticPr fontId="2" type="noConversion"/>
  </si>
  <si>
    <t>평균급여</t>
    <phoneticPr fontId="2" type="noConversion"/>
  </si>
  <si>
    <t>임금상승률</t>
    <phoneticPr fontId="2" type="noConversion"/>
  </si>
  <si>
    <t>급여추정액</t>
    <phoneticPr fontId="2" type="noConversion"/>
  </si>
  <si>
    <t>급여총액</t>
    <phoneticPr fontId="2" type="noConversion"/>
  </si>
  <si>
    <t>조정연평균 급여</t>
    <phoneticPr fontId="2" type="noConversion"/>
  </si>
  <si>
    <t>조정급여총액</t>
    <phoneticPr fontId="2" type="noConversion"/>
  </si>
  <si>
    <t>합계</t>
    <phoneticPr fontId="2" type="noConversion"/>
  </si>
  <si>
    <t>연평균 급여</t>
    <phoneticPr fontId="2" type="noConversion"/>
  </si>
  <si>
    <t>구분불가</t>
    <phoneticPr fontId="2" type="noConversion"/>
  </si>
  <si>
    <t>직전 2개년 급여액 대비 평균비율 적용</t>
    <phoneticPr fontId="28" type="noConversion"/>
  </si>
  <si>
    <t>&lt;2011년 6월 반기재무제표 및 사업보고서&gt;</t>
    <phoneticPr fontId="2" type="noConversion"/>
  </si>
  <si>
    <r>
      <t xml:space="preserve">4. </t>
    </r>
    <r>
      <rPr>
        <b/>
        <sz val="10"/>
        <color theme="1"/>
        <rFont val="가는각진제목체"/>
        <family val="1"/>
        <charset val="129"/>
      </rPr>
      <t>그외의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항목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가는각진제목체"/>
        <family val="1"/>
        <charset val="129"/>
      </rPr>
      <t>추정</t>
    </r>
    <phoneticPr fontId="28" type="noConversion"/>
  </si>
  <si>
    <t>자기자본가치</t>
    <phoneticPr fontId="2" type="noConversion"/>
  </si>
  <si>
    <t>백만원</t>
    <phoneticPr fontId="2" type="noConversion"/>
  </si>
  <si>
    <t>주식수</t>
    <phoneticPr fontId="2" type="noConversion"/>
  </si>
  <si>
    <t>주가</t>
    <phoneticPr fontId="2" type="noConversion"/>
  </si>
  <si>
    <t>원</t>
    <phoneticPr fontId="2" type="noConversion"/>
  </si>
  <si>
    <t>주</t>
    <phoneticPr fontId="2" type="noConversion"/>
  </si>
  <si>
    <t>2011년 매출 추정</t>
    <phoneticPr fontId="2" type="noConversion"/>
  </si>
  <si>
    <t>&lt;전기 대비 3분기 누적매출 비율&gt;</t>
    <phoneticPr fontId="2" type="noConversion"/>
  </si>
  <si>
    <t>1~2분기</t>
    <phoneticPr fontId="2" type="noConversion"/>
  </si>
  <si>
    <t>3분기</t>
    <phoneticPr fontId="2" type="noConversion"/>
  </si>
  <si>
    <t>합계</t>
    <phoneticPr fontId="2" type="noConversion"/>
  </si>
  <si>
    <t>4분기 추정액</t>
    <phoneticPr fontId="2" type="noConversion"/>
  </si>
  <si>
    <t>추정 성장률(Euromonitor)</t>
    <phoneticPr fontId="2" type="noConversion"/>
  </si>
  <si>
    <t>시장성장률 가정</t>
    <phoneticPr fontId="2" type="noConversion"/>
  </si>
  <si>
    <t>2011년</t>
    <phoneticPr fontId="2" type="noConversion"/>
  </si>
  <si>
    <t>2010년</t>
    <phoneticPr fontId="2" type="noConversion"/>
  </si>
  <si>
    <t>구분</t>
    <phoneticPr fontId="2" type="noConversion"/>
  </si>
  <si>
    <t>토지</t>
    <phoneticPr fontId="2" type="noConversion"/>
  </si>
  <si>
    <t>건물</t>
    <phoneticPr fontId="2" type="noConversion"/>
  </si>
  <si>
    <t>구축물</t>
    <phoneticPr fontId="2" type="noConversion"/>
  </si>
  <si>
    <t>건설중인자산</t>
    <phoneticPr fontId="2" type="noConversion"/>
  </si>
  <si>
    <t>비품</t>
    <phoneticPr fontId="2" type="noConversion"/>
  </si>
  <si>
    <t>차량운반구</t>
    <phoneticPr fontId="2" type="noConversion"/>
  </si>
  <si>
    <t>신규매장</t>
    <phoneticPr fontId="2" type="noConversion"/>
  </si>
  <si>
    <t>출점 매장 투자액</t>
    <phoneticPr fontId="2" type="noConversion"/>
  </si>
  <si>
    <t>증가</t>
    <phoneticPr fontId="2" type="noConversion"/>
  </si>
  <si>
    <t>감소</t>
    <phoneticPr fontId="2" type="noConversion"/>
  </si>
  <si>
    <t>순증감</t>
    <phoneticPr fontId="2" type="noConversion"/>
  </si>
  <si>
    <t>매장수(평균)</t>
    <phoneticPr fontId="2" type="noConversion"/>
  </si>
  <si>
    <t>신규점포수</t>
    <phoneticPr fontId="2" type="noConversion"/>
  </si>
  <si>
    <t>매장관리 투자액</t>
    <phoneticPr fontId="2" type="noConversion"/>
  </si>
  <si>
    <t>신규매장관련</t>
    <phoneticPr fontId="2" type="noConversion"/>
  </si>
  <si>
    <t>유형자산 합계</t>
    <phoneticPr fontId="2" type="noConversion"/>
  </si>
  <si>
    <t>매장관리</t>
    <phoneticPr fontId="2" type="noConversion"/>
  </si>
  <si>
    <t>&lt;2010년 취득가액&gt;</t>
    <phoneticPr fontId="2" type="noConversion"/>
  </si>
  <si>
    <t>CAPEX</t>
    <phoneticPr fontId="2" type="noConversion"/>
  </si>
  <si>
    <t>Ⅱ. 투자활동현금흐름</t>
  </si>
  <si>
    <t>  유형자산의 처분</t>
  </si>
  <si>
    <t>  보증금의 감소</t>
  </si>
  <si>
    <t>  유형자산의 취득</t>
  </si>
  <si>
    <t>  무형자산의 증가</t>
  </si>
  <si>
    <t>  보증금의 증가</t>
  </si>
  <si>
    <t>CAPXE</t>
    <phoneticPr fontId="2" type="noConversion"/>
  </si>
  <si>
    <t>2011년 하반기의 경우 2010년 및 2011년 상반기 평균원가율 적용</t>
    <phoneticPr fontId="2" type="noConversion"/>
  </si>
  <si>
    <t>2012년 이후 과거 3개년 평균원가율 적용</t>
    <phoneticPr fontId="2" type="noConversion"/>
  </si>
  <si>
    <t>2009년</t>
    <phoneticPr fontId="28" type="noConversion"/>
  </si>
  <si>
    <t>2008년</t>
    <phoneticPr fontId="28" type="noConversion"/>
  </si>
  <si>
    <t>2010년</t>
    <phoneticPr fontId="28" type="noConversion"/>
  </si>
  <si>
    <t>Insert title here</t>
  </si>
  <si>
    <t>EBITDA</t>
    <phoneticPr fontId="2" type="noConversion"/>
  </si>
  <si>
    <t>EBIT에 대한 법인세</t>
    <phoneticPr fontId="2" type="noConversion"/>
  </si>
  <si>
    <t>순운전자본</t>
    <phoneticPr fontId="2" type="noConversion"/>
  </si>
  <si>
    <t>현가계수</t>
    <phoneticPr fontId="2" type="noConversion"/>
  </si>
  <si>
    <t>2012F</t>
  </si>
  <si>
    <t>2013F</t>
  </si>
  <si>
    <t>2014F</t>
  </si>
  <si>
    <t>2015F</t>
  </si>
  <si>
    <t>2016F</t>
  </si>
  <si>
    <t>백만원</t>
    <phoneticPr fontId="2" type="noConversion"/>
  </si>
  <si>
    <t>2011A</t>
    <phoneticPr fontId="2" type="noConversion"/>
  </si>
  <si>
    <t>2011F</t>
    <phoneticPr fontId="2" type="noConversion"/>
  </si>
  <si>
    <t>Free Cash Flow(FCF)</t>
    <phoneticPr fontId="2" type="noConversion"/>
  </si>
  <si>
    <t>Discounted FCF</t>
    <phoneticPr fontId="2" type="noConversion"/>
  </si>
  <si>
    <t>2010A</t>
    <phoneticPr fontId="2" type="noConversion"/>
  </si>
  <si>
    <t>2009A</t>
  </si>
  <si>
    <t>Discounted terminal value</t>
  </si>
  <si>
    <t>Enterprise value</t>
  </si>
  <si>
    <t>Net debt</t>
  </si>
  <si>
    <t>Equity value</t>
  </si>
  <si>
    <t xml:space="preserve">주당가치(원) </t>
  </si>
  <si>
    <t>PV of FCF (~2016F)</t>
    <phoneticPr fontId="2" type="noConversion"/>
  </si>
  <si>
    <t>Non-operating value</t>
    <phoneticPr fontId="2" type="noConversion"/>
  </si>
  <si>
    <t>상품매출액</t>
    <phoneticPr fontId="2" type="noConversion"/>
  </si>
  <si>
    <t>매출원가</t>
    <phoneticPr fontId="2" type="noConversion"/>
  </si>
  <si>
    <t>상품매출원가</t>
    <phoneticPr fontId="2" type="noConversion"/>
  </si>
  <si>
    <t>매출총이익</t>
    <phoneticPr fontId="2" type="noConversion"/>
  </si>
  <si>
    <t>매출액</t>
    <phoneticPr fontId="2" type="noConversion"/>
  </si>
  <si>
    <t>상품매출성장률</t>
    <phoneticPr fontId="2" type="noConversion"/>
  </si>
  <si>
    <t>상품매출원가율</t>
    <phoneticPr fontId="2" type="noConversion"/>
  </si>
  <si>
    <t>매출총이익률</t>
    <phoneticPr fontId="2" type="noConversion"/>
  </si>
  <si>
    <t>판관비율</t>
    <phoneticPr fontId="2" type="noConversion"/>
  </si>
  <si>
    <t>판관비율</t>
    <phoneticPr fontId="2" type="noConversion"/>
  </si>
  <si>
    <t>EBITDA(%)</t>
    <phoneticPr fontId="2" type="noConversion"/>
  </si>
  <si>
    <t>구분</t>
  </si>
  <si>
    <t>C/E</t>
  </si>
  <si>
    <t>C/E</t>
    <phoneticPr fontId="2" type="noConversion"/>
  </si>
  <si>
    <t>C/A</t>
  </si>
  <si>
    <t>C/A</t>
    <phoneticPr fontId="2" type="noConversion"/>
  </si>
  <si>
    <t>시장규모</t>
    <phoneticPr fontId="2" type="noConversion"/>
  </si>
  <si>
    <t>성장률</t>
    <phoneticPr fontId="2" type="noConversion"/>
  </si>
  <si>
    <t>매출액</t>
    <phoneticPr fontId="2" type="noConversion"/>
  </si>
  <si>
    <t>시장점유율</t>
    <phoneticPr fontId="2" type="noConversion"/>
  </si>
  <si>
    <t>2010A</t>
  </si>
  <si>
    <t>매출원가율</t>
    <phoneticPr fontId="2" type="noConversion"/>
  </si>
  <si>
    <t>매출원가</t>
    <phoneticPr fontId="2" type="noConversion"/>
  </si>
  <si>
    <t>인건비성 경비</t>
  </si>
  <si>
    <t xml:space="preserve"> 교육비</t>
  </si>
  <si>
    <t xml:space="preserve"> 판매촉진비</t>
  </si>
  <si>
    <t xml:space="preserve"> 지급수수료</t>
  </si>
  <si>
    <t xml:space="preserve"> 설치비</t>
  </si>
  <si>
    <t>상각비</t>
  </si>
  <si>
    <t>급여</t>
    <phoneticPr fontId="2" type="noConversion"/>
  </si>
  <si>
    <t>퇴직급여</t>
  </si>
  <si>
    <t>복리후생비</t>
  </si>
  <si>
    <t>교육비</t>
  </si>
  <si>
    <t>매출연동경비</t>
  </si>
  <si>
    <t>판매촉진비</t>
  </si>
  <si>
    <t>운반비</t>
  </si>
  <si>
    <t>설치비</t>
  </si>
  <si>
    <t>광고선전비</t>
  </si>
  <si>
    <t>지급임차료</t>
  </si>
  <si>
    <t>수도광열비</t>
  </si>
  <si>
    <t>세금과공과</t>
  </si>
  <si>
    <t>여비교통비</t>
  </si>
  <si>
    <t>통신비</t>
  </si>
  <si>
    <t>수선비</t>
  </si>
  <si>
    <t>소모품비</t>
  </si>
  <si>
    <t>도서인쇄비</t>
  </si>
  <si>
    <t>보험료</t>
  </si>
  <si>
    <t>차량유지비</t>
  </si>
  <si>
    <t>접대비</t>
  </si>
  <si>
    <t>잡비</t>
  </si>
  <si>
    <t>고정비</t>
    <phoneticPr fontId="2" type="noConversion"/>
  </si>
  <si>
    <t>사무직(본사)</t>
  </si>
  <si>
    <t>사무직(매장)</t>
  </si>
  <si>
    <t>총인원</t>
    <phoneticPr fontId="2" type="noConversion"/>
  </si>
  <si>
    <t>연도별 추가 인원계획</t>
    <phoneticPr fontId="2" type="noConversion"/>
  </si>
  <si>
    <t>직급별 평균연봉</t>
    <phoneticPr fontId="2" type="noConversion"/>
  </si>
  <si>
    <t>명</t>
    <phoneticPr fontId="2" type="noConversion"/>
  </si>
  <si>
    <t>명</t>
    <phoneticPr fontId="2" type="noConversion"/>
  </si>
  <si>
    <t>급여 이외의 인건비 항목 추정비율</t>
    <phoneticPr fontId="2" type="noConversion"/>
  </si>
  <si>
    <t>급여대비 비율</t>
    <phoneticPr fontId="2" type="noConversion"/>
  </si>
  <si>
    <t>퇴직급여</t>
    <phoneticPr fontId="2" type="noConversion"/>
  </si>
  <si>
    <t>복리후생비</t>
    <phoneticPr fontId="2" type="noConversion"/>
  </si>
  <si>
    <t>교육비</t>
    <phoneticPr fontId="2" type="noConversion"/>
  </si>
  <si>
    <t>신규 매장수</t>
    <phoneticPr fontId="2" type="noConversion"/>
  </si>
  <si>
    <t>매출관련 경비</t>
    <phoneticPr fontId="2" type="noConversion"/>
  </si>
  <si>
    <t>판매촉진비</t>
    <phoneticPr fontId="2" type="noConversion"/>
  </si>
  <si>
    <t>운반비</t>
    <phoneticPr fontId="2" type="noConversion"/>
  </si>
  <si>
    <t>설치비</t>
    <phoneticPr fontId="2" type="noConversion"/>
  </si>
  <si>
    <t>매출관련 경비</t>
    <phoneticPr fontId="2" type="noConversion"/>
  </si>
  <si>
    <t>매출액 대비 비율</t>
    <phoneticPr fontId="2" type="noConversion"/>
  </si>
  <si>
    <t>(%)</t>
    <phoneticPr fontId="2" type="noConversion"/>
  </si>
  <si>
    <t>운반비</t>
    <phoneticPr fontId="2" type="noConversion"/>
  </si>
  <si>
    <t>매출대비 매출관련 경비 비율</t>
    <phoneticPr fontId="2" type="noConversion"/>
  </si>
  <si>
    <t>인건비성경비</t>
  </si>
  <si>
    <t>매출액대비 비율</t>
    <phoneticPr fontId="2" type="noConversion"/>
  </si>
  <si>
    <t>지급임차료</t>
    <phoneticPr fontId="2" type="noConversion"/>
  </si>
  <si>
    <t>기타고정비</t>
    <phoneticPr fontId="2" type="noConversion"/>
  </si>
  <si>
    <t>고정비</t>
    <phoneticPr fontId="2" type="noConversion"/>
  </si>
  <si>
    <t>추정 매장수(개)</t>
    <phoneticPr fontId="2" type="noConversion"/>
  </si>
  <si>
    <t>평균임차료</t>
    <phoneticPr fontId="2" type="noConversion"/>
  </si>
  <si>
    <t>지급임차료</t>
    <phoneticPr fontId="2" type="noConversion"/>
  </si>
  <si>
    <t>물가상승률</t>
    <phoneticPr fontId="2" type="noConversion"/>
  </si>
  <si>
    <t>재고자산</t>
  </si>
  <si>
    <t>매출채권</t>
  </si>
  <si>
    <t>미수금</t>
  </si>
  <si>
    <t>유동자산 계</t>
    <phoneticPr fontId="2" type="noConversion"/>
  </si>
  <si>
    <t>유동부채 계</t>
    <phoneticPr fontId="2" type="noConversion"/>
  </si>
  <si>
    <t>순운전자본</t>
    <phoneticPr fontId="2" type="noConversion"/>
  </si>
  <si>
    <t>△순운전자본</t>
    <phoneticPr fontId="2" type="noConversion"/>
  </si>
  <si>
    <t>판관비</t>
    <phoneticPr fontId="2" type="noConversion"/>
  </si>
  <si>
    <t>연도별 상각비 추정결과</t>
    <phoneticPr fontId="2" type="noConversion"/>
  </si>
  <si>
    <t>무형자산상각비</t>
    <phoneticPr fontId="2" type="noConversion"/>
  </si>
  <si>
    <t>감가상각비</t>
    <phoneticPr fontId="2" type="noConversion"/>
  </si>
  <si>
    <t>유형자산</t>
    <phoneticPr fontId="2" type="noConversion"/>
  </si>
  <si>
    <t>유형자산</t>
    <phoneticPr fontId="2" type="noConversion"/>
  </si>
  <si>
    <t>무형자산</t>
    <phoneticPr fontId="2" type="noConversion"/>
  </si>
  <si>
    <t>임차보증금</t>
    <phoneticPr fontId="2" type="noConversion"/>
  </si>
  <si>
    <t>점당 투자액</t>
    <phoneticPr fontId="2" type="noConversion"/>
  </si>
  <si>
    <t>토지</t>
    <phoneticPr fontId="2" type="noConversion"/>
  </si>
  <si>
    <t>건물</t>
    <phoneticPr fontId="2" type="noConversion"/>
  </si>
  <si>
    <t>구축물</t>
    <phoneticPr fontId="2" type="noConversion"/>
  </si>
  <si>
    <t xml:space="preserve"> 5. 부채의 가치(1+2+3-4)</t>
    <phoneticPr fontId="2" type="noConversion"/>
  </si>
  <si>
    <t xml:space="preserve"> 4. 기타금융자산</t>
    <phoneticPr fontId="2" type="noConversion"/>
  </si>
  <si>
    <t>장부가액</t>
    <phoneticPr fontId="2" type="noConversion"/>
  </si>
  <si>
    <t>지분법적용투자주식</t>
    <phoneticPr fontId="2" type="noConversion"/>
  </si>
  <si>
    <t>비영업용자산 계</t>
    <phoneticPr fontId="2" type="noConversion"/>
  </si>
  <si>
    <t>과목</t>
  </si>
  <si>
    <t>2010.12.31</t>
  </si>
  <si>
    <t>2011.06.30</t>
  </si>
  <si>
    <t>금액</t>
  </si>
  <si>
    <t>내역</t>
  </si>
  <si>
    <t>차입처</t>
  </si>
  <si>
    <t>유동성장기차입금</t>
  </si>
  <si>
    <t>CD+2.5</t>
  </si>
  <si>
    <t>CD+2.0</t>
  </si>
  <si>
    <t>장기차입금</t>
  </si>
  <si>
    <t>우리은행</t>
  </si>
  <si>
    <t>담보제공자산</t>
  </si>
  <si>
    <t>장부금액</t>
  </si>
  <si>
    <t>담보제공사유</t>
  </si>
  <si>
    <t>차입금액</t>
  </si>
  <si>
    <t>담보설정금액</t>
  </si>
  <si>
    <t>담보권자</t>
  </si>
  <si>
    <t>차입금관련</t>
  </si>
  <si>
    <t>건물임차인</t>
  </si>
  <si>
    <t>이자율</t>
  </si>
  <si>
    <t>차입일</t>
  </si>
  <si>
    <t>만기일</t>
  </si>
  <si>
    <t>비고</t>
  </si>
  <si>
    <t>한국산업은행 등</t>
  </si>
  <si>
    <t>자산유동화사채</t>
  </si>
  <si>
    <t>KB증권, 대우증권</t>
  </si>
  <si>
    <t>장기차입금</t>
    <phoneticPr fontId="2" type="noConversion"/>
  </si>
  <si>
    <t>한국산업은행외 4</t>
  </si>
  <si>
    <t>자산유동화사채</t>
    <phoneticPr fontId="2" type="noConversion"/>
  </si>
  <si>
    <t>차감</t>
  </si>
  <si>
    <t>비고</t>
    <phoneticPr fontId="2" type="noConversion"/>
  </si>
  <si>
    <t>금액</t>
    <phoneticPr fontId="2" type="noConversion"/>
  </si>
  <si>
    <t>백만원</t>
    <phoneticPr fontId="2" type="noConversion"/>
  </si>
  <si>
    <t>합계</t>
    <phoneticPr fontId="2" type="noConversion"/>
  </si>
  <si>
    <t xml:space="preserve">   토지, 건물 및 투자부동산 담보제공</t>
    <phoneticPr fontId="2" type="noConversion"/>
  </si>
  <si>
    <t>생산자물가상승률</t>
    <phoneticPr fontId="2" type="noConversion"/>
  </si>
  <si>
    <t>2011 1H</t>
    <phoneticPr fontId="2" type="noConversion"/>
  </si>
  <si>
    <t>십억원</t>
    <phoneticPr fontId="2" type="noConversion"/>
  </si>
  <si>
    <t>모바일 통신기기</t>
  </si>
  <si>
    <t>오디오/비디오</t>
    <phoneticPr fontId="2" type="noConversion"/>
  </si>
  <si>
    <t>일반 가전제품</t>
    <phoneticPr fontId="2" type="noConversion"/>
  </si>
  <si>
    <t>컴퓨터 HW/SW</t>
    <phoneticPr fontId="2" type="noConversion"/>
  </si>
  <si>
    <t>계절용 전자기기</t>
    <phoneticPr fontId="2" type="noConversion"/>
  </si>
  <si>
    <t>휴대용 디지털기기</t>
    <phoneticPr fontId="2" type="noConversion"/>
  </si>
  <si>
    <t>기타</t>
    <phoneticPr fontId="2" type="noConversion"/>
  </si>
  <si>
    <t>리빙프라자</t>
  </si>
  <si>
    <t>리빙프라자</t>
    <phoneticPr fontId="2" type="noConversion"/>
  </si>
  <si>
    <t>하이프라자</t>
  </si>
  <si>
    <t>하이프라자</t>
    <phoneticPr fontId="2" type="noConversion"/>
  </si>
  <si>
    <t>구분</t>
    <phoneticPr fontId="2" type="noConversion"/>
  </si>
  <si>
    <t>평균</t>
    <phoneticPr fontId="2" type="noConversion"/>
  </si>
  <si>
    <t>매출액</t>
    <phoneticPr fontId="2" type="noConversion"/>
  </si>
  <si>
    <t>매출원가</t>
    <phoneticPr fontId="2" type="noConversion"/>
  </si>
  <si>
    <t>매출원가율</t>
    <phoneticPr fontId="2" type="noConversion"/>
  </si>
  <si>
    <t>매출액</t>
    <phoneticPr fontId="2" type="noConversion"/>
  </si>
  <si>
    <t>판관비</t>
    <phoneticPr fontId="2" type="noConversion"/>
  </si>
  <si>
    <t>Net W/C balance</t>
    <phoneticPr fontId="2" type="noConversion"/>
  </si>
  <si>
    <t>매출액 대비 비율</t>
    <phoneticPr fontId="2" type="noConversion"/>
  </si>
  <si>
    <t>회수기일</t>
    <phoneticPr fontId="2" type="noConversion"/>
  </si>
  <si>
    <t>유형자산</t>
  </si>
  <si>
    <t>유형자산</t>
    <phoneticPr fontId="2" type="noConversion"/>
  </si>
  <si>
    <t>무형자산</t>
    <phoneticPr fontId="2" type="noConversion"/>
  </si>
  <si>
    <t>임차보증금</t>
    <phoneticPr fontId="2" type="noConversion"/>
  </si>
  <si>
    <t>백만원</t>
    <phoneticPr fontId="2" type="noConversion"/>
  </si>
  <si>
    <t>기타</t>
    <phoneticPr fontId="2" type="noConversion"/>
  </si>
  <si>
    <t>매출연동 경비</t>
    <phoneticPr fontId="2" type="noConversion"/>
  </si>
  <si>
    <t>매출연동 경비</t>
    <phoneticPr fontId="2" type="noConversion"/>
  </si>
  <si>
    <t>고정비</t>
    <phoneticPr fontId="2" type="noConversion"/>
  </si>
  <si>
    <t>구분</t>
    <phoneticPr fontId="2" type="noConversion"/>
  </si>
  <si>
    <t>지급수수료</t>
    <phoneticPr fontId="2" type="noConversion"/>
  </si>
  <si>
    <t>지급수수료(변동)</t>
    <phoneticPr fontId="2" type="noConversion"/>
  </si>
  <si>
    <t>지급수수료(고정)</t>
    <phoneticPr fontId="2" type="noConversion"/>
  </si>
  <si>
    <t>무형자산상각비</t>
    <phoneticPr fontId="2" type="noConversion"/>
  </si>
  <si>
    <t>이자율(%)</t>
    <phoneticPr fontId="2" type="noConversion"/>
  </si>
  <si>
    <t xml:space="preserve">   4.60% ~ 4.78%</t>
    <phoneticPr fontId="2" type="noConversion"/>
  </si>
  <si>
    <t xml:space="preserve">   단기금융상품 및 단기매도가능증권</t>
    <phoneticPr fontId="2" type="noConversion"/>
  </si>
  <si>
    <t>Tranch A</t>
  </si>
  <si>
    <t>Tranch B</t>
  </si>
  <si>
    <t>ABS</t>
  </si>
  <si>
    <t>비중</t>
  </si>
  <si>
    <t>순부채</t>
    <phoneticPr fontId="2" type="noConversion"/>
  </si>
  <si>
    <r>
      <t>이자율</t>
    </r>
    <r>
      <rPr>
        <b/>
        <sz val="9"/>
        <color theme="1"/>
        <rFont val="Century Gothic"/>
        <family val="2"/>
      </rPr>
      <t>(%)</t>
    </r>
  </si>
  <si>
    <r>
      <t>인수</t>
    </r>
    <r>
      <rPr>
        <sz val="9"/>
        <color theme="1"/>
        <rFont val="Century Gothic"/>
        <family val="2"/>
      </rPr>
      <t xml:space="preserve">, </t>
    </r>
    <r>
      <rPr>
        <sz val="9"/>
        <color theme="1"/>
        <rFont val="맑은 고딕"/>
        <family val="3"/>
        <charset val="129"/>
      </rPr>
      <t>거래비용</t>
    </r>
  </si>
  <si>
    <r>
      <t>농협중앙회</t>
    </r>
    <r>
      <rPr>
        <sz val="9"/>
        <color theme="1"/>
        <rFont val="Century Gothic"/>
        <family val="2"/>
      </rPr>
      <t xml:space="preserve"> </t>
    </r>
    <r>
      <rPr>
        <sz val="9"/>
        <color theme="1"/>
        <rFont val="맑은 고딕"/>
        <family val="3"/>
        <charset val="129"/>
      </rPr>
      <t>외</t>
    </r>
    <r>
      <rPr>
        <sz val="9"/>
        <color theme="1"/>
        <rFont val="Century Gothic"/>
        <family val="2"/>
      </rPr>
      <t xml:space="preserve"> 9</t>
    </r>
  </si>
  <si>
    <r>
      <t>차입금</t>
    </r>
    <r>
      <rPr>
        <sz val="9"/>
        <color theme="1"/>
        <rFont val="Century Gothic"/>
        <family val="2"/>
      </rPr>
      <t xml:space="preserve"> </t>
    </r>
    <r>
      <rPr>
        <sz val="9"/>
        <color theme="1"/>
        <rFont val="맑은 고딕"/>
        <family val="3"/>
        <charset val="129"/>
      </rPr>
      <t>대환</t>
    </r>
  </si>
  <si>
    <r>
      <t>농협중앙회</t>
    </r>
    <r>
      <rPr>
        <sz val="9"/>
        <color theme="1"/>
        <rFont val="Century Gothic"/>
        <family val="2"/>
      </rPr>
      <t xml:space="preserve"> </t>
    </r>
    <r>
      <rPr>
        <sz val="9"/>
        <color theme="1"/>
        <rFont val="맑은 고딕"/>
        <family val="3"/>
        <charset val="129"/>
      </rPr>
      <t>외</t>
    </r>
    <r>
      <rPr>
        <sz val="9"/>
        <color theme="1"/>
        <rFont val="Century Gothic"/>
        <family val="2"/>
      </rPr>
      <t xml:space="preserve"> 8</t>
    </r>
  </si>
  <si>
    <r>
      <t>농협중앙회</t>
    </r>
    <r>
      <rPr>
        <sz val="9"/>
        <color theme="1"/>
        <rFont val="Century Gothic"/>
        <family val="2"/>
      </rPr>
      <t xml:space="preserve"> </t>
    </r>
    <r>
      <rPr>
        <sz val="9"/>
        <color theme="1"/>
        <rFont val="맑은 고딕"/>
        <family val="3"/>
        <charset val="129"/>
      </rPr>
      <t>외</t>
    </r>
    <r>
      <rPr>
        <sz val="9"/>
        <color theme="1"/>
        <rFont val="Century Gothic"/>
        <family val="2"/>
      </rPr>
      <t xml:space="preserve"> 2</t>
    </r>
  </si>
  <si>
    <r>
      <t>한국산업은행</t>
    </r>
    <r>
      <rPr>
        <sz val="9"/>
        <color theme="1"/>
        <rFont val="Century Gothic"/>
        <family val="2"/>
      </rPr>
      <t xml:space="preserve"> </t>
    </r>
    <r>
      <rPr>
        <sz val="9"/>
        <color theme="1"/>
        <rFont val="맑은 고딕"/>
        <family val="3"/>
        <charset val="129"/>
      </rPr>
      <t>외</t>
    </r>
    <r>
      <rPr>
        <sz val="9"/>
        <color theme="1"/>
        <rFont val="Century Gothic"/>
        <family val="2"/>
      </rPr>
      <t xml:space="preserve"> 4</t>
    </r>
  </si>
  <si>
    <r>
      <t>소</t>
    </r>
    <r>
      <rPr>
        <sz val="9"/>
        <color theme="1"/>
        <rFont val="Century Gothic"/>
        <family val="2"/>
      </rPr>
      <t xml:space="preserve">           </t>
    </r>
    <r>
      <rPr>
        <sz val="9"/>
        <color theme="1"/>
        <rFont val="맑은 고딕"/>
        <family val="3"/>
        <charset val="129"/>
      </rPr>
      <t>계</t>
    </r>
  </si>
  <si>
    <r>
      <t>(</t>
    </r>
    <r>
      <rPr>
        <sz val="9"/>
        <color theme="1"/>
        <rFont val="맑은 고딕"/>
        <family val="3"/>
        <charset val="129"/>
      </rPr>
      <t>현재가치할인차금</t>
    </r>
    <r>
      <rPr>
        <sz val="9"/>
        <color theme="1"/>
        <rFont val="Century Gothic"/>
        <family val="2"/>
      </rPr>
      <t>)</t>
    </r>
  </si>
  <si>
    <r>
      <t>합</t>
    </r>
    <r>
      <rPr>
        <b/>
        <sz val="9"/>
        <color theme="1"/>
        <rFont val="Century Gothic"/>
        <family val="2"/>
      </rPr>
      <t xml:space="preserve">           </t>
    </r>
    <r>
      <rPr>
        <b/>
        <sz val="9"/>
        <color theme="1"/>
        <rFont val="맑은 고딕"/>
        <family val="3"/>
        <charset val="129"/>
      </rPr>
      <t>계</t>
    </r>
  </si>
  <si>
    <r>
      <t>한국</t>
    </r>
    <r>
      <rPr>
        <sz val="9"/>
        <color theme="1"/>
        <rFont val="Century Gothic"/>
        <family val="2"/>
      </rPr>
      <t xml:space="preserve"> </t>
    </r>
    <r>
      <rPr>
        <sz val="9"/>
        <color theme="1"/>
        <rFont val="맑은 고딕"/>
        <family val="3"/>
        <charset val="129"/>
      </rPr>
      <t>산업은행</t>
    </r>
    <r>
      <rPr>
        <sz val="9"/>
        <color theme="1"/>
        <rFont val="Century Gothic"/>
        <family val="2"/>
      </rPr>
      <t xml:space="preserve"> </t>
    </r>
    <r>
      <rPr>
        <sz val="9"/>
        <color theme="1"/>
        <rFont val="맑은 고딕"/>
        <family val="3"/>
        <charset val="129"/>
      </rPr>
      <t>외</t>
    </r>
    <r>
      <rPr>
        <sz val="9"/>
        <color theme="1"/>
        <rFont val="Century Gothic"/>
        <family val="2"/>
      </rPr>
      <t xml:space="preserve"> 4</t>
    </r>
  </si>
  <si>
    <r>
      <t>투자부동산</t>
    </r>
    <r>
      <rPr>
        <sz val="9"/>
        <color theme="1"/>
        <rFont val="Century Gothic"/>
        <family val="2"/>
      </rPr>
      <t>(</t>
    </r>
    <r>
      <rPr>
        <sz val="9"/>
        <color theme="1"/>
        <rFont val="맑은 고딕"/>
        <family val="3"/>
        <charset val="129"/>
      </rPr>
      <t>토지</t>
    </r>
    <r>
      <rPr>
        <sz val="9"/>
        <color theme="1"/>
        <rFont val="Century Gothic"/>
        <family val="2"/>
      </rPr>
      <t>)</t>
    </r>
  </si>
  <si>
    <r>
      <t>투자부동산</t>
    </r>
    <r>
      <rPr>
        <sz val="9"/>
        <color theme="1"/>
        <rFont val="Century Gothic"/>
        <family val="2"/>
      </rPr>
      <t>(</t>
    </r>
    <r>
      <rPr>
        <sz val="9"/>
        <color theme="1"/>
        <rFont val="맑은 고딕"/>
        <family val="3"/>
        <charset val="129"/>
      </rPr>
      <t>건물</t>
    </r>
    <r>
      <rPr>
        <sz val="9"/>
        <color theme="1"/>
        <rFont val="Century Gothic"/>
        <family val="2"/>
      </rPr>
      <t>)</t>
    </r>
  </si>
  <si>
    <r>
      <t>장∙단기</t>
    </r>
    <r>
      <rPr>
        <sz val="9"/>
        <color theme="1"/>
        <rFont val="Century Gothic"/>
        <family val="2"/>
      </rPr>
      <t xml:space="preserve"> </t>
    </r>
    <r>
      <rPr>
        <sz val="9"/>
        <color theme="1"/>
        <rFont val="맑은 고딕"/>
        <family val="3"/>
        <charset val="129"/>
      </rPr>
      <t>금융상품</t>
    </r>
  </si>
  <si>
    <r>
      <t>수입보증금</t>
    </r>
    <r>
      <rPr>
        <sz val="9"/>
        <color theme="1"/>
        <rFont val="Century Gothic"/>
        <family val="2"/>
      </rPr>
      <t xml:space="preserve"> </t>
    </r>
    <r>
      <rPr>
        <sz val="9"/>
        <color theme="1"/>
        <rFont val="맑은 고딕"/>
        <family val="3"/>
        <charset val="129"/>
      </rPr>
      <t>관련</t>
    </r>
  </si>
  <si>
    <r>
      <t>구</t>
    </r>
    <r>
      <rPr>
        <b/>
        <sz val="9"/>
        <color theme="1"/>
        <rFont val="Century Gothic"/>
        <family val="2"/>
      </rPr>
      <t xml:space="preserve">    </t>
    </r>
    <r>
      <rPr>
        <b/>
        <sz val="9"/>
        <color theme="1"/>
        <rFont val="맑은 고딕"/>
        <family val="3"/>
        <charset val="129"/>
      </rPr>
      <t>분</t>
    </r>
  </si>
  <si>
    <r>
      <t xml:space="preserve">2011.06 </t>
    </r>
    <r>
      <rPr>
        <b/>
        <sz val="9"/>
        <color theme="1"/>
        <rFont val="맑은 고딕"/>
        <family val="3"/>
        <charset val="129"/>
      </rPr>
      <t>잔액</t>
    </r>
  </si>
  <si>
    <r>
      <t>연도별</t>
    </r>
    <r>
      <rPr>
        <b/>
        <sz val="9"/>
        <color theme="1"/>
        <rFont val="Century Gothic"/>
        <family val="2"/>
      </rPr>
      <t xml:space="preserve"> </t>
    </r>
    <r>
      <rPr>
        <b/>
        <sz val="9"/>
        <color theme="1"/>
        <rFont val="맑은 고딕"/>
        <family val="3"/>
        <charset val="129"/>
      </rPr>
      <t>상환</t>
    </r>
    <r>
      <rPr>
        <b/>
        <sz val="9"/>
        <color theme="1"/>
        <rFont val="Century Gothic"/>
        <family val="2"/>
      </rPr>
      <t xml:space="preserve"> </t>
    </r>
    <r>
      <rPr>
        <b/>
        <sz val="9"/>
        <color theme="1"/>
        <rFont val="맑은 고딕"/>
        <family val="3"/>
        <charset val="129"/>
      </rPr>
      <t>금액</t>
    </r>
  </si>
  <si>
    <r>
      <t>총차입금</t>
    </r>
    <r>
      <rPr>
        <b/>
        <sz val="9"/>
        <color theme="1"/>
        <rFont val="Century Gothic"/>
        <family val="2"/>
      </rPr>
      <t>(B/S)</t>
    </r>
  </si>
  <si>
    <t>상환</t>
    <phoneticPr fontId="2" type="noConversion"/>
  </si>
  <si>
    <t>차입액</t>
    <phoneticPr fontId="2" type="noConversion"/>
  </si>
  <si>
    <t>잔액</t>
    <phoneticPr fontId="2" type="noConversion"/>
  </si>
  <si>
    <t>이자비용</t>
    <phoneticPr fontId="2" type="noConversion"/>
  </si>
  <si>
    <t>ABS</t>
    <phoneticPr fontId="2" type="noConversion"/>
  </si>
  <si>
    <t>연도</t>
    <phoneticPr fontId="2" type="noConversion"/>
  </si>
  <si>
    <t>연월일</t>
    <phoneticPr fontId="2" type="noConversion"/>
  </si>
  <si>
    <t>일수</t>
    <phoneticPr fontId="2" type="noConversion"/>
  </si>
  <si>
    <t>차입금</t>
    <phoneticPr fontId="2" type="noConversion"/>
  </si>
  <si>
    <t>사채</t>
    <phoneticPr fontId="2" type="noConversion"/>
  </si>
  <si>
    <t>분기</t>
    <phoneticPr fontId="2" type="noConversion"/>
  </si>
  <si>
    <t>2013년 2분기</t>
  </si>
  <si>
    <t>2013년 3분기</t>
  </si>
  <si>
    <t>2013년 4분기</t>
  </si>
  <si>
    <t>2014년 1분기</t>
  </si>
  <si>
    <t>2014년 2분기</t>
  </si>
  <si>
    <t>2014년 3분기</t>
  </si>
  <si>
    <t>2014년 4분기</t>
  </si>
  <si>
    <t>2015년 1분기</t>
  </si>
  <si>
    <t>2015년 2분기</t>
  </si>
  <si>
    <t>2015년 3분기</t>
  </si>
  <si>
    <t>2015년 4분기</t>
  </si>
  <si>
    <t>2016년 1분기</t>
  </si>
  <si>
    <t>2016년 2분기</t>
  </si>
  <si>
    <t>Q1~Q2</t>
    <phoneticPr fontId="2" type="noConversion"/>
  </si>
  <si>
    <t>Q3~Q4</t>
    <phoneticPr fontId="2" type="noConversion"/>
  </si>
  <si>
    <t>2008A</t>
    <phoneticPr fontId="2" type="noConversion"/>
  </si>
  <si>
    <t>2009A</t>
    <phoneticPr fontId="2" type="noConversion"/>
  </si>
  <si>
    <t>2010A</t>
    <phoneticPr fontId="2" type="noConversion"/>
  </si>
  <si>
    <t>2011A</t>
    <phoneticPr fontId="2" type="noConversion"/>
  </si>
  <si>
    <t>2011F</t>
    <phoneticPr fontId="2" type="noConversion"/>
  </si>
  <si>
    <r>
      <rPr>
        <b/>
        <sz val="9"/>
        <color theme="3"/>
        <rFont val="맑은 고딕"/>
        <family val="3"/>
        <charset val="129"/>
      </rPr>
      <t>평균</t>
    </r>
    <phoneticPr fontId="2" type="noConversion"/>
  </si>
  <si>
    <t>평균</t>
    <phoneticPr fontId="2" type="noConversion"/>
  </si>
  <si>
    <t>원가율</t>
    <phoneticPr fontId="2" type="noConversion"/>
  </si>
  <si>
    <t>Q1~Q2</t>
    <phoneticPr fontId="2" type="noConversion"/>
  </si>
  <si>
    <t>2009A</t>
    <phoneticPr fontId="2" type="noConversion"/>
  </si>
  <si>
    <t>구성비</t>
    <phoneticPr fontId="2" type="noConversion"/>
  </si>
  <si>
    <t>단위당 투자액</t>
    <phoneticPr fontId="2" type="noConversion"/>
  </si>
  <si>
    <t>장부가액</t>
    <phoneticPr fontId="2" type="noConversion"/>
  </si>
  <si>
    <t>평가액</t>
    <phoneticPr fontId="2" type="noConversion"/>
  </si>
  <si>
    <t>평균</t>
    <phoneticPr fontId="2" type="noConversion"/>
  </si>
  <si>
    <t>2Q</t>
    <phoneticPr fontId="2" type="noConversion"/>
  </si>
  <si>
    <t>3Q</t>
    <phoneticPr fontId="2" type="noConversion"/>
  </si>
  <si>
    <t>4Q</t>
    <phoneticPr fontId="2" type="noConversion"/>
  </si>
  <si>
    <t>1Q</t>
    <phoneticPr fontId="2" type="noConversion"/>
  </si>
  <si>
    <t>백만원</t>
    <phoneticPr fontId="2" type="noConversion"/>
  </si>
  <si>
    <t>장기차입금</t>
    <phoneticPr fontId="2" type="noConversion"/>
  </si>
  <si>
    <t>합계</t>
    <phoneticPr fontId="2" type="noConversion"/>
  </si>
  <si>
    <t>유동화사채</t>
  </si>
  <si>
    <t>유동화사채</t>
    <phoneticPr fontId="2" type="noConversion"/>
  </si>
  <si>
    <t>상환일</t>
    <phoneticPr fontId="2" type="noConversion"/>
  </si>
  <si>
    <t>구분</t>
    <phoneticPr fontId="2" type="noConversion"/>
  </si>
  <si>
    <t>유동화사채</t>
    <phoneticPr fontId="2" type="noConversion"/>
  </si>
  <si>
    <t>합계</t>
    <phoneticPr fontId="2" type="noConversion"/>
  </si>
  <si>
    <t>합계</t>
    <phoneticPr fontId="2" type="noConversion"/>
  </si>
  <si>
    <t>2011년 3분기</t>
    <phoneticPr fontId="2" type="noConversion"/>
  </si>
  <si>
    <t>2011년 4분기</t>
    <phoneticPr fontId="2" type="noConversion"/>
  </si>
  <si>
    <t>2012년 1분기</t>
    <phoneticPr fontId="2" type="noConversion"/>
  </si>
  <si>
    <t>2012년 2분기</t>
    <phoneticPr fontId="2" type="noConversion"/>
  </si>
  <si>
    <t>2012년 3분기</t>
    <phoneticPr fontId="2" type="noConversion"/>
  </si>
  <si>
    <t>2012년 4분기</t>
    <phoneticPr fontId="2" type="noConversion"/>
  </si>
  <si>
    <t>2013년 1분기</t>
    <phoneticPr fontId="2" type="noConversion"/>
  </si>
  <si>
    <t>2013년 2분기</t>
    <phoneticPr fontId="2" type="noConversion"/>
  </si>
  <si>
    <t>2013년 3분기</t>
    <phoneticPr fontId="2" type="noConversion"/>
  </si>
  <si>
    <t>2013년 4분기</t>
    <phoneticPr fontId="2" type="noConversion"/>
  </si>
  <si>
    <t>2014년 1분기</t>
    <phoneticPr fontId="2" type="noConversion"/>
  </si>
  <si>
    <t>2014년 2분기</t>
    <phoneticPr fontId="2" type="noConversion"/>
  </si>
  <si>
    <t>2014년 3분기</t>
    <phoneticPr fontId="2" type="noConversion"/>
  </si>
  <si>
    <t>2014년 4분기</t>
    <phoneticPr fontId="2" type="noConversion"/>
  </si>
  <si>
    <t>2015년 1분기</t>
    <phoneticPr fontId="2" type="noConversion"/>
  </si>
  <si>
    <t>2015년 2분기</t>
    <phoneticPr fontId="2" type="noConversion"/>
  </si>
  <si>
    <t>2015년 3분기</t>
    <phoneticPr fontId="2" type="noConversion"/>
  </si>
  <si>
    <t>2015년 4분기</t>
    <phoneticPr fontId="2" type="noConversion"/>
  </si>
  <si>
    <t>2016년 1분기</t>
    <phoneticPr fontId="2" type="noConversion"/>
  </si>
  <si>
    <t>2016년 2분기</t>
    <phoneticPr fontId="2" type="noConversion"/>
  </si>
  <si>
    <t>하반기</t>
    <phoneticPr fontId="2" type="noConversion"/>
  </si>
  <si>
    <t>손익계산서</t>
    <phoneticPr fontId="2" type="noConversion"/>
  </si>
  <si>
    <t>I.매출액</t>
  </si>
  <si>
    <t>II.매출원가</t>
  </si>
  <si>
    <t>III.매출총이익</t>
  </si>
  <si>
    <t>IV.판매비와관리비 등</t>
  </si>
  <si>
    <t>(1)판매관리비</t>
  </si>
  <si>
    <t>(2)물류원가</t>
  </si>
  <si>
    <t>(3)기타수익</t>
  </si>
  <si>
    <t xml:space="preserve"> 수입수수료</t>
  </si>
  <si>
    <t xml:space="preserve"> 유형자산처분이익</t>
  </si>
  <si>
    <t xml:space="preserve"> 무형자산처분이익</t>
  </si>
  <si>
    <t xml:space="preserve"> 무형자산손상차손환입</t>
  </si>
  <si>
    <t xml:space="preserve"> 이자수익(임차보증금)</t>
  </si>
  <si>
    <t xml:space="preserve"> 임대수익(수입보증금)</t>
  </si>
  <si>
    <t xml:space="preserve"> 대손충당금환입</t>
  </si>
  <si>
    <t xml:space="preserve"> 매도가능증권처분이익</t>
  </si>
  <si>
    <t xml:space="preserve"> 보험차익</t>
  </si>
  <si>
    <t xml:space="preserve"> 배당금수익</t>
  </si>
  <si>
    <t xml:space="preserve"> 잡이익</t>
  </si>
  <si>
    <t>(4)기타비용</t>
  </si>
  <si>
    <t xml:space="preserve"> 유형자산처분손실</t>
  </si>
  <si>
    <t xml:space="preserve"> 임차료(임차보증금)</t>
  </si>
  <si>
    <t xml:space="preserve"> 이자비용(수입보증금)</t>
  </si>
  <si>
    <t xml:space="preserve"> 기부금</t>
  </si>
  <si>
    <t xml:space="preserve"> 매도가능증권처분손실</t>
  </si>
  <si>
    <t xml:space="preserve"> 매각예정자산손상차손</t>
  </si>
  <si>
    <t xml:space="preserve"> 무형자산손상차손</t>
  </si>
  <si>
    <t xml:space="preserve"> 잡손실</t>
  </si>
  <si>
    <t>V.영업이익</t>
  </si>
  <si>
    <t>VI.순금융원가</t>
  </si>
  <si>
    <t>(1)금융원가</t>
  </si>
  <si>
    <t xml:space="preserve"> 이자비용</t>
  </si>
  <si>
    <t xml:space="preserve"> 당기손익인식금융부채평가손실</t>
  </si>
  <si>
    <t xml:space="preserve"> 전환우선주상환손실</t>
  </si>
  <si>
    <t xml:space="preserve"> 사채상환손실</t>
  </si>
  <si>
    <t xml:space="preserve"> 공정가치변동손실</t>
  </si>
  <si>
    <t>(2)금융수익</t>
  </si>
  <si>
    <t xml:space="preserve"> 이자수익</t>
  </si>
  <si>
    <t xml:space="preserve"> 전환상환우선주상환이익</t>
  </si>
  <si>
    <t xml:space="preserve"> 사채상환이익</t>
  </si>
  <si>
    <t xml:space="preserve"> 당기손익인식금융부채평가이익</t>
  </si>
  <si>
    <t>VII.영업외기타수익</t>
  </si>
  <si>
    <t>VIII.영업외기타비용</t>
  </si>
  <si>
    <t>IX.법인세차감전순이익</t>
  </si>
  <si>
    <t>X.법인세비용</t>
  </si>
  <si>
    <t>XI.당기순이익</t>
  </si>
  <si>
    <t>자산</t>
  </si>
  <si>
    <t>I.유동자산</t>
  </si>
  <si>
    <t>현금및현금성자산</t>
  </si>
  <si>
    <t>매출채권 및 기타채권</t>
  </si>
  <si>
    <t>대손충당금</t>
  </si>
  <si>
    <t>단기금융상품</t>
  </si>
  <si>
    <t>단기매도가능증권</t>
  </si>
  <si>
    <t>미수수익</t>
  </si>
  <si>
    <t>선급금</t>
  </si>
  <si>
    <t>선급비용</t>
  </si>
  <si>
    <t>매각예정비유동자산</t>
  </si>
  <si>
    <t>Ⅱ.비유동자산</t>
  </si>
  <si>
    <t>영업권</t>
  </si>
  <si>
    <t>상표권</t>
  </si>
  <si>
    <t>회원권</t>
  </si>
  <si>
    <t>임차권리금</t>
  </si>
  <si>
    <t>기타의무형자산</t>
  </si>
  <si>
    <t>보증금</t>
  </si>
  <si>
    <t>부채</t>
  </si>
  <si>
    <t>단기차입금</t>
  </si>
  <si>
    <t>전환우선주</t>
  </si>
  <si>
    <t>유동성장기미지급금</t>
  </si>
  <si>
    <t>당기손익인식금융부채</t>
  </si>
  <si>
    <t>미지급비용</t>
  </si>
  <si>
    <t>선수수익</t>
  </si>
  <si>
    <t>예수금</t>
  </si>
  <si>
    <t>전환상환우선주</t>
  </si>
  <si>
    <t>수입보증금</t>
  </si>
  <si>
    <t>자본</t>
  </si>
  <si>
    <t>보통주자본금</t>
  </si>
  <si>
    <t>주식발행초과금</t>
  </si>
  <si>
    <t>기타자본구성요소</t>
  </si>
  <si>
    <t>미처분이익잉여금</t>
  </si>
  <si>
    <t>Ⅰ.유동부채</t>
    <phoneticPr fontId="2" type="noConversion"/>
  </si>
  <si>
    <t>매입채무 및 기타채무</t>
    <phoneticPr fontId="2" type="noConversion"/>
  </si>
  <si>
    <t>전환사채</t>
    <phoneticPr fontId="2" type="noConversion"/>
  </si>
  <si>
    <t>기타금융부채</t>
    <phoneticPr fontId="2" type="noConversion"/>
  </si>
  <si>
    <t>미지급법인세</t>
    <phoneticPr fontId="2" type="noConversion"/>
  </si>
  <si>
    <t>기타부채</t>
    <phoneticPr fontId="2" type="noConversion"/>
  </si>
  <si>
    <t>Ⅱ.비유동부채</t>
    <phoneticPr fontId="2" type="noConversion"/>
  </si>
  <si>
    <t>&lt;장부가액 추정</t>
    <phoneticPr fontId="2" type="noConversion"/>
  </si>
  <si>
    <t>(*)2011년 6월말 보증금 금액 구분 안됨.</t>
    <phoneticPr fontId="2" type="noConversion"/>
  </si>
  <si>
    <t>현할차상각</t>
    <phoneticPr fontId="2" type="noConversion"/>
  </si>
  <si>
    <t>원금상환</t>
    <phoneticPr fontId="2" type="noConversion"/>
  </si>
  <si>
    <t>현할차</t>
    <phoneticPr fontId="2" type="noConversion"/>
  </si>
  <si>
    <t>이자비용 계</t>
    <phoneticPr fontId="2" type="noConversion"/>
  </si>
  <si>
    <t>소계</t>
    <phoneticPr fontId="2" type="noConversion"/>
  </si>
  <si>
    <t>부채및자본총계</t>
  </si>
  <si>
    <t>추정재무제표</t>
    <phoneticPr fontId="28" type="noConversion"/>
  </si>
  <si>
    <t>매장당 투자비용</t>
  </si>
  <si>
    <t>매출연동 경비</t>
  </si>
  <si>
    <t>고정비</t>
  </si>
  <si>
    <t>판관비율</t>
    <phoneticPr fontId="2" type="noConversion"/>
  </si>
  <si>
    <t>구분</t>
    <phoneticPr fontId="2" type="noConversion"/>
  </si>
  <si>
    <t>매출액</t>
    <phoneticPr fontId="2" type="noConversion"/>
  </si>
  <si>
    <t>매출원가율</t>
    <phoneticPr fontId="2" type="noConversion"/>
  </si>
  <si>
    <t>업계평균</t>
    <phoneticPr fontId="2" type="noConversion"/>
  </si>
  <si>
    <t>점포수</t>
    <phoneticPr fontId="2" type="noConversion"/>
  </si>
  <si>
    <t>총매장</t>
    <phoneticPr fontId="2" type="noConversion"/>
  </si>
  <si>
    <t>신규매장</t>
    <phoneticPr fontId="2" type="noConversion"/>
  </si>
  <si>
    <t>매출성장률</t>
    <phoneticPr fontId="2" type="noConversion"/>
  </si>
  <si>
    <t>조원</t>
    <phoneticPr fontId="2" type="noConversion"/>
  </si>
  <si>
    <t>시장점유율</t>
    <phoneticPr fontId="2" type="noConversion"/>
  </si>
  <si>
    <t>시장규모(*)</t>
    <phoneticPr fontId="2" type="noConversion"/>
  </si>
  <si>
    <t>WACC</t>
    <phoneticPr fontId="28" type="noConversion"/>
  </si>
  <si>
    <t>이마트</t>
    <phoneticPr fontId="28" type="noConversion"/>
  </si>
  <si>
    <t xml:space="preserve">현대백화점 </t>
  </si>
  <si>
    <t xml:space="preserve">롯데쇼핑 </t>
  </si>
  <si>
    <t xml:space="preserve">신세계 </t>
  </si>
  <si>
    <r>
      <rPr>
        <b/>
        <sz val="9"/>
        <color theme="3"/>
        <rFont val="맑은 고딕"/>
        <family val="1"/>
        <charset val="129"/>
        <scheme val="minor"/>
      </rPr>
      <t>가중치</t>
    </r>
  </si>
  <si>
    <t>Beta U</t>
  </si>
  <si>
    <t>Market Cap</t>
  </si>
  <si>
    <t>Adj. Beta</t>
  </si>
  <si>
    <t>Beta L</t>
  </si>
  <si>
    <t>2012F</t>
    <phoneticPr fontId="2" type="noConversion"/>
  </si>
  <si>
    <t>2013F</t>
    <phoneticPr fontId="2" type="noConversion"/>
  </si>
  <si>
    <t>2014F</t>
    <phoneticPr fontId="2" type="noConversion"/>
  </si>
  <si>
    <t>2015F</t>
    <phoneticPr fontId="2" type="noConversion"/>
  </si>
  <si>
    <t>2016F</t>
    <phoneticPr fontId="2" type="noConversion"/>
  </si>
  <si>
    <t>법인세율(주민세 포함)</t>
    <phoneticPr fontId="28" type="noConversion"/>
  </si>
  <si>
    <t>구분</t>
    <phoneticPr fontId="28" type="noConversion"/>
  </si>
  <si>
    <t>2009년</t>
    <phoneticPr fontId="28" type="noConversion"/>
  </si>
  <si>
    <t>2010년</t>
    <phoneticPr fontId="28" type="noConversion"/>
  </si>
  <si>
    <t>2011년</t>
    <phoneticPr fontId="28" type="noConversion"/>
  </si>
  <si>
    <t>2012년 이후</t>
    <phoneticPr fontId="28" type="noConversion"/>
  </si>
  <si>
    <t>Q1~Q2</t>
    <phoneticPr fontId="2" type="noConversion"/>
  </si>
  <si>
    <t>Q3~Q4</t>
    <phoneticPr fontId="2" type="noConversion"/>
  </si>
  <si>
    <t>백만원</t>
    <phoneticPr fontId="2" type="noConversion"/>
  </si>
  <si>
    <t>2010A</t>
    <phoneticPr fontId="2" type="noConversion"/>
  </si>
  <si>
    <t>2011A</t>
    <phoneticPr fontId="2" type="noConversion"/>
  </si>
  <si>
    <t>2011F</t>
    <phoneticPr fontId="2" type="noConversion"/>
  </si>
  <si>
    <t>기타자산</t>
    <phoneticPr fontId="2" type="noConversion"/>
  </si>
  <si>
    <t>자산총계</t>
    <phoneticPr fontId="2" type="noConversion"/>
  </si>
  <si>
    <t>Ⅰ.유동부채</t>
    <phoneticPr fontId="2" type="noConversion"/>
  </si>
  <si>
    <t>매입채무 및 기타채무</t>
    <phoneticPr fontId="2" type="noConversion"/>
  </si>
  <si>
    <t>차입금</t>
    <phoneticPr fontId="2" type="noConversion"/>
  </si>
  <si>
    <t>전환사채</t>
    <phoneticPr fontId="2" type="noConversion"/>
  </si>
  <si>
    <t>기타금융부채</t>
    <phoneticPr fontId="2" type="noConversion"/>
  </si>
  <si>
    <t>미지급법인세</t>
    <phoneticPr fontId="2" type="noConversion"/>
  </si>
  <si>
    <t>기타부채</t>
    <phoneticPr fontId="2" type="noConversion"/>
  </si>
  <si>
    <t>Ⅱ.비유동부채</t>
    <phoneticPr fontId="2" type="noConversion"/>
  </si>
  <si>
    <t>퇴직급여부채</t>
    <phoneticPr fontId="2" type="noConversion"/>
  </si>
  <si>
    <t>자산유동화사채</t>
    <phoneticPr fontId="2" type="noConversion"/>
  </si>
  <si>
    <t>이연법인세부채</t>
    <phoneticPr fontId="2" type="noConversion"/>
  </si>
  <si>
    <t>부채총계</t>
    <phoneticPr fontId="2" type="noConversion"/>
  </si>
  <si>
    <t>부채총계</t>
    <phoneticPr fontId="2" type="noConversion"/>
  </si>
  <si>
    <t>Ⅰ.자본금</t>
    <phoneticPr fontId="2" type="noConversion"/>
  </si>
  <si>
    <t>Ⅱ.자본잉여금</t>
    <phoneticPr fontId="2" type="noConversion"/>
  </si>
  <si>
    <t>Ⅲ.기타자본구성요소</t>
    <phoneticPr fontId="2" type="noConversion"/>
  </si>
  <si>
    <t>Ⅳ.이익잉여금</t>
    <phoneticPr fontId="2" type="noConversion"/>
  </si>
  <si>
    <t>자본총계</t>
    <phoneticPr fontId="2" type="noConversion"/>
  </si>
  <si>
    <t>부채및자본총계</t>
    <phoneticPr fontId="2" type="noConversion"/>
  </si>
  <si>
    <t>자산총계</t>
    <phoneticPr fontId="28" type="noConversion"/>
  </si>
  <si>
    <t>검증</t>
    <phoneticPr fontId="28" type="noConversion"/>
  </si>
  <si>
    <t>Ⅰ. 영업활동현금흐름</t>
    <phoneticPr fontId="28" type="noConversion"/>
  </si>
  <si>
    <t>당기순이익</t>
    <phoneticPr fontId="28" type="noConversion"/>
  </si>
  <si>
    <t>감가상각비</t>
    <phoneticPr fontId="28" type="noConversion"/>
  </si>
  <si>
    <t>이자비용(현할차상각)</t>
    <phoneticPr fontId="28" type="noConversion"/>
  </si>
  <si>
    <t>무형자산상각비</t>
    <phoneticPr fontId="28" type="noConversion"/>
  </si>
  <si>
    <t>운전자분 변동</t>
    <phoneticPr fontId="28" type="noConversion"/>
  </si>
  <si>
    <t>미지급법인세 변동</t>
    <phoneticPr fontId="28" type="noConversion"/>
  </si>
  <si>
    <t>Ⅱ. 투자활동현금흐름</t>
    <phoneticPr fontId="28" type="noConversion"/>
  </si>
  <si>
    <t>유형자산 취득</t>
    <phoneticPr fontId="28" type="noConversion"/>
  </si>
  <si>
    <t>무형자산 취득</t>
    <phoneticPr fontId="28" type="noConversion"/>
  </si>
  <si>
    <t>투자자산(보증금) 취득</t>
    <phoneticPr fontId="28" type="noConversion"/>
  </si>
  <si>
    <t>Ⅲ. 재무활동현금흐름</t>
    <phoneticPr fontId="28" type="noConversion"/>
  </si>
  <si>
    <t>장기차입금 상환</t>
    <phoneticPr fontId="28" type="noConversion"/>
  </si>
  <si>
    <t>유동화사채 상환</t>
    <phoneticPr fontId="28" type="noConversion"/>
  </si>
  <si>
    <t>Ⅳ. 현금및현금성자산의 순감소</t>
    <phoneticPr fontId="28" type="noConversion"/>
  </si>
  <si>
    <t>Ⅴ. 기초 현금및현금성자산</t>
    <phoneticPr fontId="28" type="noConversion"/>
  </si>
  <si>
    <t>Ⅵ. 기말 현금및현금성자산</t>
    <phoneticPr fontId="28" type="noConversion"/>
  </si>
  <si>
    <t>합계</t>
    <phoneticPr fontId="2" type="noConversion"/>
  </si>
  <si>
    <t xml:space="preserve"> I. 유동자산</t>
    <phoneticPr fontId="2" type="noConversion"/>
  </si>
  <si>
    <t>롯데쇼핑</t>
  </si>
  <si>
    <t>현대백화점</t>
  </si>
  <si>
    <t>시가총액</t>
  </si>
  <si>
    <t>매도가능증권</t>
  </si>
  <si>
    <t>신세계</t>
  </si>
  <si>
    <t>이마트</t>
  </si>
  <si>
    <t>1주일 평균시총</t>
    <phoneticPr fontId="28" type="noConversion"/>
  </si>
  <si>
    <t>상승 7,500</t>
  </si>
  <si>
    <t>2011/09/28</t>
  </si>
  <si>
    <t>상승 6,000</t>
  </si>
  <si>
    <t>2011/09/29</t>
  </si>
  <si>
    <t>하락 26,000</t>
  </si>
  <si>
    <t>2011/09/30</t>
  </si>
  <si>
    <t>상승 4,000</t>
  </si>
  <si>
    <t>2011/10/04</t>
  </si>
  <si>
    <t>하락 12,500</t>
  </si>
  <si>
    <t>2011/10/05</t>
  </si>
  <si>
    <t>하락 21,500</t>
  </si>
  <si>
    <t>2011/10/06</t>
  </si>
  <si>
    <t>상승 20,000</t>
  </si>
  <si>
    <t>2011/10/07</t>
  </si>
  <si>
    <t>상승 5,500</t>
  </si>
  <si>
    <t>2011/10/10</t>
  </si>
  <si>
    <t>하락 13,500</t>
  </si>
  <si>
    <t>2011/10/11</t>
  </si>
  <si>
    <t>상승 5,000</t>
  </si>
  <si>
    <t>2011/10/12</t>
  </si>
  <si>
    <t>2011/10/13</t>
  </si>
  <si>
    <t>상승 11,000</t>
  </si>
  <si>
    <t>2011/10/14</t>
  </si>
  <si>
    <t>2011/10/17</t>
  </si>
  <si>
    <t>하락 500</t>
  </si>
  <si>
    <t>2011/10/18</t>
  </si>
  <si>
    <t>하락 2,500</t>
  </si>
  <si>
    <t>2011/10/19</t>
  </si>
  <si>
    <t>상승 7,000</t>
  </si>
  <si>
    <t>2011/10/20</t>
  </si>
  <si>
    <t>하락 4,000</t>
  </si>
  <si>
    <t>2011/10/21</t>
  </si>
  <si>
    <t>하락 1,000</t>
  </si>
  <si>
    <t>2011/10/24</t>
  </si>
  <si>
    <t>하락 2,000</t>
  </si>
  <si>
    <t>2011/10/25</t>
  </si>
  <si>
    <t>상승 500</t>
  </si>
  <si>
    <t>2011/10/26</t>
  </si>
  <si>
    <t>2011/10/27</t>
  </si>
  <si>
    <t>하락 9,500</t>
  </si>
  <si>
    <t>2011/10/28</t>
  </si>
  <si>
    <t>상장주식수</t>
  </si>
  <si>
    <t>저가</t>
  </si>
  <si>
    <t>고가</t>
  </si>
  <si>
    <t>시가</t>
  </si>
  <si>
    <t>거래대금</t>
  </si>
  <si>
    <t>거래량</t>
  </si>
  <si>
    <t>대비</t>
  </si>
  <si>
    <t>종가</t>
  </si>
  <si>
    <t>일자</t>
  </si>
  <si>
    <t>하락 1,500</t>
  </si>
  <si>
    <t>상승 3,500</t>
  </si>
  <si>
    <t>상승 3,000</t>
  </si>
  <si>
    <t>상승 8,000</t>
  </si>
  <si>
    <t>하락 3,500</t>
  </si>
  <si>
    <t>하락 8,500</t>
  </si>
  <si>
    <t>상승 2,500</t>
  </si>
  <si>
    <t>하락 6,000</t>
  </si>
  <si>
    <t>상승 17,000</t>
  </si>
  <si>
    <t>하락 19,000</t>
  </si>
  <si>
    <t>하락 15,000</t>
  </si>
  <si>
    <t>상승 14,000</t>
  </si>
  <si>
    <t>상승 10,500</t>
  </si>
  <si>
    <t>상승 1,000</t>
  </si>
  <si>
    <t>상승 6,500</t>
  </si>
  <si>
    <t>상승 9,500</t>
  </si>
  <si>
    <t>상승 14,500</t>
  </si>
  <si>
    <t>상승 2,000</t>
  </si>
  <si>
    <t>하락 5,000</t>
  </si>
  <si>
    <t>상승 4,500</t>
  </si>
  <si>
    <t>하락 19,500</t>
  </si>
  <si>
    <t>상승 13,500</t>
  </si>
  <si>
    <t>하락 6,500</t>
  </si>
  <si>
    <t>지분법주식</t>
    <phoneticPr fontId="28" type="noConversion"/>
  </si>
  <si>
    <t>비영업용자산</t>
    <phoneticPr fontId="28" type="noConversion"/>
  </si>
  <si>
    <t>Min</t>
  </si>
  <si>
    <t>Average</t>
  </si>
  <si>
    <t>Max</t>
  </si>
  <si>
    <t>EV/EBITDA multiple</t>
  </si>
  <si>
    <t>기타(단기금융상품)</t>
    <phoneticPr fontId="2" type="noConversion"/>
  </si>
  <si>
    <t>기타(장단기금융상품)</t>
    <phoneticPr fontId="2" type="noConversion"/>
  </si>
  <si>
    <t xml:space="preserve">투자부동산 </t>
    <phoneticPr fontId="2" type="noConversion"/>
  </si>
  <si>
    <t>지분법주식</t>
    <phoneticPr fontId="2" type="noConversion"/>
  </si>
  <si>
    <t>매도가능증권</t>
    <phoneticPr fontId="2" type="noConversion"/>
  </si>
  <si>
    <t>비영업용자산</t>
    <phoneticPr fontId="2" type="noConversion"/>
  </si>
  <si>
    <t>이자부부채</t>
    <phoneticPr fontId="2" type="noConversion"/>
  </si>
  <si>
    <t>2011년 상반기 기준</t>
    <phoneticPr fontId="2" type="noConversion"/>
  </si>
  <si>
    <t>현대백화점</t>
    <phoneticPr fontId="2" type="noConversion"/>
  </si>
  <si>
    <t>롯데쇼핑</t>
    <phoneticPr fontId="2" type="noConversion"/>
  </si>
  <si>
    <t>이마트</t>
    <phoneticPr fontId="2" type="noConversion"/>
  </si>
  <si>
    <t>신세계</t>
    <phoneticPr fontId="2" type="noConversion"/>
  </si>
  <si>
    <t>대차대조표 항목 정리</t>
    <phoneticPr fontId="2" type="noConversion"/>
  </si>
  <si>
    <t>(*)감가상가비 및 무형자산상각비의 경우 제조원가 포함(현금흐름표 참고)</t>
    <phoneticPr fontId="2" type="noConversion"/>
  </si>
  <si>
    <t>(*) 신세계 분할 주의</t>
    <phoneticPr fontId="2" type="noConversion"/>
  </si>
  <si>
    <t>영업이익</t>
    <phoneticPr fontId="2" type="noConversion"/>
  </si>
  <si>
    <t>상반기</t>
    <phoneticPr fontId="2" type="noConversion"/>
  </si>
  <si>
    <t>전체</t>
    <phoneticPr fontId="2" type="noConversion"/>
  </si>
  <si>
    <t>손익계산서 항목 정리</t>
    <phoneticPr fontId="2" type="noConversion"/>
  </si>
  <si>
    <t>대용기업</t>
    <phoneticPr fontId="2" type="noConversion"/>
  </si>
  <si>
    <t>Multiple Method</t>
    <phoneticPr fontId="2" type="noConversion"/>
  </si>
  <si>
    <t>매출원가율</t>
    <phoneticPr fontId="2" type="noConversion"/>
  </si>
  <si>
    <t>영업이익률</t>
    <phoneticPr fontId="2" type="noConversion"/>
  </si>
  <si>
    <t>리빙프라자</t>
    <phoneticPr fontId="2" type="noConversion"/>
  </si>
  <si>
    <t>전자랜드</t>
    <phoneticPr fontId="2" type="noConversion"/>
  </si>
  <si>
    <t>하이프라자</t>
    <phoneticPr fontId="2" type="noConversion"/>
  </si>
  <si>
    <t>2008년</t>
    <phoneticPr fontId="2" type="noConversion"/>
  </si>
  <si>
    <t>2009년</t>
    <phoneticPr fontId="2" type="noConversion"/>
  </si>
  <si>
    <t>2010년</t>
    <phoneticPr fontId="2" type="noConversion"/>
  </si>
  <si>
    <t>매출액</t>
    <phoneticPr fontId="2" type="noConversion"/>
  </si>
  <si>
    <t>매출원가</t>
    <phoneticPr fontId="2" type="noConversion"/>
  </si>
  <si>
    <t>매출총이익</t>
    <phoneticPr fontId="2" type="noConversion"/>
  </si>
  <si>
    <t>영업이익</t>
    <phoneticPr fontId="2" type="noConversion"/>
  </si>
  <si>
    <t>판관비</t>
    <phoneticPr fontId="2" type="noConversion"/>
  </si>
  <si>
    <t>매출총이익률</t>
    <phoneticPr fontId="2" type="noConversion"/>
  </si>
  <si>
    <t>평균</t>
    <phoneticPr fontId="2" type="noConversion"/>
  </si>
  <si>
    <t>구분</t>
    <phoneticPr fontId="2" type="noConversion"/>
  </si>
  <si>
    <t>(*)전자랜드는 K-GAAP, 그외 회사의 경우 2008년 K-GAAP, 2009 ~ 2010년은 K-IFRS기준</t>
    <phoneticPr fontId="2" type="noConversion"/>
  </si>
  <si>
    <t>4개년 평균</t>
    <phoneticPr fontId="2" type="noConversion"/>
  </si>
  <si>
    <t>(주)신세계</t>
  </si>
  <si>
    <t>롯데쇼핑(주)</t>
  </si>
  <si>
    <t>(주)현대백화점</t>
  </si>
  <si>
    <t>(주)이마트</t>
  </si>
  <si>
    <t>자기자본가치</t>
  </si>
  <si>
    <t>이자부부채</t>
  </si>
  <si>
    <t>비영업용자산</t>
  </si>
  <si>
    <t>EBITDA</t>
  </si>
  <si>
    <t>매출성장률</t>
    <phoneticPr fontId="2" type="noConversion"/>
  </si>
  <si>
    <t>회사명</t>
  </si>
  <si>
    <t>보유주식수(주)</t>
  </si>
  <si>
    <t>지분율(%)</t>
  </si>
  <si>
    <t>취득원가</t>
  </si>
  <si>
    <t>공정가액</t>
  </si>
  <si>
    <t>대구백화점</t>
  </si>
  <si>
    <t>삼성카드</t>
  </si>
  <si>
    <t>삼성생명보험</t>
  </si>
  <si>
    <t>평가금액</t>
    <phoneticPr fontId="2" type="noConversion"/>
  </si>
  <si>
    <t>상장</t>
  </si>
  <si>
    <t>상장</t>
    <phoneticPr fontId="2" type="noConversion"/>
  </si>
  <si>
    <t>영업</t>
    <phoneticPr fontId="2" type="noConversion"/>
  </si>
  <si>
    <t>비영업</t>
    <phoneticPr fontId="2" type="noConversion"/>
  </si>
  <si>
    <t>삼성라이온즈</t>
  </si>
  <si>
    <t>한국경제신문</t>
  </si>
  <si>
    <t>중앙일보</t>
  </si>
  <si>
    <t>비상장</t>
  </si>
  <si>
    <t>비상장</t>
    <phoneticPr fontId="2" type="noConversion"/>
  </si>
  <si>
    <t>소재지</t>
  </si>
  <si>
    <t>주요 영업활동</t>
  </si>
  <si>
    <t>신세계인터내셔날</t>
  </si>
  <si>
    <t>국내</t>
  </si>
  <si>
    <t>의류제조ㆍ판매 및 수출입업</t>
  </si>
  <si>
    <t>신세계첼시부산</t>
  </si>
  <si>
    <t>도ㆍ소매업, 의류 및 생활필수품 판매업</t>
  </si>
  <si>
    <t>하남유니온스퀘어</t>
  </si>
  <si>
    <t>도ㆍ소매업, 부동산업</t>
  </si>
  <si>
    <t>신세계의정부역사</t>
  </si>
  <si>
    <t>관계기업</t>
  </si>
  <si>
    <t>민자역사의 건설 및 운영</t>
  </si>
  <si>
    <t>신세계첼시</t>
  </si>
  <si>
    <t>공동지배기업</t>
  </si>
  <si>
    <t>명품 아울렛 쇼핑몰의 건설 및 임대사업</t>
  </si>
  <si>
    <t>광주신세계</t>
  </si>
  <si>
    <t>백화점 및 대형마트업</t>
  </si>
  <si>
    <t>주요영업활동</t>
  </si>
  <si>
    <t>소유지분율(%)</t>
  </si>
  <si>
    <t>롯데역사</t>
  </si>
  <si>
    <t>한국</t>
  </si>
  <si>
    <t>유통</t>
  </si>
  <si>
    <t>롯데닷컴</t>
  </si>
  <si>
    <t>롯데리아</t>
  </si>
  <si>
    <t>가공식품</t>
  </si>
  <si>
    <t>FRL코리아</t>
  </si>
  <si>
    <t>의류수입·판매</t>
  </si>
  <si>
    <t>자라리테일코리아</t>
  </si>
  <si>
    <t>Lotte Europe Holdings B.V.</t>
  </si>
  <si>
    <t>네덜란드</t>
  </si>
  <si>
    <t>지주회사</t>
  </si>
  <si>
    <t>Intime Lotte Department Store Co., Ltd.(*)</t>
  </si>
  <si>
    <t>중국</t>
  </si>
  <si>
    <t>Coralis S.A.</t>
  </si>
  <si>
    <t>룩셈부르크</t>
  </si>
  <si>
    <t>블리스</t>
  </si>
  <si>
    <t>식품제조</t>
  </si>
  <si>
    <t>롯데브랑제리</t>
  </si>
  <si>
    <t>롯데미도파</t>
  </si>
  <si>
    <t>우리홈쇼핑</t>
  </si>
  <si>
    <t>코리아세븐</t>
  </si>
  <si>
    <t>롯데스퀘어</t>
  </si>
  <si>
    <t>엔씨에프</t>
  </si>
  <si>
    <t>의류제조·판매</t>
  </si>
  <si>
    <t>Lotte Shopping Holdings (Hong Kong), Ltd.</t>
  </si>
  <si>
    <t>홍콩</t>
  </si>
  <si>
    <t>Lotte Shopping Holdings (Singapore) Pte. Ltd.</t>
  </si>
  <si>
    <t>싱가폴</t>
  </si>
  <si>
    <t>Lotte Vietnam Shopping Co., Ltd.</t>
  </si>
  <si>
    <t>베트남</t>
  </si>
  <si>
    <t>Qingdao Lotte Mart Commercial Co., Ltd.</t>
  </si>
  <si>
    <t>Lotte Mart Co., Ltd.</t>
  </si>
  <si>
    <t>Liaoning Lotte Mart Co., Ltd.</t>
  </si>
  <si>
    <t>PT Lotte Shopping Indonesia</t>
  </si>
  <si>
    <t>인도네시아</t>
  </si>
  <si>
    <t>대홍기획</t>
  </si>
  <si>
    <t>광고대행</t>
  </si>
  <si>
    <t>롯데캐피탈</t>
  </si>
  <si>
    <t>여신전문업</t>
  </si>
  <si>
    <t>레이크파크</t>
  </si>
  <si>
    <t>부동산개발</t>
  </si>
  <si>
    <t>롯데자산개발</t>
  </si>
  <si>
    <t>롯데부여리조트</t>
  </si>
  <si>
    <t>롯데자이언츠</t>
  </si>
  <si>
    <t>운동레저사업</t>
  </si>
  <si>
    <t>레이크파크자산관리</t>
  </si>
  <si>
    <t>디시네마오브코리아(*)</t>
  </si>
  <si>
    <t>디지털영사시스템</t>
  </si>
  <si>
    <t>엠벤처문화활성화투자조합</t>
  </si>
  <si>
    <t>영화제작·투자</t>
  </si>
  <si>
    <t>캐피탈원 다양성영화전문 투자조합</t>
  </si>
  <si>
    <t>Shenyang SL Cinema Investment Management Co., Ltd.(*)</t>
  </si>
  <si>
    <t>영화상영</t>
  </si>
  <si>
    <t>이수엔터테인먼트투자조합</t>
  </si>
  <si>
    <t>소빅영상투자조합</t>
  </si>
  <si>
    <t>캐피탈원중저예산영화전문투자조합</t>
  </si>
  <si>
    <t>무한시네마</t>
  </si>
  <si>
    <t>롯데카드</t>
  </si>
  <si>
    <t>여신전문업 외</t>
  </si>
  <si>
    <t>롯데김해개발</t>
  </si>
  <si>
    <t>건물관리용역</t>
  </si>
  <si>
    <t>롯데수원역쇼핑타운</t>
  </si>
  <si>
    <t>롯데송도쇼핑타운</t>
  </si>
  <si>
    <t>Lotte Cinema Vietnam Co., Ltd.</t>
  </si>
  <si>
    <t>영업/비영업</t>
    <phoneticPr fontId="2" type="noConversion"/>
  </si>
  <si>
    <t>상장여부</t>
    <phoneticPr fontId="2" type="noConversion"/>
  </si>
  <si>
    <t>합계</t>
    <phoneticPr fontId="2" type="noConversion"/>
  </si>
  <si>
    <t>회  사  명</t>
  </si>
  <si>
    <t>보유주식수</t>
  </si>
  <si>
    <t>시 가(*1)</t>
  </si>
  <si>
    <t>장부가액</t>
  </si>
  <si>
    <t>현대건설(주)</t>
  </si>
  <si>
    <t>현대해상화재보험(주)</t>
  </si>
  <si>
    <t>현대종합상사(주)</t>
  </si>
  <si>
    <t>(주)코리아트래블즈</t>
  </si>
  <si>
    <t>현대아산(주)</t>
  </si>
  <si>
    <t>현대아이파크몰(주)</t>
  </si>
  <si>
    <t>(주)한국관광용품센타</t>
  </si>
  <si>
    <t>(주)벡스코</t>
  </si>
  <si>
    <t>몬덱스코리아(주)</t>
  </si>
  <si>
    <t>(주)디조콤</t>
  </si>
  <si>
    <t>(주)펜타포트</t>
  </si>
  <si>
    <t>(주)펜타포트개발</t>
  </si>
  <si>
    <t>에콘힐(주)</t>
  </si>
  <si>
    <t>주식수(주)</t>
  </si>
  <si>
    <t>한무쇼핑(주)</t>
  </si>
  <si>
    <t>(주)현대쇼핑</t>
  </si>
  <si>
    <t>부현개발(주)</t>
  </si>
  <si>
    <t>(주)현대DSF</t>
  </si>
  <si>
    <t>(주)현대홈쇼핑(*1)</t>
  </si>
  <si>
    <t>(주)현대HCN(*2)</t>
  </si>
  <si>
    <t>서울메트로카드(주)(*3)</t>
  </si>
  <si>
    <t>지분법적용투자주식</t>
  </si>
  <si>
    <t>장부금액</t>
    <phoneticPr fontId="2" type="noConversion"/>
  </si>
  <si>
    <t>비영업용</t>
    <phoneticPr fontId="2" type="noConversion"/>
  </si>
  <si>
    <t>매도가능금융자산</t>
    <phoneticPr fontId="2" type="noConversion"/>
  </si>
  <si>
    <t>4. 이마트</t>
    <phoneticPr fontId="2" type="noConversion"/>
  </si>
  <si>
    <t>보유주식수</t>
    <phoneticPr fontId="2" type="noConversion"/>
  </si>
  <si>
    <t>대전프로축구</t>
  </si>
  <si>
    <t>한류우드</t>
  </si>
  <si>
    <t>코스트코코리아</t>
    <phoneticPr fontId="2" type="noConversion"/>
  </si>
  <si>
    <t>조선호텔</t>
  </si>
  <si>
    <t>관광호텔업</t>
  </si>
  <si>
    <t>신세계푸드</t>
  </si>
  <si>
    <t>단체급식ㆍ외식사업 및 식품유통업</t>
  </si>
  <si>
    <t>신세계엘앤비</t>
  </si>
  <si>
    <t>주류 도매업</t>
  </si>
  <si>
    <t>상해이매득초시유한공사</t>
  </si>
  <si>
    <t>대형마트</t>
  </si>
  <si>
    <t>천진태달이매득초시유한공사</t>
  </si>
  <si>
    <t>상해신이백화유한공사</t>
  </si>
  <si>
    <t>무석이매득구물중심유한공사</t>
  </si>
  <si>
    <t>북경이매특상업유한공사</t>
  </si>
  <si>
    <t>곤산이매득구물중심유한공사</t>
  </si>
  <si>
    <t>영파이매득상업발전유한공사</t>
  </si>
  <si>
    <t>항주이매득상업발전유한공사</t>
  </si>
  <si>
    <t>상주신세계이매득상업발전유한공사</t>
  </si>
  <si>
    <t>태주신세계상업발전유한공사</t>
  </si>
  <si>
    <t>지분법적용투식</t>
    <phoneticPr fontId="2" type="noConversion"/>
  </si>
  <si>
    <t xml:space="preserve"> </t>
    <phoneticPr fontId="2" type="noConversion"/>
  </si>
  <si>
    <r>
      <t xml:space="preserve">1. </t>
    </r>
    <r>
      <rPr>
        <b/>
        <sz val="9"/>
        <color theme="3"/>
        <rFont val="가는각진제목체"/>
        <family val="1"/>
        <charset val="129"/>
      </rPr>
      <t>대용기업의</t>
    </r>
    <r>
      <rPr>
        <b/>
        <sz val="9"/>
        <color theme="3"/>
        <rFont val="Arial"/>
        <family val="2"/>
      </rPr>
      <t xml:space="preserve"> βU </t>
    </r>
    <r>
      <rPr>
        <b/>
        <sz val="9"/>
        <color theme="3"/>
        <rFont val="가는각진제목체"/>
        <family val="1"/>
        <charset val="129"/>
      </rPr>
      <t>산출</t>
    </r>
    <phoneticPr fontId="28" type="noConversion"/>
  </si>
  <si>
    <t>Beta U</t>
    <phoneticPr fontId="15" type="noConversion"/>
  </si>
  <si>
    <t>Listed Company</t>
    <phoneticPr fontId="28" type="noConversion"/>
  </si>
  <si>
    <t>Debt</t>
    <phoneticPr fontId="189" type="noConversion"/>
  </si>
  <si>
    <t>Tax Rate</t>
    <phoneticPr fontId="189" type="noConversion"/>
  </si>
  <si>
    <t>소계</t>
    <phoneticPr fontId="28" type="noConversion"/>
  </si>
  <si>
    <t>삼성전자</t>
    <phoneticPr fontId="28" type="noConversion"/>
  </si>
  <si>
    <t>LG전자</t>
    <phoneticPr fontId="28" type="noConversion"/>
  </si>
  <si>
    <r>
      <t>(*) Market Cap, Debt</t>
    </r>
    <r>
      <rPr>
        <sz val="9"/>
        <color theme="1"/>
        <rFont val="가는각진제목체"/>
        <family val="1"/>
        <charset val="129"/>
      </rPr>
      <t>은</t>
    </r>
    <r>
      <rPr>
        <sz val="9"/>
        <color theme="1"/>
        <rFont val="Arial"/>
        <family val="2"/>
      </rPr>
      <t xml:space="preserve"> 2011.06.30 </t>
    </r>
    <r>
      <rPr>
        <sz val="9"/>
        <color theme="1"/>
        <rFont val="가는각진제목체"/>
        <family val="1"/>
        <charset val="129"/>
      </rPr>
      <t>기준</t>
    </r>
    <phoneticPr fontId="28" type="noConversion"/>
  </si>
  <si>
    <r>
      <t xml:space="preserve">2. </t>
    </r>
    <r>
      <rPr>
        <b/>
        <sz val="9"/>
        <color theme="3"/>
        <rFont val="가는각진제목체"/>
        <family val="1"/>
        <charset val="129"/>
      </rPr>
      <t>목표자본구조</t>
    </r>
    <phoneticPr fontId="28" type="noConversion"/>
  </si>
  <si>
    <t>D/E</t>
    <phoneticPr fontId="15" type="noConversion"/>
  </si>
  <si>
    <t>KRW in millions</t>
    <phoneticPr fontId="28" type="noConversion"/>
  </si>
  <si>
    <t>신세계</t>
    <phoneticPr fontId="28" type="noConversion"/>
  </si>
  <si>
    <t>롯데쇼핑</t>
    <phoneticPr fontId="28" type="noConversion"/>
  </si>
  <si>
    <t>현대백화점</t>
    <phoneticPr fontId="28" type="noConversion"/>
  </si>
  <si>
    <t>이마트</t>
    <phoneticPr fontId="28" type="noConversion"/>
  </si>
  <si>
    <t>평균</t>
    <phoneticPr fontId="28" type="noConversion"/>
  </si>
  <si>
    <t>Debt</t>
    <phoneticPr fontId="28" type="noConversion"/>
  </si>
  <si>
    <t>Market Cap</t>
    <phoneticPr fontId="28" type="noConversion"/>
  </si>
  <si>
    <t>D/E</t>
    <phoneticPr fontId="28" type="noConversion"/>
  </si>
  <si>
    <r>
      <t>3. Target</t>
    </r>
    <r>
      <rPr>
        <b/>
        <sz val="9"/>
        <color theme="3"/>
        <rFont val="가는각진제목체"/>
        <family val="1"/>
        <charset val="129"/>
      </rPr>
      <t>의</t>
    </r>
    <r>
      <rPr>
        <b/>
        <sz val="9"/>
        <color theme="3"/>
        <rFont val="Arial"/>
        <family val="2"/>
      </rPr>
      <t xml:space="preserve"> βL </t>
    </r>
    <r>
      <rPr>
        <b/>
        <sz val="9"/>
        <color theme="3"/>
        <rFont val="가는각진제목체"/>
        <family val="1"/>
        <charset val="129"/>
      </rPr>
      <t>산출</t>
    </r>
    <phoneticPr fontId="28" type="noConversion"/>
  </si>
  <si>
    <t>Beta L</t>
    <phoneticPr fontId="15" type="noConversion"/>
  </si>
  <si>
    <r>
      <t>β</t>
    </r>
    <r>
      <rPr>
        <vertAlign val="subscript"/>
        <sz val="9"/>
        <rFont val="Arial"/>
        <family val="2"/>
      </rPr>
      <t xml:space="preserve">L </t>
    </r>
    <r>
      <rPr>
        <sz val="9"/>
        <rFont val="Arial"/>
        <family val="2"/>
      </rPr>
      <t>= β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( 1 + [1 - t] [D / E] )</t>
    </r>
    <phoneticPr fontId="15" type="noConversion"/>
  </si>
  <si>
    <t>4. Bloomberg Market Data</t>
    <phoneticPr fontId="28" type="noConversion"/>
  </si>
  <si>
    <t>Rm</t>
    <phoneticPr fontId="15" type="noConversion"/>
  </si>
  <si>
    <t xml:space="preserve">    (As of 2011/10/25)</t>
    <phoneticPr fontId="28" type="noConversion"/>
  </si>
  <si>
    <t>Rf</t>
    <phoneticPr fontId="15" type="noConversion"/>
  </si>
  <si>
    <r>
      <t xml:space="preserve">5. </t>
    </r>
    <r>
      <rPr>
        <b/>
        <sz val="9"/>
        <color theme="3"/>
        <rFont val="가는각진제목체"/>
        <family val="1"/>
        <charset val="129"/>
      </rPr>
      <t>자기자본비용의 산출</t>
    </r>
    <phoneticPr fontId="28" type="noConversion"/>
  </si>
  <si>
    <t>Ke</t>
    <phoneticPr fontId="15" type="noConversion"/>
  </si>
  <si>
    <t>Ke=Rf+(Rm-Rf)*βL</t>
    <phoneticPr fontId="15" type="noConversion"/>
  </si>
  <si>
    <r>
      <t xml:space="preserve">6. </t>
    </r>
    <r>
      <rPr>
        <b/>
        <sz val="9"/>
        <color theme="3"/>
        <rFont val="가는각진제목체"/>
        <family val="1"/>
        <charset val="129"/>
      </rPr>
      <t>타인자본비용의 산출</t>
    </r>
    <phoneticPr fontId="28" type="noConversion"/>
  </si>
  <si>
    <t>Kd</t>
    <phoneticPr fontId="15" type="noConversion"/>
  </si>
  <si>
    <t>구분</t>
    <phoneticPr fontId="28" type="noConversion"/>
  </si>
  <si>
    <t>차입처</t>
    <phoneticPr fontId="28" type="noConversion"/>
  </si>
  <si>
    <t>금액</t>
    <phoneticPr fontId="28" type="noConversion"/>
  </si>
  <si>
    <t>이자율</t>
    <phoneticPr fontId="28" type="noConversion"/>
  </si>
  <si>
    <t>차입일</t>
    <phoneticPr fontId="28" type="noConversion"/>
  </si>
  <si>
    <t>만기일</t>
    <phoneticPr fontId="28" type="noConversion"/>
  </si>
  <si>
    <t>비고</t>
    <phoneticPr fontId="28" type="noConversion"/>
  </si>
  <si>
    <t>장기차입금</t>
    <phoneticPr fontId="28" type="noConversion"/>
  </si>
  <si>
    <t>우리은행</t>
    <phoneticPr fontId="28" type="noConversion"/>
  </si>
  <si>
    <t>한국산업은행 등</t>
    <phoneticPr fontId="28" type="noConversion"/>
  </si>
  <si>
    <t>자산유동화사채</t>
    <phoneticPr fontId="28" type="noConversion"/>
  </si>
  <si>
    <t>KB증권, 대우증권</t>
    <phoneticPr fontId="28" type="noConversion"/>
  </si>
  <si>
    <t>Total</t>
    <phoneticPr fontId="28" type="noConversion"/>
  </si>
  <si>
    <r>
      <t>7. WACC</t>
    </r>
    <r>
      <rPr>
        <b/>
        <sz val="9"/>
        <color theme="3"/>
        <rFont val="가는각진제목체"/>
        <family val="1"/>
        <charset val="129"/>
      </rPr>
      <t>의 산출</t>
    </r>
    <phoneticPr fontId="28" type="noConversion"/>
  </si>
  <si>
    <t>WACC</t>
    <phoneticPr fontId="15" type="noConversion"/>
  </si>
  <si>
    <t>세전 자본비용</t>
    <phoneticPr fontId="28" type="noConversion"/>
  </si>
  <si>
    <t>세후 자본비용</t>
    <phoneticPr fontId="28" type="noConversion"/>
  </si>
  <si>
    <t>가중치</t>
    <phoneticPr fontId="28" type="noConversion"/>
  </si>
  <si>
    <t>가중평균</t>
    <phoneticPr fontId="28" type="noConversion"/>
  </si>
  <si>
    <t>자기자본비용</t>
    <phoneticPr fontId="28" type="noConversion"/>
  </si>
  <si>
    <t>타인자본비용</t>
    <phoneticPr fontId="28" type="noConversion"/>
  </si>
  <si>
    <t>WACC</t>
    <phoneticPr fontId="28" type="noConversion"/>
  </si>
  <si>
    <t>현재기준 2년치 베타</t>
  </si>
  <si>
    <r>
      <t>2016</t>
    </r>
    <r>
      <rPr>
        <sz val="9"/>
        <color theme="1"/>
        <rFont val="돋움"/>
        <family val="3"/>
        <charset val="129"/>
      </rPr>
      <t>년</t>
    </r>
    <phoneticPr fontId="2" type="noConversion"/>
  </si>
  <si>
    <t xml:space="preserve">2011년 2H </t>
    <phoneticPr fontId="2" type="noConversion"/>
  </si>
  <si>
    <t>적용재고자산회전율</t>
    <phoneticPr fontId="2" type="noConversion"/>
  </si>
  <si>
    <t>2011년 하반기</t>
    <phoneticPr fontId="2" type="noConversion"/>
  </si>
  <si>
    <r>
      <rPr>
        <sz val="9"/>
        <color theme="1"/>
        <rFont val="돋움"/>
        <family val="3"/>
        <charset val="129"/>
      </rPr>
      <t>증가율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가정</t>
    </r>
    <phoneticPr fontId="2" type="noConversion"/>
  </si>
  <si>
    <t>2011년 상반기의 설명이 되지 않은 일시적인 재고증가의 효과를 완화하기 위하여</t>
    <phoneticPr fontId="2" type="noConversion"/>
  </si>
  <si>
    <t>재고회전율을 2011년 상반기 수준에서 점차적으로 2008년 ~ 2010년 3개년 평균 회전율로 적용</t>
    <phoneticPr fontId="2" type="noConversion"/>
  </si>
  <si>
    <t>2011 1H</t>
  </si>
  <si>
    <t>백만원</t>
    <phoneticPr fontId="2" type="noConversion"/>
  </si>
  <si>
    <t>시장규모(억원)</t>
    <phoneticPr fontId="2" type="noConversion"/>
  </si>
  <si>
    <t>매출액</t>
    <phoneticPr fontId="2" type="noConversion"/>
  </si>
  <si>
    <t>2011 1H</t>
    <phoneticPr fontId="2" type="noConversion"/>
  </si>
  <si>
    <t>2011 2H</t>
    <phoneticPr fontId="2" type="noConversion"/>
  </si>
  <si>
    <t>Actual</t>
  </si>
  <si>
    <t>Actual</t>
    <phoneticPr fontId="28" type="noConversion"/>
  </si>
  <si>
    <t>2011A</t>
    <phoneticPr fontId="28" type="noConversion"/>
  </si>
  <si>
    <t>상반기</t>
    <phoneticPr fontId="28" type="noConversion"/>
  </si>
  <si>
    <t>2011. 1H</t>
    <phoneticPr fontId="2" type="noConversion"/>
  </si>
  <si>
    <t>점포수</t>
    <phoneticPr fontId="2" type="noConversion"/>
  </si>
  <si>
    <t>신규점포수</t>
    <phoneticPr fontId="2" type="noConversion"/>
  </si>
  <si>
    <t>&lt;2011년 상반기 현황&gt;</t>
    <phoneticPr fontId="2" type="noConversion"/>
  </si>
  <si>
    <t>임대</t>
    <phoneticPr fontId="2" type="noConversion"/>
  </si>
  <si>
    <t>자가</t>
    <phoneticPr fontId="2" type="noConversion"/>
  </si>
  <si>
    <t>임대점포수</t>
    <phoneticPr fontId="2" type="noConversion"/>
  </si>
  <si>
    <t>평균임차료</t>
    <phoneticPr fontId="2" type="noConversion"/>
  </si>
  <si>
    <t>&lt;인원추정 가정&gt;</t>
    <phoneticPr fontId="2" type="noConversion"/>
  </si>
  <si>
    <t>임원</t>
    <phoneticPr fontId="2" type="noConversion"/>
  </si>
  <si>
    <t>매년</t>
    <phoneticPr fontId="2" type="noConversion"/>
  </si>
  <si>
    <t>신규매장당</t>
    <phoneticPr fontId="2" type="noConversion"/>
  </si>
  <si>
    <t>매출성장률</t>
    <phoneticPr fontId="2" type="noConversion"/>
  </si>
  <si>
    <t>Forecast</t>
    <phoneticPr fontId="28" type="noConversion"/>
  </si>
  <si>
    <t>2011 1H</t>
    <phoneticPr fontId="28" type="noConversion"/>
  </si>
  <si>
    <t>매장수</t>
    <phoneticPr fontId="2" type="noConversion"/>
  </si>
  <si>
    <t>백만원</t>
    <phoneticPr fontId="2" type="noConversion"/>
  </si>
  <si>
    <t>시장점유율</t>
    <phoneticPr fontId="2" type="noConversion"/>
  </si>
  <si>
    <t>Average</t>
    <phoneticPr fontId="2" type="noConversion"/>
  </si>
  <si>
    <t>합계</t>
    <phoneticPr fontId="2" type="noConversion"/>
  </si>
  <si>
    <t>매년</t>
    <phoneticPr fontId="2" type="noConversion"/>
  </si>
  <si>
    <t>신규매장 당</t>
    <phoneticPr fontId="2" type="noConversion"/>
  </si>
  <si>
    <t>신규매장 당</t>
    <phoneticPr fontId="2" type="noConversion"/>
  </si>
  <si>
    <t>구분</t>
    <phoneticPr fontId="2" type="noConversion"/>
  </si>
  <si>
    <t>기준</t>
    <phoneticPr fontId="2" type="noConversion"/>
  </si>
  <si>
    <t>추가인원 가정</t>
    <phoneticPr fontId="2" type="noConversion"/>
  </si>
  <si>
    <r>
      <t>1</t>
    </r>
    <r>
      <rPr>
        <sz val="9"/>
        <color theme="1"/>
        <rFont val="맑은 고딕"/>
        <family val="2"/>
      </rPr>
      <t>명</t>
    </r>
    <phoneticPr fontId="2" type="noConversion"/>
  </si>
  <si>
    <r>
      <t>5</t>
    </r>
    <r>
      <rPr>
        <sz val="9"/>
        <color theme="1"/>
        <rFont val="맑은 고딕"/>
        <family val="2"/>
      </rPr>
      <t>명</t>
    </r>
    <phoneticPr fontId="2" type="noConversion"/>
  </si>
  <si>
    <r>
      <t>8</t>
    </r>
    <r>
      <rPr>
        <sz val="9"/>
        <color theme="1"/>
        <rFont val="맑은 고딕"/>
        <family val="2"/>
      </rPr>
      <t>명</t>
    </r>
    <phoneticPr fontId="2" type="noConversion"/>
  </si>
  <si>
    <t>임금상승률</t>
    <phoneticPr fontId="2" type="noConversion"/>
  </si>
  <si>
    <t>신용카드수수료</t>
    <phoneticPr fontId="2" type="noConversion"/>
  </si>
  <si>
    <t>임차 매장수(개)</t>
    <phoneticPr fontId="2" type="noConversion"/>
  </si>
  <si>
    <t xml:space="preserve">   Actual</t>
    <phoneticPr fontId="28" type="noConversion"/>
  </si>
  <si>
    <t xml:space="preserve">  Forecast</t>
    <phoneticPr fontId="28" type="noConversion"/>
  </si>
  <si>
    <t xml:space="preserve">   Forecast</t>
    <phoneticPr fontId="28" type="noConversion"/>
  </si>
  <si>
    <t xml:space="preserve">   Forecast</t>
    <phoneticPr fontId="28" type="noConversion"/>
  </si>
  <si>
    <t>CAPEX</t>
    <phoneticPr fontId="2" type="noConversion"/>
  </si>
  <si>
    <t xml:space="preserve">   Actual</t>
    <phoneticPr fontId="28" type="noConversion"/>
  </si>
  <si>
    <t>Actual</t>
    <phoneticPr fontId="2" type="noConversion"/>
  </si>
  <si>
    <t>회수기일</t>
    <phoneticPr fontId="2" type="noConversion"/>
  </si>
  <si>
    <t>2011 1H</t>
    <phoneticPr fontId="28" type="noConversion"/>
  </si>
  <si>
    <t>2011 2H</t>
    <phoneticPr fontId="2" type="noConversion"/>
  </si>
  <si>
    <t>2011. 1H</t>
    <phoneticPr fontId="2" type="noConversion"/>
  </si>
  <si>
    <t>2011. 2H</t>
    <phoneticPr fontId="2" type="noConversion"/>
  </si>
  <si>
    <t>매장당 투자액</t>
    <phoneticPr fontId="2" type="noConversion"/>
  </si>
  <si>
    <t>백만원</t>
    <phoneticPr fontId="2" type="noConversion"/>
  </si>
  <si>
    <t>비품</t>
    <phoneticPr fontId="2" type="noConversion"/>
  </si>
  <si>
    <t>차량운반구</t>
    <phoneticPr fontId="2" type="noConversion"/>
  </si>
  <si>
    <t>순취득액(평균)</t>
    <phoneticPr fontId="2" type="noConversion"/>
  </si>
  <si>
    <r>
      <t>2009</t>
    </r>
    <r>
      <rPr>
        <sz val="9"/>
        <color theme="1"/>
        <rFont val="돋움"/>
        <family val="3"/>
        <charset val="129"/>
      </rPr>
      <t>년</t>
    </r>
    <phoneticPr fontId="2" type="noConversion"/>
  </si>
  <si>
    <r>
      <t>2010</t>
    </r>
    <r>
      <rPr>
        <sz val="9"/>
        <color theme="1"/>
        <rFont val="돋움"/>
        <family val="3"/>
        <charset val="129"/>
      </rPr>
      <t>년</t>
    </r>
    <phoneticPr fontId="2" type="noConversion"/>
  </si>
  <si>
    <t>2013년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</si>
  <si>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</si>
  <si>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</si>
  <si>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</si>
  <si>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충당부채(반품충당부채)</t>
    <phoneticPr fontId="28" type="noConversion"/>
  </si>
  <si>
    <t>충당부채</t>
    <phoneticPr fontId="2" type="noConversion"/>
  </si>
  <si>
    <t>CAGR</t>
    <phoneticPr fontId="2" type="noConversion"/>
  </si>
  <si>
    <t>790</t>
  </si>
  <si>
    <t>상승 550</t>
  </si>
  <si>
    <t>상승 50</t>
  </si>
  <si>
    <t>상승 700</t>
  </si>
  <si>
    <t>하락 1550</t>
  </si>
  <si>
    <t>하락 450</t>
  </si>
  <si>
    <t>하락 400</t>
  </si>
  <si>
    <t>상승 100</t>
  </si>
  <si>
    <t>상승 250</t>
  </si>
  <si>
    <t>상승 400</t>
  </si>
  <si>
    <t>하락 300</t>
  </si>
  <si>
    <t>상승 850</t>
  </si>
  <si>
    <t>하락 650</t>
  </si>
  <si>
    <t>하락 1150</t>
  </si>
  <si>
    <t>상승 150</t>
  </si>
  <si>
    <t>상승 2500</t>
  </si>
  <si>
    <t>0</t>
  </si>
  <si>
    <t>하락 600</t>
  </si>
  <si>
    <t>- 신세계아이앤씨</t>
    <phoneticPr fontId="28" type="noConversion"/>
  </si>
  <si>
    <t>하락 200</t>
  </si>
  <si>
    <t>하락 150</t>
  </si>
  <si>
    <t>하락 50</t>
  </si>
  <si>
    <t>740</t>
  </si>
  <si>
    <t>하락 100</t>
  </si>
  <si>
    <t>하락 350</t>
  </si>
  <si>
    <t>상승 350</t>
  </si>
  <si>
    <t>상승 750</t>
  </si>
  <si>
    <t>상승 200</t>
  </si>
  <si>
    <t>- 신세계건설</t>
    <phoneticPr fontId="28" type="noConversion"/>
  </si>
  <si>
    <t>하락 700</t>
  </si>
  <si>
    <t>하락 2500</t>
  </si>
  <si>
    <t>상승 1000</t>
  </si>
  <si>
    <t>상승 1400</t>
  </si>
  <si>
    <t>상승 3100</t>
  </si>
  <si>
    <t>상승 2200</t>
  </si>
  <si>
    <t>상승 1900</t>
  </si>
  <si>
    <t>하락 900</t>
  </si>
  <si>
    <t>하락 2000</t>
  </si>
  <si>
    <t>상승 300</t>
  </si>
  <si>
    <t>하락 1500</t>
  </si>
  <si>
    <t>상승 1500</t>
  </si>
  <si>
    <t>상승 900</t>
  </si>
  <si>
    <t>하락 1100</t>
  </si>
  <si>
    <t>하락 1000</t>
  </si>
  <si>
    <t>하락 6000</t>
  </si>
  <si>
    <t>상승 1200</t>
  </si>
  <si>
    <t>상승 600</t>
  </si>
  <si>
    <t>상승 1100</t>
  </si>
  <si>
    <t>하락 800</t>
  </si>
  <si>
    <t>- 삼성생명보험</t>
    <phoneticPr fontId="28" type="noConversion"/>
  </si>
  <si>
    <t>상승 65</t>
  </si>
  <si>
    <t>상승 55</t>
  </si>
  <si>
    <t>하락 170</t>
  </si>
  <si>
    <t>상승 5</t>
  </si>
  <si>
    <t>상승 115</t>
  </si>
  <si>
    <t>상승 35</t>
  </si>
  <si>
    <t>상승 15</t>
  </si>
  <si>
    <t>하락 45</t>
  </si>
  <si>
    <t>하락 70</t>
  </si>
  <si>
    <t>상한 410</t>
  </si>
  <si>
    <t>상승 45</t>
  </si>
  <si>
    <t>상승 10</t>
  </si>
  <si>
    <t>하락 155</t>
  </si>
  <si>
    <t>상승 40</t>
  </si>
  <si>
    <t>상승 20</t>
  </si>
  <si>
    <t>하락 25</t>
  </si>
  <si>
    <t>하락 90</t>
  </si>
  <si>
    <t>하락 4500</t>
  </si>
  <si>
    <t>상승 5500</t>
  </si>
  <si>
    <t>하락 3500</t>
  </si>
  <si>
    <t>하락 5000</t>
  </si>
  <si>
    <t>하락 4000</t>
  </si>
  <si>
    <t>상승 3000</t>
  </si>
  <si>
    <t>하락 3000</t>
  </si>
  <si>
    <t>상승 1750</t>
  </si>
  <si>
    <t>하락 750</t>
  </si>
  <si>
    <t>상승 1450</t>
  </si>
  <si>
    <t>상승 650</t>
  </si>
  <si>
    <t>상승 450</t>
  </si>
  <si>
    <t>상승 2400</t>
  </si>
  <si>
    <t>하락 3700</t>
  </si>
  <si>
    <t>하락 5200</t>
  </si>
  <si>
    <t>상승 3400</t>
  </si>
  <si>
    <t>상승 2000</t>
  </si>
  <si>
    <t>상승 3300</t>
  </si>
  <si>
    <t>하락 4700</t>
  </si>
  <si>
    <t>상승 4200</t>
  </si>
  <si>
    <t>상승 3200</t>
  </si>
  <si>
    <t>하락 250</t>
  </si>
  <si>
    <t>하락 550</t>
  </si>
  <si>
    <t>상승 1850</t>
  </si>
  <si>
    <t>하락 850</t>
  </si>
  <si>
    <t>하락 1650</t>
  </si>
  <si>
    <t>하락 1400</t>
  </si>
  <si>
    <t>상한 1900</t>
  </si>
  <si>
    <t>상승 1150</t>
  </si>
  <si>
    <t>상승 1550</t>
  </si>
  <si>
    <t>상승 2850</t>
  </si>
  <si>
    <t>상승 2750</t>
  </si>
  <si>
    <t>하락 1700</t>
  </si>
  <si>
    <t>하락 1600</t>
  </si>
  <si>
    <t>상승 1050</t>
  </si>
  <si>
    <t>백화점업 등</t>
    <phoneticPr fontId="28" type="noConversion"/>
  </si>
  <si>
    <t>(주)신세계</t>
    <phoneticPr fontId="28" type="noConversion"/>
  </si>
  <si>
    <t>롯데쇼핑(주)</t>
    <phoneticPr fontId="28" type="noConversion"/>
  </si>
  <si>
    <t>(주)현대백화점</t>
    <phoneticPr fontId="28" type="noConversion"/>
  </si>
  <si>
    <r>
      <t xml:space="preserve">평균 </t>
    </r>
    <r>
      <rPr>
        <b/>
        <sz val="9"/>
        <color theme="1"/>
        <rFont val="Century Gothic"/>
        <family val="2"/>
      </rPr>
      <t>Multiple</t>
    </r>
    <phoneticPr fontId="28" type="noConversion"/>
  </si>
  <si>
    <r>
      <rPr>
        <b/>
        <sz val="9"/>
        <color theme="1"/>
        <rFont val="Century Gothic"/>
        <family val="2"/>
      </rPr>
      <t>Multiple</t>
    </r>
    <r>
      <rPr>
        <b/>
        <sz val="9"/>
        <color theme="1"/>
        <rFont val="맑은 고딕"/>
        <family val="3"/>
        <charset val="129"/>
      </rPr>
      <t xml:space="preserve"> 범위</t>
    </r>
    <phoneticPr fontId="28" type="noConversion"/>
  </si>
  <si>
    <t>백만원</t>
    <phoneticPr fontId="28" type="noConversion"/>
  </si>
  <si>
    <t>Min</t>
    <phoneticPr fontId="28" type="noConversion"/>
  </si>
  <si>
    <t>Avg</t>
    <phoneticPr fontId="28" type="noConversion"/>
  </si>
  <si>
    <t>Max</t>
    <phoneticPr fontId="28" type="noConversion"/>
  </si>
  <si>
    <t>Non-operating Value</t>
    <phoneticPr fontId="28" type="noConversion"/>
  </si>
  <si>
    <t>Net Debt</t>
    <phoneticPr fontId="28" type="noConversion"/>
  </si>
  <si>
    <t>Equity Value</t>
    <phoneticPr fontId="28" type="noConversion"/>
  </si>
  <si>
    <t>1주당 가치(원)</t>
    <phoneticPr fontId="28" type="noConversion"/>
  </si>
  <si>
    <t>신세계</t>
    <phoneticPr fontId="28" type="noConversion"/>
  </si>
  <si>
    <t>롯데쇼핑</t>
    <phoneticPr fontId="28" type="noConversion"/>
  </si>
  <si>
    <t>현대백화점</t>
    <phoneticPr fontId="28" type="noConversion"/>
  </si>
  <si>
    <t>EBITDA(2011 1H)</t>
    <phoneticPr fontId="2" type="noConversion"/>
  </si>
  <si>
    <t>매도가능증권</t>
    <phoneticPr fontId="2" type="noConversion"/>
  </si>
  <si>
    <t>종속기업투자</t>
    <phoneticPr fontId="2" type="noConversion"/>
  </si>
  <si>
    <t>투자부동산</t>
    <phoneticPr fontId="2" type="noConversion"/>
  </si>
  <si>
    <t>합계</t>
    <phoneticPr fontId="28" type="noConversion"/>
  </si>
  <si>
    <t>내역</t>
    <phoneticPr fontId="28" type="noConversion"/>
  </si>
  <si>
    <t>장부금액</t>
    <phoneticPr fontId="28" type="noConversion"/>
  </si>
  <si>
    <t>평가금액</t>
    <phoneticPr fontId="28" type="noConversion"/>
  </si>
  <si>
    <t>매도가능증권(상장)</t>
    <phoneticPr fontId="2" type="noConversion"/>
  </si>
  <si>
    <t>매도가능증권(비상장)</t>
    <phoneticPr fontId="2" type="noConversion"/>
  </si>
  <si>
    <t>종속기업투자(비상장)</t>
    <phoneticPr fontId="2" type="noConversion"/>
  </si>
  <si>
    <t>종속기업투자(상장)</t>
    <phoneticPr fontId="2" type="noConversion"/>
  </si>
  <si>
    <t>2011 1H</t>
    <phoneticPr fontId="2" type="noConversion"/>
  </si>
  <si>
    <t>WACC</t>
    <phoneticPr fontId="2" type="noConversion"/>
  </si>
  <si>
    <t>WACC-1%</t>
    <phoneticPr fontId="2" type="noConversion"/>
  </si>
  <si>
    <t>WACC+1%</t>
    <phoneticPr fontId="2" type="noConversion"/>
  </si>
  <si>
    <t>매장수(평균)</t>
    <phoneticPr fontId="2" type="noConversion"/>
  </si>
  <si>
    <t>임금상승률</t>
  </si>
  <si>
    <t>시장점유율 증가효가 가정</t>
    <phoneticPr fontId="2" type="noConversion"/>
  </si>
  <si>
    <t>원가율</t>
    <phoneticPr fontId="2" type="noConversion"/>
  </si>
  <si>
    <t>CAGR</t>
    <phoneticPr fontId="2" type="noConversion"/>
  </si>
  <si>
    <t>할인률</t>
    <phoneticPr fontId="2" type="noConversion"/>
  </si>
  <si>
    <t>프리미엄</t>
    <phoneticPr fontId="2" type="noConversion"/>
  </si>
  <si>
    <t>- 신세계푸드</t>
    <phoneticPr fontId="28" type="noConversion"/>
  </si>
  <si>
    <t>소프트웨어 개발, 공급</t>
    <phoneticPr fontId="2" type="noConversion"/>
  </si>
  <si>
    <t>국내</t>
    <phoneticPr fontId="2" type="noConversion"/>
  </si>
  <si>
    <t>신세계아이앤씨</t>
    <phoneticPr fontId="2" type="noConversion"/>
  </si>
  <si>
    <t>유통상업시설의 건축</t>
    <phoneticPr fontId="2" type="noConversion"/>
  </si>
  <si>
    <t>신세계건설</t>
    <phoneticPr fontId="2" type="noConversion"/>
  </si>
  <si>
    <t>커피</t>
    <phoneticPr fontId="2" type="noConversion"/>
  </si>
  <si>
    <t>스타벅스코피코리아</t>
    <phoneticPr fontId="2" type="noConversion"/>
  </si>
  <si>
    <t>6개월 평균시총</t>
    <phoneticPr fontId="28" type="noConversion"/>
  </si>
  <si>
    <t>상승 180</t>
  </si>
  <si>
    <t>2010/12/23</t>
  </si>
  <si>
    <t>2010/12/24</t>
  </si>
  <si>
    <t>하락 380</t>
  </si>
  <si>
    <t>2010/12/27</t>
  </si>
  <si>
    <t>상승 210</t>
  </si>
  <si>
    <t>2010/12/28</t>
  </si>
  <si>
    <t>하락 65</t>
  </si>
  <si>
    <t>2010/12/29</t>
  </si>
  <si>
    <t>2010/12/30</t>
  </si>
  <si>
    <t>하락 10</t>
  </si>
  <si>
    <t>2011/01/03</t>
  </si>
  <si>
    <t>상승 160</t>
  </si>
  <si>
    <t>2011/01/04</t>
  </si>
  <si>
    <t>상승 260</t>
  </si>
  <si>
    <t>2011/01/05</t>
  </si>
  <si>
    <t>상승 305</t>
  </si>
  <si>
    <t>2011/01/06</t>
  </si>
  <si>
    <t>2011/01/07</t>
  </si>
  <si>
    <t>하락 115</t>
  </si>
  <si>
    <t>2011/01/10</t>
  </si>
  <si>
    <t>2011/01/11</t>
  </si>
  <si>
    <t>하락 130</t>
  </si>
  <si>
    <t>2011/01/12</t>
  </si>
  <si>
    <t>2011/01/13</t>
  </si>
  <si>
    <t>하락 145</t>
  </si>
  <si>
    <t>2011/01/14</t>
  </si>
  <si>
    <t>2011/01/17</t>
  </si>
  <si>
    <t>하락 135</t>
  </si>
  <si>
    <t>2011/01/18</t>
  </si>
  <si>
    <t>2011/01/19</t>
  </si>
  <si>
    <t>하락 80</t>
  </si>
  <si>
    <t>2011/01/20</t>
  </si>
  <si>
    <t>2011/01/21</t>
  </si>
  <si>
    <t>하락 20</t>
  </si>
  <si>
    <t>2011/01/24</t>
  </si>
  <si>
    <t>하락 175</t>
  </si>
  <si>
    <t>2011/01/25</t>
  </si>
  <si>
    <t>2011/01/26</t>
  </si>
  <si>
    <t>2011/01/27</t>
  </si>
  <si>
    <t>하락 40</t>
  </si>
  <si>
    <t>2011/01/28</t>
  </si>
  <si>
    <t>하락 255</t>
  </si>
  <si>
    <t>2011/01/31</t>
  </si>
  <si>
    <t>하락 265</t>
  </si>
  <si>
    <t>2011/02/01</t>
  </si>
  <si>
    <t>상한 370</t>
  </si>
  <si>
    <t>2011/02/07</t>
  </si>
  <si>
    <t>2011/02/08</t>
  </si>
  <si>
    <t>상승 75</t>
  </si>
  <si>
    <t>2011/02/09</t>
  </si>
  <si>
    <t>2011/02/10</t>
  </si>
  <si>
    <t>하락 180</t>
  </si>
  <si>
    <t>2011/02/11</t>
  </si>
  <si>
    <t>2011/02/14</t>
  </si>
  <si>
    <t>상승 80</t>
  </si>
  <si>
    <t>2011/02/15</t>
  </si>
  <si>
    <t>하락 35</t>
  </si>
  <si>
    <t>2011/02/16</t>
  </si>
  <si>
    <t>하락 120</t>
  </si>
  <si>
    <t>2011/02/17</t>
  </si>
  <si>
    <t>2011/02/18</t>
  </si>
  <si>
    <t>2011/02/21</t>
  </si>
  <si>
    <t>하락 125</t>
  </si>
  <si>
    <t>2011/02/22</t>
  </si>
  <si>
    <t>하락 5</t>
  </si>
  <si>
    <t>2011/02/23</t>
  </si>
  <si>
    <t>2011/02/24</t>
  </si>
  <si>
    <t>상승 30</t>
  </si>
  <si>
    <t>2011/02/25</t>
  </si>
  <si>
    <t>하락 95</t>
  </si>
  <si>
    <t>2011/02/28</t>
  </si>
  <si>
    <t>2011/03/02</t>
  </si>
  <si>
    <t>상승 70</t>
  </si>
  <si>
    <t>2011/03/03</t>
  </si>
  <si>
    <t>2011/03/04</t>
  </si>
  <si>
    <t>상승 25</t>
  </si>
  <si>
    <t>2011/03/07</t>
  </si>
  <si>
    <t>상승 185</t>
  </si>
  <si>
    <t>2011/03/08</t>
  </si>
  <si>
    <t>2011/03/09</t>
  </si>
  <si>
    <t>하락 30</t>
  </si>
  <si>
    <t>2011/03/10</t>
  </si>
  <si>
    <t>2011/03/11</t>
  </si>
  <si>
    <t>상승 60</t>
  </si>
  <si>
    <t>2011/03/14</t>
  </si>
  <si>
    <t>하락 110</t>
  </si>
  <si>
    <t>2011/03/15</t>
  </si>
  <si>
    <t>상승 170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</si>
  <si>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</si>
  <si>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</si>
  <si>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</si>
  <si>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</si>
  <si>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</si>
  <si>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</si>
  <si>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</si>
  <si>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상승 225</t>
  </si>
  <si>
    <t>2011/03/25</t>
  </si>
  <si>
    <t>2011/03/28</t>
  </si>
  <si>
    <t>2011/03/29</t>
  </si>
  <si>
    <t>하락 75</t>
  </si>
  <si>
    <t>2011/03/30</t>
  </si>
  <si>
    <t>상승 85</t>
  </si>
  <si>
    <t>2011/03/31</t>
  </si>
  <si>
    <t>하락 60</t>
  </si>
  <si>
    <t>2011/04/01</t>
  </si>
  <si>
    <t>상승 265</t>
  </si>
  <si>
    <t>2011/04/04</t>
  </si>
  <si>
    <t>2011/04/05</t>
  </si>
  <si>
    <t>2011/04/06</t>
  </si>
  <si>
    <t>2011/04/07</t>
  </si>
  <si>
    <t>2011/04/08</t>
  </si>
  <si>
    <t>2011/04/11</t>
  </si>
  <si>
    <t>하락 160</t>
  </si>
  <si>
    <t>2011/04/12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</si>
  <si>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</si>
  <si>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</si>
  <si>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</si>
  <si>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</si>
  <si>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</si>
  <si>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</si>
  <si>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</si>
  <si>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2011/04/22</t>
  </si>
  <si>
    <t>2011/04/25</t>
  </si>
  <si>
    <t>하락 140</t>
  </si>
  <si>
    <t>2011/04/26</t>
  </si>
  <si>
    <t>2011/04/27</t>
  </si>
  <si>
    <t>2011/04/28</t>
  </si>
  <si>
    <t>2011/04/29</t>
  </si>
  <si>
    <t>2011/05/02</t>
  </si>
  <si>
    <t>하락 15</t>
  </si>
  <si>
    <t>2011/05/03</t>
  </si>
  <si>
    <t>2011/05/04</t>
  </si>
  <si>
    <t>2011/05/06</t>
  </si>
  <si>
    <t>2011/05/09</t>
  </si>
  <si>
    <t>2011/05/11</t>
  </si>
  <si>
    <t>2011/05/12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</si>
  <si>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</si>
  <si>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</si>
  <si>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</si>
  <si>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</si>
  <si>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</si>
  <si>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</si>
  <si>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</si>
  <si>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</si>
  <si>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</si>
  <si>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</si>
  <si>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</si>
  <si>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2011/05/30</t>
  </si>
  <si>
    <t>상승 130</t>
  </si>
  <si>
    <t>2011/05/31</t>
  </si>
  <si>
    <t>2011/06/01</t>
  </si>
  <si>
    <t>2011/06/02</t>
  </si>
  <si>
    <t>2011/06/03</t>
  </si>
  <si>
    <t>2011/06/07</t>
  </si>
  <si>
    <t>2011/06/08</t>
  </si>
  <si>
    <t>2011/06/09</t>
  </si>
  <si>
    <t>2011/06/10</t>
  </si>
  <si>
    <t>2011/06/13</t>
  </si>
  <si>
    <t>2011/06/14</t>
  </si>
  <si>
    <t>2011/06/15</t>
  </si>
  <si>
    <t>2011/06/16</t>
  </si>
  <si>
    <t>하락 85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</si>
  <si>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</si>
  <si>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</si>
  <si>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</si>
  <si>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</si>
  <si>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</si>
  <si>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</si>
  <si>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</si>
  <si>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상승 140</t>
  </si>
  <si>
    <t>2011/06/28</t>
  </si>
  <si>
    <t>2011/06/29</t>
  </si>
  <si>
    <t>하락 55</t>
  </si>
  <si>
    <t>2011/06/30</t>
  </si>
  <si>
    <t>2011/07/01</t>
  </si>
  <si>
    <t>2011/07/04</t>
  </si>
  <si>
    <t>2011/07/05</t>
  </si>
  <si>
    <t>2011/07/06</t>
  </si>
  <si>
    <t>2011/07/07</t>
  </si>
  <si>
    <t>2011/07/08</t>
  </si>
  <si>
    <t>2011/07/11</t>
  </si>
  <si>
    <t>2011/07/12</t>
  </si>
  <si>
    <t>2011/07/13</t>
  </si>
  <si>
    <t>2011/07/14</t>
  </si>
  <si>
    <t>2011/07/15</t>
  </si>
  <si>
    <t>상승 145</t>
  </si>
  <si>
    <t>2011/07/18</t>
  </si>
  <si>
    <t>2011/07/19</t>
  </si>
  <si>
    <t>2011/07/20</t>
  </si>
  <si>
    <t>2011/07/21</t>
  </si>
  <si>
    <t>상승 95</t>
  </si>
  <si>
    <t>2011/07/22</t>
  </si>
  <si>
    <t>2011/07/25</t>
  </si>
  <si>
    <t>2011/07/26</t>
  </si>
  <si>
    <t>상한 375</t>
  </si>
  <si>
    <t>2011/07/27</t>
  </si>
  <si>
    <t>상승 345</t>
  </si>
  <si>
    <t>2011/07/28</t>
  </si>
  <si>
    <t>2011/07/29</t>
  </si>
  <si>
    <t>상승 125</t>
  </si>
  <si>
    <t>2011/08/01</t>
  </si>
  <si>
    <t>상승 270</t>
  </si>
  <si>
    <t>2011/08/02</t>
  </si>
  <si>
    <t>2011/08/03</t>
  </si>
  <si>
    <t>2011/08/04</t>
  </si>
  <si>
    <t>2011/08/05</t>
  </si>
  <si>
    <t>2011/08/08</t>
  </si>
  <si>
    <t>2011/08/09</t>
  </si>
  <si>
    <t>상한 520</t>
  </si>
  <si>
    <t>2011/08/10</t>
  </si>
  <si>
    <t>2011/08/11</t>
  </si>
  <si>
    <t>하한 595</t>
  </si>
  <si>
    <t>2011/08/12</t>
  </si>
  <si>
    <t>상승 420</t>
  </si>
  <si>
    <t>2011/08/16</t>
  </si>
  <si>
    <t>2011/08/17</t>
  </si>
  <si>
    <t>하락 190</t>
  </si>
  <si>
    <t>2011/08/18</t>
  </si>
  <si>
    <t>2011/08/19</t>
  </si>
  <si>
    <t>2011/08/22</t>
  </si>
  <si>
    <t>2011/08/23</t>
  </si>
  <si>
    <t>2011/08/24</t>
  </si>
  <si>
    <t>하락 225</t>
  </si>
  <si>
    <t>2011/08/25</t>
  </si>
  <si>
    <t>2011/08/26</t>
  </si>
  <si>
    <t>2011/08/29</t>
  </si>
  <si>
    <t>2011/08/30</t>
  </si>
  <si>
    <t>2011/08/31</t>
  </si>
  <si>
    <t>상승 120</t>
  </si>
  <si>
    <t>2011/09/01</t>
  </si>
  <si>
    <t>2011/09/02</t>
  </si>
  <si>
    <t>2011/09/05</t>
  </si>
  <si>
    <t>2011/09/06</t>
  </si>
  <si>
    <t>2011/09/07</t>
  </si>
  <si>
    <t>2011/09/08</t>
  </si>
  <si>
    <t>2011/09/09</t>
  </si>
  <si>
    <t>하락 230</t>
  </si>
  <si>
    <t>2011/09/14</t>
  </si>
  <si>
    <t>2011/09/15</t>
  </si>
  <si>
    <t>2011/09/16</t>
  </si>
  <si>
    <t>2011/09/19</t>
  </si>
  <si>
    <t>2011/09/20</t>
  </si>
  <si>
    <t>2011/09/21</t>
  </si>
  <si>
    <t>하락 165</t>
  </si>
  <si>
    <t>2011/09/22</t>
  </si>
  <si>
    <t>하락 185</t>
  </si>
  <si>
    <t>2011/09/23</t>
  </si>
  <si>
    <t>하한 455</t>
  </si>
  <si>
    <t>2011/09/26</t>
  </si>
  <si>
    <t>상승 165</t>
  </si>
  <si>
    <t>2011/09/27</t>
  </si>
  <si>
    <t>- 현대HCN</t>
    <phoneticPr fontId="28" type="noConversion"/>
  </si>
  <si>
    <t>6개월 평균시총</t>
    <phoneticPr fontId="28" type="noConversion"/>
  </si>
  <si>
    <t>2010/11/01</t>
  </si>
  <si>
    <t>2010/11/02</t>
  </si>
  <si>
    <t>2010/11/03</t>
  </si>
  <si>
    <t>2010/11/04</t>
  </si>
  <si>
    <t>2010/11/05</t>
  </si>
  <si>
    <t>2010/11/08</t>
  </si>
  <si>
    <t>2010/11/09</t>
  </si>
  <si>
    <t>2010/11/10</t>
  </si>
  <si>
    <t>2010/11/11</t>
  </si>
  <si>
    <t>2010/11/12</t>
  </si>
  <si>
    <t>하락 4200</t>
  </si>
  <si>
    <t>2010/11/15</t>
  </si>
  <si>
    <t>하락 2300</t>
  </si>
  <si>
    <t>2010/11/16</t>
  </si>
  <si>
    <t>2010/11/17</t>
  </si>
  <si>
    <t>상승 2100</t>
  </si>
  <si>
    <t>2010/11/18</t>
  </si>
  <si>
    <t>상승 4100</t>
  </si>
  <si>
    <t>2010/11/19</t>
  </si>
  <si>
    <t>2010/11/22</t>
  </si>
  <si>
    <t>2010/11/23</t>
  </si>
  <si>
    <t>2010/11/24</t>
  </si>
  <si>
    <t>2010/11/25</t>
  </si>
  <si>
    <t>2010/11/26</t>
  </si>
  <si>
    <t>하락 1300</t>
  </si>
  <si>
    <t>2010/11/29</t>
  </si>
  <si>
    <t>2010/11/30</t>
  </si>
  <si>
    <t>2010/12/01</t>
  </si>
  <si>
    <t>상승 800</t>
  </si>
  <si>
    <t>2010/12/02</t>
  </si>
  <si>
    <t>2010/12/03</t>
  </si>
  <si>
    <t>하락 1900</t>
  </si>
  <si>
    <t>2010/12/06</t>
  </si>
  <si>
    <t>2010/12/07</t>
  </si>
  <si>
    <t>상승 4500</t>
  </si>
  <si>
    <t>2010/12/08</t>
  </si>
  <si>
    <t>2010/12/09</t>
  </si>
  <si>
    <t>2010/12/10</t>
  </si>
  <si>
    <t>2010/12/13</t>
  </si>
  <si>
    <t>상승 2900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</si>
  <si>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</si>
  <si>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</si>
  <si>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</si>
  <si>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</si>
  <si>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</si>
  <si>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</si>
  <si>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</si>
  <si>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하락 2600</t>
  </si>
  <si>
    <t>하락 1800</t>
  </si>
  <si>
    <t>상승 2600</t>
  </si>
  <si>
    <t>상승 5300</t>
  </si>
  <si>
    <t>하락 2100</t>
  </si>
  <si>
    <t>하락 3300</t>
  </si>
  <si>
    <t>상승 7000</t>
  </si>
  <si>
    <t>상승 1600</t>
  </si>
  <si>
    <t>상승 6700</t>
  </si>
  <si>
    <t>상승 4000</t>
  </si>
  <si>
    <t>상승 7500</t>
  </si>
  <si>
    <t>상승 13000</t>
  </si>
  <si>
    <t>상승 6000</t>
  </si>
  <si>
    <t>상승 5000</t>
  </si>
  <si>
    <t>하락 6500</t>
  </si>
  <si>
    <t>상승 3500</t>
  </si>
  <si>
    <t>상승 6500</t>
  </si>
  <si>
    <t>하락 7000</t>
  </si>
  <si>
    <t>상승 8000</t>
  </si>
  <si>
    <t>하락 7500</t>
  </si>
  <si>
    <t>- 현대홈쇼핑</t>
    <phoneticPr fontId="28" type="noConversion"/>
  </si>
  <si>
    <t>합계</t>
    <phoneticPr fontId="2" type="noConversion"/>
  </si>
  <si>
    <t>비상장</t>
    <phoneticPr fontId="2" type="noConversion"/>
  </si>
  <si>
    <t>비영업</t>
    <phoneticPr fontId="2" type="noConversion"/>
  </si>
  <si>
    <t>영업</t>
    <phoneticPr fontId="2" type="noConversion"/>
  </si>
  <si>
    <t>평가금액</t>
    <phoneticPr fontId="2" type="noConversion"/>
  </si>
  <si>
    <t>장부가액</t>
    <phoneticPr fontId="2" type="noConversion"/>
  </si>
  <si>
    <t>상장여부</t>
    <phoneticPr fontId="2" type="noConversion"/>
  </si>
  <si>
    <t>영업/비영업</t>
    <phoneticPr fontId="2" type="noConversion"/>
  </si>
  <si>
    <t>상승 1250</t>
  </si>
  <si>
    <t>하락 1250</t>
  </si>
  <si>
    <t>하락 1200</t>
  </si>
  <si>
    <t>상승 1350</t>
  </si>
  <si>
    <t>하락 1450</t>
  </si>
  <si>
    <t>상승 1300</t>
  </si>
  <si>
    <t>상승 950</t>
  </si>
  <si>
    <t>하락 1050</t>
  </si>
  <si>
    <t>상승 2250</t>
  </si>
  <si>
    <t>상승 1700</t>
  </si>
  <si>
    <t>- 현대해상화재보험</t>
    <phoneticPr fontId="28" type="noConversion"/>
  </si>
  <si>
    <t>하한 10900</t>
  </si>
  <si>
    <t>하락 2200</t>
  </si>
  <si>
    <t>상승 2300</t>
  </si>
  <si>
    <t>상승 1800</t>
  </si>
  <si>
    <t>상승 3700</t>
  </si>
  <si>
    <t>하락 2700</t>
  </si>
  <si>
    <t>하락 7800</t>
  </si>
  <si>
    <t>상승 4600</t>
  </si>
  <si>
    <t>하락 3100</t>
  </si>
  <si>
    <t>상승 4700</t>
  </si>
  <si>
    <t>하락 3800</t>
  </si>
  <si>
    <t>상승 4900</t>
  </si>
  <si>
    <t>하락 2800</t>
  </si>
  <si>
    <t>상승 6400</t>
  </si>
  <si>
    <t>하락 3900</t>
  </si>
  <si>
    <t>하락 5600</t>
  </si>
  <si>
    <t>하락 3200</t>
  </si>
  <si>
    <t>하락 4100</t>
  </si>
  <si>
    <t>상승 3900</t>
  </si>
  <si>
    <t>하락 6800</t>
  </si>
  <si>
    <t>상승 5900</t>
  </si>
  <si>
    <t>하락 4800</t>
  </si>
  <si>
    <t>상승 3600</t>
  </si>
  <si>
    <t>- 현대건설</t>
    <phoneticPr fontId="28" type="noConversion"/>
  </si>
  <si>
    <t>상승 3450</t>
  </si>
  <si>
    <t>하한 6750</t>
  </si>
  <si>
    <t>상승 2150</t>
  </si>
  <si>
    <t>상한 5350</t>
  </si>
  <si>
    <t>상승 2550</t>
  </si>
  <si>
    <t>하락 2250</t>
  </si>
  <si>
    <t>하락 1350</t>
  </si>
  <si>
    <t>하락 950</t>
  </si>
  <si>
    <t>상한 4300</t>
  </si>
  <si>
    <t>- 현대상선</t>
    <phoneticPr fontId="28" type="noConversion"/>
  </si>
  <si>
    <t>케이티스카이라이프(주)</t>
    <phoneticPr fontId="2" type="noConversion"/>
  </si>
  <si>
    <t>상장</t>
    <phoneticPr fontId="2" type="noConversion"/>
  </si>
  <si>
    <t>현대상선(주)</t>
    <phoneticPr fontId="2" type="noConversion"/>
  </si>
  <si>
    <t>지분법주식</t>
    <phoneticPr fontId="28" type="noConversion"/>
  </si>
  <si>
    <t>매도가능금융자산</t>
    <phoneticPr fontId="2" type="noConversion"/>
  </si>
  <si>
    <t>비영업용자산</t>
    <phoneticPr fontId="28" type="noConversion"/>
  </si>
  <si>
    <t>구분</t>
    <phoneticPr fontId="2" type="noConversion"/>
  </si>
  <si>
    <t>비영업용</t>
    <phoneticPr fontId="2" type="noConversion"/>
  </si>
  <si>
    <t>장부금액</t>
    <phoneticPr fontId="2" type="noConversion"/>
  </si>
  <si>
    <t>3. 현대백화점</t>
    <phoneticPr fontId="2" type="noConversion"/>
  </si>
  <si>
    <t>상한 2050</t>
  </si>
  <si>
    <t>상한 2300</t>
  </si>
  <si>
    <t>상한 2650</t>
  </si>
  <si>
    <t>상승 2450</t>
  </si>
  <si>
    <t>하락 1750</t>
  </si>
  <si>
    <t>상승 2050</t>
  </si>
  <si>
    <t>하한 2550</t>
  </si>
  <si>
    <t>- 롯데미도파</t>
    <phoneticPr fontId="28" type="noConversion"/>
  </si>
  <si>
    <t>매도가능증권</t>
    <phoneticPr fontId="2" type="noConversion"/>
  </si>
  <si>
    <t>비고</t>
    <phoneticPr fontId="2" type="noConversion"/>
  </si>
  <si>
    <t>비영업용자산</t>
    <phoneticPr fontId="2" type="noConversion"/>
  </si>
  <si>
    <t>관련계정</t>
    <phoneticPr fontId="2" type="noConversion"/>
  </si>
  <si>
    <t>2. 롯데쇼핑</t>
    <phoneticPr fontId="2" type="noConversion"/>
  </si>
  <si>
    <t>상장주식</t>
    <phoneticPr fontId="2" type="noConversion"/>
  </si>
  <si>
    <t>영업/비영업구분</t>
    <phoneticPr fontId="2" type="noConversion"/>
  </si>
  <si>
    <t>지분법주식</t>
    <phoneticPr fontId="2" type="noConversion"/>
  </si>
  <si>
    <t>하락 2900</t>
  </si>
  <si>
    <t>하락 4400</t>
  </si>
  <si>
    <t>하락 6200</t>
  </si>
  <si>
    <t>하락 4300</t>
  </si>
  <si>
    <t>- 삼성생명보험</t>
    <phoneticPr fontId="28" type="noConversion"/>
  </si>
  <si>
    <t>상승 5400</t>
  </si>
  <si>
    <t>하락 2650</t>
  </si>
  <si>
    <t>하락 2150</t>
  </si>
  <si>
    <t>하락 5050</t>
  </si>
  <si>
    <t>- 삼성카드</t>
    <phoneticPr fontId="28" type="noConversion"/>
  </si>
  <si>
    <t>690</t>
  </si>
  <si>
    <t>- 대구백화점</t>
    <phoneticPr fontId="28" type="noConversion"/>
  </si>
  <si>
    <t>삼성에버랜드</t>
    <phoneticPr fontId="2" type="noConversion"/>
  </si>
  <si>
    <t>삼성석유화학</t>
    <phoneticPr fontId="2" type="noConversion"/>
  </si>
  <si>
    <t>1. 신세계</t>
    <phoneticPr fontId="2" type="noConversion"/>
  </si>
  <si>
    <t>비영업용자산 구분</t>
    <phoneticPr fontId="2" type="noConversion"/>
  </si>
  <si>
    <t>1주일 평균시총</t>
    <phoneticPr fontId="28" type="noConversion"/>
  </si>
  <si>
    <t>하락 5500</t>
  </si>
  <si>
    <t>상승 9000</t>
  </si>
  <si>
    <t>하락 8000</t>
  </si>
  <si>
    <t>상승 9500</t>
  </si>
  <si>
    <t>상승 10500</t>
  </si>
  <si>
    <t>상승 8500</t>
  </si>
  <si>
    <t>하락 10500</t>
  </si>
  <si>
    <t>상승 12500</t>
  </si>
  <si>
    <t>하락 12000</t>
  </si>
  <si>
    <t>상승 11500</t>
  </si>
  <si>
    <t>하락 14000</t>
  </si>
  <si>
    <t>하락 9500</t>
  </si>
  <si>
    <t>상승 10000</t>
  </si>
  <si>
    <t>하락 13500</t>
  </si>
  <si>
    <t>하락 10000</t>
  </si>
  <si>
    <t>- 현대백화점</t>
    <phoneticPr fontId="28" type="noConversion"/>
  </si>
  <si>
    <t>상승 22500</t>
  </si>
  <si>
    <t>상승 30000</t>
  </si>
  <si>
    <t>상승 16000</t>
  </si>
  <si>
    <t>하락 13000</t>
  </si>
  <si>
    <t>상승 14500</t>
  </si>
  <si>
    <t>상승 13500</t>
  </si>
  <si>
    <t>하락 14500</t>
  </si>
  <si>
    <t>하락 16500</t>
  </si>
  <si>
    <t>상승 23000</t>
  </si>
  <si>
    <t>하락 8500</t>
  </si>
  <si>
    <t>하락 18000</t>
  </si>
  <si>
    <t>상승 21000</t>
  </si>
  <si>
    <t>하락 17000</t>
  </si>
  <si>
    <t>하락 19000</t>
  </si>
  <si>
    <t>상승 19500</t>
  </si>
  <si>
    <t>하락 11000</t>
  </si>
  <si>
    <t>하락 12500</t>
  </si>
  <si>
    <t>상승 25000</t>
  </si>
  <si>
    <t>상승 16500</t>
  </si>
  <si>
    <t>상승 17500</t>
  </si>
  <si>
    <t>상승 14000</t>
  </si>
  <si>
    <t>상승 11000</t>
  </si>
  <si>
    <t>상승 20000</t>
  </si>
  <si>
    <t>하락 9000</t>
  </si>
  <si>
    <t>상승 26500</t>
  </si>
  <si>
    <t>하락 15500</t>
  </si>
  <si>
    <t>하락 16000</t>
  </si>
  <si>
    <t>하락 17500</t>
  </si>
  <si>
    <t>하락 38000</t>
  </si>
  <si>
    <t>상승 15000</t>
  </si>
  <si>
    <t>하락 11500</t>
  </si>
  <si>
    <t>하락 23000</t>
  </si>
  <si>
    <t>하락 15000</t>
  </si>
  <si>
    <t>하락 25000</t>
  </si>
  <si>
    <t>상승 19000</t>
  </si>
  <si>
    <t>- 롯데쇼핑</t>
    <phoneticPr fontId="28" type="noConversion"/>
  </si>
  <si>
    <t>6개월 평균시총(이마트 분할 상장일인 2011.06.10 이후)</t>
    <phoneticPr fontId="28" type="noConversion"/>
  </si>
  <si>
    <t>상승 27000</t>
  </si>
  <si>
    <t>상한 53000</t>
  </si>
  <si>
    <t>하락 41000</t>
  </si>
  <si>
    <t>하락 24500</t>
  </si>
  <si>
    <t>하락 22000</t>
  </si>
  <si>
    <t>하락 20500</t>
  </si>
  <si>
    <t>- 신세계</t>
    <phoneticPr fontId="28" type="noConversion"/>
  </si>
  <si>
    <t>상반기 비율</t>
    <phoneticPr fontId="28" type="noConversion"/>
  </si>
  <si>
    <t>EBITDA</t>
    <phoneticPr fontId="28" type="noConversion"/>
  </si>
  <si>
    <t>무형자산상각비</t>
    <phoneticPr fontId="28" type="noConversion"/>
  </si>
  <si>
    <t>감가상각비</t>
    <phoneticPr fontId="28" type="noConversion"/>
  </si>
  <si>
    <t>영업이익</t>
    <phoneticPr fontId="28" type="noConversion"/>
  </si>
  <si>
    <t>하반기</t>
    <phoneticPr fontId="28" type="noConversion"/>
  </si>
  <si>
    <t>2010년</t>
    <phoneticPr fontId="28" type="noConversion"/>
  </si>
  <si>
    <t>백만원</t>
    <phoneticPr fontId="28" type="noConversion"/>
  </si>
  <si>
    <t>EBITDA(2010년 기준)</t>
    <phoneticPr fontId="28" type="noConversion"/>
  </si>
  <si>
    <t>판관비</t>
    <phoneticPr fontId="28" type="noConversion"/>
  </si>
  <si>
    <t>매출원가</t>
    <phoneticPr fontId="28" type="noConversion"/>
  </si>
  <si>
    <t>매출액</t>
    <phoneticPr fontId="28" type="noConversion"/>
  </si>
  <si>
    <t>EBITDA(2011년 상반기 기준)</t>
    <phoneticPr fontId="28" type="noConversion"/>
  </si>
  <si>
    <t>합계</t>
    <phoneticPr fontId="28" type="noConversion"/>
  </si>
  <si>
    <t>이자부부채</t>
    <phoneticPr fontId="28" type="noConversion"/>
  </si>
  <si>
    <t>이자부 부채/비영업용자산</t>
    <phoneticPr fontId="28" type="noConversion"/>
  </si>
  <si>
    <t>환산비율</t>
    <phoneticPr fontId="2" type="noConversion"/>
  </si>
  <si>
    <t>2011년 1Q ~ 2Q</t>
    <phoneticPr fontId="2" type="noConversion"/>
  </si>
  <si>
    <t>EBITDA</t>
    <phoneticPr fontId="2" type="noConversion"/>
  </si>
  <si>
    <t>이자부부채</t>
    <phoneticPr fontId="2" type="noConversion"/>
  </si>
  <si>
    <t>자기자본가치</t>
    <phoneticPr fontId="2" type="noConversion"/>
  </si>
  <si>
    <t>Enterprise Value</t>
    <phoneticPr fontId="28" type="noConversion"/>
  </si>
  <si>
    <t>Min</t>
    <phoneticPr fontId="28" type="noConversion"/>
  </si>
  <si>
    <t>Average</t>
    <phoneticPr fontId="28" type="noConversion"/>
  </si>
  <si>
    <t>Max</t>
    <phoneticPr fontId="28" type="noConversion"/>
  </si>
  <si>
    <t>현대백화점</t>
    <phoneticPr fontId="28" type="noConversion"/>
  </si>
  <si>
    <t>롯데쇼핑</t>
    <phoneticPr fontId="28" type="noConversion"/>
  </si>
  <si>
    <t>신세계</t>
    <phoneticPr fontId="28" type="noConversion"/>
  </si>
  <si>
    <t>Multiple</t>
    <phoneticPr fontId="28" type="noConversion"/>
  </si>
  <si>
    <t>2011년 상반기</t>
    <phoneticPr fontId="28" type="noConversion"/>
  </si>
  <si>
    <t>EV</t>
    <phoneticPr fontId="28" type="noConversion"/>
  </si>
  <si>
    <t>시가총액</t>
    <phoneticPr fontId="28" type="noConversion"/>
  </si>
  <si>
    <t>조정</t>
    <phoneticPr fontId="28" type="noConversion"/>
  </si>
  <si>
    <t>연기준 환산</t>
    <phoneticPr fontId="28" type="noConversion"/>
  </si>
  <si>
    <t>EV 산정</t>
    <phoneticPr fontId="28" type="noConversion"/>
  </si>
  <si>
    <t>구분</t>
    <phoneticPr fontId="28" type="noConversion"/>
  </si>
  <si>
    <t>EV/EBITDA multiple</t>
    <phoneticPr fontId="28" type="noConversion"/>
  </si>
  <si>
    <t>토지, 건물</t>
    <phoneticPr fontId="2" type="noConversion"/>
  </si>
  <si>
    <t>투자부동산</t>
    <phoneticPr fontId="2" type="noConversion"/>
  </si>
  <si>
    <t>조선호텔</t>
    <phoneticPr fontId="2" type="noConversion"/>
  </si>
  <si>
    <t>종속기업투자(비상장)</t>
    <phoneticPr fontId="2" type="noConversion"/>
  </si>
  <si>
    <t>신세계아이앤씨외 1개사</t>
    <phoneticPr fontId="2" type="noConversion"/>
  </si>
  <si>
    <t>종속기업투자(상장)</t>
    <phoneticPr fontId="2" type="noConversion"/>
  </si>
  <si>
    <t>코스트코코리아외 2개사</t>
    <phoneticPr fontId="2" type="noConversion"/>
  </si>
  <si>
    <t>매도가능증권(비상장)</t>
    <phoneticPr fontId="2" type="noConversion"/>
  </si>
  <si>
    <t>2개년 평균(2011년, 2012년)</t>
    <phoneticPr fontId="28" type="noConversion"/>
  </si>
  <si>
    <t>삼성생명</t>
    <phoneticPr fontId="2" type="noConversion"/>
  </si>
  <si>
    <t>매도가능증권(상장)</t>
    <phoneticPr fontId="2" type="noConversion"/>
  </si>
  <si>
    <t>2012년</t>
    <phoneticPr fontId="28" type="noConversion"/>
  </si>
  <si>
    <t>내역</t>
    <phoneticPr fontId="2" type="noConversion"/>
  </si>
  <si>
    <t>2011년</t>
    <phoneticPr fontId="28" type="noConversion"/>
  </si>
  <si>
    <t>EBITDA 추정결과</t>
    <phoneticPr fontId="28" type="noConversion"/>
  </si>
  <si>
    <t>부현개발외 1개사</t>
    <phoneticPr fontId="2" type="noConversion"/>
  </si>
  <si>
    <t>현대HCN</t>
    <phoneticPr fontId="2" type="noConversion"/>
  </si>
  <si>
    <t>평균 EBITDA 기준</t>
    <phoneticPr fontId="28" type="noConversion"/>
  </si>
  <si>
    <t>현대종합상사외 10개사</t>
    <phoneticPr fontId="2" type="noConversion"/>
  </si>
  <si>
    <t>현대해상외 2개사</t>
    <phoneticPr fontId="2" type="noConversion"/>
  </si>
  <si>
    <t>2011년 EBITDA 기준</t>
    <phoneticPr fontId="28" type="noConversion"/>
  </si>
  <si>
    <t>주식가치</t>
    <phoneticPr fontId="28" type="noConversion"/>
  </si>
  <si>
    <t>주식수</t>
    <phoneticPr fontId="28" type="noConversion"/>
  </si>
  <si>
    <t>자기자본가치</t>
    <phoneticPr fontId="28" type="noConversion"/>
  </si>
  <si>
    <t>비영업용 자산</t>
    <phoneticPr fontId="28" type="noConversion"/>
  </si>
  <si>
    <t>EV 추정액</t>
    <phoneticPr fontId="28" type="noConversion"/>
  </si>
  <si>
    <t>기업가치평가</t>
    <phoneticPr fontId="28" type="noConversion"/>
  </si>
  <si>
    <t>롯데카드외 19개사</t>
    <phoneticPr fontId="2" type="noConversion"/>
  </si>
  <si>
    <t>1주당 가치(원)</t>
    <phoneticPr fontId="28" type="noConversion"/>
  </si>
  <si>
    <t>Equity Value</t>
    <phoneticPr fontId="28" type="noConversion"/>
  </si>
  <si>
    <t>Net Debt</t>
    <phoneticPr fontId="28" type="noConversion"/>
  </si>
  <si>
    <t>Non-operating Value</t>
    <phoneticPr fontId="28" type="noConversion"/>
  </si>
  <si>
    <t>토지, 건물, 구축물</t>
    <phoneticPr fontId="2" type="noConversion"/>
  </si>
  <si>
    <t>추정 EBITDA(*)</t>
    <phoneticPr fontId="28" type="noConversion"/>
  </si>
  <si>
    <t>삼성석유화학외 4개사</t>
    <phoneticPr fontId="2" type="noConversion"/>
  </si>
  <si>
    <t>삼성생명외 1개사</t>
    <phoneticPr fontId="2" type="noConversion"/>
  </si>
  <si>
    <t>Avg</t>
    <phoneticPr fontId="28" type="noConversion"/>
  </si>
  <si>
    <t>Multiple 범위</t>
    <phoneticPr fontId="28" type="noConversion"/>
  </si>
  <si>
    <t>평균 Multiple</t>
    <phoneticPr fontId="28" type="noConversion"/>
  </si>
  <si>
    <t>(주)현대백화점</t>
    <phoneticPr fontId="28" type="noConversion"/>
  </si>
  <si>
    <t>종속기업투자</t>
    <phoneticPr fontId="2" type="noConversion"/>
  </si>
  <si>
    <t>롯데쇼핑(주)</t>
    <phoneticPr fontId="28" type="noConversion"/>
  </si>
  <si>
    <t>(주)신세계</t>
    <phoneticPr fontId="28" type="noConversion"/>
  </si>
  <si>
    <t>백화점업</t>
    <phoneticPr fontId="28" type="noConversion"/>
  </si>
  <si>
    <t>㈜이마트</t>
    <phoneticPr fontId="28" type="noConversion"/>
  </si>
  <si>
    <t>㈜현대백화점</t>
    <phoneticPr fontId="28" type="noConversion"/>
  </si>
  <si>
    <t>롯데쇼핑㈜</t>
    <phoneticPr fontId="28" type="noConversion"/>
  </si>
  <si>
    <t>㈜신세계</t>
    <phoneticPr fontId="28" type="noConversion"/>
  </si>
  <si>
    <t>2011년 &amp; 2012년 평균 기준</t>
    <phoneticPr fontId="28" type="noConversion"/>
  </si>
  <si>
    <t>2011년 기준</t>
    <phoneticPr fontId="28" type="noConversion"/>
  </si>
  <si>
    <t>적용 EBITDA</t>
    <phoneticPr fontId="28" type="noConversion"/>
  </si>
  <si>
    <t>Multiple Method</t>
    <phoneticPr fontId="28" type="noConversion"/>
  </si>
  <si>
    <t>9.14~ 11.82</t>
    <phoneticPr fontId="28" type="noConversion"/>
  </si>
  <si>
    <t>2011 1H</t>
    <phoneticPr fontId="2" type="noConversion"/>
  </si>
  <si>
    <t>매출액</t>
    <phoneticPr fontId="2" type="noConversion"/>
  </si>
  <si>
    <t>매출액 대비 비율</t>
    <phoneticPr fontId="2" type="noConversion"/>
  </si>
  <si>
    <t>퇴직급여</t>
    <phoneticPr fontId="28" type="noConversion"/>
  </si>
  <si>
    <t>복리후생비</t>
    <phoneticPr fontId="28" type="noConversion"/>
  </si>
  <si>
    <t>2011 1H</t>
    <phoneticPr fontId="28" type="noConversion"/>
  </si>
  <si>
    <t>직전 2.5개년 매출액 대비 평균 비율을 계속 유지</t>
    <phoneticPr fontId="28" type="noConversion"/>
  </si>
  <si>
    <t>2007년</t>
    <phoneticPr fontId="2" type="noConversion"/>
  </si>
  <si>
    <t>전자랜드</t>
    <phoneticPr fontId="2" type="noConversion"/>
  </si>
  <si>
    <t>리빙프라자</t>
    <phoneticPr fontId="2" type="noConversion"/>
  </si>
  <si>
    <t>하이프라자</t>
    <phoneticPr fontId="2" type="noConversion"/>
  </si>
  <si>
    <r>
      <t>업계평균</t>
    </r>
    <r>
      <rPr>
        <i/>
        <vertAlign val="superscript"/>
        <sz val="9"/>
        <color theme="3"/>
        <rFont val="맑은 고딕"/>
        <family val="3"/>
        <charset val="129"/>
        <scheme val="minor"/>
      </rPr>
      <t>1</t>
    </r>
    <phoneticPr fontId="2" type="noConversion"/>
  </si>
  <si>
    <r>
      <t>2008</t>
    </r>
    <r>
      <rPr>
        <b/>
        <vertAlign val="superscript"/>
        <sz val="9"/>
        <color theme="3"/>
        <rFont val="Century Gothic"/>
        <family val="2"/>
      </rPr>
      <t xml:space="preserve"> 1</t>
    </r>
    <phoneticPr fontId="28" type="noConversion"/>
  </si>
  <si>
    <r>
      <t>성장률</t>
    </r>
    <r>
      <rPr>
        <i/>
        <vertAlign val="superscript"/>
        <sz val="9"/>
        <color theme="3"/>
        <rFont val="맑은 고딕"/>
        <family val="3"/>
        <charset val="129"/>
        <scheme val="minor"/>
      </rPr>
      <t xml:space="preserve"> 1</t>
    </r>
    <phoneticPr fontId="2" type="noConversion"/>
  </si>
  <si>
    <r>
      <t xml:space="preserve">시장규모(억원) </t>
    </r>
    <r>
      <rPr>
        <b/>
        <vertAlign val="superscript"/>
        <sz val="9"/>
        <color theme="1"/>
        <rFont val="맑은 고딕"/>
        <family val="3"/>
        <charset val="129"/>
        <scheme val="minor"/>
      </rPr>
      <t>2</t>
    </r>
    <phoneticPr fontId="2" type="noConversion"/>
  </si>
  <si>
    <r>
      <t>2011 2H</t>
    </r>
    <r>
      <rPr>
        <b/>
        <vertAlign val="superscript"/>
        <sz val="9"/>
        <color theme="3"/>
        <rFont val="Century Gothic"/>
        <family val="2"/>
      </rPr>
      <t xml:space="preserve"> 1</t>
    </r>
    <phoneticPr fontId="2" type="noConversion"/>
  </si>
  <si>
    <r>
      <t>비율</t>
    </r>
    <r>
      <rPr>
        <b/>
        <vertAlign val="superscript"/>
        <sz val="9"/>
        <color theme="3"/>
        <rFont val="맑은 고딕"/>
        <family val="3"/>
        <charset val="129"/>
        <scheme val="minor"/>
      </rPr>
      <t xml:space="preserve"> 2</t>
    </r>
    <phoneticPr fontId="2" type="noConversion"/>
  </si>
  <si>
    <t>Average</t>
    <phoneticPr fontId="28" type="noConversion"/>
  </si>
  <si>
    <t>2011 1H A</t>
    <phoneticPr fontId="2" type="noConversion"/>
  </si>
  <si>
    <t>토지</t>
    <phoneticPr fontId="2" type="noConversion"/>
  </si>
  <si>
    <t>건물</t>
    <phoneticPr fontId="2" type="noConversion"/>
  </si>
  <si>
    <t>구축물</t>
    <phoneticPr fontId="2" type="noConversion"/>
  </si>
  <si>
    <t>차량운반구</t>
    <phoneticPr fontId="2" type="noConversion"/>
  </si>
  <si>
    <t>비품</t>
    <phoneticPr fontId="2" type="noConversion"/>
  </si>
  <si>
    <t>무형자산</t>
    <phoneticPr fontId="2" type="noConversion"/>
  </si>
  <si>
    <t>임차보증금</t>
    <phoneticPr fontId="2" type="noConversion"/>
  </si>
  <si>
    <t>구분</t>
    <phoneticPr fontId="2" type="noConversion"/>
  </si>
  <si>
    <t>유형자산</t>
    <phoneticPr fontId="2" type="noConversion"/>
  </si>
  <si>
    <t>합계</t>
    <phoneticPr fontId="2" type="noConversion"/>
  </si>
  <si>
    <t>무형자산(영업권 제외)</t>
    <phoneticPr fontId="2" type="noConversion"/>
  </si>
  <si>
    <t>합계</t>
    <phoneticPr fontId="28" type="noConversion"/>
  </si>
  <si>
    <t>내역</t>
    <phoneticPr fontId="28" type="noConversion"/>
  </si>
  <si>
    <t>점포당 매출액</t>
    <phoneticPr fontId="2" type="noConversion"/>
  </si>
  <si>
    <t>점포수</t>
    <phoneticPr fontId="2" type="noConversion"/>
  </si>
  <si>
    <t>전년대비 점포수 변동</t>
    <phoneticPr fontId="28" type="noConversion"/>
  </si>
  <si>
    <t>유형자산</t>
    <phoneticPr fontId="28" type="noConversion"/>
  </si>
  <si>
    <t>무형자산</t>
    <phoneticPr fontId="28" type="noConversion"/>
  </si>
  <si>
    <t>임차보증금</t>
    <phoneticPr fontId="28" type="noConversion"/>
  </si>
  <si>
    <t>합계</t>
    <phoneticPr fontId="28" type="noConversion"/>
  </si>
  <si>
    <t>2011 1H</t>
    <phoneticPr fontId="28" type="noConversion"/>
  </si>
  <si>
    <r>
      <t>추정 EBITDA</t>
    </r>
    <r>
      <rPr>
        <vertAlign val="superscript"/>
        <sz val="9"/>
        <color theme="1"/>
        <rFont val="맑은 고딕"/>
        <family val="3"/>
        <charset val="129"/>
      </rPr>
      <t xml:space="preserve"> 1</t>
    </r>
    <phoneticPr fontId="28" type="noConversion"/>
  </si>
  <si>
    <t>Enterprise Value</t>
    <phoneticPr fontId="28" type="noConversion"/>
  </si>
  <si>
    <r>
      <t>Enterprise Value</t>
    </r>
    <r>
      <rPr>
        <b/>
        <vertAlign val="superscript"/>
        <sz val="9"/>
        <color theme="1"/>
        <rFont val="Century Gothic"/>
        <family val="2"/>
      </rPr>
      <t xml:space="preserve"> 1</t>
    </r>
    <phoneticPr fontId="28" type="noConversion"/>
  </si>
  <si>
    <r>
      <t>환산비율</t>
    </r>
    <r>
      <rPr>
        <vertAlign val="superscript"/>
        <sz val="9"/>
        <color theme="1"/>
        <rFont val="맑은 고딕"/>
        <family val="3"/>
        <charset val="129"/>
        <scheme val="minor"/>
      </rPr>
      <t xml:space="preserve"> 2</t>
    </r>
    <phoneticPr fontId="2" type="noConversion"/>
  </si>
  <si>
    <t>회사제시</t>
    <phoneticPr fontId="2" type="noConversion"/>
  </si>
  <si>
    <t>2011 1H</t>
    <phoneticPr fontId="2" type="noConversion"/>
  </si>
  <si>
    <t>2011 2H</t>
    <phoneticPr fontId="2" type="noConversion"/>
  </si>
  <si>
    <t>1개년</t>
    <phoneticPr fontId="2" type="noConversion"/>
  </si>
  <si>
    <t>2개년</t>
    <phoneticPr fontId="2" type="noConversion"/>
  </si>
  <si>
    <t>3개년</t>
    <phoneticPr fontId="2" type="noConversion"/>
  </si>
  <si>
    <t>(1) 건물</t>
    <phoneticPr fontId="2" type="noConversion"/>
  </si>
  <si>
    <t>(4) 무형자산</t>
    <phoneticPr fontId="2" type="noConversion"/>
  </si>
  <si>
    <t>장부가액</t>
    <phoneticPr fontId="2" type="noConversion"/>
  </si>
  <si>
    <t>2010년 취득</t>
    <phoneticPr fontId="2" type="noConversion"/>
  </si>
  <si>
    <t>2009년 취득</t>
    <phoneticPr fontId="2" type="noConversion"/>
  </si>
  <si>
    <t>2008년 취득</t>
    <phoneticPr fontId="2" type="noConversion"/>
  </si>
  <si>
    <t>합계</t>
    <phoneticPr fontId="2" type="noConversion"/>
  </si>
  <si>
    <t>기타</t>
    <phoneticPr fontId="2" type="noConversion"/>
  </si>
  <si>
    <t>&lt;2011년 상반기 취득액&gt;</t>
    <phoneticPr fontId="2" type="noConversion"/>
  </si>
  <si>
    <t>유형자산</t>
    <phoneticPr fontId="2" type="noConversion"/>
  </si>
  <si>
    <t>무형자산</t>
    <phoneticPr fontId="2" type="noConversion"/>
  </si>
  <si>
    <t>소계</t>
    <phoneticPr fontId="2" type="noConversion"/>
  </si>
  <si>
    <t>2008년</t>
    <phoneticPr fontId="2" type="noConversion"/>
  </si>
  <si>
    <t>취득가액 구분</t>
    <phoneticPr fontId="2" type="noConversion"/>
  </si>
  <si>
    <t>2009년</t>
  </si>
  <si>
    <t>2010년</t>
  </si>
  <si>
    <t>비율</t>
    <phoneticPr fontId="2" type="noConversion"/>
  </si>
  <si>
    <t>2011년 상반기 취득분</t>
  </si>
  <si>
    <t>2011년 상반기 취득분</t>
    <phoneticPr fontId="2" type="noConversion"/>
  </si>
  <si>
    <t>백만원</t>
    <phoneticPr fontId="28" type="noConversion"/>
  </si>
  <si>
    <t>I. 시장점유율 기준 (top-down approach)</t>
    <phoneticPr fontId="2" type="noConversion"/>
  </si>
  <si>
    <t>II. 점당매출액 기준 (bottom-up approach)</t>
    <phoneticPr fontId="2" type="noConversion"/>
  </si>
  <si>
    <t>단위: 백만원</t>
    <phoneticPr fontId="2" type="noConversion"/>
  </si>
  <si>
    <t>Key performance indicators</t>
    <phoneticPr fontId="2" type="noConversion"/>
  </si>
  <si>
    <t>Sales growth rate (yoy%)</t>
    <phoneticPr fontId="2" type="noConversion"/>
  </si>
  <si>
    <t>Summary</t>
    <phoneticPr fontId="2" type="noConversion"/>
  </si>
  <si>
    <t>Assumption</t>
    <phoneticPr fontId="2" type="noConversion"/>
  </si>
  <si>
    <t>중소기업의 H마트 활용도 등 기술</t>
  </si>
  <si>
    <t>H마트</t>
  </si>
  <si>
    <t>(*)H마트의 경우 2007년, 2008년 합병 이후 경영성과 기준</t>
  </si>
  <si>
    <t>(*)H마트의 경우 2008년 판관비 중 영업권 상각액 제외</t>
  </si>
  <si>
    <t>H마트 점포 수</t>
  </si>
  <si>
    <t>&lt;출처 : H마트 IR자료. 2007년 ~ 2008년의 경우 K-GAAP에 의한 관리재무제표 기준&gt;</t>
  </si>
  <si>
    <t>&lt;출처 : Euromonitor, H마트의 경우 회사제시 IR자료&gt;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</si>
</sst>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1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(* #,##0_);_(* \(#,##0\);_(* &quot;-&quot;_);@_)"/>
    <numFmt numFmtId="177" formatCode="0%_);\(0%\)"/>
    <numFmt numFmtId="178" formatCode="0.0%"/>
    <numFmt numFmtId="179" formatCode="_-[$€-2]* #,##0.00_-;\-[$€-2]* #,##0.00_-;_-[$€-2]* &quot;-&quot;??_-"/>
    <numFmt numFmtId="180" formatCode="#,###,,;\(#,###,,\);\-_-"/>
    <numFmt numFmtId="181" formatCode="0.0%_);\(0.0%\)"/>
    <numFmt numFmtId="182" formatCode="0.00%_);\(0.00%\)"/>
    <numFmt numFmtId="183" formatCode="yyyy&quot;/&quot;m&quot;/&quot;d"/>
    <numFmt numFmtId="184" formatCode="\(0\)"/>
    <numFmt numFmtId="185" formatCode="\(0.0\)"/>
    <numFmt numFmtId="186" formatCode="\(0.00\)"/>
    <numFmt numFmtId="187" formatCode="\(\-0.0\)"/>
    <numFmt numFmtId="188" formatCode="\(\-\-0.0\)"/>
    <numFmt numFmtId="189" formatCode="\(#,##0\)"/>
    <numFmt numFmtId="190" formatCode="yy&quot;-&quot;m&quot;-&quot;d"/>
    <numFmt numFmtId="191" formatCode="\(0%\)"/>
    <numFmt numFmtId="192" formatCode="#,##0.000"/>
    <numFmt numFmtId="193" formatCode="\(0.0%\);[Red]\(\-0.0%\)"/>
    <numFmt numFmtId="194" formatCode=".\-############################################;###################################"/>
    <numFmt numFmtId="195" formatCode="#,##0.000;[Red]\-#,##0.000"/>
    <numFmt numFmtId="196" formatCode="&quot;₩&quot;#,##0;&quot;₩&quot;&quot;₩&quot;\-#,##0"/>
    <numFmt numFmtId="197" formatCode="&quot;₩&quot;#,##0;[Red]&quot;₩&quot;&quot;₩&quot;\-#,##0"/>
    <numFmt numFmtId="198" formatCode="&quot;₩&quot;#,##0.00;&quot;₩&quot;&quot;₩&quot;\-#,##0.00"/>
    <numFmt numFmtId="199" formatCode="&quot;₩&quot;#,##0.00;[Red]&quot;₩&quot;&quot;₩&quot;\-#,##0.00"/>
    <numFmt numFmtId="200" formatCode="_ &quot;₩&quot;* #,##0_ ;_ &quot;₩&quot;* &quot;₩&quot;\-#,##0_ ;_ &quot;₩&quot;* &quot;-&quot;_ ;_ @_ "/>
    <numFmt numFmtId="201" formatCode="_ * #,##0_ ;_ * &quot;₩&quot;\-#,##0_ ;_ * &quot;-&quot;_ ;_ @_ "/>
    <numFmt numFmtId="202" formatCode="_ &quot;₩&quot;* #,##0.00_ ;_ &quot;₩&quot;* &quot;₩&quot;\-#,##0.00_ ;_ &quot;₩&quot;* &quot;-&quot;??_ ;_ @_ "/>
    <numFmt numFmtId="203" formatCode="_ * #,##0.00_ ;_ * &quot;₩&quot;\-#,##0.00_ ;_ * &quot;-&quot;??_ ;_ @_ "/>
    <numFmt numFmtId="204" formatCode="&quot;₩&quot;#,##0;&quot;₩&quot;&quot;₩&quot;&quot;₩&quot;\-#,##0"/>
    <numFmt numFmtId="205" formatCode="&quot;₩&quot;#,##0;[Red]&quot;₩&quot;&quot;₩&quot;&quot;₩&quot;\-#,##0"/>
    <numFmt numFmtId="206" formatCode="&quot;₩&quot;#,##0.00;&quot;₩&quot;&quot;₩&quot;&quot;₩&quot;\-#,##0.00"/>
    <numFmt numFmtId="207" formatCode="&quot;₩&quot;#,##0.00;[Red]&quot;₩&quot;&quot;₩&quot;&quot;₩&quot;\-#,##0.00"/>
    <numFmt numFmtId="208" formatCode="_ &quot;₩&quot;* #,##0_ ;_ &quot;₩&quot;* &quot;₩&quot;&quot;₩&quot;\-#,##0_ ;_ &quot;₩&quot;* &quot;-&quot;_ ;_ @_ "/>
    <numFmt numFmtId="209" formatCode="_ * #,##0_ ;_ * &quot;₩&quot;&quot;₩&quot;\-#,##0_ ;_ * &quot;-&quot;_ ;_ @_ "/>
    <numFmt numFmtId="210" formatCode="mm&quot;월&quot;\ dd&quot;일&quot;"/>
    <numFmt numFmtId="211" formatCode="&quot;$&quot;#,##0.00_);[Red]\(&quot;$&quot;#,##0.00\)"/>
    <numFmt numFmtId="212" formatCode="#,##0;&quot;△&quot;#,##0"/>
    <numFmt numFmtId="213" formatCode="&quot;SFr.&quot;#,##0.00;[Red]&quot;SFr.&quot;\-#,##0.00"/>
    <numFmt numFmtId="214" formatCode="_(* #,##0_);_(* \(#,##0\);_(* &quot;-&quot;_);_(@_)"/>
    <numFmt numFmtId="215" formatCode="_(&quot;$&quot;* #,##0_);_(&quot;$&quot;* \(#,##0\);_(&quot;$&quot;* &quot;-&quot;_);_(@_)"/>
    <numFmt numFmtId="216" formatCode="_ * #,##0_ ;_ * \-#,##0_ ;_ * &quot;-&quot;_ ;_ @_ "/>
    <numFmt numFmtId="217" formatCode="mmmm\-yy"/>
    <numFmt numFmtId="218" formatCode="&quot;$&quot;#,##0.00_);\(&quot;$&quot;#,##0.00\)"/>
    <numFmt numFmtId="219" formatCode="&quot;$&quot;#,##0_);[Red]\(&quot;$&quot;#,##0\)"/>
    <numFmt numFmtId="220" formatCode="_(&quot;$&quot;* #,##0.00_);_(&quot;$&quot;* \(#,##0.00\);_(&quot;$&quot;* &quot;-&quot;??_);_(@_)"/>
    <numFmt numFmtId="221" formatCode="_(* #,##0.00_);_(* \(#,##0.00\);_(* &quot;-&quot;??_);_(@_)"/>
    <numFmt numFmtId="222" formatCode="_(* #,##0_);_(* \(#,##0\);_(* &quot;-&quot;?_);@_)"/>
    <numFmt numFmtId="223" formatCode="_(* #,##0.0_);_(* \(#,##0.0\);_(* &quot;-&quot;?_);@_)"/>
    <numFmt numFmtId="224" formatCode="0.000000000000"/>
    <numFmt numFmtId="225" formatCode="#,##0.00&quot; $&quot;;[Red]\-#,##0.00&quot; $&quot;"/>
    <numFmt numFmtId="226" formatCode="m\o\n\th\ d\,\ yyyy"/>
    <numFmt numFmtId="227" formatCode="_-* #,##0\ _D_M_-;\-* #,##0\ _D_M_-;_-* &quot;-&quot;\ _D_M_-;_-@_-"/>
    <numFmt numFmtId="228" formatCode="_-* #,##0.00\ _D_M_-;\-* #,##0.00\ _D_M_-;_-* &quot;-&quot;??\ _D_M_-;_-@_-"/>
    <numFmt numFmtId="229" formatCode="0.0&quot;  &quot;"/>
    <numFmt numFmtId="230" formatCode="#.00"/>
    <numFmt numFmtId="231" formatCode="#."/>
    <numFmt numFmtId="232" formatCode="_-* #,##0\ _F_-;\-* #,##0\ _F_-;_-* &quot;-&quot;\ _F_-;_-@_-"/>
    <numFmt numFmtId="233" formatCode="_-* #,##0.0_-;\-* #,##0.0_-;_-* &quot;-&quot;_-;_-@_-"/>
    <numFmt numFmtId="234" formatCode="_-&quot;$&quot;\ * #,##0_-;\-&quot;$&quot;\ * #,##0_-;_-&quot;$&quot;\ * &quot;-&quot;_-;_-@_-"/>
    <numFmt numFmtId="235" formatCode="_-&quot;$&quot;\ * #,##0.00_-;\-&quot;$&quot;\ * #,##0.00_-;_-&quot;$&quot;\ * &quot;-&quot;??_-;_-@_-"/>
    <numFmt numFmtId="236" formatCode="#,##0_ "/>
    <numFmt numFmtId="237" formatCode="#,##0_ ;[Red]\-#,##0\ "/>
    <numFmt numFmtId="238" formatCode="#,##0.0"/>
    <numFmt numFmtId="239" formatCode="#,##0_);[Red]\(#,##0\);_-* &quot;-&quot;_-;_-@_-"/>
    <numFmt numFmtId="240" formatCode="#,##0.00_ "/>
    <numFmt numFmtId="241" formatCode="_(* #,##0,,_);_(* \(#,##0,,\);_(* &quot;-&quot;_);@_)"/>
    <numFmt numFmtId="242" formatCode="#,##0_);\(#,##0\)"/>
    <numFmt numFmtId="243" formatCode="#,##0_);[Red]\(#,##0\)"/>
    <numFmt numFmtId="244" formatCode="_(* #,##0.0_);_(* \(#,##0.0\);_(* &quot;-&quot;_);_(@_)"/>
    <numFmt numFmtId="245" formatCode="_(* #,##0.0_);_(* \(#,##0.0\);_(* &quot;-&quot;_);@_)"/>
    <numFmt numFmtId="246" formatCode="_-* #,##0.0000_-;\-* #,##0.0000_-;_-* &quot;-&quot;_-;_-@_-"/>
    <numFmt numFmtId="247" formatCode="0.000%"/>
    <numFmt numFmtId="248" formatCode="_(* #,##0.0000_);_(* \(#,##0.0000\);_(* &quot;-&quot;_);@_)"/>
    <numFmt numFmtId="249" formatCode="_(* #,##0.000_);_(* \(#,##0.000\);_(* &quot;-&quot;_);@_)"/>
    <numFmt numFmtId="250" formatCode="#,##0.000_ ;[Red]\-#,##0.000\ "/>
    <numFmt numFmtId="251" formatCode="_(* #,##0.00_);_(* \(#,##0.00\);_(* &quot;-&quot;_);@_)"/>
    <numFmt numFmtId="252" formatCode="#,##0,,_);[Red]\(#,##0,,\);&quot;-&quot;_)"/>
    <numFmt numFmtId="253" formatCode="_(* #,##0.00_);_(* \(#,##0.00\);_(* &quot;-&quot;?_);@_)"/>
    <numFmt numFmtId="254" formatCode="0.000"/>
    <numFmt numFmtId="255" formatCode="#,##0.00_ ;[Red]\-#,##0.00\ "/>
    <numFmt numFmtId="256" formatCode="#,##0,,_);\(#,##0,,\);&quot;- &quot;"/>
    <numFmt numFmtId="257" formatCode="#,###,,"/>
    <numFmt numFmtId="258" formatCode="_(* #,##0.00_);_(* \(#,##0.00\);_(* &quot;-&quot;_);_(@_)"/>
    <numFmt numFmtId="259" formatCode="#,##0&quot;명&quot;"/>
    <numFmt numFmtId="260" formatCode="0.000%_);\(0.000%\)"/>
    <numFmt numFmtId="261" formatCode="0_);[Red]\(0\)"/>
    <numFmt numFmtId="262" formatCode="General_)"/>
  </numFmts>
  <fonts count="2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9"/>
      <color theme="3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3"/>
      <name val="가는각진제목체"/>
      <family val="1"/>
      <charset val="129"/>
    </font>
    <font>
      <sz val="10"/>
      <color theme="1"/>
      <name val="가는각진제목체"/>
      <family val="1"/>
      <charset val="129"/>
    </font>
    <font>
      <b/>
      <sz val="10"/>
      <color theme="3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3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color rgb="FF000000"/>
      <name val="가는각진제목체"/>
      <family val="1"/>
      <charset val="129"/>
    </font>
    <font>
      <b/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가는각진제목체"/>
      <family val="1"/>
      <charset val="129"/>
    </font>
    <font>
      <sz val="8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color indexed="8"/>
      <name val="가는각진제목체"/>
      <family val="1"/>
      <charset val="129"/>
    </font>
    <font>
      <b/>
      <sz val="10"/>
      <color rgb="FF000000"/>
      <name val="가는각진제목체"/>
      <family val="1"/>
      <charset val="129"/>
    </font>
    <font>
      <b/>
      <sz val="18"/>
      <color theme="3"/>
      <name val="Arial"/>
      <family val="2"/>
    </font>
    <font>
      <sz val="14"/>
      <name val="굴림체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9"/>
      <color theme="0"/>
      <name val="맑은 고딕"/>
      <family val="2"/>
      <scheme val="minor"/>
    </font>
    <font>
      <sz val="11"/>
      <color indexed="10"/>
      <name val="맑은 고딕"/>
      <family val="3"/>
      <charset val="129"/>
    </font>
    <font>
      <sz val="9"/>
      <color rgb="FFFF0000"/>
      <name val="맑은 고딕"/>
      <family val="2"/>
      <scheme val="minor"/>
    </font>
    <font>
      <b/>
      <sz val="11"/>
      <color indexed="52"/>
      <name val="맑은 고딕"/>
      <family val="3"/>
      <charset val="129"/>
    </font>
    <font>
      <b/>
      <sz val="9"/>
      <color rgb="FFFA7D00"/>
      <name val="맑은 고딕"/>
      <family val="2"/>
      <scheme val="minor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9"/>
      <color rgb="FF9C0006"/>
      <name val="맑은 고딕"/>
      <family val="2"/>
      <scheme val="minor"/>
    </font>
    <font>
      <sz val="1"/>
      <color indexed="8"/>
      <name val="Courier"/>
      <family val="3"/>
    </font>
    <font>
      <u/>
      <sz val="8.8000000000000007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가는각진제목체"/>
      <family val="1"/>
      <charset val="129"/>
    </font>
    <font>
      <sz val="11"/>
      <color indexed="60"/>
      <name val="맑은 고딕"/>
      <family val="3"/>
      <charset val="129"/>
    </font>
    <font>
      <sz val="9"/>
      <color rgb="FF9C6500"/>
      <name val="맑은 고딕"/>
      <family val="2"/>
      <scheme val="minor"/>
    </font>
    <font>
      <sz val="12"/>
      <name val="뼻뮝"/>
      <family val="3"/>
      <charset val="129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i/>
      <sz val="9"/>
      <color rgb="FF7F7F7F"/>
      <name val="맑은 고딕"/>
      <family val="2"/>
      <scheme val="minor"/>
    </font>
    <font>
      <b/>
      <sz val="11"/>
      <color indexed="9"/>
      <name val="맑은 고딕"/>
      <family val="3"/>
      <charset val="129"/>
    </font>
    <font>
      <b/>
      <sz val="9"/>
      <color theme="0"/>
      <name val="맑은 고딕"/>
      <family val="2"/>
      <scheme val="minor"/>
    </font>
    <font>
      <sz val="10"/>
      <name val="돋움체"/>
      <family val="3"/>
      <charset val="129"/>
    </font>
    <font>
      <sz val="10"/>
      <color theme="1"/>
      <name val="맑은 고딕"/>
      <family val="2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9"/>
      <color rgb="FFFA7D00"/>
      <name val="맑은 고딕"/>
      <family val="2"/>
      <scheme val="minor"/>
    </font>
    <font>
      <u/>
      <sz val="9"/>
      <color theme="7"/>
      <name val="맑은 고딕"/>
      <family val="2"/>
      <scheme val="minor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9"/>
      <color rgb="FF3F3F76"/>
      <name val="맑은 고딕"/>
      <family val="2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9"/>
      <color rgb="FF006100"/>
      <name val="맑은 고딕"/>
      <family val="2"/>
      <scheme val="minor"/>
    </font>
    <font>
      <sz val="12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9"/>
      <color rgb="FF3F3F3F"/>
      <name val="맑은 고딕"/>
      <family val="2"/>
      <scheme val="minor"/>
    </font>
    <font>
      <sz val="11"/>
      <name val="굴림체"/>
      <family val="3"/>
      <charset val="129"/>
    </font>
    <font>
      <sz val="9"/>
      <name val="Arial"/>
      <family val="2"/>
    </font>
    <font>
      <sz val="6"/>
      <color indexed="8"/>
      <name val="Arial"/>
      <family val="2"/>
    </font>
    <font>
      <sz val="10"/>
      <name val="MS Sans Serif"/>
    </font>
    <font>
      <sz val="12"/>
      <name val="굴림체"/>
      <family val="3"/>
      <charset val="129"/>
    </font>
    <font>
      <sz val="11"/>
      <name val="ＭＳ Ｐゴシック"/>
      <family val="3"/>
      <charset val="129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맑은 고딕"/>
      <family val="2"/>
      <scheme val="minor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0"/>
      <name val="Geneva"/>
      <family val="2"/>
    </font>
    <font>
      <b/>
      <sz val="20"/>
      <name val="굴림"/>
      <family val="3"/>
      <charset val="129"/>
    </font>
    <font>
      <b/>
      <sz val="8"/>
      <color indexed="24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9"/>
      <name val="Geneva"/>
      <family val="2"/>
    </font>
    <font>
      <b/>
      <sz val="11"/>
      <name val="Helv"/>
      <family val="2"/>
    </font>
    <font>
      <b/>
      <i/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color theme="1"/>
      <name val="맑은 고딕"/>
      <family val="2"/>
      <scheme val="minor"/>
    </font>
    <font>
      <b/>
      <sz val="10"/>
      <color theme="1"/>
      <name val="맑은 고딕"/>
      <family val="1"/>
      <charset val="129"/>
      <scheme val="minor"/>
    </font>
    <font>
      <i/>
      <sz val="8"/>
      <color theme="4" tint="0.3999755851924192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6"/>
      <color indexed="16"/>
      <name val="Tahom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sz val="8"/>
      <color indexed="14"/>
      <name val="Verdana"/>
      <family val="2"/>
    </font>
    <font>
      <sz val="8"/>
      <color indexed="11"/>
      <name val="Verdana"/>
      <family val="2"/>
    </font>
    <font>
      <b/>
      <sz val="9"/>
      <color indexed="8"/>
      <name val="Verdana"/>
      <family val="2"/>
    </font>
    <font>
      <b/>
      <sz val="8"/>
      <color indexed="18"/>
      <name val="Verdana"/>
      <family val="2"/>
    </font>
    <font>
      <b/>
      <sz val="8"/>
      <color indexed="19"/>
      <name val="Verdana"/>
      <family val="2"/>
    </font>
    <font>
      <b/>
      <sz val="6"/>
      <color indexed="8"/>
      <name val="Arial"/>
      <family val="2"/>
    </font>
    <font>
      <sz val="8"/>
      <color indexed="18"/>
      <name val="Verdana"/>
      <family val="2"/>
    </font>
    <font>
      <sz val="8"/>
      <color indexed="19"/>
      <name val="Verdana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3"/>
      <name val="Arial"/>
      <family val="2"/>
    </font>
    <font>
      <b/>
      <sz val="9"/>
      <color theme="3"/>
      <name val="가는각진제목체"/>
      <family val="1"/>
      <charset val="129"/>
    </font>
    <font>
      <b/>
      <sz val="9"/>
      <color theme="1"/>
      <name val="가는각진제목체"/>
      <family val="1"/>
      <charset val="129"/>
    </font>
    <font>
      <sz val="9"/>
      <color theme="1"/>
      <name val="가는각진제목체"/>
      <family val="1"/>
      <charset val="129"/>
    </font>
    <font>
      <b/>
      <sz val="10"/>
      <color theme="1"/>
      <name val="가는각진제목체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i/>
      <sz val="9"/>
      <color theme="3"/>
      <name val="가는각진제목체"/>
      <family val="1"/>
      <charset val="129"/>
    </font>
    <font>
      <i/>
      <sz val="9"/>
      <color theme="3"/>
      <name val="Arial"/>
      <family val="2"/>
    </font>
    <font>
      <i/>
      <sz val="9"/>
      <color theme="3"/>
      <name val="맑은 고딕"/>
      <family val="2"/>
      <scheme val="minor"/>
    </font>
    <font>
      <sz val="10"/>
      <name val="돋움"/>
      <family val="3"/>
      <charset val="129"/>
    </font>
    <font>
      <sz val="10"/>
      <name val="가는각진제목체"/>
      <family val="1"/>
      <charset val="129"/>
    </font>
    <font>
      <sz val="10"/>
      <color indexed="10"/>
      <name val="Arial"/>
      <family val="2"/>
    </font>
    <font>
      <b/>
      <sz val="10"/>
      <name val="가는각진제목체"/>
      <family val="1"/>
      <charset val="129"/>
    </font>
    <font>
      <b/>
      <sz val="10"/>
      <color indexed="24"/>
      <name val="Arial"/>
      <family val="2"/>
    </font>
    <font>
      <b/>
      <sz val="10"/>
      <color indexed="10"/>
      <name val="Arial"/>
      <family val="2"/>
    </font>
    <font>
      <b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theme="4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8"/>
      <color theme="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i/>
      <sz val="9"/>
      <color rgb="FF0000FF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i/>
      <sz val="9"/>
      <color rgb="FF0000FF"/>
      <name val="맑은 고딕"/>
      <family val="3"/>
      <charset val="129"/>
      <scheme val="minor"/>
    </font>
    <font>
      <i/>
      <sz val="9"/>
      <color rgb="FF0000FF"/>
      <name val="맑은 고딕"/>
      <family val="2"/>
      <scheme val="minor"/>
    </font>
    <font>
      <i/>
      <sz val="9"/>
      <color rgb="FF0000FF"/>
      <name val="가는각진제목체"/>
      <family val="1"/>
      <charset val="129"/>
    </font>
    <font>
      <sz val="9"/>
      <color theme="1"/>
      <name val="Arial"/>
      <family val="2"/>
    </font>
    <font>
      <b/>
      <sz val="9"/>
      <color rgb="FFFF0000"/>
      <name val="가는각진제목체"/>
      <family val="1"/>
      <charset val="129"/>
    </font>
    <font>
      <i/>
      <sz val="9"/>
      <color theme="1"/>
      <name val="맑은 고딕"/>
      <family val="3"/>
      <charset val="129"/>
      <scheme val="minor"/>
    </font>
    <font>
      <i/>
      <sz val="9"/>
      <color indexed="8"/>
      <name val="맑은 고딕"/>
      <family val="3"/>
      <charset val="129"/>
      <scheme val="minor"/>
    </font>
    <font>
      <i/>
      <sz val="9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i/>
      <sz val="9"/>
      <color theme="3"/>
      <name val="맑은 고딕"/>
      <family val="3"/>
      <charset val="129"/>
      <scheme val="minor"/>
    </font>
    <font>
      <i/>
      <sz val="8"/>
      <color theme="3"/>
      <name val="맑은 고딕"/>
      <family val="3"/>
      <charset val="129"/>
      <scheme val="minor"/>
    </font>
    <font>
      <b/>
      <i/>
      <sz val="9"/>
      <color theme="3"/>
      <name val="맑은 고딕"/>
      <family val="3"/>
      <charset val="129"/>
      <scheme val="minor"/>
    </font>
    <font>
      <b/>
      <sz val="9"/>
      <color theme="3"/>
      <name val="맑은 고딕"/>
      <family val="1"/>
      <charset val="129"/>
      <scheme val="minor"/>
    </font>
    <font>
      <b/>
      <sz val="9"/>
      <color theme="7" tint="0.7999816888943144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color theme="1"/>
      <name val="Century Gothic"/>
      <family val="2"/>
    </font>
    <font>
      <sz val="9"/>
      <color theme="1"/>
      <name val="맑은 고딕"/>
      <family val="3"/>
      <charset val="129"/>
    </font>
    <font>
      <sz val="9"/>
      <color theme="1"/>
      <name val="Century Gothic"/>
      <family val="2"/>
    </font>
    <font>
      <b/>
      <sz val="9"/>
      <color theme="3"/>
      <name val="Century Gothic"/>
      <family val="2"/>
    </font>
    <font>
      <i/>
      <sz val="8"/>
      <color theme="3"/>
      <name val="Century Gothic"/>
      <family val="2"/>
    </font>
    <font>
      <i/>
      <sz val="9"/>
      <color theme="3"/>
      <name val="Century Gothic"/>
      <family val="2"/>
    </font>
    <font>
      <b/>
      <sz val="9"/>
      <color theme="3"/>
      <name val="맑은 고딕"/>
      <family val="3"/>
      <charset val="129"/>
    </font>
    <font>
      <b/>
      <i/>
      <sz val="9"/>
      <color theme="3"/>
      <name val="Century Gothic"/>
      <family val="2"/>
    </font>
    <font>
      <i/>
      <sz val="9"/>
      <color theme="1"/>
      <name val="Century Gothic"/>
      <family val="2"/>
    </font>
    <font>
      <sz val="9"/>
      <color theme="0"/>
      <name val="Century Gothic"/>
      <family val="2"/>
    </font>
    <font>
      <sz val="9"/>
      <color rgb="FFFF0000"/>
      <name val="Century Gothic"/>
      <family val="2"/>
    </font>
    <font>
      <b/>
      <sz val="9"/>
      <name val="Century Gothic"/>
      <family val="2"/>
    </font>
    <font>
      <b/>
      <i/>
      <sz val="9"/>
      <color theme="1"/>
      <name val="Century Gothic"/>
      <family val="2"/>
    </font>
    <font>
      <b/>
      <sz val="9"/>
      <color theme="3"/>
      <name val="맑은 고딕"/>
      <family val="3"/>
      <charset val="129"/>
      <scheme val="major"/>
    </font>
    <font>
      <b/>
      <sz val="9"/>
      <color theme="1"/>
      <name val="맑은 고딕"/>
      <family val="2"/>
      <charset val="129"/>
      <scheme val="minor"/>
    </font>
    <font>
      <b/>
      <sz val="9"/>
      <name val="Arial"/>
      <family val="2"/>
    </font>
    <font>
      <vertAlign val="subscript"/>
      <sz val="9"/>
      <name val="Arial"/>
      <family val="2"/>
    </font>
    <font>
      <sz val="8"/>
      <name val="돋움"/>
      <family val="3"/>
      <charset val="129"/>
    </font>
    <font>
      <b/>
      <sz val="8"/>
      <color theme="3"/>
      <name val="맑은 고딕"/>
      <family val="2"/>
      <scheme val="minor"/>
    </font>
    <font>
      <sz val="8"/>
      <color theme="1"/>
      <name val="Century Gothic"/>
      <family val="2"/>
    </font>
    <font>
      <b/>
      <sz val="8"/>
      <color theme="3"/>
      <name val="맑은 고딕"/>
      <family val="3"/>
      <charset val="129"/>
      <scheme val="minor"/>
    </font>
    <font>
      <b/>
      <sz val="8"/>
      <color theme="3"/>
      <name val="Century Gothic"/>
      <family val="2"/>
    </font>
    <font>
      <b/>
      <sz val="8"/>
      <color theme="1"/>
      <name val="맑은 고딕"/>
      <family val="3"/>
      <charset val="129"/>
      <scheme val="minor"/>
    </font>
    <font>
      <b/>
      <sz val="8"/>
      <color theme="1"/>
      <name val="Century Gothic"/>
      <family val="2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rgb="FFFF0000"/>
      <name val="맑은 고딕"/>
      <family val="2"/>
      <scheme val="minor"/>
    </font>
    <font>
      <sz val="10"/>
      <name val="Times"/>
      <family val="1"/>
    </font>
    <font>
      <b/>
      <sz val="10"/>
      <name val="Times"/>
      <family val="1"/>
    </font>
    <font>
      <b/>
      <sz val="10"/>
      <name val="맑은 고딕"/>
      <family val="3"/>
      <charset val="129"/>
    </font>
    <font>
      <sz val="9"/>
      <color theme="3"/>
      <name val="맑은 고딕"/>
      <family val="3"/>
      <charset val="129"/>
    </font>
    <font>
      <b/>
      <sz val="11"/>
      <color theme="3"/>
      <name val="맑은 고딕"/>
      <family val="3"/>
      <charset val="129"/>
    </font>
    <font>
      <sz val="9"/>
      <color theme="3"/>
      <name val="Century Gothic"/>
      <family val="2"/>
    </font>
    <font>
      <sz val="9"/>
      <color theme="1"/>
      <name val="돋움"/>
      <family val="3"/>
      <charset val="129"/>
    </font>
    <font>
      <b/>
      <vertAlign val="superscript"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</font>
    <font>
      <b/>
      <sz val="9"/>
      <color theme="1"/>
      <name val="돋움"/>
      <family val="3"/>
      <charset val="129"/>
    </font>
    <font>
      <i/>
      <vertAlign val="superscript"/>
      <sz val="9"/>
      <color theme="3"/>
      <name val="맑은 고딕"/>
      <family val="3"/>
      <charset val="129"/>
      <scheme val="minor"/>
    </font>
    <font>
      <b/>
      <vertAlign val="superscript"/>
      <sz val="9"/>
      <color theme="3"/>
      <name val="Century Gothic"/>
      <family val="2"/>
    </font>
    <font>
      <b/>
      <vertAlign val="superscript"/>
      <sz val="9"/>
      <color theme="3"/>
      <name val="맑은 고딕"/>
      <family val="3"/>
      <charset val="129"/>
      <scheme val="minor"/>
    </font>
    <font>
      <b/>
      <sz val="9"/>
      <color theme="1"/>
      <name val="Century"/>
      <family val="1"/>
    </font>
    <font>
      <vertAlign val="superscript"/>
      <sz val="9"/>
      <color theme="1"/>
      <name val="맑은 고딕"/>
      <family val="3"/>
      <charset val="129"/>
    </font>
    <font>
      <b/>
      <vertAlign val="superscript"/>
      <sz val="9"/>
      <color theme="1"/>
      <name val="Century Gothic"/>
      <family val="2"/>
    </font>
    <font>
      <vertAlign val="superscript"/>
      <sz val="9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9"/>
      <color theme="2"/>
      <name val="맑은 고딕"/>
      <family val="3"/>
      <charset val="129"/>
      <scheme val="minor"/>
    </font>
    <font>
      <sz val="9"/>
      <color theme="2"/>
      <name val="맑은 고딕"/>
      <family val="3"/>
      <charset val="129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7"/>
        <bgColor indexed="17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9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theme="3"/>
      </bottom>
      <diagonal/>
    </border>
    <border>
      <left/>
      <right/>
      <top style="hair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medium">
        <color theme="3"/>
      </top>
      <bottom/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/>
      <bottom style="thin">
        <color rgb="FF002060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theme="3"/>
      </top>
      <bottom/>
      <diagonal/>
    </border>
    <border>
      <left/>
      <right style="thin">
        <color theme="3"/>
      </right>
      <top style="hair">
        <color theme="3"/>
      </top>
      <bottom/>
      <diagonal/>
    </border>
    <border>
      <left/>
      <right/>
      <top style="medium">
        <color theme="3"/>
      </top>
      <bottom style="hair">
        <color theme="3"/>
      </bottom>
      <diagonal/>
    </border>
    <border>
      <left/>
      <right style="thin">
        <color theme="3"/>
      </right>
      <top style="medium">
        <color theme="3"/>
      </top>
      <bottom style="hair">
        <color theme="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theme="3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theme="3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theme="3"/>
      </bottom>
      <diagonal/>
    </border>
    <border>
      <left/>
      <right style="medium">
        <color rgb="FFFF0000"/>
      </right>
      <top/>
      <bottom style="medium">
        <color theme="3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thin">
        <color theme="3"/>
      </bottom>
      <diagonal/>
    </border>
    <border>
      <left/>
      <right style="medium">
        <color rgb="FFFF0000"/>
      </right>
      <top/>
      <bottom style="thin">
        <color theme="3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ck">
        <color rgb="FFE36C0A"/>
      </bottom>
      <diagonal/>
    </border>
    <border>
      <left/>
      <right/>
      <top/>
      <bottom style="medium">
        <color rgb="FFE36C0A"/>
      </bottom>
      <diagonal/>
    </border>
    <border>
      <left/>
      <right/>
      <top style="thick">
        <color rgb="FFE36C0A"/>
      </top>
      <bottom/>
      <diagonal/>
    </border>
    <border>
      <left/>
      <right/>
      <top/>
      <bottom style="thick">
        <color rgb="FFDC6900"/>
      </bottom>
      <diagonal/>
    </border>
    <border>
      <left/>
      <right/>
      <top/>
      <bottom style="medium">
        <color rgb="FFDC6900"/>
      </bottom>
      <diagonal/>
    </border>
    <border>
      <left/>
      <right/>
      <top style="thin">
        <color indexed="8"/>
      </top>
      <bottom style="medium">
        <color theme="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3"/>
      </left>
      <right/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indexed="64"/>
      </bottom>
      <diagonal/>
    </border>
  </borders>
  <cellStyleXfs count="398">
    <xf numFmtId="176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9" fontId="3" fillId="0" borderId="0" applyAlignment="0" applyProtection="0"/>
    <xf numFmtId="176" fontId="4" fillId="0" borderId="0"/>
    <xf numFmtId="176" fontId="5" fillId="0" borderId="0" applyNumberFormat="0" applyFill="0" applyBorder="0" applyAlignment="0" applyProtection="0"/>
    <xf numFmtId="176" fontId="4" fillId="32" borderId="0" applyNumberFormat="0" applyFont="0" applyBorder="0" applyAlignment="0" applyProtection="0"/>
    <xf numFmtId="179" fontId="4" fillId="0" borderId="0" applyFill="0" applyBorder="0" applyProtection="0"/>
    <xf numFmtId="176" fontId="4" fillId="33" borderId="0" applyNumberFormat="0" applyFont="0" applyBorder="0" applyAlignment="0" applyProtection="0"/>
    <xf numFmtId="177" fontId="4" fillId="0" borderId="0" applyFill="0" applyBorder="0" applyAlignment="0" applyProtection="0"/>
    <xf numFmtId="179" fontId="6" fillId="0" borderId="0" applyNumberFormat="0" applyAlignment="0" applyProtection="0"/>
    <xf numFmtId="179" fontId="5" fillId="0" borderId="5" applyFill="0" applyProtection="0">
      <alignment horizontal="right" wrapText="1"/>
    </xf>
    <xf numFmtId="179" fontId="5" fillId="0" borderId="0" applyFill="0" applyProtection="0">
      <alignment wrapText="1"/>
    </xf>
    <xf numFmtId="176" fontId="7" fillId="0" borderId="6" applyNumberFormat="0" applyFill="0" applyAlignment="0" applyProtection="0"/>
    <xf numFmtId="179" fontId="7" fillId="0" borderId="7" applyNumberFormat="0" applyFill="0" applyAlignment="0" applyProtection="0"/>
    <xf numFmtId="177" fontId="4" fillId="0" borderId="0" applyFill="0" applyBorder="0" applyAlignment="0" applyProtection="0"/>
    <xf numFmtId="176" fontId="4" fillId="35" borderId="0" applyNumberFormat="0" applyFont="0" applyBorder="0" applyAlignment="0" applyProtection="0"/>
    <xf numFmtId="179" fontId="3" fillId="0" borderId="0" applyAlignment="0" applyProtection="0"/>
    <xf numFmtId="3" fontId="33" fillId="0" borderId="0" applyFont="0" applyFill="0" applyBorder="0" applyAlignment="0" applyProtection="0">
      <alignment vertical="center"/>
    </xf>
    <xf numFmtId="183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13" applyFont="0" applyFill="0" applyBorder="0" applyAlignment="0" applyProtection="0">
      <alignment vertical="center"/>
    </xf>
    <xf numFmtId="186" fontId="34" fillId="0" borderId="0" applyFont="0" applyFill="0" applyBorder="0" applyAlignment="0" applyProtection="0"/>
    <xf numFmtId="187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187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2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194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196" fontId="34" fillId="0" borderId="0" applyFont="0" applyFill="0" applyBorder="0" applyAlignment="0" applyProtection="0"/>
    <xf numFmtId="197" fontId="34" fillId="0" borderId="0" applyFont="0" applyFill="0" applyBorder="0" applyAlignment="0" applyProtection="0"/>
    <xf numFmtId="198" fontId="34" fillId="0" borderId="0" applyFont="0" applyFill="0" applyBorder="0" applyAlignment="0" applyProtection="0"/>
    <xf numFmtId="199" fontId="34" fillId="0" borderId="13" applyFont="0" applyFill="0" applyBorder="0" applyAlignment="0" applyProtection="0">
      <alignment vertical="center"/>
    </xf>
    <xf numFmtId="200" fontId="34" fillId="0" borderId="0" applyFont="0" applyFill="0" applyBorder="0" applyAlignment="0" applyProtection="0"/>
    <xf numFmtId="201" fontId="34" fillId="0" borderId="0" applyFont="0" applyFill="0" applyBorder="0" applyAlignment="0" applyProtection="0"/>
    <xf numFmtId="202" fontId="34" fillId="0" borderId="0" applyFont="0" applyFill="0" applyBorder="0" applyAlignment="0" applyProtection="0"/>
    <xf numFmtId="203" fontId="34" fillId="0" borderId="0" applyFont="0" applyFill="0" applyBorder="0" applyAlignment="0" applyProtection="0"/>
    <xf numFmtId="204" fontId="34" fillId="0" borderId="0" applyFont="0" applyFill="0" applyBorder="0" applyAlignment="0" applyProtection="0"/>
    <xf numFmtId="205" fontId="34" fillId="0" borderId="0" applyFont="0" applyFill="0" applyBorder="0" applyAlignment="0" applyProtection="0"/>
    <xf numFmtId="206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208" fontId="34" fillId="0" borderId="0" applyFont="0" applyFill="0" applyBorder="0" applyAlignment="0" applyProtection="0"/>
    <xf numFmtId="209" fontId="34" fillId="0" borderId="0" applyFont="0" applyFill="0" applyBorder="0" applyAlignment="0" applyProtection="0"/>
    <xf numFmtId="179" fontId="35" fillId="0" borderId="0"/>
    <xf numFmtId="179" fontId="35" fillId="0" borderId="0"/>
    <xf numFmtId="179" fontId="35" fillId="0" borderId="0"/>
    <xf numFmtId="179" fontId="35" fillId="0" borderId="0"/>
    <xf numFmtId="210" fontId="36" fillId="0" borderId="0">
      <alignment horizontal="center"/>
    </xf>
    <xf numFmtId="179" fontId="35" fillId="0" borderId="0"/>
    <xf numFmtId="179" fontId="35" fillId="0" borderId="0"/>
    <xf numFmtId="179" fontId="15" fillId="0" borderId="0" applyNumberFormat="0" applyFill="0" applyBorder="0" applyAlignment="0" applyProtection="0"/>
    <xf numFmtId="179" fontId="15" fillId="0" borderId="0" applyNumberFormat="0" applyFill="0" applyBorder="0" applyAlignment="0" applyProtection="0"/>
    <xf numFmtId="179" fontId="37" fillId="37" borderId="0" applyNumberFormat="0" applyBorder="0" applyAlignment="0" applyProtection="0">
      <alignment vertical="center"/>
    </xf>
    <xf numFmtId="179" fontId="37" fillId="37" borderId="0" applyNumberFormat="0" applyBorder="0" applyAlignment="0" applyProtection="0">
      <alignment vertical="center"/>
    </xf>
    <xf numFmtId="179" fontId="4" fillId="9" borderId="0" applyNumberFormat="0" applyBorder="0" applyAlignment="0" applyProtection="0"/>
    <xf numFmtId="179" fontId="37" fillId="38" borderId="0" applyNumberFormat="0" applyBorder="0" applyAlignment="0" applyProtection="0">
      <alignment vertical="center"/>
    </xf>
    <xf numFmtId="179" fontId="37" fillId="38" borderId="0" applyNumberFormat="0" applyBorder="0" applyAlignment="0" applyProtection="0">
      <alignment vertical="center"/>
    </xf>
    <xf numFmtId="179" fontId="4" fillId="13" borderId="0" applyNumberFormat="0" applyBorder="0" applyAlignment="0" applyProtection="0"/>
    <xf numFmtId="179" fontId="37" fillId="39" borderId="0" applyNumberFormat="0" applyBorder="0" applyAlignment="0" applyProtection="0">
      <alignment vertical="center"/>
    </xf>
    <xf numFmtId="179" fontId="37" fillId="39" borderId="0" applyNumberFormat="0" applyBorder="0" applyAlignment="0" applyProtection="0">
      <alignment vertical="center"/>
    </xf>
    <xf numFmtId="179" fontId="4" fillId="17" borderId="0" applyNumberFormat="0" applyBorder="0" applyAlignment="0" applyProtection="0"/>
    <xf numFmtId="179" fontId="37" fillId="40" borderId="0" applyNumberFormat="0" applyBorder="0" applyAlignment="0" applyProtection="0">
      <alignment vertical="center"/>
    </xf>
    <xf numFmtId="179" fontId="37" fillId="40" borderId="0" applyNumberFormat="0" applyBorder="0" applyAlignment="0" applyProtection="0">
      <alignment vertical="center"/>
    </xf>
    <xf numFmtId="179" fontId="4" fillId="21" borderId="0" applyNumberFormat="0" applyBorder="0" applyAlignment="0" applyProtection="0"/>
    <xf numFmtId="179" fontId="37" fillId="41" borderId="0" applyNumberFormat="0" applyBorder="0" applyAlignment="0" applyProtection="0">
      <alignment vertical="center"/>
    </xf>
    <xf numFmtId="179" fontId="37" fillId="41" borderId="0" applyNumberFormat="0" applyBorder="0" applyAlignment="0" applyProtection="0">
      <alignment vertical="center"/>
    </xf>
    <xf numFmtId="179" fontId="4" fillId="25" borderId="0" applyNumberFormat="0" applyBorder="0" applyAlignment="0" applyProtection="0"/>
    <xf numFmtId="179" fontId="37" fillId="42" borderId="0" applyNumberFormat="0" applyBorder="0" applyAlignment="0" applyProtection="0">
      <alignment vertical="center"/>
    </xf>
    <xf numFmtId="179" fontId="37" fillId="42" borderId="0" applyNumberFormat="0" applyBorder="0" applyAlignment="0" applyProtection="0">
      <alignment vertical="center"/>
    </xf>
    <xf numFmtId="179" fontId="4" fillId="29" borderId="0" applyNumberFormat="0" applyBorder="0" applyAlignment="0" applyProtection="0"/>
    <xf numFmtId="179" fontId="37" fillId="43" borderId="0" applyNumberFormat="0" applyBorder="0" applyAlignment="0" applyProtection="0">
      <alignment vertical="center"/>
    </xf>
    <xf numFmtId="179" fontId="37" fillId="43" borderId="0" applyNumberFormat="0" applyBorder="0" applyAlignment="0" applyProtection="0">
      <alignment vertical="center"/>
    </xf>
    <xf numFmtId="179" fontId="4" fillId="10" borderId="0" applyNumberFormat="0" applyBorder="0" applyAlignment="0" applyProtection="0"/>
    <xf numFmtId="179" fontId="37" fillId="44" borderId="0" applyNumberFormat="0" applyBorder="0" applyAlignment="0" applyProtection="0">
      <alignment vertical="center"/>
    </xf>
    <xf numFmtId="179" fontId="37" fillId="44" borderId="0" applyNumberFormat="0" applyBorder="0" applyAlignment="0" applyProtection="0">
      <alignment vertical="center"/>
    </xf>
    <xf numFmtId="179" fontId="4" fillId="14" borderId="0" applyNumberFormat="0" applyBorder="0" applyAlignment="0" applyProtection="0"/>
    <xf numFmtId="179" fontId="37" fillId="45" borderId="0" applyNumberFormat="0" applyBorder="0" applyAlignment="0" applyProtection="0">
      <alignment vertical="center"/>
    </xf>
    <xf numFmtId="179" fontId="37" fillId="45" borderId="0" applyNumberFormat="0" applyBorder="0" applyAlignment="0" applyProtection="0">
      <alignment vertical="center"/>
    </xf>
    <xf numFmtId="179" fontId="4" fillId="18" borderId="0" applyNumberFormat="0" applyBorder="0" applyAlignment="0" applyProtection="0"/>
    <xf numFmtId="179" fontId="37" fillId="40" borderId="0" applyNumberFormat="0" applyBorder="0" applyAlignment="0" applyProtection="0">
      <alignment vertical="center"/>
    </xf>
    <xf numFmtId="179" fontId="37" fillId="40" borderId="0" applyNumberFormat="0" applyBorder="0" applyAlignment="0" applyProtection="0">
      <alignment vertical="center"/>
    </xf>
    <xf numFmtId="179" fontId="4" fillId="22" borderId="0" applyNumberFormat="0" applyBorder="0" applyAlignment="0" applyProtection="0"/>
    <xf numFmtId="179" fontId="37" fillId="43" borderId="0" applyNumberFormat="0" applyBorder="0" applyAlignment="0" applyProtection="0">
      <alignment vertical="center"/>
    </xf>
    <xf numFmtId="179" fontId="37" fillId="43" borderId="0" applyNumberFormat="0" applyBorder="0" applyAlignment="0" applyProtection="0">
      <alignment vertical="center"/>
    </xf>
    <xf numFmtId="179" fontId="4" fillId="26" borderId="0" applyNumberFormat="0" applyBorder="0" applyAlignment="0" applyProtection="0"/>
    <xf numFmtId="179" fontId="37" fillId="46" borderId="0" applyNumberFormat="0" applyBorder="0" applyAlignment="0" applyProtection="0">
      <alignment vertical="center"/>
    </xf>
    <xf numFmtId="179" fontId="37" fillId="46" borderId="0" applyNumberFormat="0" applyBorder="0" applyAlignment="0" applyProtection="0">
      <alignment vertical="center"/>
    </xf>
    <xf numFmtId="179" fontId="4" fillId="30" borderId="0" applyNumberFormat="0" applyBorder="0" applyAlignment="0" applyProtection="0"/>
    <xf numFmtId="179" fontId="38" fillId="47" borderId="0" applyNumberFormat="0" applyBorder="0" applyAlignment="0" applyProtection="0">
      <alignment vertical="center"/>
    </xf>
    <xf numFmtId="179" fontId="38" fillId="47" borderId="0" applyNumberFormat="0" applyBorder="0" applyAlignment="0" applyProtection="0">
      <alignment vertical="center"/>
    </xf>
    <xf numFmtId="179" fontId="39" fillId="11" borderId="0" applyNumberFormat="0" applyBorder="0" applyAlignment="0" applyProtection="0"/>
    <xf numFmtId="179" fontId="38" fillId="44" borderId="0" applyNumberFormat="0" applyBorder="0" applyAlignment="0" applyProtection="0">
      <alignment vertical="center"/>
    </xf>
    <xf numFmtId="179" fontId="38" fillId="44" borderId="0" applyNumberFormat="0" applyBorder="0" applyAlignment="0" applyProtection="0">
      <alignment vertical="center"/>
    </xf>
    <xf numFmtId="179" fontId="39" fillId="15" borderId="0" applyNumberFormat="0" applyBorder="0" applyAlignment="0" applyProtection="0"/>
    <xf numFmtId="179" fontId="38" fillId="45" borderId="0" applyNumberFormat="0" applyBorder="0" applyAlignment="0" applyProtection="0">
      <alignment vertical="center"/>
    </xf>
    <xf numFmtId="179" fontId="38" fillId="45" borderId="0" applyNumberFormat="0" applyBorder="0" applyAlignment="0" applyProtection="0">
      <alignment vertical="center"/>
    </xf>
    <xf numFmtId="179" fontId="39" fillId="19" borderId="0" applyNumberFormat="0" applyBorder="0" applyAlignment="0" applyProtection="0"/>
    <xf numFmtId="179" fontId="38" fillId="48" borderId="0" applyNumberFormat="0" applyBorder="0" applyAlignment="0" applyProtection="0">
      <alignment vertical="center"/>
    </xf>
    <xf numFmtId="179" fontId="38" fillId="48" borderId="0" applyNumberFormat="0" applyBorder="0" applyAlignment="0" applyProtection="0">
      <alignment vertical="center"/>
    </xf>
    <xf numFmtId="179" fontId="39" fillId="23" borderId="0" applyNumberFormat="0" applyBorder="0" applyAlignment="0" applyProtection="0"/>
    <xf numFmtId="179" fontId="38" fillId="49" borderId="0" applyNumberFormat="0" applyBorder="0" applyAlignment="0" applyProtection="0">
      <alignment vertical="center"/>
    </xf>
    <xf numFmtId="179" fontId="38" fillId="49" borderId="0" applyNumberFormat="0" applyBorder="0" applyAlignment="0" applyProtection="0">
      <alignment vertical="center"/>
    </xf>
    <xf numFmtId="179" fontId="39" fillId="27" borderId="0" applyNumberFormat="0" applyBorder="0" applyAlignment="0" applyProtection="0"/>
    <xf numFmtId="179" fontId="38" fillId="50" borderId="0" applyNumberFormat="0" applyBorder="0" applyAlignment="0" applyProtection="0">
      <alignment vertical="center"/>
    </xf>
    <xf numFmtId="179" fontId="38" fillId="50" borderId="0" applyNumberFormat="0" applyBorder="0" applyAlignment="0" applyProtection="0">
      <alignment vertical="center"/>
    </xf>
    <xf numFmtId="179" fontId="39" fillId="31" borderId="0" applyNumberFormat="0" applyBorder="0" applyAlignment="0" applyProtection="0"/>
    <xf numFmtId="179" fontId="38" fillId="51" borderId="0" applyNumberFormat="0" applyBorder="0" applyAlignment="0" applyProtection="0">
      <alignment vertical="center"/>
    </xf>
    <xf numFmtId="179" fontId="38" fillId="51" borderId="0" applyNumberFormat="0" applyBorder="0" applyAlignment="0" applyProtection="0">
      <alignment vertical="center"/>
    </xf>
    <xf numFmtId="179" fontId="39" fillId="8" borderId="0" applyNumberFormat="0" applyBorder="0" applyAlignment="0" applyProtection="0"/>
    <xf numFmtId="179" fontId="38" fillId="52" borderId="0" applyNumberFormat="0" applyBorder="0" applyAlignment="0" applyProtection="0">
      <alignment vertical="center"/>
    </xf>
    <xf numFmtId="179" fontId="38" fillId="52" borderId="0" applyNumberFormat="0" applyBorder="0" applyAlignment="0" applyProtection="0">
      <alignment vertical="center"/>
    </xf>
    <xf numFmtId="179" fontId="39" fillId="12" borderId="0" applyNumberFormat="0" applyBorder="0" applyAlignment="0" applyProtection="0"/>
    <xf numFmtId="179" fontId="38" fillId="53" borderId="0" applyNumberFormat="0" applyBorder="0" applyAlignment="0" applyProtection="0">
      <alignment vertical="center"/>
    </xf>
    <xf numFmtId="179" fontId="38" fillId="53" borderId="0" applyNumberFormat="0" applyBorder="0" applyAlignment="0" applyProtection="0">
      <alignment vertical="center"/>
    </xf>
    <xf numFmtId="179" fontId="39" fillId="16" borderId="0" applyNumberFormat="0" applyBorder="0" applyAlignment="0" applyProtection="0"/>
    <xf numFmtId="179" fontId="38" fillId="48" borderId="0" applyNumberFormat="0" applyBorder="0" applyAlignment="0" applyProtection="0">
      <alignment vertical="center"/>
    </xf>
    <xf numFmtId="179" fontId="38" fillId="48" borderId="0" applyNumberFormat="0" applyBorder="0" applyAlignment="0" applyProtection="0">
      <alignment vertical="center"/>
    </xf>
    <xf numFmtId="179" fontId="39" fillId="20" borderId="0" applyNumberFormat="0" applyBorder="0" applyAlignment="0" applyProtection="0"/>
    <xf numFmtId="179" fontId="38" fillId="49" borderId="0" applyNumberFormat="0" applyBorder="0" applyAlignment="0" applyProtection="0">
      <alignment vertical="center"/>
    </xf>
    <xf numFmtId="179" fontId="38" fillId="49" borderId="0" applyNumberFormat="0" applyBorder="0" applyAlignment="0" applyProtection="0">
      <alignment vertical="center"/>
    </xf>
    <xf numFmtId="179" fontId="39" fillId="24" borderId="0" applyNumberFormat="0" applyBorder="0" applyAlignment="0" applyProtection="0"/>
    <xf numFmtId="179" fontId="38" fillId="54" borderId="0" applyNumberFormat="0" applyBorder="0" applyAlignment="0" applyProtection="0">
      <alignment vertical="center"/>
    </xf>
    <xf numFmtId="179" fontId="38" fillId="54" borderId="0" applyNumberFormat="0" applyBorder="0" applyAlignment="0" applyProtection="0">
      <alignment vertical="center"/>
    </xf>
    <xf numFmtId="179" fontId="39" fillId="28" borderId="0" applyNumberFormat="0" applyBorder="0" applyAlignment="0" applyProtection="0"/>
    <xf numFmtId="179" fontId="40" fillId="0" borderId="0" applyNumberFormat="0" applyFill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41" fillId="0" borderId="0" applyNumberFormat="0" applyFill="0" applyBorder="0" applyAlignment="0" applyProtection="0"/>
    <xf numFmtId="179" fontId="42" fillId="55" borderId="14" applyNumberFormat="0" applyAlignment="0" applyProtection="0">
      <alignment vertical="center"/>
    </xf>
    <xf numFmtId="179" fontId="42" fillId="55" borderId="14" applyNumberFormat="0" applyAlignment="0" applyProtection="0">
      <alignment vertical="center"/>
    </xf>
    <xf numFmtId="179" fontId="43" fillId="6" borderId="1" applyNumberFormat="0" applyAlignment="0" applyProtection="0"/>
    <xf numFmtId="211" fontId="35" fillId="0" borderId="0">
      <protection locked="0"/>
    </xf>
    <xf numFmtId="179" fontId="44" fillId="0" borderId="0">
      <protection locked="0"/>
    </xf>
    <xf numFmtId="179" fontId="44" fillId="0" borderId="0">
      <protection locked="0"/>
    </xf>
    <xf numFmtId="179" fontId="44" fillId="0" borderId="0">
      <protection locked="0"/>
    </xf>
    <xf numFmtId="179" fontId="44" fillId="0" borderId="0">
      <protection locked="0"/>
    </xf>
    <xf numFmtId="212" fontId="15" fillId="0" borderId="13">
      <alignment horizontal="right" vertical="center" shrinkToFit="1"/>
    </xf>
    <xf numFmtId="179" fontId="45" fillId="38" borderId="0" applyNumberFormat="0" applyBorder="0" applyAlignment="0" applyProtection="0">
      <alignment vertical="center"/>
    </xf>
    <xf numFmtId="179" fontId="45" fillId="38" borderId="0" applyNumberFormat="0" applyBorder="0" applyAlignment="0" applyProtection="0">
      <alignment vertical="center"/>
    </xf>
    <xf numFmtId="179" fontId="46" fillId="3" borderId="0" applyNumberFormat="0" applyBorder="0" applyAlignment="0" applyProtection="0"/>
    <xf numFmtId="179" fontId="47" fillId="0" borderId="0">
      <protection locked="0"/>
    </xf>
    <xf numFmtId="179" fontId="47" fillId="0" borderId="0">
      <protection locked="0"/>
    </xf>
    <xf numFmtId="179" fontId="47" fillId="0" borderId="0">
      <protection locked="0"/>
    </xf>
    <xf numFmtId="179" fontId="47" fillId="0" borderId="0">
      <protection locked="0"/>
    </xf>
    <xf numFmtId="179" fontId="48" fillId="0" borderId="0" applyNumberFormat="0" applyFill="0" applyBorder="0" applyAlignment="0" applyProtection="0">
      <alignment vertical="top"/>
      <protection locked="0"/>
    </xf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179" fontId="50" fillId="56" borderId="15" applyNumberFormat="0" applyFont="0" applyAlignment="0" applyProtection="0">
      <alignment vertical="center"/>
    </xf>
    <xf numFmtId="179" fontId="50" fillId="56" borderId="15" applyNumberFormat="0" applyFont="0" applyAlignment="0" applyProtection="0">
      <alignment vertical="center"/>
    </xf>
    <xf numFmtId="179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179" fontId="51" fillId="57" borderId="0" applyNumberFormat="0" applyBorder="0" applyAlignment="0" applyProtection="0">
      <alignment vertical="center"/>
    </xf>
    <xf numFmtId="179" fontId="51" fillId="57" borderId="0" applyNumberFormat="0" applyBorder="0" applyAlignment="0" applyProtection="0">
      <alignment vertical="center"/>
    </xf>
    <xf numFmtId="179" fontId="52" fillId="4" borderId="0" applyNumberFormat="0" applyBorder="0" applyAlignment="0" applyProtection="0"/>
    <xf numFmtId="179" fontId="53" fillId="0" borderId="0"/>
    <xf numFmtId="179" fontId="54" fillId="0" borderId="0"/>
    <xf numFmtId="179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55" fillId="0" borderId="0" applyNumberFormat="0" applyFill="0" applyBorder="0" applyAlignment="0" applyProtection="0">
      <alignment vertical="center"/>
    </xf>
    <xf numFmtId="179" fontId="55" fillId="0" borderId="0" applyNumberFormat="0" applyFill="0" applyBorder="0" applyAlignment="0" applyProtection="0">
      <alignment vertical="center"/>
    </xf>
    <xf numFmtId="179" fontId="56" fillId="0" borderId="0" applyNumberFormat="0" applyFill="0" applyBorder="0" applyAlignment="0" applyProtection="0"/>
    <xf numFmtId="179" fontId="57" fillId="58" borderId="16" applyNumberFormat="0" applyAlignment="0" applyProtection="0">
      <alignment vertical="center"/>
    </xf>
    <xf numFmtId="179" fontId="57" fillId="58" borderId="16" applyNumberFormat="0" applyAlignment="0" applyProtection="0">
      <alignment vertical="center"/>
    </xf>
    <xf numFmtId="179" fontId="58" fillId="7" borderId="4" applyNumberFormat="0" applyAlignment="0" applyProtection="0"/>
    <xf numFmtId="213" fontId="59" fillId="0" borderId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214" fontId="15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14" fontId="15" fillId="0" borderId="0" applyFont="0" applyFill="0" applyBorder="0" applyAlignment="0" applyProtection="0"/>
    <xf numFmtId="43" fontId="4" fillId="0" borderId="0" applyFill="0" applyBorder="0" applyAlignment="0" applyProtection="0"/>
    <xf numFmtId="179" fontId="15" fillId="0" borderId="0"/>
    <xf numFmtId="179" fontId="15" fillId="0" borderId="0"/>
    <xf numFmtId="179" fontId="61" fillId="0" borderId="17"/>
    <xf numFmtId="179" fontId="61" fillId="0" borderId="17"/>
    <xf numFmtId="179" fontId="62" fillId="0" borderId="18" applyNumberFormat="0" applyFill="0" applyAlignment="0" applyProtection="0">
      <alignment vertical="center"/>
    </xf>
    <xf numFmtId="179" fontId="62" fillId="0" borderId="18" applyNumberFormat="0" applyFill="0" applyAlignment="0" applyProtection="0">
      <alignment vertical="center"/>
    </xf>
    <xf numFmtId="179" fontId="63" fillId="0" borderId="3" applyNumberFormat="0" applyFill="0" applyAlignment="0" applyProtection="0"/>
    <xf numFmtId="179" fontId="64" fillId="0" borderId="0" applyNumberFormat="0" applyFill="0" applyBorder="0" applyAlignment="0" applyProtection="0">
      <alignment vertical="top"/>
      <protection locked="0"/>
    </xf>
    <xf numFmtId="179" fontId="65" fillId="0" borderId="19" applyNumberFormat="0" applyFill="0" applyAlignment="0" applyProtection="0">
      <alignment vertical="center"/>
    </xf>
    <xf numFmtId="179" fontId="65" fillId="0" borderId="19" applyNumberFormat="0" applyFill="0" applyAlignment="0" applyProtection="0">
      <alignment vertical="center"/>
    </xf>
    <xf numFmtId="179" fontId="7" fillId="0" borderId="12" applyNumberFormat="0" applyFill="0" applyAlignment="0" applyProtection="0"/>
    <xf numFmtId="210" fontId="34" fillId="0" borderId="0" applyFont="0" applyFill="0" applyBorder="0" applyAlignment="0" applyProtection="0"/>
    <xf numFmtId="179" fontId="66" fillId="42" borderId="14" applyNumberFormat="0" applyAlignment="0" applyProtection="0">
      <alignment vertical="center"/>
    </xf>
    <xf numFmtId="179" fontId="66" fillId="42" borderId="14" applyNumberFormat="0" applyAlignment="0" applyProtection="0">
      <alignment vertical="center"/>
    </xf>
    <xf numFmtId="179" fontId="67" fillId="5" borderId="1" applyNumberFormat="0" applyAlignment="0" applyProtection="0"/>
    <xf numFmtId="4" fontId="47" fillId="0" borderId="0">
      <protection locked="0"/>
    </xf>
    <xf numFmtId="215" fontId="35" fillId="0" borderId="0">
      <protection locked="0"/>
    </xf>
    <xf numFmtId="179" fontId="68" fillId="0" borderId="20" applyNumberFormat="0" applyFill="0" applyAlignment="0" applyProtection="0">
      <alignment vertical="center"/>
    </xf>
    <xf numFmtId="179" fontId="68" fillId="0" borderId="20" applyNumberFormat="0" applyFill="0" applyAlignment="0" applyProtection="0">
      <alignment vertical="center"/>
    </xf>
    <xf numFmtId="179" fontId="69" fillId="0" borderId="21" applyNumberFormat="0" applyFill="0" applyAlignment="0" applyProtection="0">
      <alignment vertical="center"/>
    </xf>
    <xf numFmtId="179" fontId="69" fillId="0" borderId="21" applyNumberFormat="0" applyFill="0" applyAlignment="0" applyProtection="0">
      <alignment vertical="center"/>
    </xf>
    <xf numFmtId="179" fontId="70" fillId="0" borderId="22" applyNumberFormat="0" applyFill="0" applyAlignment="0" applyProtection="0">
      <alignment vertical="center"/>
    </xf>
    <xf numFmtId="179" fontId="70" fillId="0" borderId="22" applyNumberFormat="0" applyFill="0" applyAlignment="0" applyProtection="0">
      <alignment vertical="center"/>
    </xf>
    <xf numFmtId="179" fontId="70" fillId="0" borderId="0" applyNumberFormat="0" applyFill="0" applyBorder="0" applyAlignment="0" applyProtection="0">
      <alignment vertical="center"/>
    </xf>
    <xf numFmtId="179" fontId="70" fillId="0" borderId="0" applyNumberFormat="0" applyFill="0" applyBorder="0" applyAlignment="0" applyProtection="0">
      <alignment vertical="center"/>
    </xf>
    <xf numFmtId="179" fontId="71" fillId="0" borderId="0" applyNumberFormat="0" applyFill="0" applyBorder="0" applyAlignment="0" applyProtection="0">
      <alignment vertical="center"/>
    </xf>
    <xf numFmtId="179" fontId="71" fillId="0" borderId="0" applyNumberFormat="0" applyFill="0" applyBorder="0" applyAlignment="0" applyProtection="0">
      <alignment vertical="center"/>
    </xf>
    <xf numFmtId="179" fontId="72" fillId="39" borderId="0" applyNumberFormat="0" applyBorder="0" applyAlignment="0" applyProtection="0">
      <alignment vertical="center"/>
    </xf>
    <xf numFmtId="179" fontId="72" fillId="39" borderId="0" applyNumberFormat="0" applyBorder="0" applyAlignment="0" applyProtection="0">
      <alignment vertical="center"/>
    </xf>
    <xf numFmtId="179" fontId="73" fillId="2" borderId="0" applyNumberFormat="0" applyBorder="0" applyAlignment="0" applyProtection="0"/>
    <xf numFmtId="179" fontId="35" fillId="0" borderId="0" applyNumberFormat="0" applyFont="0" applyFill="0" applyBorder="0" applyProtection="0">
      <alignment vertical="center"/>
    </xf>
    <xf numFmtId="179" fontId="35" fillId="0" borderId="0" applyNumberFormat="0" applyFont="0" applyFill="0" applyBorder="0" applyProtection="0">
      <alignment vertical="center"/>
    </xf>
    <xf numFmtId="179" fontId="74" fillId="0" borderId="0"/>
    <xf numFmtId="179" fontId="74" fillId="0" borderId="0"/>
    <xf numFmtId="216" fontId="54" fillId="0" borderId="0" applyFont="0" applyFill="0" applyBorder="0" applyAlignment="0" applyProtection="0"/>
    <xf numFmtId="179" fontId="75" fillId="55" borderId="23" applyNumberFormat="0" applyAlignment="0" applyProtection="0">
      <alignment vertical="center"/>
    </xf>
    <xf numFmtId="179" fontId="75" fillId="55" borderId="23" applyNumberFormat="0" applyAlignment="0" applyProtection="0">
      <alignment vertical="center"/>
    </xf>
    <xf numFmtId="179" fontId="76" fillId="6" borderId="2" applyNumberFormat="0" applyAlignment="0" applyProtection="0"/>
    <xf numFmtId="217" fontId="34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4" fillId="0" borderId="0" applyFont="0" applyFill="0" applyBorder="0" applyAlignment="0" applyProtection="0">
      <alignment vertical="center"/>
    </xf>
    <xf numFmtId="218" fontId="35" fillId="0" borderId="0">
      <protection locked="0"/>
    </xf>
    <xf numFmtId="179" fontId="77" fillId="0" borderId="0">
      <alignment vertical="center"/>
    </xf>
    <xf numFmtId="179" fontId="77" fillId="0" borderId="0">
      <alignment vertical="center"/>
    </xf>
    <xf numFmtId="179" fontId="60" fillId="0" borderId="0">
      <alignment vertical="center"/>
    </xf>
    <xf numFmtId="179" fontId="37" fillId="0" borderId="0">
      <alignment vertical="center"/>
    </xf>
    <xf numFmtId="179" fontId="37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78" fillId="0" borderId="0">
      <alignment vertical="center"/>
    </xf>
    <xf numFmtId="179" fontId="78" fillId="0" borderId="0">
      <alignment vertical="center"/>
    </xf>
    <xf numFmtId="179" fontId="30" fillId="0" borderId="0">
      <alignment vertical="center"/>
    </xf>
    <xf numFmtId="179" fontId="30" fillId="0" borderId="0">
      <alignment vertical="center"/>
    </xf>
    <xf numFmtId="179" fontId="79" fillId="0" borderId="0"/>
    <xf numFmtId="179" fontId="1" fillId="0" borderId="0">
      <alignment vertical="center"/>
    </xf>
    <xf numFmtId="179" fontId="15" fillId="0" borderId="0"/>
    <xf numFmtId="179" fontId="15" fillId="0" borderId="0"/>
    <xf numFmtId="179" fontId="30" fillId="0" borderId="0">
      <alignment vertical="center"/>
    </xf>
    <xf numFmtId="179" fontId="30" fillId="0" borderId="0">
      <alignment vertical="center"/>
    </xf>
    <xf numFmtId="179" fontId="1" fillId="0" borderId="0">
      <alignment vertical="center"/>
    </xf>
    <xf numFmtId="179" fontId="60" fillId="0" borderId="0">
      <alignment vertical="center"/>
    </xf>
    <xf numFmtId="179" fontId="30" fillId="0" borderId="0">
      <alignment vertical="center"/>
    </xf>
    <xf numFmtId="179" fontId="30" fillId="0" borderId="0">
      <alignment vertical="center"/>
    </xf>
    <xf numFmtId="179" fontId="60" fillId="0" borderId="0">
      <alignment vertical="center"/>
    </xf>
    <xf numFmtId="179" fontId="13" fillId="0" borderId="0">
      <alignment vertical="center"/>
    </xf>
    <xf numFmtId="179" fontId="34" fillId="0" borderId="0">
      <alignment vertical="center"/>
    </xf>
    <xf numFmtId="179" fontId="34" fillId="0" borderId="0">
      <alignment vertical="center"/>
    </xf>
    <xf numFmtId="179" fontId="13" fillId="0" borderId="0">
      <alignment vertical="center"/>
    </xf>
    <xf numFmtId="179" fontId="34" fillId="0" borderId="0"/>
    <xf numFmtId="179" fontId="34" fillId="0" borderId="0"/>
    <xf numFmtId="179" fontId="80" fillId="0" borderId="0"/>
    <xf numFmtId="179" fontId="80" fillId="0" borderId="0"/>
    <xf numFmtId="176" fontId="4" fillId="0" borderId="0"/>
    <xf numFmtId="179" fontId="34" fillId="0" borderId="0">
      <alignment vertical="center"/>
    </xf>
    <xf numFmtId="179" fontId="34" fillId="0" borderId="0">
      <alignment vertical="center"/>
    </xf>
    <xf numFmtId="179" fontId="81" fillId="0" borderId="0" applyNumberFormat="0" applyFont="0" applyFill="0" applyBorder="0" applyProtection="0">
      <alignment vertical="center"/>
    </xf>
    <xf numFmtId="179" fontId="81" fillId="0" borderId="0" applyNumberFormat="0" applyFont="0" applyFill="0" applyBorder="0" applyProtection="0">
      <alignment vertical="center"/>
    </xf>
    <xf numFmtId="38" fontId="82" fillId="0" borderId="0"/>
    <xf numFmtId="179" fontId="83" fillId="0" borderId="0" applyNumberFormat="0" applyFill="0" applyBorder="0" applyAlignment="0" applyProtection="0">
      <alignment vertical="top"/>
      <protection locked="0"/>
    </xf>
    <xf numFmtId="179" fontId="83" fillId="0" borderId="0" applyNumberFormat="0" applyFill="0" applyBorder="0" applyAlignment="0" applyProtection="0">
      <alignment vertical="top"/>
      <protection locked="0"/>
    </xf>
    <xf numFmtId="179" fontId="84" fillId="0" borderId="0" applyNumberFormat="0" applyFill="0" applyBorder="0" applyAlignment="0" applyProtection="0">
      <alignment vertical="top"/>
      <protection locked="0"/>
    </xf>
    <xf numFmtId="179" fontId="84" fillId="0" borderId="0" applyNumberFormat="0" applyFill="0" applyBorder="0" applyAlignment="0" applyProtection="0">
      <alignment vertical="top"/>
      <protection locked="0"/>
    </xf>
    <xf numFmtId="179" fontId="85" fillId="0" borderId="0" applyNumberFormat="0" applyFill="0" applyBorder="0" applyAlignment="0" applyProtection="0">
      <alignment vertical="top"/>
      <protection locked="0"/>
    </xf>
    <xf numFmtId="179" fontId="47" fillId="0" borderId="24">
      <protection locked="0"/>
    </xf>
    <xf numFmtId="179" fontId="47" fillId="0" borderId="24">
      <protection locked="0"/>
    </xf>
    <xf numFmtId="38" fontId="82" fillId="0" borderId="0" applyFont="0" applyFill="0" applyBorder="0" applyAlignment="0" applyProtection="0"/>
    <xf numFmtId="219" fontId="35" fillId="0" borderId="0">
      <protection locked="0"/>
    </xf>
    <xf numFmtId="41" fontId="35" fillId="0" borderId="0">
      <protection locked="0"/>
    </xf>
    <xf numFmtId="215" fontId="86" fillId="0" borderId="0" applyFont="0" applyFill="0" applyBorder="0" applyAlignment="0" applyProtection="0"/>
    <xf numFmtId="42" fontId="87" fillId="0" borderId="0" applyFont="0" applyFill="0" applyBorder="0" applyAlignment="0" applyProtection="0"/>
    <xf numFmtId="219" fontId="88" fillId="0" borderId="0" applyFont="0" applyFill="0" applyBorder="0" applyAlignment="0" applyProtection="0"/>
    <xf numFmtId="220" fontId="86" fillId="0" borderId="0" applyFont="0" applyFill="0" applyBorder="0" applyAlignment="0" applyProtection="0"/>
    <xf numFmtId="44" fontId="87" fillId="0" borderId="0" applyFont="0" applyFill="0" applyBorder="0" applyAlignment="0" applyProtection="0"/>
    <xf numFmtId="211" fontId="88" fillId="0" borderId="0" applyFont="0" applyFill="0" applyBorder="0" applyAlignment="0" applyProtection="0"/>
    <xf numFmtId="179" fontId="89" fillId="0" borderId="0" applyNumberFormat="0" applyFont="0" applyBorder="0" applyAlignment="0">
      <alignment horizontal="center" vertical="center"/>
    </xf>
    <xf numFmtId="179" fontId="89" fillId="0" borderId="0" applyNumberFormat="0" applyFont="0" applyBorder="0" applyAlignment="0">
      <alignment horizontal="center" vertical="center"/>
    </xf>
    <xf numFmtId="214" fontId="86" fillId="0" borderId="0" applyFont="0" applyFill="0" applyBorder="0" applyAlignment="0" applyProtection="0"/>
    <xf numFmtId="41" fontId="87" fillId="0" borderId="0" applyFont="0" applyFill="0" applyBorder="0" applyAlignment="0" applyProtection="0"/>
    <xf numFmtId="38" fontId="88" fillId="0" borderId="0" applyFont="0" applyFill="0" applyBorder="0" applyAlignment="0" applyProtection="0"/>
    <xf numFmtId="221" fontId="86" fillId="0" borderId="0" applyFont="0" applyFill="0" applyBorder="0" applyAlignment="0" applyProtection="0"/>
    <xf numFmtId="43" fontId="87" fillId="0" borderId="0" applyFont="0" applyFill="0" applyBorder="0" applyAlignment="0" applyProtection="0"/>
    <xf numFmtId="40" fontId="88" fillId="0" borderId="0" applyFont="0" applyFill="0" applyBorder="0" applyAlignment="0" applyProtection="0"/>
    <xf numFmtId="179" fontId="78" fillId="0" borderId="0"/>
    <xf numFmtId="179" fontId="78" fillId="0" borderId="0"/>
    <xf numFmtId="49" fontId="90" fillId="0" borderId="0" applyFont="0" applyFill="0" applyBorder="0" applyAlignment="0" applyProtection="0">
      <alignment horizontal="left"/>
    </xf>
    <xf numFmtId="176" fontId="78" fillId="0" borderId="0" applyAlignment="0" applyProtection="0"/>
    <xf numFmtId="222" fontId="78" fillId="0" borderId="0" applyAlignment="0" applyProtection="0"/>
    <xf numFmtId="223" fontId="78" fillId="0" borderId="0" applyAlignment="0" applyProtection="0"/>
    <xf numFmtId="178" fontId="91" fillId="0" borderId="0" applyFill="0" applyBorder="0" applyAlignment="0" applyProtection="0"/>
    <xf numFmtId="49" fontId="91" fillId="0" borderId="0" applyNumberFormat="0" applyAlignment="0" applyProtection="0">
      <alignment horizontal="left"/>
    </xf>
    <xf numFmtId="49" fontId="92" fillId="0" borderId="25" applyNumberFormat="0" applyAlignment="0" applyProtection="0">
      <alignment horizontal="left" wrapText="1"/>
    </xf>
    <xf numFmtId="49" fontId="92" fillId="0" borderId="25" applyNumberFormat="0" applyAlignment="0" applyProtection="0">
      <alignment horizontal="left" wrapText="1"/>
    </xf>
    <xf numFmtId="49" fontId="92" fillId="0" borderId="25" applyNumberFormat="0" applyAlignment="0" applyProtection="0">
      <alignment horizontal="left" wrapText="1"/>
    </xf>
    <xf numFmtId="49" fontId="92" fillId="0" borderId="0" applyNumberFormat="0" applyAlignment="0" applyProtection="0">
      <alignment horizontal="left" wrapText="1"/>
    </xf>
    <xf numFmtId="49" fontId="93" fillId="0" borderId="0" applyAlignment="0" applyProtection="0">
      <alignment horizontal="left"/>
    </xf>
    <xf numFmtId="179" fontId="86" fillId="0" borderId="0"/>
    <xf numFmtId="179" fontId="94" fillId="0" borderId="0"/>
    <xf numFmtId="179" fontId="15" fillId="0" borderId="0"/>
    <xf numFmtId="179" fontId="34" fillId="0" borderId="0" applyFill="0" applyBorder="0" applyAlignment="0"/>
    <xf numFmtId="179" fontId="34" fillId="0" borderId="0" applyFill="0" applyBorder="0" applyAlignment="0"/>
    <xf numFmtId="179" fontId="95" fillId="0" borderId="0"/>
    <xf numFmtId="179" fontId="95" fillId="0" borderId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224" fontId="34" fillId="0" borderId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91" fillId="0" borderId="0" applyFont="0" applyFill="0" applyBorder="0" applyAlignment="0" applyProtection="0"/>
    <xf numFmtId="179" fontId="91" fillId="0" borderId="0" applyFont="0" applyFill="0" applyBorder="0" applyAlignment="0" applyProtection="0"/>
    <xf numFmtId="225" fontId="59" fillId="0" borderId="0" applyFont="0" applyFill="0" applyBorder="0" applyAlignment="0" applyProtection="0"/>
    <xf numFmtId="14" fontId="34" fillId="0" borderId="0"/>
    <xf numFmtId="226" fontId="47" fillId="0" borderId="0">
      <protection locked="0"/>
    </xf>
    <xf numFmtId="227" fontId="88" fillId="0" borderId="0" applyFont="0" applyFill="0" applyBorder="0" applyAlignment="0" applyProtection="0"/>
    <xf numFmtId="228" fontId="88" fillId="0" borderId="0" applyFont="0" applyFill="0" applyBorder="0" applyAlignment="0" applyProtection="0"/>
    <xf numFmtId="229" fontId="35" fillId="0" borderId="0"/>
    <xf numFmtId="179" fontId="34" fillId="0" borderId="0" applyFont="0" applyFill="0" applyBorder="0" applyAlignment="0" applyProtection="0"/>
    <xf numFmtId="230" fontId="47" fillId="0" borderId="0">
      <protection locked="0"/>
    </xf>
    <xf numFmtId="38" fontId="91" fillId="59" borderId="0" applyNumberFormat="0" applyBorder="0" applyAlignment="0" applyProtection="0"/>
    <xf numFmtId="179" fontId="96" fillId="0" borderId="0" applyAlignment="0">
      <alignment horizontal="right"/>
    </xf>
    <xf numFmtId="179" fontId="36" fillId="0" borderId="0"/>
    <xf numFmtId="179" fontId="36" fillId="0" borderId="0"/>
    <xf numFmtId="179" fontId="97" fillId="0" borderId="0"/>
    <xf numFmtId="179" fontId="97" fillId="0" borderId="0"/>
    <xf numFmtId="179" fontId="96" fillId="0" borderId="0" applyAlignment="0">
      <alignment horizontal="right"/>
    </xf>
    <xf numFmtId="179" fontId="98" fillId="0" borderId="0">
      <alignment horizontal="left"/>
    </xf>
    <xf numFmtId="179" fontId="98" fillId="0" borderId="0">
      <alignment horizontal="left"/>
    </xf>
    <xf numFmtId="179" fontId="99" fillId="0" borderId="26" applyNumberFormat="0" applyAlignment="0" applyProtection="0">
      <alignment horizontal="left" vertical="center"/>
    </xf>
    <xf numFmtId="179" fontId="99" fillId="0" borderId="26" applyNumberFormat="0" applyAlignment="0" applyProtection="0">
      <alignment horizontal="left" vertical="center"/>
    </xf>
    <xf numFmtId="179" fontId="99" fillId="0" borderId="27">
      <alignment horizontal="left" vertical="center"/>
    </xf>
    <xf numFmtId="179" fontId="99" fillId="0" borderId="27">
      <alignment horizontal="left" vertical="center"/>
    </xf>
    <xf numFmtId="231" fontId="44" fillId="0" borderId="0">
      <protection locked="0"/>
    </xf>
    <xf numFmtId="231" fontId="44" fillId="0" borderId="0">
      <protection locked="0"/>
    </xf>
    <xf numFmtId="179" fontId="100" fillId="60" borderId="0" applyFont="0" applyAlignment="0">
      <alignment horizontal="left"/>
    </xf>
    <xf numFmtId="179" fontId="100" fillId="60" borderId="0" applyFont="0" applyAlignment="0">
      <alignment horizontal="left"/>
    </xf>
    <xf numFmtId="179" fontId="15" fillId="0" borderId="0">
      <alignment horizontal="center"/>
    </xf>
    <xf numFmtId="179" fontId="15" fillId="0" borderId="0">
      <alignment horizontal="center"/>
    </xf>
    <xf numFmtId="10" fontId="91" fillId="61" borderId="13" applyNumberFormat="0" applyBorder="0" applyAlignment="0" applyProtection="0"/>
    <xf numFmtId="179" fontId="15" fillId="0" borderId="0">
      <alignment horizontal="center"/>
    </xf>
    <xf numFmtId="179" fontId="15" fillId="0" borderId="0">
      <alignment horizontal="center"/>
    </xf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32" fontId="15" fillId="0" borderId="0" applyFont="0" applyFill="0" applyBorder="0" applyAlignment="0" applyProtection="0"/>
    <xf numFmtId="233" fontId="34" fillId="0" borderId="0" applyFont="0" applyFill="0" applyBorder="0" applyAlignment="0" applyProtection="0"/>
    <xf numFmtId="179" fontId="101" fillId="0" borderId="28"/>
    <xf numFmtId="179" fontId="101" fillId="0" borderId="28"/>
    <xf numFmtId="234" fontId="15" fillId="0" borderId="0" applyFont="0" applyFill="0" applyBorder="0" applyAlignment="0" applyProtection="0"/>
    <xf numFmtId="235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220" fontId="15" fillId="0" borderId="0" applyFont="0" applyFill="0" applyBorder="0" applyAlignment="0" applyProtection="0"/>
    <xf numFmtId="179" fontId="15" fillId="0" borderId="0"/>
    <xf numFmtId="179" fontId="15" fillId="0" borderId="0"/>
    <xf numFmtId="179" fontId="102" fillId="0" borderId="0"/>
    <xf numFmtId="179" fontId="102" fillId="0" borderId="0"/>
    <xf numFmtId="40" fontId="103" fillId="62" borderId="0">
      <alignment horizontal="right"/>
    </xf>
    <xf numFmtId="179" fontId="104" fillId="62" borderId="0">
      <alignment horizontal="right"/>
    </xf>
    <xf numFmtId="179" fontId="104" fillId="62" borderId="0">
      <alignment horizontal="right"/>
    </xf>
    <xf numFmtId="179" fontId="105" fillId="62" borderId="29"/>
    <xf numFmtId="179" fontId="105" fillId="62" borderId="29"/>
    <xf numFmtId="179" fontId="105" fillId="0" borderId="0" applyBorder="0">
      <alignment horizontal="centerContinuous"/>
    </xf>
    <xf numFmtId="179" fontId="105" fillId="0" borderId="0" applyBorder="0">
      <alignment horizontal="centerContinuous"/>
    </xf>
    <xf numFmtId="179" fontId="106" fillId="0" borderId="0" applyBorder="0">
      <alignment horizontal="centerContinuous"/>
    </xf>
    <xf numFmtId="179" fontId="106" fillId="0" borderId="0" applyBorder="0">
      <alignment horizontal="centerContinuous"/>
    </xf>
    <xf numFmtId="10" fontId="15" fillId="0" borderId="0" applyFont="0" applyFill="0" applyBorder="0" applyAlignment="0" applyProtection="0"/>
    <xf numFmtId="13" fontId="15" fillId="0" borderId="0" applyFont="0" applyFill="0" applyProtection="0"/>
    <xf numFmtId="176" fontId="4" fillId="32" borderId="0" applyNumberFormat="0" applyFont="0" applyBorder="0" applyAlignment="0" applyProtection="0"/>
    <xf numFmtId="179" fontId="4" fillId="0" borderId="0" applyFill="0" applyBorder="0" applyProtection="0"/>
    <xf numFmtId="179" fontId="5" fillId="0" borderId="11" applyProtection="0">
      <alignment horizontal="right" wrapText="1"/>
    </xf>
    <xf numFmtId="179" fontId="5" fillId="0" borderId="11" applyProtection="0">
      <alignment horizontal="right" wrapText="1"/>
    </xf>
    <xf numFmtId="179" fontId="5" fillId="0" borderId="11" applyProtection="0">
      <alignment horizontal="right" wrapText="1"/>
    </xf>
    <xf numFmtId="179" fontId="5" fillId="0" borderId="0" applyProtection="0">
      <alignment wrapText="1"/>
    </xf>
    <xf numFmtId="176" fontId="7" fillId="0" borderId="10" applyNumberFormat="0" applyFill="0" applyAlignment="0" applyProtection="0"/>
    <xf numFmtId="179" fontId="3" fillId="0" borderId="0" applyAlignment="0" applyProtection="0"/>
    <xf numFmtId="179" fontId="3" fillId="0" borderId="0" applyAlignment="0" applyProtection="0"/>
    <xf numFmtId="179" fontId="3" fillId="0" borderId="0" applyAlignment="0" applyProtection="0"/>
    <xf numFmtId="179" fontId="3" fillId="0" borderId="0" applyAlignment="0" applyProtection="0"/>
    <xf numFmtId="179" fontId="3" fillId="0" borderId="0" applyAlignment="0" applyProtection="0"/>
    <xf numFmtId="176" fontId="7" fillId="0" borderId="12" applyNumberFormat="0" applyFill="0" applyAlignment="0" applyProtection="0"/>
    <xf numFmtId="179" fontId="107" fillId="63" borderId="0"/>
    <xf numFmtId="179" fontId="101" fillId="0" borderId="0"/>
    <xf numFmtId="179" fontId="101" fillId="0" borderId="0"/>
    <xf numFmtId="231" fontId="47" fillId="0" borderId="30">
      <protection locked="0"/>
    </xf>
    <xf numFmtId="179" fontId="15" fillId="0" borderId="0">
      <alignment horizontal="center" textRotation="180"/>
    </xf>
    <xf numFmtId="179" fontId="15" fillId="0" borderId="0">
      <alignment horizontal="center" textRotation="180"/>
    </xf>
    <xf numFmtId="236" fontId="34" fillId="0" borderId="0" applyFont="0" applyFill="0" applyBorder="0" applyAlignment="0" applyProtection="0"/>
    <xf numFmtId="237" fontId="34" fillId="0" borderId="0" applyFont="0" applyFill="0" applyBorder="0" applyAlignment="0" applyProtection="0"/>
    <xf numFmtId="179" fontId="79" fillId="0" borderId="0"/>
    <xf numFmtId="41" fontId="3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214" fontId="4" fillId="0" borderId="0" applyFill="0" applyBorder="0" applyAlignment="0" applyProtection="0"/>
    <xf numFmtId="176" fontId="147" fillId="0" borderId="0" applyNumberFormat="0" applyFill="0" applyBorder="0" applyAlignment="0" applyProtection="0"/>
    <xf numFmtId="223" fontId="78" fillId="0" borderId="0" applyAlignment="0" applyProtection="0"/>
    <xf numFmtId="176" fontId="6" fillId="0" borderId="0" applyNumberFormat="0" applyAlignment="0" applyProtection="0"/>
    <xf numFmtId="179" fontId="34" fillId="0" borderId="0">
      <alignment vertical="center"/>
    </xf>
    <xf numFmtId="223" fontId="78" fillId="0" borderId="0" applyAlignment="0" applyProtection="0"/>
    <xf numFmtId="41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179" fontId="3" fillId="0" borderId="0" applyAlignment="0" applyProtection="0"/>
  </cellStyleXfs>
  <cellXfs count="1363">
    <xf numFmtId="176" fontId="0" fillId="0" borderId="0" xfId="0">
      <alignment vertical="center"/>
    </xf>
    <xf numFmtId="179" fontId="3" fillId="0" borderId="0" xfId="2"/>
    <xf numFmtId="176" fontId="4" fillId="0" borderId="0" xfId="3"/>
    <xf numFmtId="179" fontId="4" fillId="0" borderId="0" xfId="3" applyNumberFormat="1"/>
    <xf numFmtId="41" fontId="18" fillId="0" borderId="0" xfId="303" applyNumberFormat="1" applyFont="1" applyAlignment="1"/>
    <xf numFmtId="178" fontId="18" fillId="0" borderId="0" xfId="1" applyNumberFormat="1" applyFont="1" applyAlignment="1"/>
    <xf numFmtId="176" fontId="17" fillId="0" borderId="8" xfId="3" applyFont="1" applyBorder="1" applyAlignment="1">
      <alignment horizontal="left"/>
    </xf>
    <xf numFmtId="176" fontId="17" fillId="0" borderId="8" xfId="3" applyFont="1" applyBorder="1" applyAlignment="1">
      <alignment horizontal="center"/>
    </xf>
    <xf numFmtId="176" fontId="4" fillId="0" borderId="8" xfId="3" applyBorder="1"/>
    <xf numFmtId="178" fontId="4" fillId="0" borderId="8" xfId="1" applyNumberFormat="1" applyFont="1" applyBorder="1" applyAlignment="1"/>
    <xf numFmtId="176" fontId="4" fillId="34" borderId="0" xfId="3" applyFill="1"/>
    <xf numFmtId="176" fontId="21" fillId="0" borderId="0" xfId="0" applyFont="1">
      <alignment vertical="center"/>
    </xf>
    <xf numFmtId="176" fontId="8" fillId="0" borderId="0" xfId="0" applyFont="1">
      <alignment vertical="center"/>
    </xf>
    <xf numFmtId="176" fontId="16" fillId="0" borderId="0" xfId="0" quotePrefix="1" applyFont="1">
      <alignment vertical="center"/>
    </xf>
    <xf numFmtId="176" fontId="8" fillId="0" borderId="0" xfId="0" quotePrefix="1" applyFont="1">
      <alignment vertical="center"/>
    </xf>
    <xf numFmtId="176" fontId="21" fillId="0" borderId="8" xfId="0" applyFont="1" applyBorder="1">
      <alignment vertical="center"/>
    </xf>
    <xf numFmtId="176" fontId="8" fillId="0" borderId="8" xfId="0" applyFont="1" applyBorder="1">
      <alignment vertical="center"/>
    </xf>
    <xf numFmtId="176" fontId="16" fillId="0" borderId="8" xfId="0" quotePrefix="1" applyFont="1" applyBorder="1">
      <alignment vertical="center"/>
    </xf>
    <xf numFmtId="179" fontId="12" fillId="0" borderId="0" xfId="3" applyNumberFormat="1" applyFont="1"/>
    <xf numFmtId="179" fontId="22" fillId="0" borderId="0" xfId="3" applyNumberFormat="1" applyFont="1" applyBorder="1" applyAlignment="1">
      <alignment horizontal="right" wrapText="1"/>
    </xf>
    <xf numFmtId="180" fontId="12" fillId="0" borderId="0" xfId="3" applyNumberFormat="1" applyFont="1"/>
    <xf numFmtId="179" fontId="12" fillId="0" borderId="0" xfId="3" applyNumberFormat="1" applyFont="1" applyFill="1"/>
    <xf numFmtId="180" fontId="23" fillId="0" borderId="11" xfId="3" applyNumberFormat="1" applyFont="1" applyBorder="1" applyAlignment="1">
      <alignment horizontal="left" vertical="center" wrapText="1"/>
    </xf>
    <xf numFmtId="180" fontId="25" fillId="0" borderId="11" xfId="3" applyNumberFormat="1" applyFont="1" applyBorder="1" applyAlignment="1">
      <alignment horizontal="right" wrapText="1"/>
    </xf>
    <xf numFmtId="180" fontId="26" fillId="0" borderId="11" xfId="3" applyNumberFormat="1" applyFont="1" applyBorder="1" applyAlignment="1">
      <alignment horizontal="right" vertical="center" wrapText="1"/>
    </xf>
    <xf numFmtId="179" fontId="26" fillId="0" borderId="11" xfId="3" applyNumberFormat="1" applyFont="1" applyBorder="1" applyAlignment="1">
      <alignment vertical="center" wrapText="1"/>
    </xf>
    <xf numFmtId="180" fontId="23" fillId="0" borderId="0" xfId="3" applyNumberFormat="1" applyFont="1" applyBorder="1" applyAlignment="1">
      <alignment horizontal="left" vertical="center" wrapText="1"/>
    </xf>
    <xf numFmtId="180" fontId="25" fillId="0" borderId="0" xfId="3" applyNumberFormat="1" applyFont="1" applyBorder="1" applyAlignment="1">
      <alignment horizontal="right" wrapText="1"/>
    </xf>
    <xf numFmtId="180" fontId="26" fillId="0" borderId="0" xfId="3" applyNumberFormat="1" applyFont="1" applyBorder="1" applyAlignment="1">
      <alignment horizontal="right" vertical="center" wrapText="1"/>
    </xf>
    <xf numFmtId="179" fontId="26" fillId="0" borderId="0" xfId="3" applyNumberFormat="1" applyFont="1" applyBorder="1" applyAlignment="1">
      <alignment vertical="center" wrapText="1"/>
    </xf>
    <xf numFmtId="180" fontId="22" fillId="0" borderId="0" xfId="3" applyNumberFormat="1" applyFont="1" applyBorder="1" applyAlignment="1">
      <alignment horizontal="right" wrapText="1"/>
    </xf>
    <xf numFmtId="180" fontId="29" fillId="0" borderId="0" xfId="3" applyNumberFormat="1" applyFont="1" applyBorder="1" applyAlignment="1">
      <alignment horizontal="right" vertical="center" wrapText="1"/>
    </xf>
    <xf numFmtId="179" fontId="29" fillId="0" borderId="0" xfId="3" applyNumberFormat="1" applyFont="1" applyBorder="1" applyAlignment="1">
      <alignment vertical="center" wrapText="1"/>
    </xf>
    <xf numFmtId="180" fontId="29" fillId="0" borderId="0" xfId="3" applyNumberFormat="1" applyFont="1" applyFill="1" applyBorder="1" applyAlignment="1">
      <alignment horizontal="right" vertical="center" wrapText="1"/>
    </xf>
    <xf numFmtId="180" fontId="29" fillId="35" borderId="0" xfId="3" applyNumberFormat="1" applyFont="1" applyFill="1" applyBorder="1" applyAlignment="1">
      <alignment horizontal="right" vertical="center" wrapText="1"/>
    </xf>
    <xf numFmtId="179" fontId="29" fillId="35" borderId="0" xfId="3" applyNumberFormat="1" applyFont="1" applyFill="1" applyBorder="1" applyAlignment="1">
      <alignment vertical="center" wrapText="1"/>
    </xf>
    <xf numFmtId="179" fontId="30" fillId="0" borderId="0" xfId="3" applyNumberFormat="1" applyFont="1" applyFill="1" applyBorder="1" applyAlignment="1">
      <alignment vertical="center" wrapText="1"/>
    </xf>
    <xf numFmtId="180" fontId="22" fillId="0" borderId="0" xfId="15" applyNumberFormat="1" applyFont="1" applyFill="1" applyBorder="1" applyAlignment="1">
      <alignment horizontal="right" wrapText="1"/>
    </xf>
    <xf numFmtId="180" fontId="29" fillId="0" borderId="0" xfId="15" applyNumberFormat="1" applyFont="1" applyFill="1" applyBorder="1" applyAlignment="1">
      <alignment horizontal="right" vertical="center" wrapText="1"/>
    </xf>
    <xf numFmtId="180" fontId="22" fillId="35" borderId="0" xfId="3" applyNumberFormat="1" applyFont="1" applyFill="1" applyBorder="1" applyAlignment="1">
      <alignment horizontal="right" wrapText="1"/>
    </xf>
    <xf numFmtId="179" fontId="29" fillId="0" borderId="0" xfId="3" applyNumberFormat="1" applyFont="1" applyFill="1" applyBorder="1" applyAlignment="1">
      <alignment vertical="center" wrapText="1"/>
    </xf>
    <xf numFmtId="179" fontId="29" fillId="0" borderId="0" xfId="15" applyNumberFormat="1" applyFont="1" applyFill="1" applyBorder="1" applyAlignment="1">
      <alignment vertical="center" wrapText="1"/>
    </xf>
    <xf numFmtId="180" fontId="29" fillId="36" borderId="0" xfId="3" applyNumberFormat="1" applyFont="1" applyFill="1" applyBorder="1" applyAlignment="1">
      <alignment horizontal="right" vertical="center" wrapText="1"/>
    </xf>
    <xf numFmtId="180" fontId="22" fillId="0" borderId="0" xfId="3" applyNumberFormat="1" applyFont="1" applyFill="1" applyBorder="1" applyAlignment="1">
      <alignment horizontal="right" wrapText="1"/>
    </xf>
    <xf numFmtId="180" fontId="10" fillId="0" borderId="0" xfId="3" applyNumberFormat="1" applyFont="1" applyAlignment="1">
      <alignment horizontal="left" vertical="center" wrapText="1"/>
    </xf>
    <xf numFmtId="179" fontId="30" fillId="0" borderId="0" xfId="15" applyNumberFormat="1" applyFont="1" applyFill="1" applyBorder="1" applyAlignment="1">
      <alignment vertical="center" wrapText="1"/>
    </xf>
    <xf numFmtId="179" fontId="14" fillId="0" borderId="0" xfId="3" applyNumberFormat="1" applyFont="1"/>
    <xf numFmtId="180" fontId="31" fillId="0" borderId="0" xfId="3" applyNumberFormat="1" applyFont="1" applyBorder="1" applyAlignment="1">
      <alignment horizontal="left" vertical="center" wrapText="1"/>
    </xf>
    <xf numFmtId="179" fontId="23" fillId="0" borderId="0" xfId="3" applyNumberFormat="1" applyFont="1" applyBorder="1" applyAlignment="1">
      <alignment horizontal="left" wrapText="1"/>
    </xf>
    <xf numFmtId="179" fontId="11" fillId="0" borderId="11" xfId="3" applyNumberFormat="1" applyFont="1" applyBorder="1" applyAlignment="1">
      <alignment horizontal="center" vertical="center" wrapText="1"/>
    </xf>
    <xf numFmtId="179" fontId="9" fillId="0" borderId="11" xfId="3" applyNumberFormat="1" applyFont="1" applyBorder="1" applyAlignment="1">
      <alignment horizontal="center" vertical="center" wrapText="1"/>
    </xf>
    <xf numFmtId="179" fontId="32" fillId="0" borderId="0" xfId="16" applyNumberFormat="1" applyFont="1"/>
    <xf numFmtId="179" fontId="12" fillId="0" borderId="0" xfId="3" applyNumberFormat="1" applyFont="1" applyAlignment="1">
      <alignment horizontal="left"/>
    </xf>
    <xf numFmtId="179" fontId="12" fillId="0" borderId="0" xfId="3" applyNumberFormat="1" applyFont="1" applyAlignment="1">
      <alignment horizontal="right"/>
    </xf>
    <xf numFmtId="179" fontId="22" fillId="0" borderId="0" xfId="3" applyNumberFormat="1" applyFont="1" applyBorder="1" applyAlignment="1">
      <alignment horizontal="left" wrapText="1"/>
    </xf>
    <xf numFmtId="180" fontId="14" fillId="0" borderId="12" xfId="377" applyNumberFormat="1" applyFont="1" applyAlignment="1">
      <alignment horizontal="left" vertical="center" wrapText="1"/>
    </xf>
    <xf numFmtId="179" fontId="108" fillId="0" borderId="12" xfId="377" applyNumberFormat="1" applyFont="1" applyAlignment="1">
      <alignment vertical="center" wrapText="1"/>
    </xf>
    <xf numFmtId="180" fontId="14" fillId="0" borderId="10" xfId="371" applyNumberFormat="1" applyFont="1" applyAlignment="1">
      <alignment horizontal="left" vertical="center" wrapText="1"/>
    </xf>
    <xf numFmtId="179" fontId="108" fillId="0" borderId="10" xfId="371" applyNumberFormat="1" applyFont="1" applyAlignment="1">
      <alignment vertical="center" wrapText="1"/>
    </xf>
    <xf numFmtId="180" fontId="22" fillId="0" borderId="0" xfId="3" applyNumberFormat="1" applyFont="1" applyBorder="1" applyAlignment="1">
      <alignment horizontal="left" vertical="center" wrapText="1"/>
    </xf>
    <xf numFmtId="180" fontId="22" fillId="0" borderId="0" xfId="3" applyNumberFormat="1" applyFont="1" applyBorder="1" applyAlignment="1">
      <alignment horizontal="right" vertical="center" wrapText="1"/>
    </xf>
    <xf numFmtId="179" fontId="30" fillId="0" borderId="0" xfId="3" applyNumberFormat="1" applyFont="1" applyBorder="1" applyAlignment="1">
      <alignment horizontal="left" vertical="center" wrapText="1" indent="2"/>
    </xf>
    <xf numFmtId="179" fontId="30" fillId="0" borderId="0" xfId="3" applyNumberFormat="1" applyFont="1" applyFill="1" applyBorder="1" applyAlignment="1">
      <alignment horizontal="left" vertical="center" wrapText="1" indent="2"/>
    </xf>
    <xf numFmtId="179" fontId="14" fillId="0" borderId="0" xfId="3" applyNumberFormat="1" applyFont="1" applyFill="1"/>
    <xf numFmtId="180" fontId="25" fillId="0" borderId="0" xfId="3" applyNumberFormat="1" applyFont="1" applyBorder="1" applyAlignment="1">
      <alignment horizontal="left" vertical="center" wrapText="1"/>
    </xf>
    <xf numFmtId="180" fontId="25" fillId="0" borderId="0" xfId="3" applyNumberFormat="1" applyFont="1" applyBorder="1" applyAlignment="1">
      <alignment horizontal="right" vertical="center" wrapText="1"/>
    </xf>
    <xf numFmtId="180" fontId="26" fillId="0" borderId="0" xfId="3" applyNumberFormat="1" applyFont="1" applyFill="1" applyBorder="1" applyAlignment="1">
      <alignment horizontal="right" vertical="center" wrapText="1"/>
    </xf>
    <xf numFmtId="179" fontId="26" fillId="0" borderId="0" xfId="3" applyNumberFormat="1" applyFont="1" applyFill="1" applyBorder="1" applyAlignment="1">
      <alignment vertical="center" wrapText="1"/>
    </xf>
    <xf numFmtId="237" fontId="29" fillId="0" borderId="0" xfId="3" applyNumberFormat="1" applyFont="1" applyBorder="1" applyAlignment="1">
      <alignment horizontal="right" vertical="center" wrapText="1"/>
    </xf>
    <xf numFmtId="179" fontId="11" fillId="0" borderId="11" xfId="3" applyNumberFormat="1" applyFont="1" applyBorder="1" applyAlignment="1">
      <alignment horizontal="center" vertical="center" wrapText="1"/>
    </xf>
    <xf numFmtId="179" fontId="112" fillId="64" borderId="0" xfId="386" applyNumberFormat="1" applyFont="1" applyFill="1" applyBorder="1" applyAlignment="1" applyProtection="1"/>
    <xf numFmtId="179" fontId="113" fillId="64" borderId="0" xfId="386" applyNumberFormat="1" applyFont="1" applyFill="1" applyBorder="1" applyAlignment="1" applyProtection="1"/>
    <xf numFmtId="179" fontId="114" fillId="64" borderId="0" xfId="386" applyNumberFormat="1" applyFont="1" applyFill="1" applyBorder="1" applyAlignment="1" applyProtection="1">
      <alignment horizontal="right"/>
    </xf>
    <xf numFmtId="179" fontId="113" fillId="64" borderId="0" xfId="386" applyNumberFormat="1" applyFont="1" applyFill="1" applyBorder="1" applyAlignment="1" applyProtection="1">
      <alignment horizontal="right"/>
    </xf>
    <xf numFmtId="179" fontId="114" fillId="64" borderId="0" xfId="386" applyNumberFormat="1" applyFont="1" applyFill="1" applyBorder="1" applyAlignment="1" applyProtection="1"/>
    <xf numFmtId="179" fontId="79" fillId="0" borderId="0" xfId="386" applyNumberFormat="1" applyFont="1" applyFill="1" applyBorder="1" applyAlignment="1" applyProtection="1"/>
    <xf numFmtId="179" fontId="115" fillId="64" borderId="0" xfId="386" applyNumberFormat="1" applyFont="1" applyFill="1" applyBorder="1" applyAlignment="1" applyProtection="1">
      <alignment horizontal="right"/>
    </xf>
    <xf numFmtId="4" fontId="116" fillId="64" borderId="0" xfId="386" applyNumberFormat="1" applyFont="1" applyFill="1" applyBorder="1" applyAlignment="1" applyProtection="1">
      <alignment horizontal="right"/>
    </xf>
    <xf numFmtId="179" fontId="113" fillId="64" borderId="0" xfId="386" applyNumberFormat="1" applyFont="1" applyFill="1" applyBorder="1" applyAlignment="1" applyProtection="1">
      <alignment horizontal="left"/>
    </xf>
    <xf numFmtId="179" fontId="117" fillId="65" borderId="0" xfId="386" applyNumberFormat="1" applyFont="1" applyFill="1" applyBorder="1" applyAlignment="1" applyProtection="1">
      <alignment horizontal="left"/>
    </xf>
    <xf numFmtId="179" fontId="114" fillId="64" borderId="0" xfId="386" applyNumberFormat="1" applyFont="1" applyFill="1" applyBorder="1" applyAlignment="1" applyProtection="1">
      <alignment wrapText="1"/>
    </xf>
    <xf numFmtId="179" fontId="114" fillId="64" borderId="0" xfId="386" applyNumberFormat="1" applyFont="1" applyFill="1" applyBorder="1" applyAlignment="1" applyProtection="1">
      <alignment horizontal="left"/>
    </xf>
    <xf numFmtId="238" fontId="118" fillId="64" borderId="0" xfId="386" applyNumberFormat="1" applyFont="1" applyFill="1" applyBorder="1" applyAlignment="1" applyProtection="1">
      <alignment horizontal="right"/>
    </xf>
    <xf numFmtId="238" fontId="114" fillId="64" borderId="0" xfId="386" applyNumberFormat="1" applyFont="1" applyFill="1" applyBorder="1" applyAlignment="1" applyProtection="1">
      <alignment horizontal="right"/>
    </xf>
    <xf numFmtId="238" fontId="119" fillId="64" borderId="0" xfId="386" applyNumberFormat="1" applyFont="1" applyFill="1" applyBorder="1" applyAlignment="1" applyProtection="1">
      <alignment horizontal="right"/>
    </xf>
    <xf numFmtId="179" fontId="120" fillId="0" borderId="0" xfId="386" applyFont="1"/>
    <xf numFmtId="238" fontId="121" fillId="64" borderId="0" xfId="386" applyNumberFormat="1" applyFont="1" applyFill="1" applyBorder="1" applyAlignment="1" applyProtection="1">
      <alignment horizontal="right"/>
    </xf>
    <xf numFmtId="238" fontId="113" fillId="64" borderId="0" xfId="386" applyNumberFormat="1" applyFont="1" applyFill="1" applyBorder="1" applyAlignment="1" applyProtection="1">
      <alignment horizontal="right"/>
    </xf>
    <xf numFmtId="238" fontId="122" fillId="64" borderId="0" xfId="386" applyNumberFormat="1" applyFont="1" applyFill="1" applyBorder="1" applyAlignment="1" applyProtection="1">
      <alignment horizontal="right"/>
    </xf>
    <xf numFmtId="179" fontId="79" fillId="0" borderId="0" xfId="386"/>
    <xf numFmtId="4" fontId="113" fillId="64" borderId="0" xfId="386" applyNumberFormat="1" applyFont="1" applyFill="1" applyBorder="1" applyAlignment="1" applyProtection="1">
      <alignment horizontal="right"/>
    </xf>
    <xf numFmtId="179" fontId="17" fillId="0" borderId="8" xfId="3" applyNumberFormat="1" applyFont="1" applyBorder="1" applyAlignment="1">
      <alignment horizontal="left" vertical="center"/>
    </xf>
    <xf numFmtId="179" fontId="17" fillId="0" borderId="0" xfId="2" applyNumberFormat="1" applyFont="1" applyAlignment="1">
      <alignment vertical="center"/>
    </xf>
    <xf numFmtId="179" fontId="18" fillId="0" borderId="0" xfId="3" applyNumberFormat="1" applyFont="1" applyAlignment="1">
      <alignment vertical="center"/>
    </xf>
    <xf numFmtId="179" fontId="17" fillId="0" borderId="11" xfId="3" applyNumberFormat="1" applyFont="1" applyBorder="1" applyAlignment="1">
      <alignment horizontal="center" vertical="center"/>
    </xf>
    <xf numFmtId="41" fontId="18" fillId="0" borderId="0" xfId="303" applyNumberFormat="1" applyFont="1" applyAlignment="1">
      <alignment vertical="center"/>
    </xf>
    <xf numFmtId="41" fontId="18" fillId="0" borderId="0" xfId="3" applyNumberFormat="1" applyFont="1" applyAlignment="1">
      <alignment vertical="center"/>
    </xf>
    <xf numFmtId="179" fontId="18" fillId="0" borderId="0" xfId="3" applyNumberFormat="1" applyFont="1" applyAlignment="1">
      <alignment horizontal="left" vertical="center"/>
    </xf>
    <xf numFmtId="178" fontId="18" fillId="0" borderId="0" xfId="3" applyNumberFormat="1" applyFont="1" applyAlignment="1">
      <alignment vertical="center"/>
    </xf>
    <xf numFmtId="179" fontId="17" fillId="0" borderId="12" xfId="2" applyNumberFormat="1" applyFont="1" applyBorder="1" applyAlignment="1">
      <alignment vertical="center"/>
    </xf>
    <xf numFmtId="179" fontId="19" fillId="0" borderId="12" xfId="3" applyNumberFormat="1" applyFont="1" applyBorder="1" applyAlignment="1">
      <alignment vertical="center"/>
    </xf>
    <xf numFmtId="41" fontId="19" fillId="0" borderId="12" xfId="303" applyNumberFormat="1" applyFont="1" applyBorder="1" applyAlignment="1">
      <alignment vertical="center"/>
    </xf>
    <xf numFmtId="179" fontId="17" fillId="0" borderId="8" xfId="3" applyNumberFormat="1" applyFont="1" applyBorder="1" applyAlignment="1">
      <alignment horizontal="center" vertical="center"/>
    </xf>
    <xf numFmtId="179" fontId="111" fillId="0" borderId="0" xfId="2" applyNumberFormat="1" applyFont="1" applyAlignment="1">
      <alignment vertical="center"/>
    </xf>
    <xf numFmtId="178" fontId="18" fillId="0" borderId="0" xfId="1" applyNumberFormat="1" applyFont="1" applyAlignment="1">
      <alignment vertical="center"/>
    </xf>
    <xf numFmtId="179" fontId="111" fillId="0" borderId="8" xfId="2" applyNumberFormat="1" applyFont="1" applyBorder="1" applyAlignment="1">
      <alignment vertical="center"/>
    </xf>
    <xf numFmtId="179" fontId="18" fillId="0" borderId="8" xfId="3" applyNumberFormat="1" applyFont="1" applyBorder="1" applyAlignment="1">
      <alignment vertical="center"/>
    </xf>
    <xf numFmtId="41" fontId="18" fillId="0" borderId="8" xfId="303" applyNumberFormat="1" applyFont="1" applyBorder="1" applyAlignment="1">
      <alignment vertical="center"/>
    </xf>
    <xf numFmtId="178" fontId="18" fillId="0" borderId="8" xfId="1" applyNumberFormat="1" applyFont="1" applyBorder="1" applyAlignment="1">
      <alignment vertical="center"/>
    </xf>
    <xf numFmtId="43" fontId="18" fillId="0" borderId="0" xfId="3" applyNumberFormat="1" applyFont="1" applyAlignment="1">
      <alignment vertical="center"/>
    </xf>
    <xf numFmtId="179" fontId="17" fillId="0" borderId="11" xfId="3" applyNumberFormat="1" applyFont="1" applyBorder="1" applyAlignment="1">
      <alignment horizontal="left" vertical="center"/>
    </xf>
    <xf numFmtId="179" fontId="111" fillId="0" borderId="0" xfId="3" applyNumberFormat="1" applyFont="1" applyAlignment="1">
      <alignment vertical="center"/>
    </xf>
    <xf numFmtId="178" fontId="18" fillId="0" borderId="0" xfId="303" applyNumberFormat="1" applyFont="1" applyAlignment="1">
      <alignment vertical="center"/>
    </xf>
    <xf numFmtId="179" fontId="111" fillId="0" borderId="10" xfId="2" applyNumberFormat="1" applyFont="1" applyBorder="1" applyAlignment="1">
      <alignment vertical="center"/>
    </xf>
    <xf numFmtId="179" fontId="18" fillId="0" borderId="10" xfId="3" applyNumberFormat="1" applyFont="1" applyBorder="1" applyAlignment="1">
      <alignment vertical="center"/>
    </xf>
    <xf numFmtId="41" fontId="18" fillId="0" borderId="10" xfId="303" applyNumberFormat="1" applyFont="1" applyBorder="1" applyAlignment="1">
      <alignment vertical="center"/>
    </xf>
    <xf numFmtId="179" fontId="111" fillId="0" borderId="11" xfId="2" applyNumberFormat="1" applyFont="1" applyBorder="1" applyAlignment="1">
      <alignment vertical="center"/>
    </xf>
    <xf numFmtId="179" fontId="18" fillId="0" borderId="11" xfId="3" applyNumberFormat="1" applyFont="1" applyBorder="1" applyAlignment="1">
      <alignment vertical="center"/>
    </xf>
    <xf numFmtId="41" fontId="18" fillId="0" borderId="11" xfId="303" applyNumberFormat="1" applyFont="1" applyBorder="1" applyAlignment="1">
      <alignment vertical="center"/>
    </xf>
    <xf numFmtId="178" fontId="18" fillId="0" borderId="11" xfId="1" applyNumberFormat="1" applyFont="1" applyBorder="1" applyAlignment="1">
      <alignment vertical="center"/>
    </xf>
    <xf numFmtId="41" fontId="111" fillId="0" borderId="0" xfId="303" applyNumberFormat="1" applyFont="1" applyAlignment="1">
      <alignment vertical="center"/>
    </xf>
    <xf numFmtId="178" fontId="111" fillId="0" borderId="0" xfId="3" applyNumberFormat="1" applyFont="1" applyAlignment="1">
      <alignment vertical="center"/>
    </xf>
    <xf numFmtId="178" fontId="111" fillId="0" borderId="0" xfId="1" applyNumberFormat="1" applyFont="1" applyAlignment="1">
      <alignment vertical="center"/>
    </xf>
    <xf numFmtId="179" fontId="111" fillId="0" borderId="31" xfId="2" applyNumberFormat="1" applyFont="1" applyBorder="1" applyAlignment="1">
      <alignment vertical="center"/>
    </xf>
    <xf numFmtId="179" fontId="111" fillId="0" borderId="31" xfId="3" applyNumberFormat="1" applyFont="1" applyBorder="1" applyAlignment="1">
      <alignment vertical="center"/>
    </xf>
    <xf numFmtId="178" fontId="111" fillId="0" borderId="31" xfId="3" applyNumberFormat="1" applyFont="1" applyBorder="1" applyAlignment="1">
      <alignment vertical="center"/>
    </xf>
    <xf numFmtId="178" fontId="111" fillId="0" borderId="31" xfId="1" applyNumberFormat="1" applyFont="1" applyBorder="1" applyAlignment="1">
      <alignment vertical="center"/>
    </xf>
    <xf numFmtId="179" fontId="111" fillId="0" borderId="32" xfId="2" applyNumberFormat="1" applyFont="1" applyBorder="1" applyAlignment="1">
      <alignment vertical="center"/>
    </xf>
    <xf numFmtId="179" fontId="111" fillId="0" borderId="32" xfId="3" applyNumberFormat="1" applyFont="1" applyBorder="1" applyAlignment="1">
      <alignment vertical="center"/>
    </xf>
    <xf numFmtId="178" fontId="111" fillId="0" borderId="32" xfId="3" applyNumberFormat="1" applyFont="1" applyBorder="1" applyAlignment="1">
      <alignment vertical="center"/>
    </xf>
    <xf numFmtId="41" fontId="111" fillId="0" borderId="32" xfId="303" applyNumberFormat="1" applyFont="1" applyBorder="1" applyAlignment="1">
      <alignment vertical="center"/>
    </xf>
    <xf numFmtId="179" fontId="111" fillId="0" borderId="10" xfId="3" applyNumberFormat="1" applyFont="1" applyBorder="1" applyAlignment="1">
      <alignment vertical="center"/>
    </xf>
    <xf numFmtId="178" fontId="111" fillId="0" borderId="10" xfId="3" applyNumberFormat="1" applyFont="1" applyBorder="1" applyAlignment="1">
      <alignment vertical="center"/>
    </xf>
    <xf numFmtId="41" fontId="111" fillId="0" borderId="10" xfId="303" applyNumberFormat="1" applyFont="1" applyBorder="1" applyAlignment="1">
      <alignment vertical="center"/>
    </xf>
    <xf numFmtId="179" fontId="17" fillId="0" borderId="0" xfId="2" applyNumberFormat="1" applyFont="1" applyBorder="1" applyAlignment="1">
      <alignment vertical="center"/>
    </xf>
    <xf numFmtId="179" fontId="111" fillId="0" borderId="0" xfId="3" applyNumberFormat="1" applyFont="1" applyBorder="1" applyAlignment="1">
      <alignment vertical="center"/>
    </xf>
    <xf numFmtId="41" fontId="111" fillId="0" borderId="0" xfId="303" applyNumberFormat="1" applyFont="1" applyBorder="1" applyAlignment="1">
      <alignment vertical="center"/>
    </xf>
    <xf numFmtId="179" fontId="111" fillId="0" borderId="0" xfId="2" applyNumberFormat="1" applyFont="1" applyBorder="1" applyAlignment="1">
      <alignment vertical="center"/>
    </xf>
    <xf numFmtId="178" fontId="111" fillId="0" borderId="0" xfId="1" applyNumberFormat="1" applyFont="1" applyBorder="1" applyAlignment="1">
      <alignment vertical="center"/>
    </xf>
    <xf numFmtId="41" fontId="111" fillId="0" borderId="31" xfId="303" applyNumberFormat="1" applyFont="1" applyBorder="1" applyAlignment="1">
      <alignment vertical="center"/>
    </xf>
    <xf numFmtId="179" fontId="111" fillId="0" borderId="8" xfId="3" applyNumberFormat="1" applyFont="1" applyBorder="1" applyAlignment="1">
      <alignment vertical="center"/>
    </xf>
    <xf numFmtId="41" fontId="111" fillId="0" borderId="8" xfId="303" applyNumberFormat="1" applyFont="1" applyBorder="1" applyAlignment="1">
      <alignment vertical="center"/>
    </xf>
    <xf numFmtId="9" fontId="111" fillId="0" borderId="8" xfId="303" applyNumberFormat="1" applyFont="1" applyBorder="1" applyAlignment="1">
      <alignment vertical="center"/>
    </xf>
    <xf numFmtId="41" fontId="17" fillId="0" borderId="0" xfId="303" applyNumberFormat="1" applyFont="1" applyAlignment="1">
      <alignment vertical="center"/>
    </xf>
    <xf numFmtId="179" fontId="18" fillId="0" borderId="8" xfId="3" applyNumberFormat="1" applyFont="1" applyBorder="1" applyAlignment="1">
      <alignment horizontal="left" vertical="center"/>
    </xf>
    <xf numFmtId="41" fontId="18" fillId="0" borderId="8" xfId="3" applyNumberFormat="1" applyFont="1" applyBorder="1" applyAlignment="1">
      <alignment vertical="center"/>
    </xf>
    <xf numFmtId="179" fontId="19" fillId="0" borderId="0" xfId="3" applyNumberFormat="1" applyFont="1" applyAlignment="1">
      <alignment vertical="center"/>
    </xf>
    <xf numFmtId="41" fontId="19" fillId="0" borderId="0" xfId="3" applyNumberFormat="1" applyFont="1" applyAlignment="1">
      <alignment vertical="center"/>
    </xf>
    <xf numFmtId="179" fontId="110" fillId="0" borderId="0" xfId="3" applyNumberFormat="1" applyFont="1" applyAlignment="1">
      <alignment horizontal="left" vertical="center"/>
    </xf>
    <xf numFmtId="179" fontId="110" fillId="0" borderId="0" xfId="3" applyNumberFormat="1" applyFont="1" applyAlignment="1">
      <alignment vertical="center"/>
    </xf>
    <xf numFmtId="41" fontId="110" fillId="0" borderId="0" xfId="3" applyNumberFormat="1" applyFont="1" applyAlignment="1">
      <alignment vertical="center"/>
    </xf>
    <xf numFmtId="178" fontId="110" fillId="0" borderId="0" xfId="1" applyNumberFormat="1" applyFont="1" applyAlignment="1">
      <alignment vertical="center"/>
    </xf>
    <xf numFmtId="179" fontId="110" fillId="0" borderId="31" xfId="3" applyNumberFormat="1" applyFont="1" applyBorder="1" applyAlignment="1">
      <alignment horizontal="left" vertical="center"/>
    </xf>
    <xf numFmtId="179" fontId="110" fillId="0" borderId="31" xfId="3" applyNumberFormat="1" applyFont="1" applyBorder="1" applyAlignment="1">
      <alignment vertical="center"/>
    </xf>
    <xf numFmtId="178" fontId="110" fillId="0" borderId="31" xfId="1" applyNumberFormat="1" applyFont="1" applyBorder="1" applyAlignment="1">
      <alignment vertical="center"/>
    </xf>
    <xf numFmtId="179" fontId="110" fillId="0" borderId="8" xfId="3" applyNumberFormat="1" applyFont="1" applyBorder="1" applyAlignment="1">
      <alignment horizontal="left" vertical="center"/>
    </xf>
    <xf numFmtId="179" fontId="110" fillId="0" borderId="8" xfId="3" applyNumberFormat="1" applyFont="1" applyBorder="1" applyAlignment="1">
      <alignment vertical="center"/>
    </xf>
    <xf numFmtId="178" fontId="110" fillId="0" borderId="8" xfId="1" applyNumberFormat="1" applyFont="1" applyBorder="1" applyAlignment="1">
      <alignment vertical="center"/>
    </xf>
    <xf numFmtId="41" fontId="19" fillId="36" borderId="0" xfId="3" applyNumberFormat="1" applyFont="1" applyFill="1" applyAlignment="1">
      <alignment vertical="center"/>
    </xf>
    <xf numFmtId="41" fontId="110" fillId="0" borderId="31" xfId="3" applyNumberFormat="1" applyFont="1" applyBorder="1" applyAlignment="1">
      <alignment vertical="center"/>
    </xf>
    <xf numFmtId="41" fontId="110" fillId="0" borderId="8" xfId="303" applyNumberFormat="1" applyFont="1" applyBorder="1" applyAlignment="1">
      <alignment vertical="center"/>
    </xf>
    <xf numFmtId="179" fontId="110" fillId="0" borderId="0" xfId="3" applyNumberFormat="1" applyFont="1" applyBorder="1" applyAlignment="1">
      <alignment vertical="center"/>
    </xf>
    <xf numFmtId="41" fontId="110" fillId="0" borderId="0" xfId="3" applyNumberFormat="1" applyFont="1" applyBorder="1" applyAlignment="1">
      <alignment vertical="center"/>
    </xf>
    <xf numFmtId="178" fontId="110" fillId="0" borderId="0" xfId="1" applyNumberFormat="1" applyFont="1" applyBorder="1" applyAlignment="1">
      <alignment vertical="center"/>
    </xf>
    <xf numFmtId="179" fontId="110" fillId="0" borderId="0" xfId="3" applyNumberFormat="1" applyFont="1" applyBorder="1" applyAlignment="1">
      <alignment horizontal="left" vertical="center"/>
    </xf>
    <xf numFmtId="179" fontId="18" fillId="0" borderId="10" xfId="3" applyNumberFormat="1" applyFont="1" applyBorder="1" applyAlignment="1">
      <alignment horizontal="left" vertical="center"/>
    </xf>
    <xf numFmtId="179" fontId="18" fillId="0" borderId="10" xfId="3" applyNumberFormat="1" applyFont="1" applyBorder="1" applyAlignment="1">
      <alignment horizontal="center" vertical="center"/>
    </xf>
    <xf numFmtId="41" fontId="18" fillId="0" borderId="10" xfId="303" applyNumberFormat="1" applyFont="1" applyBorder="1" applyAlignment="1">
      <alignment horizontal="center" vertical="center"/>
    </xf>
    <xf numFmtId="179" fontId="18" fillId="0" borderId="0" xfId="3" applyNumberFormat="1" applyFont="1" applyBorder="1" applyAlignment="1">
      <alignment horizontal="left" vertical="center"/>
    </xf>
    <xf numFmtId="179" fontId="18" fillId="0" borderId="0" xfId="3" applyNumberFormat="1" applyFont="1" applyBorder="1" applyAlignment="1">
      <alignment horizontal="center" vertical="center"/>
    </xf>
    <xf numFmtId="41" fontId="18" fillId="0" borderId="0" xfId="303" applyNumberFormat="1" applyFont="1" applyBorder="1" applyAlignment="1">
      <alignment horizontal="center" vertical="center"/>
    </xf>
    <xf numFmtId="179" fontId="18" fillId="0" borderId="9" xfId="3" applyNumberFormat="1" applyFont="1" applyBorder="1" applyAlignment="1">
      <alignment vertical="center"/>
    </xf>
    <xf numFmtId="179" fontId="20" fillId="0" borderId="0" xfId="3" applyNumberFormat="1" applyFont="1" applyAlignment="1">
      <alignment vertical="center"/>
    </xf>
    <xf numFmtId="179" fontId="19" fillId="0" borderId="9" xfId="3" applyNumberFormat="1" applyFont="1" applyBorder="1" applyAlignment="1">
      <alignment vertical="center"/>
    </xf>
    <xf numFmtId="41" fontId="19" fillId="0" borderId="9" xfId="303" applyNumberFormat="1" applyFont="1" applyBorder="1" applyAlignment="1">
      <alignment vertical="center"/>
    </xf>
    <xf numFmtId="41" fontId="18" fillId="0" borderId="9" xfId="303" applyNumberFormat="1" applyFont="1" applyBorder="1" applyAlignment="1">
      <alignment vertical="center"/>
    </xf>
    <xf numFmtId="179" fontId="17" fillId="0" borderId="0" xfId="3" applyNumberFormat="1" applyFont="1" applyBorder="1" applyAlignment="1">
      <alignment horizontal="left" vertical="center"/>
    </xf>
    <xf numFmtId="179" fontId="17" fillId="0" borderId="0" xfId="3" applyNumberFormat="1" applyFont="1" applyBorder="1" applyAlignment="1">
      <alignment horizontal="center" vertical="center"/>
    </xf>
    <xf numFmtId="41" fontId="17" fillId="0" borderId="0" xfId="303" applyNumberFormat="1" applyFont="1" applyBorder="1" applyAlignment="1">
      <alignment horizontal="center" vertical="center"/>
    </xf>
    <xf numFmtId="179" fontId="18" fillId="0" borderId="0" xfId="3" applyNumberFormat="1" applyFont="1" applyBorder="1" applyAlignment="1">
      <alignment vertical="center"/>
    </xf>
    <xf numFmtId="41" fontId="18" fillId="0" borderId="0" xfId="303" applyNumberFormat="1" applyFont="1" applyBorder="1" applyAlignment="1">
      <alignment vertical="center"/>
    </xf>
    <xf numFmtId="178" fontId="18" fillId="0" borderId="0" xfId="1" applyNumberFormat="1" applyFont="1" applyBorder="1" applyAlignment="1">
      <alignment vertical="center"/>
    </xf>
    <xf numFmtId="179" fontId="18" fillId="0" borderId="31" xfId="3" applyNumberFormat="1" applyFont="1" applyBorder="1" applyAlignment="1">
      <alignment vertical="center"/>
    </xf>
    <xf numFmtId="178" fontId="18" fillId="0" borderId="31" xfId="1" applyNumberFormat="1" applyFont="1" applyBorder="1" applyAlignment="1">
      <alignment vertical="center"/>
    </xf>
    <xf numFmtId="41" fontId="18" fillId="0" borderId="31" xfId="303" applyNumberFormat="1" applyFont="1" applyBorder="1" applyAlignment="1">
      <alignment vertical="center"/>
    </xf>
    <xf numFmtId="179" fontId="111" fillId="0" borderId="0" xfId="2" applyNumberFormat="1" applyFont="1" applyAlignment="1">
      <alignment horizontal="left" vertical="center" indent="1"/>
    </xf>
    <xf numFmtId="179" fontId="111" fillId="0" borderId="8" xfId="2" applyNumberFormat="1" applyFont="1" applyBorder="1" applyAlignment="1">
      <alignment horizontal="left" vertical="center" indent="1"/>
    </xf>
    <xf numFmtId="178" fontId="18" fillId="0" borderId="8" xfId="303" applyNumberFormat="1" applyFont="1" applyBorder="1" applyAlignment="1">
      <alignment vertical="center"/>
    </xf>
    <xf numFmtId="179" fontId="18" fillId="0" borderId="0" xfId="3" applyNumberFormat="1" applyFont="1" applyAlignment="1">
      <alignment horizontal="left" vertical="center" indent="1"/>
    </xf>
    <xf numFmtId="179" fontId="17" fillId="0" borderId="8" xfId="2" applyNumberFormat="1" applyFont="1" applyBorder="1" applyAlignment="1">
      <alignment vertical="center"/>
    </xf>
    <xf numFmtId="179" fontId="17" fillId="0" borderId="0" xfId="2" applyNumberFormat="1" applyFont="1" applyAlignment="1">
      <alignment horizontal="center" vertical="center"/>
    </xf>
    <xf numFmtId="179" fontId="17" fillId="0" borderId="33" xfId="2" applyNumberFormat="1" applyFont="1" applyBorder="1" applyAlignment="1">
      <alignment vertical="center"/>
    </xf>
    <xf numFmtId="179" fontId="17" fillId="0" borderId="10" xfId="2" applyNumberFormat="1" applyFont="1" applyBorder="1" applyAlignment="1">
      <alignment vertical="center"/>
    </xf>
    <xf numFmtId="179" fontId="18" fillId="0" borderId="35" xfId="3" applyNumberFormat="1" applyFont="1" applyBorder="1" applyAlignment="1">
      <alignment horizontal="left" vertical="center" indent="1"/>
    </xf>
    <xf numFmtId="179" fontId="18" fillId="0" borderId="37" xfId="3" applyNumberFormat="1" applyFont="1" applyBorder="1" applyAlignment="1">
      <alignment horizontal="left" vertical="center" indent="1"/>
    </xf>
    <xf numFmtId="179" fontId="18" fillId="0" borderId="39" xfId="3" applyNumberFormat="1" applyFont="1" applyBorder="1" applyAlignment="1">
      <alignment vertical="center"/>
    </xf>
    <xf numFmtId="178" fontId="4" fillId="0" borderId="0" xfId="1" applyNumberFormat="1" applyFont="1" applyAlignment="1"/>
    <xf numFmtId="176" fontId="4" fillId="0" borderId="0" xfId="3" applyBorder="1"/>
    <xf numFmtId="178" fontId="4" fillId="0" borderId="0" xfId="1" applyNumberFormat="1" applyFont="1" applyBorder="1" applyAlignment="1"/>
    <xf numFmtId="178" fontId="4" fillId="0" borderId="32" xfId="1" applyNumberFormat="1" applyFont="1" applyBorder="1" applyAlignment="1"/>
    <xf numFmtId="179" fontId="19" fillId="0" borderId="39" xfId="2" applyNumberFormat="1" applyFont="1" applyBorder="1" applyAlignment="1">
      <alignment vertical="center"/>
    </xf>
    <xf numFmtId="41" fontId="18" fillId="0" borderId="39" xfId="303" applyNumberFormat="1" applyFont="1" applyBorder="1" applyAlignment="1">
      <alignment vertical="center"/>
    </xf>
    <xf numFmtId="179" fontId="18" fillId="0" borderId="0" xfId="2" applyNumberFormat="1" applyFont="1" applyBorder="1" applyAlignment="1">
      <alignment horizontal="left" vertical="center" indent="1"/>
    </xf>
    <xf numFmtId="179" fontId="18" fillId="0" borderId="11" xfId="2" applyNumberFormat="1" applyFont="1" applyBorder="1" applyAlignment="1">
      <alignment horizontal="left" vertical="center" indent="1"/>
    </xf>
    <xf numFmtId="179" fontId="19" fillId="0" borderId="8" xfId="2" applyNumberFormat="1" applyFont="1" applyBorder="1" applyAlignment="1">
      <alignment vertical="center"/>
    </xf>
    <xf numFmtId="179" fontId="19" fillId="0" borderId="8" xfId="3" applyNumberFormat="1" applyFont="1" applyBorder="1" applyAlignment="1">
      <alignment vertical="center"/>
    </xf>
    <xf numFmtId="41" fontId="19" fillId="0" borderId="8" xfId="303" applyNumberFormat="1" applyFont="1" applyBorder="1" applyAlignment="1">
      <alignment vertical="center"/>
    </xf>
    <xf numFmtId="176" fontId="4" fillId="0" borderId="11" xfId="3" applyBorder="1"/>
    <xf numFmtId="176" fontId="123" fillId="0" borderId="0" xfId="0" applyFont="1" applyBorder="1" applyAlignment="1"/>
    <xf numFmtId="176" fontId="13" fillId="0" borderId="0" xfId="0" applyFont="1" applyAlignment="1"/>
    <xf numFmtId="176" fontId="13" fillId="0" borderId="8" xfId="0" applyFont="1" applyBorder="1" applyAlignment="1">
      <alignment horizontal="left" indent="1"/>
    </xf>
    <xf numFmtId="176" fontId="13" fillId="0" borderId="8" xfId="0" applyFont="1" applyBorder="1" applyAlignment="1"/>
    <xf numFmtId="176" fontId="123" fillId="0" borderId="0" xfId="0" applyFont="1" applyAlignment="1"/>
    <xf numFmtId="176" fontId="13" fillId="0" borderId="0" xfId="0" applyFont="1" applyBorder="1" applyAlignment="1">
      <alignment horizontal="left" indent="1"/>
    </xf>
    <xf numFmtId="176" fontId="13" fillId="0" borderId="0" xfId="0" applyFont="1" applyBorder="1" applyAlignment="1"/>
    <xf numFmtId="176" fontId="123" fillId="33" borderId="10" xfId="7" applyFont="1" applyBorder="1"/>
    <xf numFmtId="176" fontId="123" fillId="33" borderId="9" xfId="7" applyFont="1" applyBorder="1"/>
    <xf numFmtId="176" fontId="13" fillId="0" borderId="9" xfId="0" applyFont="1" applyBorder="1" applyAlignment="1"/>
    <xf numFmtId="178" fontId="13" fillId="0" borderId="8" xfId="1" applyNumberFormat="1" applyFont="1" applyBorder="1" applyAlignment="1"/>
    <xf numFmtId="178" fontId="13" fillId="0" borderId="0" xfId="1" applyNumberFormat="1" applyFont="1" applyAlignment="1"/>
    <xf numFmtId="41" fontId="124" fillId="0" borderId="0" xfId="387" applyFont="1" applyBorder="1">
      <alignment vertical="center"/>
    </xf>
    <xf numFmtId="239" fontId="124" fillId="0" borderId="0" xfId="0" applyNumberFormat="1" applyFont="1" applyBorder="1" applyAlignment="1">
      <alignment vertical="center"/>
    </xf>
    <xf numFmtId="178" fontId="13" fillId="0" borderId="0" xfId="1" applyNumberFormat="1" applyFont="1" applyBorder="1" applyAlignment="1"/>
    <xf numFmtId="41" fontId="124" fillId="0" borderId="9" xfId="387" applyFont="1" applyBorder="1" applyAlignment="1">
      <alignment vertical="center"/>
    </xf>
    <xf numFmtId="176" fontId="13" fillId="0" borderId="41" xfId="0" applyFont="1" applyBorder="1" applyAlignment="1"/>
    <xf numFmtId="176" fontId="13" fillId="0" borderId="41" xfId="0" applyFont="1" applyBorder="1" applyAlignment="1">
      <alignment horizontal="center"/>
    </xf>
    <xf numFmtId="178" fontId="13" fillId="0" borderId="41" xfId="1" applyNumberFormat="1" applyFont="1" applyBorder="1" applyAlignment="1"/>
    <xf numFmtId="41" fontId="125" fillId="0" borderId="0" xfId="387" applyFont="1" applyBorder="1">
      <alignment vertical="center"/>
    </xf>
    <xf numFmtId="176" fontId="126" fillId="0" borderId="0" xfId="3" applyFont="1"/>
    <xf numFmtId="176" fontId="4" fillId="0" borderId="31" xfId="3" applyBorder="1"/>
    <xf numFmtId="176" fontId="19" fillId="0" borderId="0" xfId="3" applyFont="1"/>
    <xf numFmtId="176" fontId="4" fillId="0" borderId="9" xfId="3" applyBorder="1"/>
    <xf numFmtId="41" fontId="4" fillId="0" borderId="0" xfId="303" applyNumberFormat="1" applyFont="1" applyAlignment="1"/>
    <xf numFmtId="176" fontId="4" fillId="36" borderId="0" xfId="3" applyFill="1"/>
    <xf numFmtId="179" fontId="129" fillId="0" borderId="11" xfId="367" applyFont="1" applyAlignment="1">
      <alignment horizontal="center" wrapText="1"/>
    </xf>
    <xf numFmtId="240" fontId="24" fillId="0" borderId="42" xfId="367" applyNumberFormat="1" applyFont="1" applyBorder="1" applyAlignment="1">
      <alignment horizontal="center" wrapText="1"/>
    </xf>
    <xf numFmtId="236" fontId="24" fillId="0" borderId="42" xfId="367" applyNumberFormat="1" applyFont="1" applyBorder="1" applyAlignment="1">
      <alignment horizontal="center" wrapText="1"/>
    </xf>
    <xf numFmtId="179" fontId="7" fillId="0" borderId="42" xfId="367" applyNumberFormat="1" applyFont="1" applyBorder="1" applyAlignment="1">
      <alignment horizontal="center" wrapText="1"/>
    </xf>
    <xf numFmtId="240" fontId="24" fillId="0" borderId="0" xfId="367" applyNumberFormat="1" applyFont="1" applyBorder="1" applyAlignment="1">
      <alignment horizontal="center" wrapText="1"/>
    </xf>
    <xf numFmtId="236" fontId="24" fillId="0" borderId="0" xfId="367" applyNumberFormat="1" applyFont="1" applyBorder="1" applyAlignment="1">
      <alignment horizontal="center" wrapText="1"/>
    </xf>
    <xf numFmtId="179" fontId="7" fillId="0" borderId="0" xfId="367" applyNumberFormat="1" applyFont="1" applyBorder="1" applyAlignment="1">
      <alignment horizontal="center" wrapText="1"/>
    </xf>
    <xf numFmtId="179" fontId="9" fillId="0" borderId="11" xfId="367" applyFont="1" applyAlignment="1">
      <alignment horizontal="center" wrapText="1"/>
    </xf>
    <xf numFmtId="241" fontId="135" fillId="0" borderId="0" xfId="0" applyNumberFormat="1" applyFont="1" applyBorder="1" applyAlignment="1"/>
    <xf numFmtId="181" fontId="138" fillId="0" borderId="0" xfId="14" applyNumberFormat="1" applyFont="1" applyBorder="1"/>
    <xf numFmtId="241" fontId="135" fillId="0" borderId="11" xfId="0" applyNumberFormat="1" applyFont="1" applyBorder="1" applyAlignment="1"/>
    <xf numFmtId="176" fontId="135" fillId="0" borderId="0" xfId="0" applyFont="1" applyAlignment="1"/>
    <xf numFmtId="176" fontId="135" fillId="0" borderId="27" xfId="0" applyFont="1" applyBorder="1" applyAlignment="1"/>
    <xf numFmtId="182" fontId="4" fillId="0" borderId="27" xfId="14" applyNumberFormat="1" applyFont="1" applyBorder="1"/>
    <xf numFmtId="176" fontId="135" fillId="0" borderId="44" xfId="0" applyFont="1" applyBorder="1" applyAlignment="1"/>
    <xf numFmtId="176" fontId="4" fillId="0" borderId="10" xfId="3" applyBorder="1"/>
    <xf numFmtId="176" fontId="4" fillId="0" borderId="34" xfId="3" applyBorder="1"/>
    <xf numFmtId="176" fontId="4" fillId="0" borderId="35" xfId="3" applyBorder="1"/>
    <xf numFmtId="176" fontId="4" fillId="0" borderId="36" xfId="3" applyBorder="1"/>
    <xf numFmtId="176" fontId="4" fillId="0" borderId="37" xfId="3" applyBorder="1"/>
    <xf numFmtId="176" fontId="4" fillId="0" borderId="38" xfId="3" applyBorder="1"/>
    <xf numFmtId="41" fontId="133" fillId="0" borderId="0" xfId="170" applyFont="1">
      <alignment vertical="center"/>
    </xf>
    <xf numFmtId="41" fontId="133" fillId="0" borderId="0" xfId="170" applyFont="1" applyBorder="1">
      <alignment vertical="center"/>
    </xf>
    <xf numFmtId="179" fontId="17" fillId="36" borderId="8" xfId="3" applyNumberFormat="1" applyFont="1" applyFill="1" applyBorder="1" applyAlignment="1">
      <alignment horizontal="center" vertical="center"/>
    </xf>
    <xf numFmtId="176" fontId="4" fillId="36" borderId="8" xfId="3" applyFill="1" applyBorder="1"/>
    <xf numFmtId="176" fontId="4" fillId="0" borderId="32" xfId="3" applyBorder="1"/>
    <xf numFmtId="222" fontId="15" fillId="0" borderId="0" xfId="287" applyFont="1" applyAlignment="1">
      <alignment horizontal="right"/>
    </xf>
    <xf numFmtId="49" fontId="15" fillId="0" borderId="0" xfId="287" applyNumberFormat="1" applyFont="1" applyAlignment="1">
      <alignment horizontal="left"/>
    </xf>
    <xf numFmtId="222" fontId="15" fillId="0" borderId="0" xfId="287" applyFont="1" applyAlignment="1">
      <alignment horizontal="left"/>
    </xf>
    <xf numFmtId="222" fontId="15" fillId="0" borderId="0" xfId="287" applyFont="1"/>
    <xf numFmtId="222" fontId="139" fillId="0" borderId="0" xfId="287" applyFont="1"/>
    <xf numFmtId="222" fontId="15" fillId="0" borderId="0" xfId="287" applyFont="1" applyAlignment="1">
      <alignment vertical="center"/>
    </xf>
    <xf numFmtId="222" fontId="15" fillId="0" borderId="0" xfId="287" applyFont="1" applyFill="1" applyBorder="1" applyAlignment="1">
      <alignment vertical="center"/>
    </xf>
    <xf numFmtId="222" fontId="108" fillId="0" borderId="0" xfId="371" applyNumberFormat="1" applyFont="1" applyBorder="1" applyAlignment="1">
      <alignment vertical="center"/>
    </xf>
    <xf numFmtId="222" fontId="15" fillId="0" borderId="0" xfId="287" applyFont="1" applyFill="1" applyAlignment="1">
      <alignment vertical="center"/>
    </xf>
    <xf numFmtId="178" fontId="15" fillId="67" borderId="11" xfId="155" applyNumberFormat="1" applyFont="1" applyFill="1" applyBorder="1" applyAlignment="1">
      <alignment vertical="center"/>
    </xf>
    <xf numFmtId="178" fontId="15" fillId="68" borderId="11" xfId="155" applyNumberFormat="1" applyFont="1" applyFill="1" applyBorder="1" applyAlignment="1">
      <alignment vertical="center"/>
    </xf>
    <xf numFmtId="222" fontId="140" fillId="0" borderId="11" xfId="287" applyFont="1" applyBorder="1" applyAlignment="1">
      <alignment vertical="center"/>
    </xf>
    <xf numFmtId="49" fontId="140" fillId="0" borderId="11" xfId="287" applyNumberFormat="1" applyFont="1" applyBorder="1" applyAlignment="1">
      <alignment vertical="center"/>
    </xf>
    <xf numFmtId="222" fontId="140" fillId="0" borderId="0" xfId="287" applyFont="1" applyBorder="1" applyAlignment="1">
      <alignment vertical="center"/>
    </xf>
    <xf numFmtId="49" fontId="140" fillId="0" borderId="0" xfId="287" applyNumberFormat="1" applyFont="1" applyBorder="1" applyAlignment="1">
      <alignment vertical="center"/>
    </xf>
    <xf numFmtId="222" fontId="140" fillId="0" borderId="45" xfId="287" applyFont="1" applyBorder="1" applyAlignment="1">
      <alignment vertical="center"/>
    </xf>
    <xf numFmtId="49" fontId="140" fillId="0" borderId="45" xfId="287" applyNumberFormat="1" applyFont="1" applyBorder="1" applyAlignment="1">
      <alignment vertical="center"/>
    </xf>
    <xf numFmtId="178" fontId="36" fillId="0" borderId="0" xfId="155" applyNumberFormat="1" applyFont="1" applyFill="1" applyBorder="1" applyAlignment="1">
      <alignment horizontal="right" vertical="center"/>
    </xf>
    <xf numFmtId="49" fontId="36" fillId="0" borderId="0" xfId="287" applyNumberFormat="1" applyFont="1" applyFill="1" applyBorder="1" applyAlignment="1">
      <alignment horizontal="left" vertical="center"/>
    </xf>
    <xf numFmtId="214" fontId="132" fillId="69" borderId="12" xfId="377" applyNumberFormat="1" applyFont="1" applyFill="1" applyAlignment="1">
      <alignment horizontal="right" vertical="center"/>
    </xf>
    <xf numFmtId="49" fontId="14" fillId="69" borderId="12" xfId="377" applyNumberFormat="1" applyFont="1" applyFill="1" applyAlignment="1">
      <alignment horizontal="left" vertical="center"/>
    </xf>
    <xf numFmtId="178" fontId="15" fillId="0" borderId="0" xfId="155" applyNumberFormat="1" applyFont="1" applyFill="1" applyBorder="1" applyAlignment="1">
      <alignment vertical="center"/>
    </xf>
    <xf numFmtId="178" fontId="141" fillId="0" borderId="0" xfId="155" applyNumberFormat="1" applyFont="1" applyFill="1" applyBorder="1" applyAlignment="1">
      <alignment vertical="center"/>
    </xf>
    <xf numFmtId="222" fontId="15" fillId="0" borderId="0" xfId="287" applyFont="1" applyFill="1" applyBorder="1" applyAlignment="1">
      <alignment horizontal="left" vertical="center" indent="1"/>
    </xf>
    <xf numFmtId="49" fontId="140" fillId="0" borderId="0" xfId="287" applyNumberFormat="1" applyFont="1" applyFill="1" applyBorder="1" applyAlignment="1">
      <alignment horizontal="left" vertical="center"/>
    </xf>
    <xf numFmtId="222" fontId="140" fillId="0" borderId="0" xfId="287" applyFont="1" applyAlignment="1">
      <alignment vertical="center"/>
    </xf>
    <xf numFmtId="176" fontId="10" fillId="0" borderId="0" xfId="3" applyFont="1"/>
    <xf numFmtId="179" fontId="142" fillId="0" borderId="0" xfId="3" applyNumberFormat="1" applyFont="1" applyFill="1" applyBorder="1"/>
    <xf numFmtId="176" fontId="10" fillId="0" borderId="0" xfId="3" applyFont="1" applyBorder="1"/>
    <xf numFmtId="176" fontId="132" fillId="0" borderId="0" xfId="3" applyFont="1" applyFill="1" applyBorder="1"/>
    <xf numFmtId="176" fontId="132" fillId="0" borderId="0" xfId="3" applyFont="1" applyBorder="1"/>
    <xf numFmtId="179" fontId="142" fillId="0" borderId="46" xfId="3" applyNumberFormat="1" applyFont="1" applyBorder="1"/>
    <xf numFmtId="222" fontId="143" fillId="0" borderId="0" xfId="292" applyNumberFormat="1" applyFont="1" applyFill="1" applyBorder="1" applyAlignment="1">
      <alignment horizontal="center" vertical="center"/>
    </xf>
    <xf numFmtId="222" fontId="144" fillId="0" borderId="0" xfId="292" applyNumberFormat="1" applyFont="1" applyFill="1" applyBorder="1" applyAlignment="1">
      <alignment horizontal="center" vertical="center"/>
    </xf>
    <xf numFmtId="49" fontId="143" fillId="0" borderId="0" xfId="292" applyNumberFormat="1" applyFont="1" applyFill="1" applyBorder="1" applyAlignment="1">
      <alignment horizontal="center" vertical="center" wrapText="1"/>
    </xf>
    <xf numFmtId="49" fontId="143" fillId="0" borderId="0" xfId="292" applyNumberFormat="1" applyFont="1" applyFill="1" applyBorder="1" applyAlignment="1">
      <alignment horizontal="left" vertical="center"/>
    </xf>
    <xf numFmtId="179" fontId="5" fillId="0" borderId="11" xfId="367" applyAlignment="1">
      <alignment horizontal="left" wrapText="1"/>
    </xf>
    <xf numFmtId="49" fontId="143" fillId="0" borderId="0" xfId="295" applyNumberFormat="1" applyFont="1">
      <alignment horizontal="left"/>
    </xf>
    <xf numFmtId="49" fontId="145" fillId="0" borderId="0" xfId="292" applyNumberFormat="1" applyFont="1" applyFill="1" applyBorder="1" applyAlignment="1">
      <alignment horizontal="center" vertical="center"/>
    </xf>
    <xf numFmtId="49" fontId="145" fillId="0" borderId="0" xfId="292" applyNumberFormat="1" applyFont="1" applyFill="1" applyBorder="1" applyAlignment="1">
      <alignment horizontal="left" vertical="center"/>
    </xf>
    <xf numFmtId="177" fontId="7" fillId="0" borderId="11" xfId="14" applyFont="1" applyBorder="1" applyAlignment="1">
      <alignment horizontal="right" vertical="center" wrapText="1"/>
    </xf>
    <xf numFmtId="181" fontId="7" fillId="0" borderId="11" xfId="14" applyNumberFormat="1" applyFont="1" applyBorder="1" applyAlignment="1">
      <alignment horizontal="right" vertical="center" wrapText="1"/>
    </xf>
    <xf numFmtId="177" fontId="7" fillId="0" borderId="0" xfId="14" applyFont="1" applyBorder="1" applyAlignment="1">
      <alignment horizontal="right" vertical="center" wrapText="1"/>
    </xf>
    <xf numFmtId="181" fontId="7" fillId="0" borderId="0" xfId="14" applyNumberFormat="1" applyFont="1" applyBorder="1" applyAlignment="1">
      <alignment horizontal="right" vertical="center" wrapText="1"/>
    </xf>
    <xf numFmtId="177" fontId="4" fillId="0" borderId="0" xfId="14" applyBorder="1" applyAlignment="1">
      <alignment horizontal="right" vertical="center" wrapText="1"/>
    </xf>
    <xf numFmtId="181" fontId="4" fillId="0" borderId="0" xfId="14" applyNumberFormat="1" applyBorder="1" applyAlignment="1">
      <alignment horizontal="right" vertical="center" wrapText="1"/>
    </xf>
    <xf numFmtId="177" fontId="4" fillId="35" borderId="0" xfId="14" applyFill="1" applyBorder="1" applyAlignment="1">
      <alignment horizontal="right" vertical="center" wrapText="1"/>
    </xf>
    <xf numFmtId="181" fontId="4" fillId="35" borderId="0" xfId="14" applyNumberFormat="1" applyFill="1" applyBorder="1" applyAlignment="1">
      <alignment horizontal="right" vertical="center" wrapText="1"/>
    </xf>
    <xf numFmtId="177" fontId="4" fillId="0" borderId="0" xfId="15" applyNumberFormat="1" applyFill="1" applyBorder="1" applyAlignment="1">
      <alignment horizontal="right" vertical="center" wrapText="1"/>
    </xf>
    <xf numFmtId="181" fontId="4" fillId="0" borderId="0" xfId="15" applyNumberFormat="1" applyFill="1" applyBorder="1" applyAlignment="1">
      <alignment horizontal="right" vertical="center" wrapText="1"/>
    </xf>
    <xf numFmtId="177" fontId="4" fillId="35" borderId="0" xfId="14" applyFont="1" applyFill="1" applyBorder="1" applyAlignment="1">
      <alignment horizontal="right" vertical="center" wrapText="1"/>
    </xf>
    <xf numFmtId="181" fontId="4" fillId="35" borderId="0" xfId="14" applyNumberFormat="1" applyFont="1" applyFill="1" applyBorder="1" applyAlignment="1">
      <alignment horizontal="right" vertical="center" wrapText="1"/>
    </xf>
    <xf numFmtId="182" fontId="4" fillId="0" borderId="0" xfId="14" applyNumberFormat="1" applyBorder="1" applyAlignment="1">
      <alignment horizontal="right" vertical="center" wrapText="1"/>
    </xf>
    <xf numFmtId="182" fontId="4" fillId="0" borderId="0" xfId="15" applyNumberFormat="1" applyFill="1" applyBorder="1" applyAlignment="1">
      <alignment horizontal="right" vertical="center" wrapText="1"/>
    </xf>
    <xf numFmtId="177" fontId="4" fillId="0" borderId="0" xfId="14" applyFill="1" applyBorder="1" applyAlignment="1">
      <alignment horizontal="right" vertical="center" wrapText="1"/>
    </xf>
    <xf numFmtId="181" fontId="4" fillId="0" borderId="0" xfId="14" applyNumberFormat="1" applyFill="1" applyBorder="1" applyAlignment="1">
      <alignment horizontal="right" vertical="center" wrapText="1"/>
    </xf>
    <xf numFmtId="182" fontId="4" fillId="0" borderId="0" xfId="8" applyNumberFormat="1" applyBorder="1" applyAlignment="1">
      <alignment horizontal="right" vertical="center" wrapText="1"/>
    </xf>
    <xf numFmtId="177" fontId="134" fillId="0" borderId="12" xfId="14" applyFont="1" applyBorder="1" applyAlignment="1">
      <alignment horizontal="right" vertical="center" wrapText="1"/>
    </xf>
    <xf numFmtId="180" fontId="108" fillId="0" borderId="12" xfId="377" applyNumberFormat="1" applyFont="1" applyAlignment="1">
      <alignment horizontal="right" vertical="center" wrapText="1"/>
    </xf>
    <xf numFmtId="177" fontId="134" fillId="0" borderId="10" xfId="14" applyFont="1" applyBorder="1" applyAlignment="1">
      <alignment horizontal="right" vertical="center" wrapText="1"/>
    </xf>
    <xf numFmtId="180" fontId="108" fillId="0" borderId="10" xfId="371" applyNumberFormat="1" applyFont="1" applyAlignment="1">
      <alignment horizontal="right" vertical="center" wrapText="1"/>
    </xf>
    <xf numFmtId="179" fontId="30" fillId="0" borderId="0" xfId="3" applyNumberFormat="1" applyFont="1" applyBorder="1" applyAlignment="1">
      <alignment horizontal="left" vertical="center" wrapText="1" indent="3"/>
    </xf>
    <xf numFmtId="179" fontId="23" fillId="0" borderId="0" xfId="3" applyNumberFormat="1" applyFont="1" applyFill="1"/>
    <xf numFmtId="182" fontId="14" fillId="0" borderId="0" xfId="3" applyNumberFormat="1" applyFont="1" applyFill="1"/>
    <xf numFmtId="182" fontId="25" fillId="0" borderId="0" xfId="3" applyNumberFormat="1" applyFont="1" applyBorder="1" applyAlignment="1">
      <alignment horizontal="left" vertical="center" wrapText="1"/>
    </xf>
    <xf numFmtId="182" fontId="7" fillId="0" borderId="0" xfId="14" applyNumberFormat="1" applyFont="1" applyBorder="1" applyAlignment="1">
      <alignment horizontal="right" vertical="center" wrapText="1"/>
    </xf>
    <xf numFmtId="182" fontId="12" fillId="0" borderId="0" xfId="3" applyNumberFormat="1" applyFont="1" applyFill="1"/>
    <xf numFmtId="182" fontId="22" fillId="0" borderId="0" xfId="3" applyNumberFormat="1" applyFont="1" applyBorder="1" applyAlignment="1">
      <alignment horizontal="left" vertical="center" wrapText="1"/>
    </xf>
    <xf numFmtId="182" fontId="12" fillId="0" borderId="0" xfId="3" applyNumberFormat="1" applyFont="1"/>
    <xf numFmtId="179" fontId="23" fillId="0" borderId="0" xfId="3" applyNumberFormat="1" applyFont="1"/>
    <xf numFmtId="182" fontId="14" fillId="0" borderId="0" xfId="3" applyNumberFormat="1" applyFont="1"/>
    <xf numFmtId="182" fontId="14" fillId="0" borderId="10" xfId="371" applyNumberFormat="1" applyFont="1" applyAlignment="1">
      <alignment horizontal="left" vertical="center" wrapText="1"/>
    </xf>
    <xf numFmtId="182" fontId="134" fillId="0" borderId="10" xfId="14" applyNumberFormat="1" applyFont="1" applyBorder="1" applyAlignment="1">
      <alignment horizontal="right" vertical="center" wrapText="1"/>
    </xf>
    <xf numFmtId="41" fontId="15" fillId="68" borderId="0" xfId="303" applyNumberFormat="1" applyFont="1" applyFill="1" applyAlignment="1">
      <alignment vertical="center"/>
    </xf>
    <xf numFmtId="41" fontId="36" fillId="68" borderId="0" xfId="303" applyNumberFormat="1" applyFont="1" applyFill="1" applyAlignment="1">
      <alignment vertical="center"/>
    </xf>
    <xf numFmtId="41" fontId="14" fillId="67" borderId="12" xfId="303" applyNumberFormat="1" applyFont="1" applyFill="1" applyBorder="1" applyAlignment="1">
      <alignment horizontal="right" vertical="center"/>
    </xf>
    <xf numFmtId="41" fontId="15" fillId="68" borderId="45" xfId="303" applyNumberFormat="1" applyFont="1" applyFill="1" applyBorder="1" applyAlignment="1">
      <alignment vertical="center"/>
    </xf>
    <xf numFmtId="41" fontId="15" fillId="68" borderId="0" xfId="303" applyNumberFormat="1" applyFont="1" applyFill="1" applyBorder="1" applyAlignment="1">
      <alignment vertical="center"/>
    </xf>
    <xf numFmtId="41" fontId="36" fillId="0" borderId="0" xfId="303" applyNumberFormat="1" applyFont="1" applyFill="1" applyBorder="1" applyAlignment="1">
      <alignment vertical="center"/>
    </xf>
    <xf numFmtId="41" fontId="36" fillId="0" borderId="0" xfId="303" applyNumberFormat="1" applyFont="1" applyFill="1" applyAlignment="1">
      <alignment vertical="center"/>
    </xf>
    <xf numFmtId="41" fontId="15" fillId="0" borderId="0" xfId="303" applyNumberFormat="1" applyFont="1" applyFill="1" applyBorder="1" applyAlignment="1">
      <alignment vertical="center"/>
    </xf>
    <xf numFmtId="41" fontId="15" fillId="0" borderId="0" xfId="303" applyNumberFormat="1" applyFont="1" applyFill="1" applyAlignment="1">
      <alignment vertical="center"/>
    </xf>
    <xf numFmtId="41" fontId="14" fillId="69" borderId="12" xfId="303" applyNumberFormat="1" applyFont="1" applyFill="1" applyBorder="1" applyAlignment="1">
      <alignment horizontal="right" vertical="center"/>
    </xf>
    <xf numFmtId="41" fontId="15" fillId="0" borderId="45" xfId="303" applyNumberFormat="1" applyFont="1" applyBorder="1" applyAlignment="1">
      <alignment vertical="center"/>
    </xf>
    <xf numFmtId="41" fontId="15" fillId="0" borderId="0" xfId="303" applyNumberFormat="1" applyFont="1" applyBorder="1" applyAlignment="1">
      <alignment vertical="center"/>
    </xf>
    <xf numFmtId="179" fontId="150" fillId="0" borderId="0" xfId="16" applyFont="1"/>
    <xf numFmtId="176" fontId="18" fillId="0" borderId="0" xfId="3" applyFont="1"/>
    <xf numFmtId="182" fontId="18" fillId="0" borderId="0" xfId="3" applyNumberFormat="1" applyFont="1"/>
    <xf numFmtId="179" fontId="17" fillId="0" borderId="11" xfId="367" applyFont="1" applyAlignment="1">
      <alignment horizontal="left" wrapText="1"/>
    </xf>
    <xf numFmtId="179" fontId="17" fillId="0" borderId="11" xfId="367" applyFont="1">
      <alignment horizontal="right" wrapText="1"/>
    </xf>
    <xf numFmtId="176" fontId="151" fillId="0" borderId="0" xfId="390" applyFont="1"/>
    <xf numFmtId="180" fontId="152" fillId="0" borderId="0" xfId="3" applyNumberFormat="1" applyFont="1" applyBorder="1" applyAlignment="1">
      <alignment horizontal="right" vertical="center" wrapText="1"/>
    </xf>
    <xf numFmtId="180" fontId="152" fillId="0" borderId="0" xfId="3" applyNumberFormat="1" applyFont="1" applyFill="1" applyBorder="1" applyAlignment="1">
      <alignment horizontal="right" vertical="center" wrapText="1"/>
    </xf>
    <xf numFmtId="180" fontId="152" fillId="36" borderId="0" xfId="3" applyNumberFormat="1" applyFont="1" applyFill="1" applyBorder="1" applyAlignment="1">
      <alignment horizontal="right" vertical="center" wrapText="1"/>
    </xf>
    <xf numFmtId="180" fontId="153" fillId="0" borderId="0" xfId="3" applyNumberFormat="1" applyFont="1" applyBorder="1" applyAlignment="1">
      <alignment horizontal="right" vertical="center" wrapText="1"/>
    </xf>
    <xf numFmtId="179" fontId="127" fillId="0" borderId="46" xfId="3" applyNumberFormat="1" applyFont="1" applyBorder="1"/>
    <xf numFmtId="176" fontId="19" fillId="0" borderId="46" xfId="3" applyFont="1" applyBorder="1"/>
    <xf numFmtId="180" fontId="154" fillId="0" borderId="46" xfId="3" applyNumberFormat="1" applyFont="1" applyBorder="1" applyAlignment="1">
      <alignment horizontal="right" vertical="center" wrapText="1"/>
    </xf>
    <xf numFmtId="176" fontId="18" fillId="0" borderId="0" xfId="3" applyFont="1" applyBorder="1"/>
    <xf numFmtId="176" fontId="18" fillId="0" borderId="48" xfId="3" applyFont="1" applyBorder="1"/>
    <xf numFmtId="180" fontId="153" fillId="0" borderId="48" xfId="3" applyNumberFormat="1" applyFont="1" applyBorder="1" applyAlignment="1">
      <alignment horizontal="right" vertical="center" wrapText="1"/>
    </xf>
    <xf numFmtId="176" fontId="19" fillId="0" borderId="0" xfId="3" applyFont="1" applyBorder="1"/>
    <xf numFmtId="176" fontId="18" fillId="0" borderId="0" xfId="3" applyFont="1" applyFill="1"/>
    <xf numFmtId="176" fontId="19" fillId="0" borderId="46" xfId="3" applyFont="1" applyFill="1" applyBorder="1"/>
    <xf numFmtId="180" fontId="153" fillId="36" borderId="0" xfId="3" applyNumberFormat="1" applyFont="1" applyFill="1" applyBorder="1" applyAlignment="1">
      <alignment horizontal="right" vertical="center" wrapText="1"/>
    </xf>
    <xf numFmtId="179" fontId="127" fillId="0" borderId="46" xfId="3" applyNumberFormat="1" applyFont="1" applyFill="1" applyBorder="1"/>
    <xf numFmtId="176" fontId="19" fillId="0" borderId="12" xfId="3" applyFont="1" applyBorder="1"/>
    <xf numFmtId="180" fontId="19" fillId="0" borderId="12" xfId="3" applyNumberFormat="1" applyFont="1" applyBorder="1"/>
    <xf numFmtId="179" fontId="155" fillId="0" borderId="0" xfId="3" applyNumberFormat="1" applyFont="1" applyBorder="1"/>
    <xf numFmtId="181" fontId="155" fillId="0" borderId="39" xfId="14" applyNumberFormat="1" applyFont="1" applyBorder="1" applyAlignment="1">
      <alignment horizontal="right" vertical="center" wrapText="1"/>
    </xf>
    <xf numFmtId="181" fontId="155" fillId="0" borderId="0" xfId="14" applyNumberFormat="1" applyFont="1" applyBorder="1" applyAlignment="1">
      <alignment horizontal="right" vertical="center" wrapText="1"/>
    </xf>
    <xf numFmtId="179" fontId="156" fillId="0" borderId="0" xfId="3" applyNumberFormat="1" applyFont="1" applyFill="1" applyBorder="1" applyAlignment="1">
      <alignment vertical="center"/>
    </xf>
    <xf numFmtId="180" fontId="154" fillId="0" borderId="0" xfId="3" applyNumberFormat="1" applyFont="1" applyBorder="1" applyAlignment="1">
      <alignment horizontal="right" vertical="center" wrapText="1"/>
    </xf>
    <xf numFmtId="179" fontId="127" fillId="0" borderId="39" xfId="3" applyNumberFormat="1" applyFont="1" applyBorder="1"/>
    <xf numFmtId="176" fontId="19" fillId="0" borderId="39" xfId="3" applyFont="1" applyBorder="1"/>
    <xf numFmtId="180" fontId="154" fillId="0" borderId="39" xfId="3" applyNumberFormat="1" applyFont="1" applyBorder="1" applyAlignment="1">
      <alignment horizontal="right" vertical="center" wrapText="1"/>
    </xf>
    <xf numFmtId="179" fontId="155" fillId="0" borderId="39" xfId="3" applyNumberFormat="1" applyFont="1" applyBorder="1"/>
    <xf numFmtId="176" fontId="155" fillId="0" borderId="39" xfId="3" applyFont="1" applyBorder="1"/>
    <xf numFmtId="180" fontId="155" fillId="0" borderId="39" xfId="3" applyNumberFormat="1" applyFont="1" applyBorder="1" applyAlignment="1">
      <alignment horizontal="right" vertical="center" wrapText="1"/>
    </xf>
    <xf numFmtId="176" fontId="155" fillId="0" borderId="0" xfId="3" applyFont="1"/>
    <xf numFmtId="179" fontId="17" fillId="0" borderId="11" xfId="367" applyNumberFormat="1" applyFont="1">
      <alignment horizontal="right" wrapText="1"/>
    </xf>
    <xf numFmtId="179" fontId="111" fillId="0" borderId="0" xfId="3" applyNumberFormat="1" applyFont="1" applyBorder="1"/>
    <xf numFmtId="180" fontId="153" fillId="0" borderId="46" xfId="3" applyNumberFormat="1" applyFont="1" applyBorder="1" applyAlignment="1">
      <alignment horizontal="right" vertical="center" wrapText="1"/>
    </xf>
    <xf numFmtId="236" fontId="153" fillId="0" borderId="39" xfId="3" applyNumberFormat="1" applyFont="1" applyBorder="1" applyAlignment="1">
      <alignment horizontal="right" vertical="center" wrapText="1"/>
    </xf>
    <xf numFmtId="243" fontId="153" fillId="0" borderId="46" xfId="3" applyNumberFormat="1" applyFont="1" applyBorder="1" applyAlignment="1">
      <alignment horizontal="right" vertical="center" wrapText="1"/>
    </xf>
    <xf numFmtId="180" fontId="157" fillId="0" borderId="0" xfId="3" applyNumberFormat="1" applyFont="1" applyBorder="1" applyAlignment="1">
      <alignment horizontal="right" vertical="center" wrapText="1"/>
    </xf>
    <xf numFmtId="236" fontId="153" fillId="0" borderId="0" xfId="3" applyNumberFormat="1" applyFont="1" applyBorder="1" applyAlignment="1">
      <alignment horizontal="right" vertical="center" wrapText="1"/>
    </xf>
    <xf numFmtId="179" fontId="111" fillId="0" borderId="32" xfId="3" applyNumberFormat="1" applyFont="1" applyBorder="1" applyAlignment="1">
      <alignment horizontal="center"/>
    </xf>
    <xf numFmtId="176" fontId="18" fillId="0" borderId="32" xfId="3" applyFont="1" applyBorder="1"/>
    <xf numFmtId="180" fontId="153" fillId="0" borderId="32" xfId="3" applyNumberFormat="1" applyFont="1" applyBorder="1" applyAlignment="1">
      <alignment horizontal="right" vertical="center" wrapText="1"/>
    </xf>
    <xf numFmtId="236" fontId="153" fillId="0" borderId="32" xfId="3" applyNumberFormat="1" applyFont="1" applyBorder="1" applyAlignment="1">
      <alignment horizontal="right" vertical="center" wrapText="1"/>
    </xf>
    <xf numFmtId="179" fontId="111" fillId="0" borderId="0" xfId="3" applyNumberFormat="1" applyFont="1" applyBorder="1" applyAlignment="1">
      <alignment horizontal="center"/>
    </xf>
    <xf numFmtId="179" fontId="127" fillId="0" borderId="10" xfId="3" applyNumberFormat="1" applyFont="1" applyBorder="1" applyAlignment="1">
      <alignment horizontal="center"/>
    </xf>
    <xf numFmtId="176" fontId="19" fillId="0" borderId="10" xfId="3" applyFont="1" applyBorder="1"/>
    <xf numFmtId="236" fontId="154" fillId="0" borderId="10" xfId="3" applyNumberFormat="1" applyFont="1" applyBorder="1" applyAlignment="1">
      <alignment horizontal="right" vertical="center" wrapText="1"/>
    </xf>
    <xf numFmtId="176" fontId="155" fillId="0" borderId="39" xfId="3" applyFont="1" applyBorder="1" applyAlignment="1">
      <alignment horizontal="center"/>
    </xf>
    <xf numFmtId="236" fontId="154" fillId="0" borderId="39" xfId="3" applyNumberFormat="1" applyFont="1" applyBorder="1" applyAlignment="1">
      <alignment horizontal="right" vertical="center" wrapText="1"/>
    </xf>
    <xf numFmtId="181" fontId="155" fillId="0" borderId="39" xfId="14" applyNumberFormat="1" applyFont="1" applyBorder="1"/>
    <xf numFmtId="179" fontId="127" fillId="0" borderId="27" xfId="3" applyNumberFormat="1" applyFont="1" applyBorder="1"/>
    <xf numFmtId="176" fontId="19" fillId="0" borderId="27" xfId="3" applyFont="1" applyBorder="1"/>
    <xf numFmtId="180" fontId="154" fillId="0" borderId="27" xfId="3" applyNumberFormat="1" applyFont="1" applyBorder="1" applyAlignment="1">
      <alignment horizontal="right" vertical="center" wrapText="1"/>
    </xf>
    <xf numFmtId="179" fontId="111" fillId="0" borderId="43" xfId="3" applyNumberFormat="1" applyFont="1" applyBorder="1"/>
    <xf numFmtId="176" fontId="18" fillId="0" borderId="27" xfId="3" applyFont="1" applyBorder="1"/>
    <xf numFmtId="181" fontId="18" fillId="0" borderId="44" xfId="14" applyNumberFormat="1" applyFont="1" applyBorder="1"/>
    <xf numFmtId="181" fontId="18" fillId="0" borderId="0" xfId="14" applyNumberFormat="1" applyFont="1"/>
    <xf numFmtId="179" fontId="111" fillId="0" borderId="39" xfId="3" applyNumberFormat="1" applyFont="1" applyBorder="1"/>
    <xf numFmtId="236" fontId="153" fillId="0" borderId="51" xfId="3" applyNumberFormat="1" applyFont="1" applyBorder="1" applyAlignment="1">
      <alignment horizontal="right" vertical="center" wrapText="1"/>
    </xf>
    <xf numFmtId="236" fontId="153" fillId="0" borderId="36" xfId="3" applyNumberFormat="1" applyFont="1" applyBorder="1" applyAlignment="1">
      <alignment horizontal="right" vertical="center" wrapText="1"/>
    </xf>
    <xf numFmtId="214" fontId="18" fillId="0" borderId="0" xfId="389" applyFont="1" applyBorder="1" applyAlignment="1">
      <alignment horizontal="right" vertical="center" wrapText="1"/>
    </xf>
    <xf numFmtId="214" fontId="18" fillId="0" borderId="36" xfId="389" applyFont="1" applyBorder="1" applyAlignment="1">
      <alignment horizontal="right" vertical="center" wrapText="1"/>
    </xf>
    <xf numFmtId="179" fontId="111" fillId="0" borderId="12" xfId="3" applyNumberFormat="1" applyFont="1" applyBorder="1" applyAlignment="1">
      <alignment horizontal="left"/>
    </xf>
    <xf numFmtId="236" fontId="153" fillId="0" borderId="12" xfId="3" applyNumberFormat="1" applyFont="1" applyBorder="1" applyAlignment="1">
      <alignment horizontal="right" vertical="center" wrapText="1"/>
    </xf>
    <xf numFmtId="236" fontId="153" fillId="0" borderId="50" xfId="3" applyNumberFormat="1" applyFont="1" applyBorder="1" applyAlignment="1">
      <alignment horizontal="right" vertical="center" wrapText="1"/>
    </xf>
    <xf numFmtId="179" fontId="17" fillId="66" borderId="11" xfId="367" applyNumberFormat="1" applyFont="1" applyFill="1">
      <alignment horizontal="right" wrapText="1"/>
    </xf>
    <xf numFmtId="176" fontId="18" fillId="0" borderId="40" xfId="3" applyFont="1" applyBorder="1"/>
    <xf numFmtId="176" fontId="18" fillId="66" borderId="40" xfId="3" applyFont="1" applyFill="1" applyBorder="1"/>
    <xf numFmtId="180" fontId="153" fillId="0" borderId="0" xfId="3" applyNumberFormat="1" applyFont="1" applyBorder="1" applyAlignment="1">
      <alignment horizontal="left" vertical="center"/>
    </xf>
    <xf numFmtId="182" fontId="18" fillId="0" borderId="0" xfId="3" applyNumberFormat="1" applyFont="1" applyBorder="1" applyAlignment="1">
      <alignment horizontal="right"/>
    </xf>
    <xf numFmtId="182" fontId="18" fillId="0" borderId="0" xfId="3" applyNumberFormat="1" applyFont="1" applyBorder="1"/>
    <xf numFmtId="176" fontId="18" fillId="0" borderId="39" xfId="3" applyFont="1" applyBorder="1"/>
    <xf numFmtId="180" fontId="153" fillId="0" borderId="39" xfId="3" applyNumberFormat="1" applyFont="1" applyBorder="1" applyAlignment="1">
      <alignment horizontal="right" vertical="center" wrapText="1"/>
    </xf>
    <xf numFmtId="181" fontId="18" fillId="66" borderId="39" xfId="14" applyNumberFormat="1" applyFont="1" applyFill="1" applyBorder="1"/>
    <xf numFmtId="181" fontId="18" fillId="66" borderId="0" xfId="14" applyNumberFormat="1" applyFont="1" applyFill="1" applyBorder="1"/>
    <xf numFmtId="176" fontId="18" fillId="0" borderId="11" xfId="3" applyFont="1" applyBorder="1"/>
    <xf numFmtId="180" fontId="153" fillId="0" borderId="11" xfId="3" applyNumberFormat="1" applyFont="1" applyBorder="1" applyAlignment="1">
      <alignment horizontal="right" vertical="center" wrapText="1"/>
    </xf>
    <xf numFmtId="181" fontId="18" fillId="66" borderId="11" xfId="14" applyNumberFormat="1" applyFont="1" applyFill="1" applyBorder="1"/>
    <xf numFmtId="182" fontId="18" fillId="0" borderId="0" xfId="3" applyNumberFormat="1" applyFont="1" applyFill="1"/>
    <xf numFmtId="176" fontId="18" fillId="36" borderId="0" xfId="3" applyFont="1" applyFill="1"/>
    <xf numFmtId="182" fontId="18" fillId="36" borderId="0" xfId="3" applyNumberFormat="1" applyFont="1" applyFill="1"/>
    <xf numFmtId="176" fontId="18" fillId="0" borderId="11" xfId="3" applyFont="1" applyFill="1" applyBorder="1"/>
    <xf numFmtId="176" fontId="18" fillId="0" borderId="43" xfId="3" applyFont="1" applyBorder="1"/>
    <xf numFmtId="181" fontId="18" fillId="0" borderId="0" xfId="14" applyNumberFormat="1" applyFont="1" applyBorder="1"/>
    <xf numFmtId="179" fontId="17" fillId="0" borderId="0" xfId="367" applyFont="1" applyBorder="1" applyAlignment="1">
      <alignment horizontal="left" wrapText="1"/>
    </xf>
    <xf numFmtId="179" fontId="17" fillId="0" borderId="0" xfId="367" applyNumberFormat="1" applyFont="1" applyBorder="1">
      <alignment horizontal="right" wrapText="1"/>
    </xf>
    <xf numFmtId="180" fontId="153" fillId="0" borderId="40" xfId="3" applyNumberFormat="1" applyFont="1" applyBorder="1" applyAlignment="1">
      <alignment horizontal="right" vertical="center" wrapText="1"/>
    </xf>
    <xf numFmtId="180" fontId="153" fillId="66" borderId="40" xfId="3" applyNumberFormat="1" applyFont="1" applyFill="1" applyBorder="1" applyAlignment="1">
      <alignment horizontal="right" vertical="center" wrapText="1"/>
    </xf>
    <xf numFmtId="176" fontId="18" fillId="36" borderId="39" xfId="3" applyFont="1" applyFill="1" applyBorder="1"/>
    <xf numFmtId="182" fontId="18" fillId="36" borderId="0" xfId="3" applyNumberFormat="1" applyFont="1" applyFill="1" applyBorder="1"/>
    <xf numFmtId="176" fontId="18" fillId="36" borderId="0" xfId="3" applyFont="1" applyFill="1" applyBorder="1"/>
    <xf numFmtId="180" fontId="153" fillId="66" borderId="0" xfId="3" applyNumberFormat="1" applyFont="1" applyFill="1" applyBorder="1" applyAlignment="1">
      <alignment horizontal="right" vertical="center" wrapText="1"/>
    </xf>
    <xf numFmtId="180" fontId="154" fillId="66" borderId="0" xfId="3" applyNumberFormat="1" applyFont="1" applyFill="1" applyBorder="1" applyAlignment="1">
      <alignment horizontal="right" vertical="center" wrapText="1"/>
    </xf>
    <xf numFmtId="176" fontId="155" fillId="0" borderId="12" xfId="3" applyFont="1" applyBorder="1" applyAlignment="1">
      <alignment horizontal="left"/>
    </xf>
    <xf numFmtId="181" fontId="155" fillId="0" borderId="12" xfId="14" applyNumberFormat="1" applyFont="1" applyBorder="1"/>
    <xf numFmtId="181" fontId="155" fillId="66" borderId="12" xfId="14" applyNumberFormat="1" applyFont="1" applyFill="1" applyBorder="1"/>
    <xf numFmtId="242" fontId="153" fillId="0" borderId="0" xfId="3" applyNumberFormat="1" applyFont="1" applyBorder="1" applyAlignment="1">
      <alignment horizontal="right" vertical="center" wrapText="1"/>
    </xf>
    <xf numFmtId="242" fontId="153" fillId="66" borderId="0" xfId="3" applyNumberFormat="1" applyFont="1" applyFill="1" applyBorder="1" applyAlignment="1">
      <alignment horizontal="right" vertical="center" wrapText="1"/>
    </xf>
    <xf numFmtId="176" fontId="18" fillId="0" borderId="12" xfId="3" applyFont="1" applyBorder="1"/>
    <xf numFmtId="180" fontId="153" fillId="0" borderId="12" xfId="3" applyNumberFormat="1" applyFont="1" applyBorder="1" applyAlignment="1">
      <alignment horizontal="right" vertical="center" wrapText="1"/>
    </xf>
    <xf numFmtId="180" fontId="153" fillId="66" borderId="12" xfId="3" applyNumberFormat="1" applyFont="1" applyFill="1" applyBorder="1" applyAlignment="1">
      <alignment horizontal="right" vertical="center" wrapText="1"/>
    </xf>
    <xf numFmtId="180" fontId="153" fillId="0" borderId="0" xfId="3" applyNumberFormat="1" applyFont="1" applyFill="1" applyBorder="1" applyAlignment="1">
      <alignment horizontal="right" vertical="center" wrapText="1"/>
    </xf>
    <xf numFmtId="242" fontId="153" fillId="0" borderId="39" xfId="3" applyNumberFormat="1" applyFont="1" applyBorder="1" applyAlignment="1">
      <alignment horizontal="right" vertical="center" wrapText="1"/>
    </xf>
    <xf numFmtId="242" fontId="153" fillId="0" borderId="51" xfId="3" applyNumberFormat="1" applyFont="1" applyBorder="1" applyAlignment="1">
      <alignment horizontal="right" vertical="center" wrapText="1"/>
    </xf>
    <xf numFmtId="242" fontId="153" fillId="0" borderId="36" xfId="3" applyNumberFormat="1" applyFont="1" applyBorder="1" applyAlignment="1">
      <alignment horizontal="right" vertical="center" wrapText="1"/>
    </xf>
    <xf numFmtId="242" fontId="154" fillId="0" borderId="12" xfId="3" applyNumberFormat="1" applyFont="1" applyBorder="1" applyAlignment="1">
      <alignment horizontal="right" vertical="center" wrapText="1"/>
    </xf>
    <xf numFmtId="242" fontId="154" fillId="0" borderId="50" xfId="3" applyNumberFormat="1" applyFont="1" applyBorder="1" applyAlignment="1">
      <alignment horizontal="right" vertical="center" wrapText="1"/>
    </xf>
    <xf numFmtId="236" fontId="154" fillId="0" borderId="12" xfId="3" applyNumberFormat="1" applyFont="1" applyBorder="1" applyAlignment="1">
      <alignment horizontal="right" vertical="center" wrapText="1"/>
    </xf>
    <xf numFmtId="179" fontId="111" fillId="0" borderId="47" xfId="367" applyNumberFormat="1" applyFont="1" applyBorder="1" applyAlignment="1">
      <alignment horizontal="center" wrapText="1"/>
    </xf>
    <xf numFmtId="179" fontId="18" fillId="0" borderId="49" xfId="3" applyNumberFormat="1" applyFont="1" applyBorder="1" applyAlignment="1">
      <alignment vertical="center"/>
    </xf>
    <xf numFmtId="179" fontId="18" fillId="0" borderId="48" xfId="3" applyNumberFormat="1" applyFont="1" applyBorder="1" applyAlignment="1">
      <alignment vertical="center"/>
    </xf>
    <xf numFmtId="181" fontId="18" fillId="0" borderId="48" xfId="14" applyNumberFormat="1" applyFont="1" applyBorder="1" applyAlignment="1">
      <alignment vertical="center"/>
    </xf>
    <xf numFmtId="181" fontId="18" fillId="0" borderId="47" xfId="14" applyNumberFormat="1" applyFont="1" applyBorder="1" applyAlignment="1">
      <alignment vertical="center"/>
    </xf>
    <xf numFmtId="179" fontId="153" fillId="0" borderId="0" xfId="3" applyNumberFormat="1" applyFont="1" applyFill="1" applyBorder="1" applyAlignment="1">
      <alignment vertical="center"/>
    </xf>
    <xf numFmtId="178" fontId="111" fillId="0" borderId="8" xfId="303" applyNumberFormat="1" applyFont="1" applyBorder="1" applyAlignment="1">
      <alignment vertical="center"/>
    </xf>
    <xf numFmtId="179" fontId="17" fillId="0" borderId="0" xfId="2" quotePrefix="1" applyNumberFormat="1" applyFont="1" applyAlignment="1">
      <alignment vertical="center"/>
    </xf>
    <xf numFmtId="176" fontId="13" fillId="35" borderId="0" xfId="0" applyFont="1" applyFill="1" applyBorder="1" applyAlignment="1"/>
    <xf numFmtId="176" fontId="13" fillId="35" borderId="8" xfId="0" applyFont="1" applyFill="1" applyBorder="1" applyAlignment="1"/>
    <xf numFmtId="176" fontId="4" fillId="35" borderId="0" xfId="3" applyFill="1"/>
    <xf numFmtId="178" fontId="13" fillId="35" borderId="8" xfId="1" applyNumberFormat="1" applyFont="1" applyFill="1" applyBorder="1" applyAlignment="1"/>
    <xf numFmtId="176" fontId="123" fillId="35" borderId="0" xfId="0" applyFont="1" applyFill="1" applyAlignment="1"/>
    <xf numFmtId="176" fontId="13" fillId="35" borderId="0" xfId="0" applyFont="1" applyFill="1" applyAlignment="1"/>
    <xf numFmtId="178" fontId="13" fillId="35" borderId="0" xfId="1" applyNumberFormat="1" applyFont="1" applyFill="1" applyBorder="1" applyAlignment="1"/>
    <xf numFmtId="41" fontId="124" fillId="35" borderId="0" xfId="387" applyFont="1" applyFill="1" applyBorder="1">
      <alignment vertical="center"/>
    </xf>
    <xf numFmtId="239" fontId="124" fillId="35" borderId="0" xfId="0" applyNumberFormat="1" applyFont="1" applyFill="1" applyBorder="1" applyAlignment="1">
      <alignment vertical="center"/>
    </xf>
    <xf numFmtId="176" fontId="123" fillId="35" borderId="10" xfId="7" applyFont="1" applyFill="1" applyBorder="1"/>
    <xf numFmtId="176" fontId="123" fillId="35" borderId="0" xfId="0" applyFont="1" applyFill="1" applyBorder="1" applyAlignment="1"/>
    <xf numFmtId="176" fontId="123" fillId="35" borderId="9" xfId="7" applyFont="1" applyFill="1" applyBorder="1"/>
    <xf numFmtId="176" fontId="4" fillId="0" borderId="53" xfId="3" applyBorder="1"/>
    <xf numFmtId="180" fontId="4" fillId="0" borderId="0" xfId="3" applyNumberFormat="1"/>
    <xf numFmtId="180" fontId="4" fillId="0" borderId="0" xfId="3" applyNumberFormat="1" applyFill="1"/>
    <xf numFmtId="180" fontId="131" fillId="0" borderId="0" xfId="3" applyNumberFormat="1" applyFont="1"/>
    <xf numFmtId="180" fontId="131" fillId="0" borderId="0" xfId="3" applyNumberFormat="1" applyFont="1" applyFill="1"/>
    <xf numFmtId="214" fontId="131" fillId="0" borderId="0" xfId="389" applyFont="1"/>
    <xf numFmtId="180" fontId="14" fillId="0" borderId="0" xfId="3" applyNumberFormat="1" applyFont="1"/>
    <xf numFmtId="180" fontId="158" fillId="0" borderId="0" xfId="3" applyNumberFormat="1" applyFont="1"/>
    <xf numFmtId="180" fontId="158" fillId="0" borderId="0" xfId="3" applyNumberFormat="1" applyFont="1" applyFill="1"/>
    <xf numFmtId="244" fontId="158" fillId="0" borderId="11" xfId="389" applyNumberFormat="1" applyFont="1" applyBorder="1"/>
    <xf numFmtId="244" fontId="158" fillId="0" borderId="52" xfId="389" applyNumberFormat="1" applyFont="1" applyBorder="1"/>
    <xf numFmtId="180" fontId="158" fillId="0" borderId="11" xfId="3" applyNumberFormat="1" applyFont="1" applyBorder="1"/>
    <xf numFmtId="180" fontId="159" fillId="0" borderId="11" xfId="3" applyNumberFormat="1" applyFont="1" applyBorder="1"/>
    <xf numFmtId="244" fontId="4" fillId="0" borderId="10" xfId="389" applyNumberFormat="1" applyBorder="1"/>
    <xf numFmtId="244" fontId="4" fillId="0" borderId="34" xfId="389" applyNumberFormat="1" applyBorder="1"/>
    <xf numFmtId="180" fontId="4" fillId="0" borderId="10" xfId="3" applyNumberFormat="1" applyBorder="1"/>
    <xf numFmtId="180" fontId="131" fillId="0" borderId="10" xfId="3" applyNumberFormat="1" applyFont="1" applyBorder="1"/>
    <xf numFmtId="180" fontId="4" fillId="0" borderId="0" xfId="3" applyNumberFormat="1" applyBorder="1"/>
    <xf numFmtId="180" fontId="131" fillId="0" borderId="0" xfId="3" applyNumberFormat="1" applyFont="1" applyBorder="1"/>
    <xf numFmtId="180" fontId="4" fillId="0" borderId="39" xfId="3" applyNumberFormat="1" applyBorder="1"/>
    <xf numFmtId="180" fontId="131" fillId="0" borderId="39" xfId="3" applyNumberFormat="1" applyFont="1" applyBorder="1"/>
    <xf numFmtId="180" fontId="5" fillId="0" borderId="11" xfId="367" applyNumberFormat="1">
      <alignment horizontal="right" wrapText="1"/>
    </xf>
    <xf numFmtId="180" fontId="5" fillId="0" borderId="52" xfId="367" applyNumberFormat="1" applyBorder="1">
      <alignment horizontal="right" wrapText="1"/>
    </xf>
    <xf numFmtId="180" fontId="5" fillId="0" borderId="11" xfId="367" applyNumberFormat="1" applyAlignment="1">
      <alignment horizontal="left" wrapText="1"/>
    </xf>
    <xf numFmtId="214" fontId="4" fillId="0" borderId="0" xfId="389" applyNumberFormat="1"/>
    <xf numFmtId="244" fontId="24" fillId="0" borderId="55" xfId="389" applyNumberFormat="1" applyFont="1" applyBorder="1"/>
    <xf numFmtId="180" fontId="131" fillId="0" borderId="48" xfId="3" applyNumberFormat="1" applyFont="1" applyBorder="1"/>
    <xf numFmtId="180" fontId="160" fillId="0" borderId="49" xfId="3" applyNumberFormat="1" applyFont="1" applyBorder="1"/>
    <xf numFmtId="244" fontId="24" fillId="0" borderId="44" xfId="389" applyNumberFormat="1" applyFont="1" applyBorder="1"/>
    <xf numFmtId="180" fontId="131" fillId="0" borderId="27" xfId="3" applyNumberFormat="1" applyFont="1" applyBorder="1"/>
    <xf numFmtId="180" fontId="160" fillId="0" borderId="43" xfId="3" applyNumberFormat="1" applyFont="1" applyBorder="1"/>
    <xf numFmtId="244" fontId="7" fillId="0" borderId="56" xfId="389" applyNumberFormat="1" applyFont="1" applyBorder="1"/>
    <xf numFmtId="180" fontId="130" fillId="0" borderId="46" xfId="3" applyNumberFormat="1" applyFont="1" applyBorder="1"/>
    <xf numFmtId="180" fontId="160" fillId="0" borderId="57" xfId="3" applyNumberFormat="1" applyFont="1" applyBorder="1"/>
    <xf numFmtId="244" fontId="4" fillId="0" borderId="0" xfId="389" applyNumberFormat="1" applyBorder="1"/>
    <xf numFmtId="244" fontId="4" fillId="0" borderId="36" xfId="389" applyNumberFormat="1" applyBorder="1"/>
    <xf numFmtId="244" fontId="158" fillId="0" borderId="8" xfId="389" applyNumberFormat="1" applyFont="1" applyBorder="1"/>
    <xf numFmtId="244" fontId="158" fillId="0" borderId="38" xfId="389" applyNumberFormat="1" applyFont="1" applyBorder="1"/>
    <xf numFmtId="180" fontId="158" fillId="0" borderId="8" xfId="3" applyNumberFormat="1" applyFont="1" applyBorder="1"/>
    <xf numFmtId="180" fontId="159" fillId="0" borderId="8" xfId="3" applyNumberFormat="1" applyFont="1" applyBorder="1"/>
    <xf numFmtId="244" fontId="158" fillId="0" borderId="0" xfId="389" applyNumberFormat="1" applyFont="1" applyBorder="1"/>
    <xf numFmtId="244" fontId="158" fillId="0" borderId="36" xfId="389" applyNumberFormat="1" applyFont="1" applyBorder="1"/>
    <xf numFmtId="180" fontId="158" fillId="0" borderId="0" xfId="3" applyNumberFormat="1" applyFont="1" applyBorder="1"/>
    <xf numFmtId="180" fontId="159" fillId="0" borderId="0" xfId="3" applyNumberFormat="1" applyFont="1" applyBorder="1"/>
    <xf numFmtId="180" fontId="131" fillId="0" borderId="8" xfId="3" applyNumberFormat="1" applyFont="1" applyBorder="1"/>
    <xf numFmtId="180" fontId="131" fillId="0" borderId="58" xfId="3" applyNumberFormat="1" applyFont="1" applyBorder="1"/>
    <xf numFmtId="180" fontId="4" fillId="0" borderId="60" xfId="3" applyNumberFormat="1" applyBorder="1"/>
    <xf numFmtId="180" fontId="131" fillId="0" borderId="60" xfId="3" applyNumberFormat="1" applyFont="1" applyBorder="1"/>
    <xf numFmtId="214" fontId="4" fillId="0" borderId="0" xfId="389"/>
    <xf numFmtId="180" fontId="160" fillId="0" borderId="0" xfId="3" applyNumberFormat="1" applyFont="1"/>
    <xf numFmtId="244" fontId="4" fillId="0" borderId="0" xfId="389" applyNumberFormat="1"/>
    <xf numFmtId="180" fontId="161" fillId="0" borderId="0" xfId="3" applyNumberFormat="1" applyFont="1"/>
    <xf numFmtId="180" fontId="7" fillId="0" borderId="12" xfId="377" applyNumberFormat="1"/>
    <xf numFmtId="180" fontId="7" fillId="0" borderId="10" xfId="371" applyNumberFormat="1"/>
    <xf numFmtId="180" fontId="140" fillId="0" borderId="0" xfId="286" applyNumberFormat="1" applyFont="1" applyFill="1" applyAlignment="1">
      <alignment horizontal="left" vertical="center" indent="1"/>
    </xf>
    <xf numFmtId="180" fontId="24" fillId="0" borderId="0" xfId="3" applyNumberFormat="1" applyFont="1" applyFill="1"/>
    <xf numFmtId="180" fontId="36" fillId="0" borderId="0" xfId="286" applyNumberFormat="1" applyFont="1" applyFill="1" applyAlignment="1">
      <alignment horizontal="left" vertical="center"/>
    </xf>
    <xf numFmtId="180" fontId="24" fillId="0" borderId="0" xfId="3" applyNumberFormat="1" applyFont="1"/>
    <xf numFmtId="180" fontId="36" fillId="0" borderId="0" xfId="292" applyNumberFormat="1" applyFont="1" applyBorder="1" applyAlignment="1">
      <alignment horizontal="left" vertical="center"/>
    </xf>
    <xf numFmtId="180" fontId="32" fillId="0" borderId="0" xfId="16" applyNumberFormat="1" applyFont="1"/>
    <xf numFmtId="41" fontId="4" fillId="0" borderId="0" xfId="303" applyNumberFormat="1" applyFont="1" applyFill="1" applyAlignment="1"/>
    <xf numFmtId="41" fontId="24" fillId="0" borderId="0" xfId="303" applyNumberFormat="1" applyFont="1" applyAlignment="1"/>
    <xf numFmtId="41" fontId="24" fillId="0" borderId="36" xfId="303" applyNumberFormat="1" applyFont="1" applyBorder="1" applyAlignment="1"/>
    <xf numFmtId="41" fontId="4" fillId="0" borderId="36" xfId="303" applyNumberFormat="1" applyFont="1" applyFill="1" applyBorder="1" applyAlignment="1"/>
    <xf numFmtId="41" fontId="24" fillId="0" borderId="0" xfId="303" applyNumberFormat="1" applyFont="1" applyFill="1" applyAlignment="1"/>
    <xf numFmtId="41" fontId="24" fillId="0" borderId="36" xfId="303" applyNumberFormat="1" applyFont="1" applyFill="1" applyBorder="1" applyAlignment="1"/>
    <xf numFmtId="41" fontId="7" fillId="0" borderId="10" xfId="303" applyNumberFormat="1" applyFont="1" applyBorder="1" applyAlignment="1"/>
    <xf numFmtId="41" fontId="7" fillId="0" borderId="34" xfId="303" applyNumberFormat="1" applyFont="1" applyBorder="1" applyAlignment="1"/>
    <xf numFmtId="41" fontId="7" fillId="0" borderId="12" xfId="303" applyNumberFormat="1" applyFont="1" applyBorder="1" applyAlignment="1"/>
    <xf numFmtId="41" fontId="7" fillId="0" borderId="50" xfId="303" applyNumberFormat="1" applyFont="1" applyBorder="1" applyAlignment="1"/>
    <xf numFmtId="41" fontId="4" fillId="0" borderId="39" xfId="303" applyNumberFormat="1" applyFont="1" applyBorder="1" applyAlignment="1"/>
    <xf numFmtId="41" fontId="4" fillId="0" borderId="51" xfId="303" applyNumberFormat="1" applyFont="1" applyFill="1" applyBorder="1" applyAlignment="1"/>
    <xf numFmtId="41" fontId="4" fillId="0" borderId="60" xfId="303" applyNumberFormat="1" applyFont="1" applyBorder="1" applyAlignment="1"/>
    <xf numFmtId="41" fontId="4" fillId="0" borderId="61" xfId="303" applyNumberFormat="1" applyFont="1" applyFill="1" applyBorder="1" applyAlignment="1"/>
    <xf numFmtId="41" fontId="4" fillId="36" borderId="39" xfId="303" applyNumberFormat="1" applyFont="1" applyFill="1" applyBorder="1" applyAlignment="1"/>
    <xf numFmtId="41" fontId="4" fillId="36" borderId="60" xfId="303" applyNumberFormat="1" applyFont="1" applyFill="1" applyBorder="1" applyAlignment="1"/>
    <xf numFmtId="41" fontId="4" fillId="0" borderId="58" xfId="303" applyNumberFormat="1" applyFont="1" applyBorder="1" applyAlignment="1"/>
    <xf numFmtId="41" fontId="4" fillId="0" borderId="8" xfId="303" applyNumberFormat="1" applyFont="1" applyBorder="1" applyAlignment="1"/>
    <xf numFmtId="41" fontId="4" fillId="0" borderId="0" xfId="303" applyNumberFormat="1" applyFont="1" applyBorder="1" applyAlignment="1"/>
    <xf numFmtId="41" fontId="4" fillId="0" borderId="36" xfId="303" applyNumberFormat="1" applyFont="1" applyBorder="1" applyAlignment="1"/>
    <xf numFmtId="41" fontId="4" fillId="0" borderId="59" xfId="303" applyNumberFormat="1" applyFont="1" applyBorder="1" applyAlignment="1"/>
    <xf numFmtId="41" fontId="4" fillId="0" borderId="38" xfId="303" applyNumberFormat="1" applyFont="1" applyBorder="1" applyAlignment="1"/>
    <xf numFmtId="41" fontId="126" fillId="0" borderId="36" xfId="303" applyNumberFormat="1" applyFont="1" applyFill="1" applyBorder="1" applyAlignment="1"/>
    <xf numFmtId="176" fontId="4" fillId="0" borderId="0" xfId="3" applyFill="1"/>
    <xf numFmtId="176" fontId="19" fillId="35" borderId="9" xfId="3" applyFont="1" applyFill="1" applyBorder="1"/>
    <xf numFmtId="176" fontId="4" fillId="35" borderId="9" xfId="3" applyFill="1" applyBorder="1"/>
    <xf numFmtId="176" fontId="4" fillId="0" borderId="9" xfId="3" applyFill="1" applyBorder="1"/>
    <xf numFmtId="14" fontId="4" fillId="0" borderId="9" xfId="3" applyNumberFormat="1" applyFill="1" applyBorder="1"/>
    <xf numFmtId="41" fontId="4" fillId="0" borderId="9" xfId="303" applyNumberFormat="1" applyFont="1" applyFill="1" applyBorder="1" applyAlignment="1"/>
    <xf numFmtId="178" fontId="4" fillId="0" borderId="9" xfId="1" applyNumberFormat="1" applyFont="1" applyFill="1" applyBorder="1" applyAlignment="1"/>
    <xf numFmtId="233" fontId="4" fillId="0" borderId="0" xfId="303" applyNumberFormat="1" applyFont="1" applyBorder="1" applyAlignment="1"/>
    <xf numFmtId="245" fontId="4" fillId="0" borderId="0" xfId="3" applyNumberFormat="1" applyBorder="1"/>
    <xf numFmtId="246" fontId="4" fillId="0" borderId="0" xfId="303" applyNumberFormat="1" applyFont="1" applyBorder="1" applyAlignment="1"/>
    <xf numFmtId="176" fontId="19" fillId="0" borderId="32" xfId="3" applyFont="1" applyBorder="1"/>
    <xf numFmtId="41" fontId="19" fillId="0" borderId="9" xfId="303" applyNumberFormat="1" applyFont="1" applyFill="1" applyBorder="1" applyAlignment="1"/>
    <xf numFmtId="179" fontId="127" fillId="0" borderId="0" xfId="3" applyNumberFormat="1" applyFont="1" applyBorder="1"/>
    <xf numFmtId="179" fontId="111" fillId="0" borderId="9" xfId="3" applyNumberFormat="1" applyFont="1" applyBorder="1"/>
    <xf numFmtId="176" fontId="18" fillId="0" borderId="9" xfId="3" applyFont="1" applyBorder="1"/>
    <xf numFmtId="179" fontId="111" fillId="0" borderId="8" xfId="3" applyNumberFormat="1" applyFont="1" applyBorder="1"/>
    <xf numFmtId="176" fontId="18" fillId="0" borderId="8" xfId="3" applyFont="1" applyBorder="1"/>
    <xf numFmtId="41" fontId="18" fillId="0" borderId="8" xfId="303" applyNumberFormat="1" applyFont="1" applyBorder="1" applyAlignment="1"/>
    <xf numFmtId="41" fontId="153" fillId="0" borderId="0" xfId="303" applyNumberFormat="1" applyFont="1" applyBorder="1" applyAlignment="1">
      <alignment horizontal="right" vertical="center" wrapText="1"/>
    </xf>
    <xf numFmtId="182" fontId="18" fillId="0" borderId="8" xfId="3" applyNumberFormat="1" applyFont="1" applyBorder="1"/>
    <xf numFmtId="181" fontId="18" fillId="0" borderId="8" xfId="14" applyNumberFormat="1" applyFont="1" applyBorder="1"/>
    <xf numFmtId="180" fontId="153" fillId="0" borderId="8" xfId="3" applyNumberFormat="1" applyFont="1" applyBorder="1" applyAlignment="1">
      <alignment horizontal="right" vertical="center" wrapText="1"/>
    </xf>
    <xf numFmtId="176" fontId="162" fillId="0" borderId="0" xfId="3" applyFont="1"/>
    <xf numFmtId="182" fontId="162" fillId="0" borderId="0" xfId="3" applyNumberFormat="1" applyFont="1"/>
    <xf numFmtId="181" fontId="162" fillId="0" borderId="0" xfId="14" applyNumberFormat="1" applyFont="1"/>
    <xf numFmtId="41" fontId="163" fillId="0" borderId="0" xfId="303" applyNumberFormat="1" applyFont="1" applyBorder="1" applyAlignment="1">
      <alignment horizontal="right" vertical="center" wrapText="1"/>
    </xf>
    <xf numFmtId="179" fontId="164" fillId="0" borderId="0" xfId="3" applyNumberFormat="1" applyFont="1" applyBorder="1"/>
    <xf numFmtId="179" fontId="164" fillId="0" borderId="8" xfId="3" applyNumberFormat="1" applyFont="1" applyBorder="1"/>
    <xf numFmtId="176" fontId="162" fillId="0" borderId="8" xfId="3" applyFont="1" applyBorder="1"/>
    <xf numFmtId="182" fontId="162" fillId="0" borderId="8" xfId="3" applyNumberFormat="1" applyFont="1" applyBorder="1"/>
    <xf numFmtId="181" fontId="162" fillId="0" borderId="8" xfId="14" applyNumberFormat="1" applyFont="1" applyBorder="1"/>
    <xf numFmtId="180" fontId="163" fillId="0" borderId="8" xfId="3" applyNumberFormat="1" applyFont="1" applyBorder="1" applyAlignment="1">
      <alignment horizontal="right" vertical="center" wrapText="1"/>
    </xf>
    <xf numFmtId="181" fontId="153" fillId="0" borderId="0" xfId="303" applyNumberFormat="1" applyFont="1" applyBorder="1" applyAlignment="1">
      <alignment horizontal="right" vertical="center" wrapText="1"/>
    </xf>
    <xf numFmtId="41" fontId="153" fillId="0" borderId="8" xfId="303" applyNumberFormat="1" applyFont="1" applyBorder="1" applyAlignment="1">
      <alignment horizontal="right" vertical="center" wrapText="1"/>
    </xf>
    <xf numFmtId="180" fontId="153" fillId="0" borderId="9" xfId="3" applyNumberFormat="1" applyFont="1" applyBorder="1" applyAlignment="1">
      <alignment horizontal="right" vertical="center" wrapText="1"/>
    </xf>
    <xf numFmtId="9" fontId="18" fillId="0" borderId="0" xfId="1" applyFont="1" applyAlignment="1"/>
    <xf numFmtId="10" fontId="18" fillId="0" borderId="0" xfId="1" applyNumberFormat="1" applyFont="1" applyAlignment="1"/>
    <xf numFmtId="178" fontId="18" fillId="36" borderId="0" xfId="303" applyNumberFormat="1" applyFont="1" applyFill="1" applyAlignment="1">
      <alignment vertical="center"/>
    </xf>
    <xf numFmtId="41" fontId="18" fillId="0" borderId="10" xfId="3" applyNumberFormat="1" applyFont="1" applyBorder="1" applyAlignment="1">
      <alignment vertical="center"/>
    </xf>
    <xf numFmtId="178" fontId="18" fillId="0" borderId="10" xfId="1" applyNumberFormat="1" applyFont="1" applyBorder="1" applyAlignment="1">
      <alignment vertical="center"/>
    </xf>
    <xf numFmtId="179" fontId="111" fillId="0" borderId="9" xfId="2" applyNumberFormat="1" applyFont="1" applyBorder="1" applyAlignment="1">
      <alignment vertical="center"/>
    </xf>
    <xf numFmtId="41" fontId="18" fillId="0" borderId="9" xfId="3" applyNumberFormat="1" applyFont="1" applyBorder="1" applyAlignment="1">
      <alignment vertical="center"/>
    </xf>
    <xf numFmtId="179" fontId="17" fillId="0" borderId="8" xfId="3" applyNumberFormat="1" applyFont="1" applyBorder="1" applyAlignment="1">
      <alignment vertical="center"/>
    </xf>
    <xf numFmtId="41" fontId="17" fillId="0" borderId="8" xfId="303" applyNumberFormat="1" applyFont="1" applyBorder="1" applyAlignment="1">
      <alignment vertical="center"/>
    </xf>
    <xf numFmtId="247" fontId="18" fillId="0" borderId="0" xfId="303" applyNumberFormat="1" applyFont="1" applyAlignment="1">
      <alignment vertical="center"/>
    </xf>
    <xf numFmtId="9" fontId="4" fillId="0" borderId="8" xfId="1" applyFont="1" applyBorder="1" applyAlignment="1"/>
    <xf numFmtId="176" fontId="19" fillId="0" borderId="38" xfId="3" applyFont="1" applyBorder="1"/>
    <xf numFmtId="176" fontId="19" fillId="0" borderId="37" xfId="3" applyFont="1" applyBorder="1"/>
    <xf numFmtId="9" fontId="4" fillId="0" borderId="10" xfId="1" applyFont="1" applyBorder="1" applyAlignment="1"/>
    <xf numFmtId="9" fontId="4" fillId="0" borderId="0" xfId="1" applyFont="1" applyBorder="1" applyAlignment="1"/>
    <xf numFmtId="176" fontId="4" fillId="0" borderId="8" xfId="3" applyFill="1" applyBorder="1"/>
    <xf numFmtId="176" fontId="4" fillId="0" borderId="0" xfId="3" applyFill="1" applyBorder="1"/>
    <xf numFmtId="176" fontId="4" fillId="0" borderId="10" xfId="3" applyFill="1" applyBorder="1"/>
    <xf numFmtId="176" fontId="165" fillId="0" borderId="62" xfId="0" applyFont="1" applyBorder="1" applyAlignment="1">
      <alignment horizontal="right" vertical="top" wrapText="1"/>
    </xf>
    <xf numFmtId="176" fontId="165" fillId="0" borderId="64" xfId="0" applyFont="1" applyBorder="1" applyAlignment="1">
      <alignment horizontal="right" vertical="top" wrapText="1"/>
    </xf>
    <xf numFmtId="176" fontId="165" fillId="0" borderId="65" xfId="0" applyFont="1" applyBorder="1" applyAlignment="1">
      <alignment horizontal="right" vertical="top" wrapText="1"/>
    </xf>
    <xf numFmtId="176" fontId="165" fillId="0" borderId="67" xfId="0" applyFont="1" applyBorder="1" applyAlignment="1">
      <alignment horizontal="right" vertical="top" wrapText="1"/>
    </xf>
    <xf numFmtId="179" fontId="20" fillId="0" borderId="8" xfId="3" applyNumberFormat="1" applyFont="1" applyBorder="1" applyAlignment="1">
      <alignment vertical="center"/>
    </xf>
    <xf numFmtId="179" fontId="155" fillId="0" borderId="33" xfId="3" applyNumberFormat="1" applyFont="1" applyBorder="1"/>
    <xf numFmtId="176" fontId="18" fillId="0" borderId="10" xfId="3" applyFont="1" applyBorder="1"/>
    <xf numFmtId="176" fontId="18" fillId="0" borderId="34" xfId="3" applyFont="1" applyBorder="1"/>
    <xf numFmtId="179" fontId="155" fillId="0" borderId="35" xfId="3" applyNumberFormat="1" applyFont="1" applyBorder="1"/>
    <xf numFmtId="176" fontId="18" fillId="0" borderId="36" xfId="3" applyFont="1" applyBorder="1"/>
    <xf numFmtId="178" fontId="18" fillId="0" borderId="0" xfId="1" applyNumberFormat="1" applyFont="1" applyBorder="1" applyAlignment="1"/>
    <xf numFmtId="178" fontId="18" fillId="0" borderId="36" xfId="1" applyNumberFormat="1" applyFont="1" applyBorder="1" applyAlignment="1"/>
    <xf numFmtId="179" fontId="155" fillId="0" borderId="37" xfId="3" applyNumberFormat="1" applyFont="1" applyBorder="1"/>
    <xf numFmtId="178" fontId="18" fillId="0" borderId="38" xfId="1" applyNumberFormat="1" applyFont="1" applyBorder="1" applyAlignment="1"/>
    <xf numFmtId="178" fontId="18" fillId="71" borderId="0" xfId="1" applyNumberFormat="1" applyFont="1" applyFill="1" applyBorder="1" applyAlignment="1"/>
    <xf numFmtId="178" fontId="18" fillId="71" borderId="8" xfId="1" applyNumberFormat="1" applyFont="1" applyFill="1" applyBorder="1" applyAlignment="1"/>
    <xf numFmtId="176" fontId="18" fillId="0" borderId="10" xfId="3" applyFont="1" applyFill="1" applyBorder="1"/>
    <xf numFmtId="176" fontId="18" fillId="0" borderId="0" xfId="3" applyFont="1" applyFill="1" applyBorder="1"/>
    <xf numFmtId="178" fontId="18" fillId="0" borderId="0" xfId="1" applyNumberFormat="1" applyFont="1" applyFill="1" applyBorder="1" applyAlignment="1"/>
    <xf numFmtId="178" fontId="18" fillId="0" borderId="8" xfId="1" applyNumberFormat="1" applyFont="1" applyFill="1" applyBorder="1" applyAlignment="1"/>
    <xf numFmtId="179" fontId="169" fillId="0" borderId="11" xfId="367" applyFont="1" applyAlignment="1">
      <alignment horizontal="center" wrapText="1"/>
    </xf>
    <xf numFmtId="249" fontId="131" fillId="0" borderId="0" xfId="15" applyNumberFormat="1" applyFont="1" applyFill="1"/>
    <xf numFmtId="182" fontId="24" fillId="67" borderId="12" xfId="14" applyNumberFormat="1" applyFont="1" applyFill="1" applyBorder="1"/>
    <xf numFmtId="176" fontId="4" fillId="0" borderId="0" xfId="3" applyBorder="1" applyAlignment="1">
      <alignment vertical="center"/>
    </xf>
    <xf numFmtId="10" fontId="4" fillId="0" borderId="0" xfId="1" applyNumberFormat="1" applyFont="1" applyAlignment="1"/>
    <xf numFmtId="176" fontId="19" fillId="0" borderId="8" xfId="3" applyFont="1" applyBorder="1"/>
    <xf numFmtId="179" fontId="5" fillId="0" borderId="0" xfId="2" applyFont="1"/>
    <xf numFmtId="176" fontId="4" fillId="0" borderId="0" xfId="3" applyFont="1"/>
    <xf numFmtId="41" fontId="135" fillId="0" borderId="0" xfId="303" applyNumberFormat="1" applyFont="1" applyFill="1" applyAlignment="1"/>
    <xf numFmtId="182" fontId="4" fillId="0" borderId="0" xfId="14" applyNumberFormat="1" applyFont="1" applyFill="1"/>
    <xf numFmtId="14" fontId="4" fillId="0" borderId="0" xfId="14" applyNumberFormat="1" applyFont="1" applyFill="1"/>
    <xf numFmtId="14" fontId="135" fillId="0" borderId="0" xfId="15" applyNumberFormat="1" applyFont="1" applyFill="1"/>
    <xf numFmtId="176" fontId="7" fillId="0" borderId="12" xfId="377" applyFont="1"/>
    <xf numFmtId="250" fontId="7" fillId="0" borderId="12" xfId="377" applyNumberFormat="1" applyFont="1"/>
    <xf numFmtId="176" fontId="172" fillId="0" borderId="86" xfId="0" applyFont="1" applyBorder="1" applyAlignment="1">
      <alignment horizontal="center" vertical="center" wrapText="1"/>
    </xf>
    <xf numFmtId="176" fontId="171" fillId="0" borderId="85" xfId="0" applyFont="1" applyBorder="1" applyAlignment="1">
      <alignment horizontal="center" vertical="center" wrapText="1"/>
    </xf>
    <xf numFmtId="176" fontId="171" fillId="0" borderId="85" xfId="0" applyFont="1" applyBorder="1" applyAlignment="1">
      <alignment horizontal="center" vertical="top" wrapText="1"/>
    </xf>
    <xf numFmtId="176" fontId="173" fillId="0" borderId="86" xfId="0" applyFont="1" applyBorder="1" applyAlignment="1">
      <alignment horizontal="justify" vertical="top"/>
    </xf>
    <xf numFmtId="176" fontId="174" fillId="0" borderId="86" xfId="0" applyFont="1" applyBorder="1" applyAlignment="1">
      <alignment horizontal="right" vertical="center" wrapText="1"/>
    </xf>
    <xf numFmtId="176" fontId="173" fillId="0" borderId="86" xfId="0" applyFont="1" applyBorder="1" applyAlignment="1">
      <alignment horizontal="center" vertical="center" wrapText="1"/>
    </xf>
    <xf numFmtId="176" fontId="174" fillId="0" borderId="86" xfId="0" applyFont="1" applyBorder="1" applyAlignment="1">
      <alignment horizontal="justify" vertical="top"/>
    </xf>
    <xf numFmtId="176" fontId="171" fillId="0" borderId="86" xfId="0" applyFont="1" applyBorder="1" applyAlignment="1">
      <alignment horizontal="justify" vertical="top"/>
    </xf>
    <xf numFmtId="176" fontId="172" fillId="0" borderId="86" xfId="0" applyFont="1" applyBorder="1" applyAlignment="1">
      <alignment horizontal="right" vertical="center" wrapText="1"/>
    </xf>
    <xf numFmtId="176" fontId="173" fillId="0" borderId="86" xfId="0" applyFont="1" applyBorder="1" applyAlignment="1">
      <alignment horizontal="justify" vertical="center" wrapText="1"/>
    </xf>
    <xf numFmtId="176" fontId="173" fillId="0" borderId="86" xfId="0" applyFont="1" applyBorder="1" applyAlignment="1">
      <alignment horizontal="right" vertical="center" wrapText="1"/>
    </xf>
    <xf numFmtId="176" fontId="171" fillId="0" borderId="86" xfId="0" applyFont="1" applyBorder="1" applyAlignment="1">
      <alignment horizontal="justify" vertical="center" wrapText="1"/>
    </xf>
    <xf numFmtId="176" fontId="171" fillId="0" borderId="88" xfId="0" applyFont="1" applyBorder="1" applyAlignment="1">
      <alignment vertical="center" wrapText="1"/>
    </xf>
    <xf numFmtId="176" fontId="172" fillId="0" borderId="88" xfId="0" applyFont="1" applyBorder="1" applyAlignment="1">
      <alignment horizontal="right" vertical="center" wrapText="1"/>
    </xf>
    <xf numFmtId="176" fontId="172" fillId="0" borderId="88" xfId="0" applyFont="1" applyBorder="1" applyAlignment="1">
      <alignment vertical="center" wrapText="1"/>
    </xf>
    <xf numFmtId="176" fontId="174" fillId="73" borderId="89" xfId="0" applyFont="1" applyFill="1" applyBorder="1" applyAlignment="1">
      <alignment horizontal="left" vertical="center" wrapText="1"/>
    </xf>
    <xf numFmtId="176" fontId="174" fillId="73" borderId="89" xfId="0" applyFont="1" applyFill="1" applyBorder="1" applyAlignment="1">
      <alignment horizontal="right" vertical="center" wrapText="1"/>
    </xf>
    <xf numFmtId="176" fontId="174" fillId="73" borderId="88" xfId="0" applyFont="1" applyFill="1" applyBorder="1" applyAlignment="1">
      <alignment horizontal="left" vertical="center" wrapText="1"/>
    </xf>
    <xf numFmtId="176" fontId="174" fillId="73" borderId="88" xfId="0" applyFont="1" applyFill="1" applyBorder="1" applyAlignment="1">
      <alignment horizontal="right" vertical="center" wrapText="1"/>
    </xf>
    <xf numFmtId="176" fontId="171" fillId="73" borderId="89" xfId="0" applyFont="1" applyFill="1" applyBorder="1" applyAlignment="1">
      <alignment horizontal="left" vertical="center" wrapText="1"/>
    </xf>
    <xf numFmtId="176" fontId="172" fillId="73" borderId="89" xfId="0" applyFont="1" applyFill="1" applyBorder="1" applyAlignment="1">
      <alignment horizontal="right" vertical="center" wrapText="1"/>
    </xf>
    <xf numFmtId="176" fontId="173" fillId="73" borderId="89" xfId="0" applyFont="1" applyFill="1" applyBorder="1" applyAlignment="1">
      <alignment horizontal="left" vertical="center" wrapText="1"/>
    </xf>
    <xf numFmtId="176" fontId="172" fillId="71" borderId="0" xfId="3" applyFont="1" applyFill="1" applyAlignment="1">
      <alignment vertical="center"/>
    </xf>
    <xf numFmtId="176" fontId="172" fillId="71" borderId="0" xfId="3" applyFont="1" applyFill="1" applyBorder="1" applyAlignment="1">
      <alignment vertical="center"/>
    </xf>
    <xf numFmtId="176" fontId="174" fillId="0" borderId="0" xfId="3" applyFont="1" applyAlignment="1">
      <alignment vertical="center"/>
    </xf>
    <xf numFmtId="176" fontId="174" fillId="0" borderId="0" xfId="3" applyFont="1" applyBorder="1" applyAlignment="1">
      <alignment vertical="center"/>
    </xf>
    <xf numFmtId="176" fontId="174" fillId="0" borderId="8" xfId="3" applyFont="1" applyBorder="1" applyAlignment="1">
      <alignment vertical="center"/>
    </xf>
    <xf numFmtId="176" fontId="172" fillId="71" borderId="9" xfId="3" applyFont="1" applyFill="1" applyBorder="1" applyAlignment="1">
      <alignment vertical="center"/>
    </xf>
    <xf numFmtId="178" fontId="179" fillId="71" borderId="12" xfId="1" applyNumberFormat="1" applyFont="1" applyFill="1" applyBorder="1" applyAlignment="1">
      <alignment vertical="center"/>
    </xf>
    <xf numFmtId="179" fontId="3" fillId="0" borderId="0" xfId="2" applyAlignment="1">
      <alignment vertical="center"/>
    </xf>
    <xf numFmtId="176" fontId="4" fillId="0" borderId="0" xfId="3" applyAlignment="1">
      <alignment vertical="center"/>
    </xf>
    <xf numFmtId="176" fontId="4" fillId="72" borderId="0" xfId="3" applyFill="1" applyAlignment="1">
      <alignment vertical="center"/>
    </xf>
    <xf numFmtId="176" fontId="4" fillId="0" borderId="0" xfId="3" applyFill="1" applyAlignment="1">
      <alignment vertical="center"/>
    </xf>
    <xf numFmtId="176" fontId="4" fillId="70" borderId="0" xfId="3" applyFill="1" applyAlignment="1">
      <alignment vertical="center"/>
    </xf>
    <xf numFmtId="176" fontId="17" fillId="0" borderId="0" xfId="3" applyFont="1" applyAlignment="1">
      <alignment vertical="center"/>
    </xf>
    <xf numFmtId="176" fontId="17" fillId="0" borderId="0" xfId="3" applyFont="1" applyFill="1" applyBorder="1" applyAlignment="1">
      <alignment vertical="center"/>
    </xf>
    <xf numFmtId="176" fontId="4" fillId="0" borderId="0" xfId="3" applyFill="1" applyBorder="1" applyAlignment="1">
      <alignment vertical="center"/>
    </xf>
    <xf numFmtId="176" fontId="17" fillId="0" borderId="0" xfId="3" applyFont="1" applyBorder="1" applyAlignment="1">
      <alignment vertical="center"/>
    </xf>
    <xf numFmtId="176" fontId="175" fillId="0" borderId="0" xfId="3" applyFont="1" applyBorder="1" applyAlignment="1">
      <alignment horizontal="center" vertical="center"/>
    </xf>
    <xf numFmtId="176" fontId="17" fillId="0" borderId="0" xfId="3" applyFont="1" applyBorder="1" applyAlignment="1">
      <alignment horizontal="center" vertical="center"/>
    </xf>
    <xf numFmtId="176" fontId="17" fillId="0" borderId="11" xfId="3" applyFont="1" applyBorder="1" applyAlignment="1">
      <alignment vertical="center"/>
    </xf>
    <xf numFmtId="176" fontId="175" fillId="0" borderId="11" xfId="3" applyFont="1" applyBorder="1" applyAlignment="1">
      <alignment horizontal="center" vertical="center"/>
    </xf>
    <xf numFmtId="176" fontId="17" fillId="0" borderId="11" xfId="3" applyFont="1" applyBorder="1" applyAlignment="1">
      <alignment horizontal="center" vertical="center"/>
    </xf>
    <xf numFmtId="176" fontId="19" fillId="71" borderId="0" xfId="3" applyFont="1" applyFill="1" applyAlignment="1">
      <alignment vertical="center"/>
    </xf>
    <xf numFmtId="176" fontId="19" fillId="71" borderId="0" xfId="3" applyFont="1" applyFill="1" applyBorder="1" applyAlignment="1">
      <alignment vertical="center"/>
    </xf>
    <xf numFmtId="176" fontId="4" fillId="0" borderId="8" xfId="3" applyBorder="1" applyAlignment="1">
      <alignment vertical="center"/>
    </xf>
    <xf numFmtId="176" fontId="170" fillId="71" borderId="0" xfId="3" applyFont="1" applyFill="1" applyAlignment="1">
      <alignment vertical="center"/>
    </xf>
    <xf numFmtId="178" fontId="4" fillId="0" borderId="0" xfId="1" applyNumberFormat="1" applyFont="1" applyAlignment="1">
      <alignment vertical="center"/>
    </xf>
    <xf numFmtId="176" fontId="167" fillId="0" borderId="8" xfId="3" applyFont="1" applyBorder="1" applyAlignment="1">
      <alignment vertical="center"/>
    </xf>
    <xf numFmtId="176" fontId="166" fillId="0" borderId="8" xfId="3" applyFont="1" applyBorder="1" applyAlignment="1">
      <alignment vertical="center"/>
    </xf>
    <xf numFmtId="178" fontId="176" fillId="0" borderId="8" xfId="1" applyNumberFormat="1" applyFont="1" applyBorder="1" applyAlignment="1">
      <alignment vertical="center"/>
    </xf>
    <xf numFmtId="176" fontId="19" fillId="0" borderId="0" xfId="3" applyFont="1" applyFill="1" applyBorder="1" applyAlignment="1">
      <alignment vertical="center"/>
    </xf>
    <xf numFmtId="176" fontId="166" fillId="0" borderId="0" xfId="3" applyFont="1" applyAlignment="1">
      <alignment vertical="center"/>
    </xf>
    <xf numFmtId="176" fontId="167" fillId="0" borderId="0" xfId="3" applyFont="1" applyFill="1" applyBorder="1" applyAlignment="1">
      <alignment vertical="center"/>
    </xf>
    <xf numFmtId="176" fontId="167" fillId="0" borderId="0" xfId="3" applyFont="1" applyAlignment="1">
      <alignment vertical="center"/>
    </xf>
    <xf numFmtId="176" fontId="4" fillId="71" borderId="12" xfId="3" applyFill="1" applyBorder="1" applyAlignment="1">
      <alignment vertical="center"/>
    </xf>
    <xf numFmtId="176" fontId="19" fillId="71" borderId="10" xfId="3" applyFont="1" applyFill="1" applyBorder="1" applyAlignment="1">
      <alignment vertical="center"/>
    </xf>
    <xf numFmtId="178" fontId="176" fillId="0" borderId="0" xfId="1" applyNumberFormat="1" applyFont="1" applyBorder="1" applyAlignment="1">
      <alignment vertical="center"/>
    </xf>
    <xf numFmtId="176" fontId="4" fillId="0" borderId="11" xfId="3" applyBorder="1" applyAlignment="1">
      <alignment vertical="center"/>
    </xf>
    <xf numFmtId="176" fontId="166" fillId="0" borderId="11" xfId="3" applyFont="1" applyBorder="1" applyAlignment="1">
      <alignment vertical="center"/>
    </xf>
    <xf numFmtId="176" fontId="167" fillId="0" borderId="0" xfId="3" applyFont="1" applyBorder="1" applyAlignment="1">
      <alignment vertical="center"/>
    </xf>
    <xf numFmtId="176" fontId="166" fillId="0" borderId="0" xfId="3" applyFont="1" applyBorder="1" applyAlignment="1">
      <alignment vertical="center"/>
    </xf>
    <xf numFmtId="176" fontId="4" fillId="0" borderId="11" xfId="3" applyFill="1" applyBorder="1" applyAlignment="1">
      <alignment vertical="center"/>
    </xf>
    <xf numFmtId="176" fontId="167" fillId="0" borderId="11" xfId="3" applyFont="1" applyBorder="1" applyAlignment="1">
      <alignment vertical="center"/>
    </xf>
    <xf numFmtId="176" fontId="19" fillId="71" borderId="9" xfId="3" applyFont="1" applyFill="1" applyBorder="1" applyAlignment="1">
      <alignment vertical="center"/>
    </xf>
    <xf numFmtId="248" fontId="174" fillId="0" borderId="0" xfId="3" applyNumberFormat="1" applyFont="1" applyBorder="1" applyAlignment="1">
      <alignment vertical="center"/>
    </xf>
    <xf numFmtId="176" fontId="19" fillId="71" borderId="12" xfId="3" applyFont="1" applyFill="1" applyBorder="1" applyAlignment="1">
      <alignment vertical="center"/>
    </xf>
    <xf numFmtId="176" fontId="172" fillId="71" borderId="12" xfId="3" applyFont="1" applyFill="1" applyBorder="1" applyAlignment="1">
      <alignment vertical="center"/>
    </xf>
    <xf numFmtId="176" fontId="17" fillId="0" borderId="0" xfId="3" applyFont="1" applyFill="1" applyBorder="1" applyAlignment="1">
      <alignment horizontal="center" vertical="center"/>
    </xf>
    <xf numFmtId="176" fontId="17" fillId="0" borderId="11" xfId="3" applyFont="1" applyFill="1" applyBorder="1" applyAlignment="1">
      <alignment horizontal="left" vertical="center"/>
    </xf>
    <xf numFmtId="176" fontId="17" fillId="0" borderId="11" xfId="3" applyFont="1" applyFill="1" applyBorder="1" applyAlignment="1">
      <alignment horizontal="center" vertical="center"/>
    </xf>
    <xf numFmtId="176" fontId="4" fillId="0" borderId="39" xfId="3" applyBorder="1" applyAlignment="1">
      <alignment vertical="center"/>
    </xf>
    <xf numFmtId="176" fontId="174" fillId="0" borderId="39" xfId="3" applyFont="1" applyBorder="1" applyAlignment="1">
      <alignment vertical="center"/>
    </xf>
    <xf numFmtId="176" fontId="19" fillId="0" borderId="0" xfId="3" applyFont="1" applyBorder="1" applyAlignment="1">
      <alignment vertical="center"/>
    </xf>
    <xf numFmtId="176" fontId="172" fillId="0" borderId="0" xfId="3" applyFont="1" applyBorder="1" applyAlignment="1">
      <alignment vertical="center"/>
    </xf>
    <xf numFmtId="176" fontId="19" fillId="0" borderId="9" xfId="3" applyFont="1" applyBorder="1" applyAlignment="1">
      <alignment vertical="center"/>
    </xf>
    <xf numFmtId="176" fontId="172" fillId="0" borderId="9" xfId="3" applyFont="1" applyBorder="1" applyAlignment="1">
      <alignment vertical="center"/>
    </xf>
    <xf numFmtId="176" fontId="19" fillId="0" borderId="11" xfId="3" applyFont="1" applyBorder="1" applyAlignment="1">
      <alignment vertical="center"/>
    </xf>
    <xf numFmtId="176" fontId="172" fillId="0" borderId="11" xfId="3" applyFont="1" applyBorder="1" applyAlignment="1">
      <alignment vertical="center"/>
    </xf>
    <xf numFmtId="176" fontId="175" fillId="0" borderId="0" xfId="3" applyFont="1" applyFill="1" applyBorder="1" applyAlignment="1">
      <alignment horizontal="center" vertical="center"/>
    </xf>
    <xf numFmtId="176" fontId="175" fillId="0" borderId="11" xfId="3" applyFont="1" applyFill="1" applyBorder="1" applyAlignment="1">
      <alignment horizontal="center" vertical="center"/>
    </xf>
    <xf numFmtId="176" fontId="19" fillId="0" borderId="0" xfId="3" applyFont="1" applyAlignment="1">
      <alignment vertical="center"/>
    </xf>
    <xf numFmtId="176" fontId="172" fillId="0" borderId="0" xfId="3" applyFont="1" applyAlignment="1">
      <alignment vertical="center"/>
    </xf>
    <xf numFmtId="176" fontId="17" fillId="0" borderId="0" xfId="3" applyFont="1" applyFill="1" applyBorder="1" applyAlignment="1">
      <alignment horizontal="left" vertical="center"/>
    </xf>
    <xf numFmtId="178" fontId="177" fillId="0" borderId="0" xfId="1" applyNumberFormat="1" applyFont="1" applyAlignment="1">
      <alignment vertical="center"/>
    </xf>
    <xf numFmtId="178" fontId="177" fillId="0" borderId="0" xfId="1" applyNumberFormat="1" applyFont="1" applyBorder="1" applyAlignment="1">
      <alignment vertical="center"/>
    </xf>
    <xf numFmtId="176" fontId="17" fillId="0" borderId="11" xfId="3" applyFont="1" applyBorder="1" applyAlignment="1">
      <alignment horizontal="left" vertical="center"/>
    </xf>
    <xf numFmtId="176" fontId="162" fillId="0" borderId="0" xfId="3" applyFont="1" applyAlignment="1">
      <alignment vertical="center"/>
    </xf>
    <xf numFmtId="176" fontId="4" fillId="0" borderId="40" xfId="3" applyBorder="1" applyAlignment="1">
      <alignment vertical="center"/>
    </xf>
    <xf numFmtId="176" fontId="19" fillId="0" borderId="12" xfId="3" applyFont="1" applyFill="1" applyBorder="1" applyAlignment="1">
      <alignment vertical="center"/>
    </xf>
    <xf numFmtId="176" fontId="4" fillId="0" borderId="12" xfId="3" applyBorder="1" applyAlignment="1">
      <alignment vertical="center"/>
    </xf>
    <xf numFmtId="178" fontId="177" fillId="0" borderId="11" xfId="1" applyNumberFormat="1" applyFont="1" applyBorder="1" applyAlignment="1">
      <alignment vertical="center"/>
    </xf>
    <xf numFmtId="176" fontId="127" fillId="71" borderId="0" xfId="3" applyFont="1" applyFill="1" applyAlignment="1">
      <alignment vertical="center"/>
    </xf>
    <xf numFmtId="176" fontId="138" fillId="0" borderId="0" xfId="3" applyFont="1" applyAlignment="1">
      <alignment vertical="center"/>
    </xf>
    <xf numFmtId="176" fontId="39" fillId="0" borderId="0" xfId="3" applyFont="1" applyAlignment="1">
      <alignment vertical="center"/>
    </xf>
    <xf numFmtId="176" fontId="19" fillId="0" borderId="10" xfId="3" applyFont="1" applyBorder="1" applyAlignment="1">
      <alignment vertical="center"/>
    </xf>
    <xf numFmtId="178" fontId="172" fillId="71" borderId="0" xfId="1" applyNumberFormat="1" applyFont="1" applyFill="1" applyAlignment="1">
      <alignment vertical="center"/>
    </xf>
    <xf numFmtId="176" fontId="138" fillId="0" borderId="11" xfId="3" applyFont="1" applyBorder="1" applyAlignment="1">
      <alignment vertical="center"/>
    </xf>
    <xf numFmtId="176" fontId="19" fillId="0" borderId="8" xfId="3" applyFont="1" applyBorder="1" applyAlignment="1">
      <alignment vertical="center"/>
    </xf>
    <xf numFmtId="176" fontId="39" fillId="0" borderId="0" xfId="3" applyFont="1" applyFill="1" applyAlignment="1">
      <alignment vertical="center"/>
    </xf>
    <xf numFmtId="179" fontId="175" fillId="0" borderId="11" xfId="3" applyNumberFormat="1" applyFont="1" applyBorder="1" applyAlignment="1">
      <alignment horizontal="center" vertical="center"/>
    </xf>
    <xf numFmtId="176" fontId="19" fillId="71" borderId="42" xfId="3" applyFont="1" applyFill="1" applyBorder="1" applyAlignment="1">
      <alignment vertical="center"/>
    </xf>
    <xf numFmtId="176" fontId="168" fillId="0" borderId="12" xfId="3" applyFont="1" applyBorder="1" applyAlignment="1">
      <alignment vertical="center"/>
    </xf>
    <xf numFmtId="178" fontId="179" fillId="0" borderId="12" xfId="1" applyNumberFormat="1" applyFont="1" applyBorder="1" applyAlignment="1">
      <alignment vertical="center"/>
    </xf>
    <xf numFmtId="176" fontId="4" fillId="71" borderId="0" xfId="3" applyFill="1" applyAlignment="1">
      <alignment vertical="center"/>
    </xf>
    <xf numFmtId="41" fontId="4" fillId="0" borderId="0" xfId="303" applyNumberFormat="1" applyFont="1" applyBorder="1" applyAlignment="1">
      <alignment vertical="center"/>
    </xf>
    <xf numFmtId="233" fontId="4" fillId="0" borderId="0" xfId="303" applyNumberFormat="1" applyFont="1" applyBorder="1" applyAlignment="1">
      <alignment vertical="center"/>
    </xf>
    <xf numFmtId="176" fontId="4" fillId="71" borderId="9" xfId="3" applyFill="1" applyBorder="1" applyAlignment="1">
      <alignment vertical="center"/>
    </xf>
    <xf numFmtId="176" fontId="17" fillId="0" borderId="11" xfId="3" applyFont="1" applyBorder="1" applyAlignment="1">
      <alignment horizontal="right" vertical="center"/>
    </xf>
    <xf numFmtId="176" fontId="18" fillId="0" borderId="0" xfId="3" applyFont="1" applyAlignment="1">
      <alignment vertical="center"/>
    </xf>
    <xf numFmtId="176" fontId="18" fillId="0" borderId="9" xfId="3" applyFont="1" applyBorder="1" applyAlignment="1">
      <alignment vertical="center"/>
    </xf>
    <xf numFmtId="176" fontId="41" fillId="0" borderId="0" xfId="3" applyFont="1" applyAlignment="1">
      <alignment vertical="center"/>
    </xf>
    <xf numFmtId="176" fontId="19" fillId="0" borderId="12" xfId="3" applyFont="1" applyBorder="1" applyAlignment="1">
      <alignment vertical="center"/>
    </xf>
    <xf numFmtId="176" fontId="168" fillId="71" borderId="12" xfId="3" applyFont="1" applyFill="1" applyBorder="1" applyAlignment="1">
      <alignment vertical="center"/>
    </xf>
    <xf numFmtId="9" fontId="4" fillId="0" borderId="0" xfId="1" applyFont="1" applyAlignment="1">
      <alignment vertical="center"/>
    </xf>
    <xf numFmtId="176" fontId="17" fillId="0" borderId="11" xfId="3" applyFont="1" applyBorder="1" applyAlignment="1">
      <alignment horizontal="center" vertical="center"/>
    </xf>
    <xf numFmtId="176" fontId="19" fillId="71" borderId="11" xfId="3" applyFont="1" applyFill="1" applyBorder="1" applyAlignment="1">
      <alignment vertical="center"/>
    </xf>
    <xf numFmtId="176" fontId="18" fillId="71" borderId="0" xfId="3" applyFont="1" applyFill="1" applyAlignment="1">
      <alignment vertical="center"/>
    </xf>
    <xf numFmtId="176" fontId="18" fillId="71" borderId="0" xfId="3" applyFont="1" applyFill="1" applyBorder="1" applyAlignment="1">
      <alignment vertical="center"/>
    </xf>
    <xf numFmtId="176" fontId="18" fillId="71" borderId="11" xfId="3" applyFont="1" applyFill="1" applyBorder="1" applyAlignment="1">
      <alignment vertical="center"/>
    </xf>
    <xf numFmtId="176" fontId="18" fillId="0" borderId="11" xfId="3" applyFont="1" applyBorder="1" applyAlignment="1">
      <alignment vertical="center"/>
    </xf>
    <xf numFmtId="176" fontId="172" fillId="71" borderId="10" xfId="3" applyFont="1" applyFill="1" applyBorder="1" applyAlignment="1">
      <alignment vertical="center"/>
    </xf>
    <xf numFmtId="176" fontId="172" fillId="71" borderId="11" xfId="3" applyFont="1" applyFill="1" applyBorder="1" applyAlignment="1">
      <alignment vertical="center"/>
    </xf>
    <xf numFmtId="176" fontId="174" fillId="71" borderId="12" xfId="3" applyFont="1" applyFill="1" applyBorder="1" applyAlignment="1">
      <alignment vertical="center"/>
    </xf>
    <xf numFmtId="176" fontId="174" fillId="0" borderId="11" xfId="3" applyFont="1" applyBorder="1" applyAlignment="1">
      <alignment vertical="center"/>
    </xf>
    <xf numFmtId="178" fontId="174" fillId="0" borderId="0" xfId="1" applyNumberFormat="1" applyFont="1" applyAlignment="1">
      <alignment vertical="center"/>
    </xf>
    <xf numFmtId="178" fontId="174" fillId="0" borderId="11" xfId="1" applyNumberFormat="1" applyFont="1" applyBorder="1" applyAlignment="1">
      <alignment vertical="center"/>
    </xf>
    <xf numFmtId="178" fontId="174" fillId="0" borderId="40" xfId="1" applyNumberFormat="1" applyFont="1" applyBorder="1" applyAlignment="1">
      <alignment vertical="center"/>
    </xf>
    <xf numFmtId="176" fontId="172" fillId="0" borderId="0" xfId="3" applyFont="1" applyFill="1" applyBorder="1" applyAlignment="1">
      <alignment vertical="center"/>
    </xf>
    <xf numFmtId="178" fontId="176" fillId="0" borderId="0" xfId="1" applyNumberFormat="1" applyFont="1" applyAlignment="1">
      <alignment vertical="center"/>
    </xf>
    <xf numFmtId="176" fontId="174" fillId="0" borderId="0" xfId="3" applyFont="1" applyFill="1" applyBorder="1" applyAlignment="1">
      <alignment vertical="center"/>
    </xf>
    <xf numFmtId="178" fontId="176" fillId="0" borderId="11" xfId="1" applyNumberFormat="1" applyFont="1" applyBorder="1" applyAlignment="1">
      <alignment vertical="center"/>
    </xf>
    <xf numFmtId="178" fontId="174" fillId="0" borderId="0" xfId="1" applyNumberFormat="1" applyFont="1" applyAlignment="1">
      <alignment horizontal="center" vertical="center"/>
    </xf>
    <xf numFmtId="178" fontId="174" fillId="0" borderId="11" xfId="1" applyNumberFormat="1" applyFont="1" applyBorder="1" applyAlignment="1">
      <alignment horizontal="center" vertical="center"/>
    </xf>
    <xf numFmtId="176" fontId="174" fillId="0" borderId="11" xfId="3" applyFont="1" applyFill="1" applyBorder="1" applyAlignment="1">
      <alignment vertical="center"/>
    </xf>
    <xf numFmtId="178" fontId="180" fillId="0" borderId="0" xfId="1" applyNumberFormat="1" applyFont="1" applyAlignment="1">
      <alignment vertical="center"/>
    </xf>
    <xf numFmtId="176" fontId="172" fillId="0" borderId="12" xfId="3" applyFont="1" applyFill="1" applyBorder="1" applyAlignment="1">
      <alignment vertical="center"/>
    </xf>
    <xf numFmtId="176" fontId="181" fillId="0" borderId="0" xfId="3" applyFont="1" applyAlignment="1">
      <alignment vertical="center"/>
    </xf>
    <xf numFmtId="176" fontId="172" fillId="71" borderId="42" xfId="3" applyFont="1" applyFill="1" applyBorder="1" applyAlignment="1">
      <alignment vertical="center"/>
    </xf>
    <xf numFmtId="176" fontId="174" fillId="71" borderId="0" xfId="3" applyFont="1" applyFill="1" applyAlignment="1">
      <alignment vertical="center"/>
    </xf>
    <xf numFmtId="176" fontId="174" fillId="71" borderId="9" xfId="3" applyFont="1" applyFill="1" applyBorder="1" applyAlignment="1">
      <alignment vertical="center"/>
    </xf>
    <xf numFmtId="176" fontId="175" fillId="0" borderId="11" xfId="3" applyFont="1" applyBorder="1" applyAlignment="1">
      <alignment horizontal="right" vertical="center"/>
    </xf>
    <xf numFmtId="176" fontId="180" fillId="0" borderId="0" xfId="3" applyFont="1" applyAlignment="1">
      <alignment vertical="center"/>
    </xf>
    <xf numFmtId="176" fontId="174" fillId="0" borderId="9" xfId="3" applyFont="1" applyBorder="1" applyAlignment="1">
      <alignment vertical="center"/>
    </xf>
    <xf numFmtId="176" fontId="182" fillId="0" borderId="0" xfId="3" applyFont="1" applyAlignment="1">
      <alignment vertical="center"/>
    </xf>
    <xf numFmtId="176" fontId="172" fillId="0" borderId="12" xfId="3" applyFont="1" applyBorder="1" applyAlignment="1">
      <alignment vertical="center"/>
    </xf>
    <xf numFmtId="251" fontId="174" fillId="0" borderId="0" xfId="3" applyNumberFormat="1" applyFont="1" applyAlignment="1">
      <alignment vertical="center"/>
    </xf>
    <xf numFmtId="176" fontId="177" fillId="0" borderId="11" xfId="3" applyFont="1" applyBorder="1" applyAlignment="1">
      <alignment vertical="center"/>
    </xf>
    <xf numFmtId="179" fontId="175" fillId="0" borderId="0" xfId="3" applyNumberFormat="1" applyFont="1" applyBorder="1" applyAlignment="1">
      <alignment horizontal="center" vertical="center"/>
    </xf>
    <xf numFmtId="178" fontId="174" fillId="0" borderId="0" xfId="1" applyNumberFormat="1" applyFont="1" applyBorder="1" applyAlignment="1">
      <alignment vertical="center"/>
    </xf>
    <xf numFmtId="178" fontId="174" fillId="0" borderId="12" xfId="1" applyNumberFormat="1" applyFont="1" applyBorder="1" applyAlignment="1">
      <alignment vertical="center"/>
    </xf>
    <xf numFmtId="176" fontId="183" fillId="71" borderId="0" xfId="3" applyFont="1" applyFill="1" applyAlignment="1">
      <alignment vertical="center"/>
    </xf>
    <xf numFmtId="178" fontId="172" fillId="0" borderId="10" xfId="1" applyNumberFormat="1" applyFont="1" applyBorder="1" applyAlignment="1">
      <alignment vertical="center"/>
    </xf>
    <xf numFmtId="176" fontId="172" fillId="0" borderId="8" xfId="3" applyFont="1" applyBorder="1" applyAlignment="1">
      <alignment vertical="center"/>
    </xf>
    <xf numFmtId="41" fontId="174" fillId="0" borderId="0" xfId="303" applyNumberFormat="1" applyFont="1" applyBorder="1" applyAlignment="1">
      <alignment vertical="center"/>
    </xf>
    <xf numFmtId="176" fontId="174" fillId="71" borderId="11" xfId="3" applyFont="1" applyFill="1" applyBorder="1" applyAlignment="1">
      <alignment vertical="center"/>
    </xf>
    <xf numFmtId="178" fontId="184" fillId="71" borderId="0" xfId="1" applyNumberFormat="1" applyFont="1" applyFill="1" applyAlignment="1">
      <alignment vertical="center"/>
    </xf>
    <xf numFmtId="178" fontId="180" fillId="0" borderId="8" xfId="1" applyNumberFormat="1" applyFont="1" applyBorder="1" applyAlignment="1">
      <alignment vertical="center"/>
    </xf>
    <xf numFmtId="178" fontId="184" fillId="71" borderId="9" xfId="1" applyNumberFormat="1" applyFont="1" applyFill="1" applyBorder="1" applyAlignment="1">
      <alignment vertical="center"/>
    </xf>
    <xf numFmtId="41" fontId="174" fillId="0" borderId="0" xfId="303" applyNumberFormat="1" applyFont="1" applyAlignment="1">
      <alignment vertical="center"/>
    </xf>
    <xf numFmtId="233" fontId="174" fillId="0" borderId="0" xfId="303" applyNumberFormat="1" applyFont="1" applyAlignment="1">
      <alignment vertical="center"/>
    </xf>
    <xf numFmtId="233" fontId="174" fillId="0" borderId="0" xfId="303" applyNumberFormat="1" applyFont="1" applyBorder="1" applyAlignment="1">
      <alignment vertical="center"/>
    </xf>
    <xf numFmtId="41" fontId="174" fillId="0" borderId="11" xfId="303" applyNumberFormat="1" applyFont="1" applyBorder="1" applyAlignment="1">
      <alignment vertical="center"/>
    </xf>
    <xf numFmtId="176" fontId="4" fillId="0" borderId="10" xfId="3" applyBorder="1" applyAlignment="1">
      <alignment vertical="center"/>
    </xf>
    <xf numFmtId="176" fontId="174" fillId="0" borderId="10" xfId="3" applyFont="1" applyBorder="1" applyAlignment="1">
      <alignment vertical="center"/>
    </xf>
    <xf numFmtId="176" fontId="185" fillId="0" borderId="11" xfId="3" applyFont="1" applyBorder="1" applyAlignment="1">
      <alignment vertical="center"/>
    </xf>
    <xf numFmtId="179" fontId="185" fillId="0" borderId="11" xfId="3" applyNumberFormat="1" applyFont="1" applyBorder="1" applyAlignment="1">
      <alignment horizontal="center" vertical="center"/>
    </xf>
    <xf numFmtId="176" fontId="4" fillId="0" borderId="8" xfId="3" applyFont="1" applyBorder="1"/>
    <xf numFmtId="176" fontId="4" fillId="0" borderId="12" xfId="3" applyFont="1" applyBorder="1"/>
    <xf numFmtId="182" fontId="4" fillId="0" borderId="8" xfId="14" applyNumberFormat="1" applyFont="1" applyFill="1" applyBorder="1"/>
    <xf numFmtId="249" fontId="130" fillId="0" borderId="0" xfId="15" applyNumberFormat="1" applyFont="1" applyFill="1"/>
    <xf numFmtId="41" fontId="186" fillId="0" borderId="0" xfId="303" applyNumberFormat="1" applyFont="1" applyFill="1" applyAlignment="1"/>
    <xf numFmtId="182" fontId="7" fillId="0" borderId="0" xfId="14" applyNumberFormat="1" applyFont="1" applyFill="1"/>
    <xf numFmtId="14" fontId="7" fillId="0" borderId="0" xfId="14" applyNumberFormat="1" applyFont="1" applyFill="1"/>
    <xf numFmtId="14" fontId="186" fillId="0" borderId="0" xfId="15" applyNumberFormat="1" applyFont="1" applyFill="1"/>
    <xf numFmtId="10" fontId="7" fillId="0" borderId="0" xfId="1" applyNumberFormat="1" applyFont="1" applyFill="1" applyAlignment="1"/>
    <xf numFmtId="176" fontId="6" fillId="0" borderId="0" xfId="3" applyFont="1" applyAlignment="1">
      <alignment horizontal="center"/>
    </xf>
    <xf numFmtId="179" fontId="4" fillId="0" borderId="0" xfId="3" applyNumberFormat="1" applyFont="1" applyAlignment="1">
      <alignment horizontal="center"/>
    </xf>
    <xf numFmtId="14" fontId="135" fillId="0" borderId="0" xfId="15" applyNumberFormat="1" applyFont="1" applyFill="1" applyAlignment="1">
      <alignment horizontal="center"/>
    </xf>
    <xf numFmtId="176" fontId="4" fillId="0" borderId="8" xfId="3" applyFont="1" applyBorder="1" applyAlignment="1">
      <alignment horizontal="center"/>
    </xf>
    <xf numFmtId="176" fontId="4" fillId="0" borderId="0" xfId="3" applyFont="1" applyAlignment="1">
      <alignment horizontal="center"/>
    </xf>
    <xf numFmtId="176" fontId="41" fillId="0" borderId="8" xfId="3" applyFont="1" applyBorder="1"/>
    <xf numFmtId="176" fontId="4" fillId="0" borderId="0" xfId="3" applyFont="1" applyBorder="1"/>
    <xf numFmtId="182" fontId="4" fillId="0" borderId="0" xfId="14" applyNumberFormat="1" applyFont="1" applyFill="1" applyBorder="1"/>
    <xf numFmtId="245" fontId="174" fillId="0" borderId="0" xfId="3" applyNumberFormat="1" applyFont="1" applyAlignment="1">
      <alignment vertical="center"/>
    </xf>
    <xf numFmtId="178" fontId="174" fillId="0" borderId="10" xfId="1" applyNumberFormat="1" applyFont="1" applyBorder="1" applyAlignment="1">
      <alignment vertical="center"/>
    </xf>
    <xf numFmtId="182" fontId="4" fillId="0" borderId="0" xfId="14" applyNumberFormat="1"/>
    <xf numFmtId="245" fontId="4" fillId="0" borderId="0" xfId="3" applyNumberFormat="1"/>
    <xf numFmtId="182" fontId="7" fillId="0" borderId="12" xfId="377" applyNumberFormat="1"/>
    <xf numFmtId="176" fontId="7" fillId="0" borderId="12" xfId="377"/>
    <xf numFmtId="177" fontId="4" fillId="0" borderId="0" xfId="14"/>
    <xf numFmtId="176" fontId="131" fillId="0" borderId="0" xfId="3" applyFont="1"/>
    <xf numFmtId="179" fontId="129" fillId="0" borderId="11" xfId="367" applyFont="1">
      <alignment horizontal="right" wrapText="1"/>
    </xf>
    <xf numFmtId="179" fontId="5" fillId="0" borderId="0" xfId="370">
      <alignment wrapText="1"/>
    </xf>
    <xf numFmtId="182" fontId="24" fillId="35" borderId="0" xfId="14" applyNumberFormat="1" applyFont="1" applyFill="1" applyAlignment="1">
      <alignment horizontal="right"/>
    </xf>
    <xf numFmtId="223" fontId="187" fillId="35" borderId="0" xfId="390" applyNumberFormat="1" applyFont="1" applyFill="1" applyAlignment="1">
      <alignment horizontal="center"/>
    </xf>
    <xf numFmtId="49" fontId="36" fillId="0" borderId="0" xfId="295" applyFont="1" applyFill="1" applyAlignment="1">
      <alignment horizontal="left"/>
    </xf>
    <xf numFmtId="223" fontId="15" fillId="0" borderId="0" xfId="391" applyFont="1" applyFill="1" applyAlignment="1">
      <alignment horizontal="right"/>
    </xf>
    <xf numFmtId="250" fontId="7" fillId="0" borderId="12" xfId="377" applyNumberFormat="1"/>
    <xf numFmtId="252" fontId="7" fillId="0" borderId="12" xfId="377" applyNumberFormat="1"/>
    <xf numFmtId="252" fontId="0" fillId="0" borderId="0" xfId="15" applyNumberFormat="1" applyFont="1" applyFill="1"/>
    <xf numFmtId="14" fontId="0" fillId="0" borderId="0" xfId="15" applyNumberFormat="1" applyFont="1" applyFill="1"/>
    <xf numFmtId="14" fontId="4" fillId="0" borderId="0" xfId="14" applyNumberFormat="1" applyFill="1"/>
    <xf numFmtId="182" fontId="4" fillId="0" borderId="0" xfId="14" applyNumberFormat="1" applyFill="1"/>
    <xf numFmtId="179" fontId="128" fillId="0" borderId="0" xfId="370" applyFont="1">
      <alignment wrapText="1"/>
    </xf>
    <xf numFmtId="49" fontId="15" fillId="0" borderId="0" xfId="295" applyFont="1" applyFill="1" applyAlignment="1">
      <alignment horizontal="left"/>
    </xf>
    <xf numFmtId="176" fontId="6" fillId="0" borderId="0" xfId="392"/>
    <xf numFmtId="49" fontId="78" fillId="0" borderId="0" xfId="295" applyFont="1" applyFill="1" applyAlignment="1">
      <alignment horizontal="left"/>
    </xf>
    <xf numFmtId="253" fontId="187" fillId="35" borderId="0" xfId="390" applyNumberFormat="1" applyFont="1" applyFill="1" applyAlignment="1">
      <alignment horizontal="right"/>
    </xf>
    <xf numFmtId="176" fontId="24" fillId="0" borderId="0" xfId="3" applyFont="1"/>
    <xf numFmtId="181" fontId="4" fillId="0" borderId="12" xfId="14" applyNumberFormat="1" applyFill="1" applyBorder="1" applyAlignment="1">
      <alignment vertical="center"/>
    </xf>
    <xf numFmtId="254" fontId="187" fillId="0" borderId="12" xfId="393" applyNumberFormat="1" applyFont="1" applyFill="1" applyBorder="1">
      <alignment vertical="center"/>
    </xf>
    <xf numFmtId="179" fontId="160" fillId="0" borderId="8" xfId="367" applyFont="1" applyBorder="1" applyAlignment="1">
      <alignment horizontal="left" wrapText="1"/>
    </xf>
    <xf numFmtId="179" fontId="160" fillId="0" borderId="0" xfId="367" applyFont="1" applyBorder="1" applyAlignment="1">
      <alignment horizontal="left" wrapText="1"/>
    </xf>
    <xf numFmtId="179" fontId="129" fillId="0" borderId="11" xfId="367" applyNumberFormat="1" applyFont="1" applyAlignment="1">
      <alignment horizontal="center" wrapText="1"/>
    </xf>
    <xf numFmtId="179" fontId="5" fillId="0" borderId="11" xfId="367" applyNumberFormat="1" applyAlignment="1">
      <alignment horizontal="left" wrapText="1"/>
    </xf>
    <xf numFmtId="176" fontId="160" fillId="0" borderId="0" xfId="15" applyFont="1" applyFill="1"/>
    <xf numFmtId="255" fontId="7" fillId="67" borderId="12" xfId="377" applyNumberFormat="1" applyFill="1"/>
    <xf numFmtId="249" fontId="0" fillId="0" borderId="0" xfId="15" applyNumberFormat="1" applyFont="1" applyFill="1"/>
    <xf numFmtId="181" fontId="4" fillId="0" borderId="0" xfId="14" applyNumberFormat="1" applyFill="1"/>
    <xf numFmtId="176" fontId="131" fillId="0" borderId="0" xfId="15" applyFont="1" applyFill="1"/>
    <xf numFmtId="179" fontId="5" fillId="0" borderId="11" xfId="367" applyAlignment="1">
      <alignment horizontal="center" wrapText="1"/>
    </xf>
    <xf numFmtId="251" fontId="24" fillId="35" borderId="0" xfId="15" applyNumberFormat="1" applyFont="1"/>
    <xf numFmtId="179" fontId="32" fillId="0" borderId="0" xfId="16" applyFont="1"/>
    <xf numFmtId="179" fontId="190" fillId="0" borderId="0" xfId="2" applyFont="1"/>
    <xf numFmtId="176" fontId="6" fillId="0" borderId="0" xfId="3" applyFont="1"/>
    <xf numFmtId="176" fontId="191" fillId="0" borderId="0" xfId="3" applyFont="1"/>
    <xf numFmtId="176" fontId="192" fillId="0" borderId="0" xfId="3" applyFont="1"/>
    <xf numFmtId="176" fontId="192" fillId="0" borderId="0" xfId="3" applyFont="1" applyBorder="1" applyAlignment="1">
      <alignment vertical="center"/>
    </xf>
    <xf numFmtId="176" fontId="193" fillId="0" borderId="0" xfId="3" applyFont="1" applyFill="1" applyBorder="1" applyAlignment="1">
      <alignment vertical="center"/>
    </xf>
    <xf numFmtId="176" fontId="192" fillId="0" borderId="11" xfId="3" applyFont="1" applyBorder="1" applyAlignment="1">
      <alignment vertical="center"/>
    </xf>
    <xf numFmtId="176" fontId="193" fillId="0" borderId="11" xfId="3" applyFont="1" applyFill="1" applyBorder="1" applyAlignment="1">
      <alignment horizontal="center" vertical="center"/>
    </xf>
    <xf numFmtId="176" fontId="194" fillId="0" borderId="0" xfId="3" applyFont="1"/>
    <xf numFmtId="176" fontId="195" fillId="0" borderId="0" xfId="3" applyFont="1"/>
    <xf numFmtId="176" fontId="196" fillId="0" borderId="8" xfId="3" applyFont="1" applyBorder="1"/>
    <xf numFmtId="176" fontId="191" fillId="0" borderId="8" xfId="3" applyFont="1" applyBorder="1"/>
    <xf numFmtId="176" fontId="196" fillId="0" borderId="0" xfId="3" applyFont="1"/>
    <xf numFmtId="176" fontId="194" fillId="0" borderId="8" xfId="3" applyFont="1" applyBorder="1"/>
    <xf numFmtId="176" fontId="195" fillId="0" borderId="8" xfId="3" applyFont="1" applyBorder="1"/>
    <xf numFmtId="176" fontId="194" fillId="0" borderId="11" xfId="3" applyFont="1" applyBorder="1"/>
    <xf numFmtId="176" fontId="195" fillId="0" borderId="11" xfId="3" applyFont="1" applyBorder="1"/>
    <xf numFmtId="176" fontId="194" fillId="0" borderId="0" xfId="3" applyFont="1" applyBorder="1"/>
    <xf numFmtId="41" fontId="6" fillId="0" borderId="0" xfId="303" applyNumberFormat="1" applyFont="1" applyAlignment="1"/>
    <xf numFmtId="176" fontId="6" fillId="0" borderId="0" xfId="3" applyFont="1" applyBorder="1"/>
    <xf numFmtId="176" fontId="197" fillId="0" borderId="0" xfId="0" applyFont="1" applyAlignment="1"/>
    <xf numFmtId="176" fontId="198" fillId="0" borderId="0" xfId="0" applyFont="1" applyAlignment="1"/>
    <xf numFmtId="176" fontId="198" fillId="0" borderId="41" xfId="0" applyFont="1" applyBorder="1" applyAlignment="1"/>
    <xf numFmtId="176" fontId="198" fillId="0" borderId="41" xfId="0" applyFont="1" applyBorder="1" applyAlignment="1">
      <alignment horizontal="center"/>
    </xf>
    <xf numFmtId="178" fontId="198" fillId="0" borderId="0" xfId="1" applyNumberFormat="1" applyFont="1" applyAlignment="1"/>
    <xf numFmtId="178" fontId="198" fillId="0" borderId="41" xfId="1" applyNumberFormat="1" applyFont="1" applyBorder="1" applyAlignment="1"/>
    <xf numFmtId="176" fontId="193" fillId="0" borderId="0" xfId="3" applyFont="1" applyFill="1" applyBorder="1" applyAlignment="1">
      <alignment horizontal="center" vertical="center"/>
    </xf>
    <xf numFmtId="176" fontId="193" fillId="0" borderId="68" xfId="3" applyFont="1" applyBorder="1" applyAlignment="1">
      <alignment horizontal="center" vertical="center"/>
    </xf>
    <xf numFmtId="176" fontId="193" fillId="0" borderId="0" xfId="3" applyFont="1" applyBorder="1" applyAlignment="1">
      <alignment horizontal="center" vertical="center"/>
    </xf>
    <xf numFmtId="176" fontId="193" fillId="0" borderId="72" xfId="3" applyFont="1" applyBorder="1" applyAlignment="1">
      <alignment horizontal="center" vertical="center"/>
    </xf>
    <xf numFmtId="176" fontId="193" fillId="0" borderId="73" xfId="3" applyFont="1" applyBorder="1" applyAlignment="1">
      <alignment horizontal="center" vertical="center"/>
    </xf>
    <xf numFmtId="176" fontId="193" fillId="0" borderId="74" xfId="3" applyFont="1" applyBorder="1" applyAlignment="1">
      <alignment horizontal="center" vertical="center"/>
    </xf>
    <xf numFmtId="176" fontId="193" fillId="0" borderId="69" xfId="3" applyFont="1" applyBorder="1" applyAlignment="1">
      <alignment horizontal="center" vertical="center"/>
    </xf>
    <xf numFmtId="176" fontId="193" fillId="0" borderId="11" xfId="3" applyFont="1" applyBorder="1" applyAlignment="1">
      <alignment horizontal="center" vertical="center"/>
    </xf>
    <xf numFmtId="176" fontId="193" fillId="0" borderId="75" xfId="3" applyFont="1" applyBorder="1" applyAlignment="1">
      <alignment horizontal="center" vertical="center"/>
    </xf>
    <xf numFmtId="176" fontId="193" fillId="0" borderId="76" xfId="3" applyFont="1" applyBorder="1" applyAlignment="1">
      <alignment horizontal="center" vertical="center"/>
    </xf>
    <xf numFmtId="176" fontId="6" fillId="0" borderId="70" xfId="3" applyFont="1" applyBorder="1"/>
    <xf numFmtId="176" fontId="6" fillId="0" borderId="77" xfId="3" applyFont="1" applyBorder="1"/>
    <xf numFmtId="176" fontId="6" fillId="0" borderId="78" xfId="3" applyFont="1" applyBorder="1"/>
    <xf numFmtId="176" fontId="6" fillId="0" borderId="0" xfId="3" applyFont="1" applyFill="1"/>
    <xf numFmtId="176" fontId="194" fillId="0" borderId="70" xfId="3" applyFont="1" applyBorder="1"/>
    <xf numFmtId="176" fontId="194" fillId="0" borderId="77" xfId="3" applyFont="1" applyBorder="1"/>
    <xf numFmtId="176" fontId="194" fillId="0" borderId="78" xfId="3" applyFont="1" applyBorder="1"/>
    <xf numFmtId="176" fontId="191" fillId="0" borderId="0" xfId="3" applyFont="1" applyFill="1"/>
    <xf numFmtId="176" fontId="6" fillId="71" borderId="0" xfId="3" applyFont="1" applyFill="1"/>
    <xf numFmtId="176" fontId="6" fillId="71" borderId="70" xfId="3" applyFont="1" applyFill="1" applyBorder="1"/>
    <xf numFmtId="176" fontId="6" fillId="71" borderId="77" xfId="3" applyFont="1" applyFill="1" applyBorder="1"/>
    <xf numFmtId="176" fontId="6" fillId="71" borderId="0" xfId="3" applyFont="1" applyFill="1" applyBorder="1"/>
    <xf numFmtId="176" fontId="6" fillId="71" borderId="78" xfId="3" applyFont="1" applyFill="1" applyBorder="1"/>
    <xf numFmtId="176" fontId="194" fillId="0" borderId="0" xfId="3" applyFont="1" applyFill="1"/>
    <xf numFmtId="176" fontId="194" fillId="71" borderId="0" xfId="3" applyFont="1" applyFill="1"/>
    <xf numFmtId="176" fontId="194" fillId="71" borderId="70" xfId="3" applyFont="1" applyFill="1" applyBorder="1"/>
    <xf numFmtId="176" fontId="194" fillId="71" borderId="77" xfId="3" applyFont="1" applyFill="1" applyBorder="1"/>
    <xf numFmtId="176" fontId="194" fillId="71" borderId="0" xfId="3" applyFont="1" applyFill="1" applyBorder="1"/>
    <xf numFmtId="176" fontId="194" fillId="71" borderId="78" xfId="3" applyFont="1" applyFill="1" applyBorder="1"/>
    <xf numFmtId="176" fontId="196" fillId="0" borderId="0" xfId="3" applyFont="1" applyFill="1"/>
    <xf numFmtId="176" fontId="194" fillId="0" borderId="8" xfId="3" applyFont="1" applyFill="1" applyBorder="1"/>
    <xf numFmtId="176" fontId="195" fillId="0" borderId="8" xfId="3" applyFont="1" applyFill="1" applyBorder="1"/>
    <xf numFmtId="176" fontId="199" fillId="0" borderId="0" xfId="3" applyFont="1"/>
    <xf numFmtId="176" fontId="199" fillId="71" borderId="0" xfId="3" applyFont="1" applyFill="1"/>
    <xf numFmtId="176" fontId="196" fillId="0" borderId="77" xfId="3" applyFont="1" applyBorder="1"/>
    <xf numFmtId="176" fontId="196" fillId="0" borderId="0" xfId="3" applyFont="1" applyBorder="1"/>
    <xf numFmtId="176" fontId="196" fillId="0" borderId="78" xfId="3" applyFont="1" applyBorder="1"/>
    <xf numFmtId="176" fontId="194" fillId="0" borderId="81" xfId="3" applyFont="1" applyBorder="1"/>
    <xf numFmtId="176" fontId="194" fillId="0" borderId="82" xfId="3" applyFont="1" applyBorder="1"/>
    <xf numFmtId="176" fontId="194" fillId="0" borderId="83" xfId="3" applyFont="1" applyBorder="1"/>
    <xf numFmtId="176" fontId="194" fillId="0" borderId="84" xfId="3" applyFont="1" applyBorder="1"/>
    <xf numFmtId="176" fontId="194" fillId="0" borderId="11" xfId="3" applyFont="1" applyFill="1" applyBorder="1"/>
    <xf numFmtId="176" fontId="195" fillId="0" borderId="11" xfId="3" applyFont="1" applyFill="1" applyBorder="1"/>
    <xf numFmtId="176" fontId="6" fillId="0" borderId="33" xfId="3" applyFont="1" applyBorder="1"/>
    <xf numFmtId="176" fontId="6" fillId="0" borderId="10" xfId="3" applyFont="1" applyBorder="1"/>
    <xf numFmtId="176" fontId="6" fillId="0" borderId="34" xfId="3" applyFont="1" applyBorder="1"/>
    <xf numFmtId="176" fontId="6" fillId="0" borderId="35" xfId="3" applyFont="1" applyBorder="1"/>
    <xf numFmtId="176" fontId="6" fillId="0" borderId="36" xfId="3" applyFont="1" applyBorder="1"/>
    <xf numFmtId="176" fontId="6" fillId="0" borderId="37" xfId="3" applyFont="1" applyBorder="1"/>
    <xf numFmtId="176" fontId="6" fillId="0" borderId="8" xfId="3" applyFont="1" applyBorder="1"/>
    <xf numFmtId="176" fontId="6" fillId="0" borderId="38" xfId="3" applyFont="1" applyBorder="1"/>
    <xf numFmtId="176" fontId="6" fillId="0" borderId="71" xfId="3" applyFont="1" applyBorder="1"/>
    <xf numFmtId="176" fontId="6" fillId="0" borderId="79" xfId="3" applyFont="1" applyBorder="1"/>
    <xf numFmtId="176" fontId="6" fillId="0" borderId="80" xfId="3" applyFont="1" applyBorder="1"/>
    <xf numFmtId="176" fontId="194" fillId="71" borderId="8" xfId="3" applyFont="1" applyFill="1" applyBorder="1"/>
    <xf numFmtId="176" fontId="194" fillId="71" borderId="81" xfId="3" applyFont="1" applyFill="1" applyBorder="1"/>
    <xf numFmtId="176" fontId="194" fillId="71" borderId="82" xfId="3" applyFont="1" applyFill="1" applyBorder="1"/>
    <xf numFmtId="176" fontId="194" fillId="71" borderId="83" xfId="3" applyFont="1" applyFill="1" applyBorder="1"/>
    <xf numFmtId="176" fontId="194" fillId="71" borderId="84" xfId="3" applyFont="1" applyFill="1" applyBorder="1"/>
    <xf numFmtId="176" fontId="195" fillId="0" borderId="0" xfId="3" applyFont="1" applyBorder="1"/>
    <xf numFmtId="176" fontId="191" fillId="0" borderId="0" xfId="3" applyFont="1" applyBorder="1"/>
    <xf numFmtId="176" fontId="173" fillId="0" borderId="0" xfId="3" applyFont="1" applyAlignment="1">
      <alignment vertical="center"/>
    </xf>
    <xf numFmtId="176" fontId="173" fillId="0" borderId="0" xfId="3" applyFont="1" applyAlignment="1">
      <alignment horizontal="right" vertical="center"/>
    </xf>
    <xf numFmtId="176" fontId="173" fillId="0" borderId="90" xfId="3" applyFont="1" applyBorder="1" applyAlignment="1">
      <alignment vertical="center"/>
    </xf>
    <xf numFmtId="176" fontId="171" fillId="0" borderId="90" xfId="3" applyFont="1" applyBorder="1" applyAlignment="1">
      <alignment vertical="center"/>
    </xf>
    <xf numFmtId="176" fontId="173" fillId="0" borderId="90" xfId="3" applyFont="1" applyBorder="1" applyAlignment="1">
      <alignment horizontal="right" vertical="center"/>
    </xf>
    <xf numFmtId="41" fontId="200" fillId="0" borderId="91" xfId="395" applyFont="1" applyBorder="1" applyAlignment="1">
      <alignment horizontal="left"/>
    </xf>
    <xf numFmtId="179" fontId="200" fillId="0" borderId="91" xfId="3" applyNumberFormat="1" applyFont="1" applyBorder="1" applyAlignment="1">
      <alignment horizontal="left"/>
    </xf>
    <xf numFmtId="179" fontId="201" fillId="59" borderId="91" xfId="3" applyNumberFormat="1" applyFont="1" applyFill="1" applyBorder="1" applyAlignment="1">
      <alignment horizontal="center" vertical="center"/>
    </xf>
    <xf numFmtId="243" fontId="124" fillId="0" borderId="91" xfId="3" applyNumberFormat="1" applyFont="1" applyBorder="1" applyAlignment="1">
      <alignment horizontal="right" vertical="center"/>
    </xf>
    <xf numFmtId="179" fontId="124" fillId="0" borderId="91" xfId="3" applyNumberFormat="1" applyFont="1" applyBorder="1" applyAlignment="1">
      <alignment horizontal="left" vertical="center"/>
    </xf>
    <xf numFmtId="243" fontId="124" fillId="71" borderId="91" xfId="3" applyNumberFormat="1" applyFont="1" applyFill="1" applyBorder="1" applyAlignment="1">
      <alignment horizontal="right" vertical="center"/>
    </xf>
    <xf numFmtId="179" fontId="124" fillId="71" borderId="91" xfId="3" applyNumberFormat="1" applyFont="1" applyFill="1" applyBorder="1" applyAlignment="1">
      <alignment horizontal="left" vertical="center"/>
    </xf>
    <xf numFmtId="179" fontId="202" fillId="59" borderId="91" xfId="3" applyNumberFormat="1" applyFont="1" applyFill="1" applyBorder="1" applyAlignment="1">
      <alignment horizontal="center" vertical="center"/>
    </xf>
    <xf numFmtId="179" fontId="202" fillId="59" borderId="91" xfId="3" applyNumberFormat="1" applyFont="1" applyFill="1" applyBorder="1" applyAlignment="1">
      <alignment horizontal="right" vertical="center"/>
    </xf>
    <xf numFmtId="176" fontId="171" fillId="0" borderId="0" xfId="3" quotePrefix="1" applyFont="1" applyAlignment="1">
      <alignment vertical="center"/>
    </xf>
    <xf numFmtId="41" fontId="124" fillId="71" borderId="91" xfId="395" applyFont="1" applyFill="1" applyBorder="1" applyAlignment="1">
      <alignment horizontal="left" vertical="center"/>
    </xf>
    <xf numFmtId="243" fontId="124" fillId="0" borderId="91" xfId="395" applyNumberFormat="1" applyFont="1" applyBorder="1" applyAlignment="1">
      <alignment horizontal="right" vertical="center"/>
    </xf>
    <xf numFmtId="243" fontId="124" fillId="71" borderId="91" xfId="395" applyNumberFormat="1" applyFont="1" applyFill="1" applyBorder="1" applyAlignment="1">
      <alignment horizontal="right" vertical="center"/>
    </xf>
    <xf numFmtId="178" fontId="173" fillId="0" borderId="9" xfId="396" applyNumberFormat="1" applyFont="1" applyBorder="1" applyAlignment="1">
      <alignment vertical="center"/>
    </xf>
    <xf numFmtId="176" fontId="173" fillId="0" borderId="9" xfId="3" applyFont="1" applyBorder="1" applyAlignment="1">
      <alignment horizontal="right" vertical="center"/>
    </xf>
    <xf numFmtId="176" fontId="173" fillId="0" borderId="9" xfId="3" applyFont="1" applyBorder="1" applyAlignment="1">
      <alignment vertical="center"/>
    </xf>
    <xf numFmtId="176" fontId="173" fillId="0" borderId="8" xfId="3" applyFont="1" applyBorder="1" applyAlignment="1">
      <alignment vertical="center"/>
    </xf>
    <xf numFmtId="176" fontId="173" fillId="0" borderId="0" xfId="3" applyFont="1" applyBorder="1" applyAlignment="1">
      <alignment vertical="center"/>
    </xf>
    <xf numFmtId="176" fontId="171" fillId="0" borderId="0" xfId="3" applyFont="1" applyAlignment="1">
      <alignment vertical="center"/>
    </xf>
    <xf numFmtId="176" fontId="173" fillId="0" borderId="8" xfId="3" applyFont="1" applyBorder="1" applyAlignment="1">
      <alignment horizontal="right" vertical="center"/>
    </xf>
    <xf numFmtId="251" fontId="173" fillId="0" borderId="11" xfId="3" applyNumberFormat="1" applyFont="1" applyBorder="1" applyAlignment="1">
      <alignment vertical="center"/>
    </xf>
    <xf numFmtId="176" fontId="173" fillId="0" borderId="11" xfId="3" applyFont="1" applyBorder="1" applyAlignment="1">
      <alignment vertical="center"/>
    </xf>
    <xf numFmtId="176" fontId="173" fillId="0" borderId="11" xfId="3" applyFont="1" applyBorder="1" applyAlignment="1">
      <alignment horizontal="right" vertical="center"/>
    </xf>
    <xf numFmtId="251" fontId="173" fillId="0" borderId="0" xfId="3" applyNumberFormat="1" applyFont="1" applyAlignment="1">
      <alignment vertical="center"/>
    </xf>
    <xf numFmtId="178" fontId="173" fillId="0" borderId="11" xfId="396" applyNumberFormat="1" applyFont="1" applyBorder="1" applyAlignment="1">
      <alignment vertical="center"/>
    </xf>
    <xf numFmtId="178" fontId="173" fillId="0" borderId="0" xfId="396" applyNumberFormat="1" applyFont="1" applyAlignment="1">
      <alignment vertical="center"/>
    </xf>
    <xf numFmtId="176" fontId="173" fillId="0" borderId="11" xfId="3" applyFont="1" applyBorder="1" applyAlignment="1">
      <alignment horizontal="center" vertical="center"/>
    </xf>
    <xf numFmtId="176" fontId="173" fillId="0" borderId="0" xfId="3" applyFont="1" applyAlignment="1">
      <alignment horizontal="center" vertical="center"/>
    </xf>
    <xf numFmtId="176" fontId="173" fillId="0" borderId="0" xfId="3" applyFont="1" applyBorder="1" applyAlignment="1">
      <alignment horizontal="right" vertical="center"/>
    </xf>
    <xf numFmtId="176" fontId="173" fillId="0" borderId="10" xfId="3" applyFont="1" applyBorder="1" applyAlignment="1">
      <alignment vertical="center"/>
    </xf>
    <xf numFmtId="176" fontId="173" fillId="0" borderId="10" xfId="3" applyFont="1" applyBorder="1" applyAlignment="1">
      <alignment horizontal="right" vertical="center"/>
    </xf>
    <xf numFmtId="176" fontId="171" fillId="0" borderId="8" xfId="3" applyFont="1" applyBorder="1" applyAlignment="1">
      <alignment vertical="center"/>
    </xf>
    <xf numFmtId="176" fontId="171" fillId="0" borderId="8" xfId="3" applyFont="1" applyBorder="1" applyAlignment="1">
      <alignment horizontal="right" vertical="center"/>
    </xf>
    <xf numFmtId="176" fontId="171" fillId="0" borderId="54" xfId="3" applyFont="1" applyBorder="1" applyAlignment="1">
      <alignment horizontal="right" vertical="center"/>
    </xf>
    <xf numFmtId="176" fontId="171" fillId="0" borderId="9" xfId="3" applyFont="1" applyBorder="1" applyAlignment="1">
      <alignment vertical="center"/>
    </xf>
    <xf numFmtId="176" fontId="171" fillId="0" borderId="53" xfId="3" applyFont="1" applyBorder="1" applyAlignment="1">
      <alignment vertical="center"/>
    </xf>
    <xf numFmtId="176" fontId="171" fillId="71" borderId="12" xfId="3" applyFont="1" applyFill="1" applyBorder="1" applyAlignment="1">
      <alignment vertical="center"/>
    </xf>
    <xf numFmtId="176" fontId="171" fillId="71" borderId="9" xfId="3" applyFont="1" applyFill="1" applyBorder="1" applyAlignment="1">
      <alignment vertical="center"/>
    </xf>
    <xf numFmtId="176" fontId="171" fillId="71" borderId="0" xfId="3" applyFont="1" applyFill="1" applyAlignment="1">
      <alignment vertical="center"/>
    </xf>
    <xf numFmtId="176" fontId="203" fillId="0" borderId="11" xfId="3" applyFont="1" applyBorder="1" applyAlignment="1">
      <alignment vertical="center"/>
    </xf>
    <xf numFmtId="176" fontId="178" fillId="0" borderId="11" xfId="3" applyFont="1" applyBorder="1" applyAlignment="1">
      <alignment vertical="center"/>
    </xf>
    <xf numFmtId="176" fontId="171" fillId="71" borderId="40" xfId="3" applyFont="1" applyFill="1" applyBorder="1" applyAlignment="1">
      <alignment vertical="center"/>
    </xf>
    <xf numFmtId="176" fontId="171" fillId="71" borderId="10" xfId="3" applyFont="1" applyFill="1" applyBorder="1" applyAlignment="1">
      <alignment vertical="center"/>
    </xf>
    <xf numFmtId="176" fontId="173" fillId="0" borderId="38" xfId="3" applyFont="1" applyBorder="1" applyAlignment="1">
      <alignment vertical="center"/>
    </xf>
    <xf numFmtId="176" fontId="173" fillId="0" borderId="37" xfId="3" applyFont="1" applyBorder="1" applyAlignment="1">
      <alignment vertical="center"/>
    </xf>
    <xf numFmtId="176" fontId="173" fillId="0" borderId="34" xfId="3" applyFont="1" applyBorder="1" applyAlignment="1">
      <alignment vertical="center"/>
    </xf>
    <xf numFmtId="176" fontId="173" fillId="0" borderId="33" xfId="3" applyFont="1" applyBorder="1" applyAlignment="1">
      <alignment vertical="center"/>
    </xf>
    <xf numFmtId="179" fontId="204" fillId="0" borderId="0" xfId="2" applyFont="1" applyAlignment="1">
      <alignment vertical="center"/>
    </xf>
    <xf numFmtId="256" fontId="15" fillId="0" borderId="38" xfId="287" applyNumberFormat="1" applyFont="1" applyFill="1" applyBorder="1" applyAlignment="1">
      <alignment vertical="center"/>
    </xf>
    <xf numFmtId="256" fontId="15" fillId="0" borderId="36" xfId="287" applyNumberFormat="1" applyFont="1" applyFill="1" applyBorder="1" applyAlignment="1">
      <alignment vertical="center"/>
    </xf>
    <xf numFmtId="256" fontId="15" fillId="0" borderId="54" xfId="287" applyNumberFormat="1" applyFont="1" applyFill="1" applyBorder="1" applyAlignment="1">
      <alignment vertical="center"/>
    </xf>
    <xf numFmtId="256" fontId="15" fillId="0" borderId="9" xfId="287" applyNumberFormat="1" applyFont="1" applyFill="1" applyBorder="1" applyAlignment="1">
      <alignment vertical="center"/>
    </xf>
    <xf numFmtId="256" fontId="15" fillId="0" borderId="53" xfId="287" applyNumberFormat="1" applyFont="1" applyFill="1" applyBorder="1" applyAlignment="1">
      <alignment vertical="center"/>
    </xf>
    <xf numFmtId="256" fontId="15" fillId="0" borderId="0" xfId="287" applyNumberFormat="1" applyFont="1" applyFill="1" applyAlignment="1">
      <alignment vertical="center"/>
    </xf>
    <xf numFmtId="256" fontId="15" fillId="0" borderId="0" xfId="287" applyNumberFormat="1" applyFont="1" applyFill="1" applyBorder="1" applyAlignment="1">
      <alignment vertical="center"/>
    </xf>
    <xf numFmtId="256" fontId="15" fillId="0" borderId="35" xfId="287" applyNumberFormat="1" applyFont="1" applyFill="1" applyBorder="1" applyAlignment="1">
      <alignment vertical="center"/>
    </xf>
    <xf numFmtId="256" fontId="15" fillId="0" borderId="34" xfId="287" applyNumberFormat="1" applyFont="1" applyFill="1" applyBorder="1" applyAlignment="1">
      <alignment vertical="center"/>
    </xf>
    <xf numFmtId="256" fontId="15" fillId="0" borderId="10" xfId="287" applyNumberFormat="1" applyFont="1" applyFill="1" applyBorder="1" applyAlignment="1">
      <alignment vertical="center"/>
    </xf>
    <xf numFmtId="256" fontId="15" fillId="0" borderId="33" xfId="287" applyNumberFormat="1" applyFont="1" applyFill="1" applyBorder="1" applyAlignment="1">
      <alignment vertical="center"/>
    </xf>
    <xf numFmtId="176" fontId="4" fillId="0" borderId="8" xfId="3" applyBorder="1" applyAlignment="1">
      <alignment horizontal="center"/>
    </xf>
    <xf numFmtId="176" fontId="4" fillId="0" borderId="38" xfId="3" applyBorder="1" applyAlignment="1">
      <alignment horizontal="center"/>
    </xf>
    <xf numFmtId="176" fontId="4" fillId="0" borderId="37" xfId="3" applyBorder="1" applyAlignment="1">
      <alignment horizontal="center"/>
    </xf>
    <xf numFmtId="179" fontId="3" fillId="0" borderId="0" xfId="397"/>
    <xf numFmtId="176" fontId="205" fillId="0" borderId="11" xfId="3" applyFont="1" applyBorder="1" applyAlignment="1">
      <alignment horizontal="right" vertical="center"/>
    </xf>
    <xf numFmtId="176" fontId="205" fillId="0" borderId="11" xfId="3" applyFont="1" applyBorder="1" applyAlignment="1">
      <alignment vertical="center"/>
    </xf>
    <xf numFmtId="176" fontId="174" fillId="0" borderId="0" xfId="3" applyFont="1" applyAlignment="1">
      <alignment horizontal="right" vertical="center"/>
    </xf>
    <xf numFmtId="176" fontId="174" fillId="0" borderId="8" xfId="3" applyFont="1" applyBorder="1" applyAlignment="1">
      <alignment horizontal="right" vertical="center"/>
    </xf>
    <xf numFmtId="251" fontId="174" fillId="0" borderId="8" xfId="3" applyNumberFormat="1" applyFont="1" applyBorder="1" applyAlignment="1">
      <alignment vertical="center"/>
    </xf>
    <xf numFmtId="176" fontId="172" fillId="71" borderId="10" xfId="3" applyFont="1" applyFill="1" applyBorder="1" applyAlignment="1">
      <alignment horizontal="right" vertical="center"/>
    </xf>
    <xf numFmtId="251" fontId="172" fillId="71" borderId="10" xfId="3" applyNumberFormat="1" applyFont="1" applyFill="1" applyBorder="1" applyAlignment="1">
      <alignment vertical="center"/>
    </xf>
    <xf numFmtId="176" fontId="172" fillId="71" borderId="40" xfId="3" applyFont="1" applyFill="1" applyBorder="1" applyAlignment="1">
      <alignment horizontal="right" vertical="center"/>
    </xf>
    <xf numFmtId="176" fontId="172" fillId="71" borderId="40" xfId="3" applyFont="1" applyFill="1" applyBorder="1" applyAlignment="1">
      <alignment vertical="center"/>
    </xf>
    <xf numFmtId="251" fontId="172" fillId="71" borderId="0" xfId="3" applyNumberFormat="1" applyFont="1" applyFill="1" applyAlignment="1">
      <alignment horizontal="right" vertical="center"/>
    </xf>
    <xf numFmtId="251" fontId="172" fillId="71" borderId="0" xfId="3" applyNumberFormat="1" applyFont="1" applyFill="1" applyAlignment="1">
      <alignment vertical="center"/>
    </xf>
    <xf numFmtId="176" fontId="174" fillId="0" borderId="0" xfId="3" applyFont="1" applyBorder="1" applyAlignment="1">
      <alignment horizontal="right" vertical="center"/>
    </xf>
    <xf numFmtId="176" fontId="172" fillId="71" borderId="9" xfId="3" applyFont="1" applyFill="1" applyBorder="1" applyAlignment="1">
      <alignment horizontal="right" vertical="center"/>
    </xf>
    <xf numFmtId="176" fontId="172" fillId="71" borderId="12" xfId="3" applyFont="1" applyFill="1" applyBorder="1" applyAlignment="1">
      <alignment horizontal="right" vertical="center"/>
    </xf>
    <xf numFmtId="176" fontId="17" fillId="0" borderId="11" xfId="3" applyFont="1" applyBorder="1" applyAlignment="1">
      <alignment horizontal="center" vertical="center"/>
    </xf>
    <xf numFmtId="176" fontId="4" fillId="0" borderId="0" xfId="3" applyAlignment="1">
      <alignment horizontal="center" vertical="center"/>
    </xf>
    <xf numFmtId="176" fontId="4" fillId="0" borderId="48" xfId="3" applyBorder="1"/>
    <xf numFmtId="178" fontId="4" fillId="0" borderId="48" xfId="1" applyNumberFormat="1" applyFont="1" applyBorder="1" applyAlignment="1"/>
    <xf numFmtId="9" fontId="173" fillId="0" borderId="0" xfId="1" applyFont="1" applyAlignment="1">
      <alignment vertical="center"/>
    </xf>
    <xf numFmtId="176" fontId="178" fillId="0" borderId="11" xfId="3" applyFont="1" applyBorder="1" applyAlignment="1">
      <alignment horizontal="center" vertical="center"/>
    </xf>
    <xf numFmtId="176" fontId="6" fillId="0" borderId="0" xfId="3" applyFont="1" applyAlignment="1">
      <alignment vertical="center"/>
    </xf>
    <xf numFmtId="176" fontId="173" fillId="0" borderId="0" xfId="3" applyFont="1" applyAlignment="1">
      <alignment horizontal="left" vertical="center"/>
    </xf>
    <xf numFmtId="245" fontId="173" fillId="0" borderId="0" xfId="3" applyNumberFormat="1" applyFont="1" applyAlignment="1">
      <alignment vertical="center"/>
    </xf>
    <xf numFmtId="176" fontId="173" fillId="0" borderId="9" xfId="3" applyFont="1" applyBorder="1" applyAlignment="1">
      <alignment horizontal="left" vertical="center"/>
    </xf>
    <xf numFmtId="176" fontId="173" fillId="0" borderId="8" xfId="3" applyFont="1" applyBorder="1" applyAlignment="1">
      <alignment horizontal="left" vertical="center"/>
    </xf>
    <xf numFmtId="176" fontId="173" fillId="0" borderId="9" xfId="3" applyFont="1" applyBorder="1" applyAlignment="1">
      <alignment horizontal="center" vertical="center"/>
    </xf>
    <xf numFmtId="176" fontId="173" fillId="74" borderId="0" xfId="3" applyFont="1" applyFill="1" applyAlignment="1">
      <alignment vertical="center"/>
    </xf>
    <xf numFmtId="247" fontId="15" fillId="0" borderId="11" xfId="155" applyNumberFormat="1" applyFont="1" applyBorder="1" applyAlignment="1">
      <alignment vertical="center"/>
    </xf>
    <xf numFmtId="178" fontId="111" fillId="0" borderId="0" xfId="1" applyNumberFormat="1" applyFont="1" applyBorder="1" applyAlignment="1">
      <alignment horizontal="right" vertical="center" wrapText="1"/>
    </xf>
    <xf numFmtId="251" fontId="18" fillId="0" borderId="0" xfId="3" applyNumberFormat="1" applyFont="1"/>
    <xf numFmtId="251" fontId="18" fillId="0" borderId="8" xfId="3" applyNumberFormat="1" applyFont="1" applyBorder="1"/>
    <xf numFmtId="257" fontId="18" fillId="0" borderId="0" xfId="303" applyNumberFormat="1" applyFont="1" applyAlignment="1"/>
    <xf numFmtId="257" fontId="18" fillId="0" borderId="0" xfId="3" applyNumberFormat="1" applyFont="1"/>
    <xf numFmtId="257" fontId="18" fillId="0" borderId="12" xfId="3" applyNumberFormat="1" applyFont="1" applyBorder="1"/>
    <xf numFmtId="176" fontId="130" fillId="0" borderId="9" xfId="15" applyFont="1" applyFill="1" applyBorder="1"/>
    <xf numFmtId="249" fontId="7" fillId="0" borderId="9" xfId="15" applyNumberFormat="1" applyFont="1" applyFill="1" applyBorder="1"/>
    <xf numFmtId="252" fontId="7" fillId="0" borderId="9" xfId="15" applyNumberFormat="1" applyFont="1" applyFill="1" applyBorder="1"/>
    <xf numFmtId="181" fontId="7" fillId="0" borderId="9" xfId="14" applyNumberFormat="1" applyFont="1" applyFill="1" applyBorder="1"/>
    <xf numFmtId="258" fontId="7" fillId="0" borderId="9" xfId="389" applyNumberFormat="1" applyFont="1" applyFill="1" applyBorder="1"/>
    <xf numFmtId="176" fontId="7" fillId="0" borderId="0" xfId="3" applyFont="1"/>
    <xf numFmtId="176" fontId="131" fillId="0" borderId="0" xfId="15" applyFont="1" applyFill="1" applyBorder="1"/>
    <xf numFmtId="249" fontId="0" fillId="0" borderId="0" xfId="15" applyNumberFormat="1" applyFont="1" applyFill="1" applyBorder="1"/>
    <xf numFmtId="252" fontId="0" fillId="0" borderId="0" xfId="15" applyNumberFormat="1" applyFont="1" applyFill="1" applyBorder="1"/>
    <xf numFmtId="181" fontId="4" fillId="0" borderId="0" xfId="14" applyNumberFormat="1" applyFill="1" applyBorder="1"/>
    <xf numFmtId="10" fontId="4" fillId="0" borderId="0" xfId="1" applyNumberFormat="1" applyFont="1" applyBorder="1" applyAlignment="1"/>
    <xf numFmtId="180" fontId="131" fillId="0" borderId="33" xfId="3" applyNumberFormat="1" applyFont="1" applyBorder="1"/>
    <xf numFmtId="180" fontId="131" fillId="0" borderId="35" xfId="3" applyNumberFormat="1" applyFont="1" applyBorder="1"/>
    <xf numFmtId="233" fontId="131" fillId="0" borderId="0" xfId="303" applyNumberFormat="1" applyFont="1" applyBorder="1" applyAlignment="1"/>
    <xf numFmtId="233" fontId="131" fillId="0" borderId="36" xfId="303" applyNumberFormat="1" applyFont="1" applyBorder="1" applyAlignment="1"/>
    <xf numFmtId="178" fontId="131" fillId="0" borderId="0" xfId="1" applyNumberFormat="1" applyFont="1" applyBorder="1" applyAlignment="1"/>
    <xf numFmtId="180" fontId="160" fillId="0" borderId="37" xfId="3" applyNumberFormat="1" applyFont="1" applyBorder="1"/>
    <xf numFmtId="233" fontId="131" fillId="0" borderId="8" xfId="303" applyNumberFormat="1" applyFont="1" applyBorder="1" applyAlignment="1"/>
    <xf numFmtId="180" fontId="131" fillId="0" borderId="38" xfId="3" applyNumberFormat="1" applyFont="1" applyBorder="1"/>
    <xf numFmtId="180" fontId="131" fillId="0" borderId="34" xfId="3" applyNumberFormat="1" applyFont="1" applyBorder="1"/>
    <xf numFmtId="233" fontId="131" fillId="0" borderId="38" xfId="303" applyNumberFormat="1" applyFont="1" applyBorder="1" applyAlignment="1"/>
    <xf numFmtId="233" fontId="4" fillId="0" borderId="37" xfId="303" applyNumberFormat="1" applyFont="1" applyBorder="1" applyAlignment="1"/>
    <xf numFmtId="233" fontId="4" fillId="0" borderId="35" xfId="303" applyNumberFormat="1" applyFont="1" applyBorder="1" applyAlignment="1"/>
    <xf numFmtId="214" fontId="4" fillId="0" borderId="37" xfId="389" applyBorder="1"/>
    <xf numFmtId="178" fontId="18" fillId="74" borderId="0" xfId="1" applyNumberFormat="1" applyFont="1" applyFill="1" applyAlignment="1">
      <alignment vertical="center"/>
    </xf>
    <xf numFmtId="178" fontId="18" fillId="74" borderId="8" xfId="1" applyNumberFormat="1" applyFont="1" applyFill="1" applyBorder="1" applyAlignment="1">
      <alignment vertical="center"/>
    </xf>
    <xf numFmtId="178" fontId="153" fillId="0" borderId="0" xfId="1" applyNumberFormat="1" applyFont="1" applyBorder="1" applyAlignment="1">
      <alignment horizontal="right" vertical="center" wrapText="1"/>
    </xf>
    <xf numFmtId="176" fontId="175" fillId="0" borderId="0" xfId="3" applyFont="1" applyBorder="1" applyAlignment="1">
      <alignment horizontal="left" vertical="center"/>
    </xf>
    <xf numFmtId="176" fontId="175" fillId="0" borderId="35" xfId="3" applyFont="1" applyBorder="1" applyAlignment="1">
      <alignment horizontal="left" vertical="center"/>
    </xf>
    <xf numFmtId="176" fontId="175" fillId="0" borderId="92" xfId="3" applyFont="1" applyBorder="1" applyAlignment="1">
      <alignment horizontal="center" vertical="center"/>
    </xf>
    <xf numFmtId="176" fontId="172" fillId="71" borderId="35" xfId="3" applyFont="1" applyFill="1" applyBorder="1" applyAlignment="1">
      <alignment vertical="center"/>
    </xf>
    <xf numFmtId="176" fontId="174" fillId="0" borderId="35" xfId="3" applyFont="1" applyBorder="1" applyAlignment="1">
      <alignment vertical="center"/>
    </xf>
    <xf numFmtId="178" fontId="177" fillId="0" borderId="35" xfId="1" applyNumberFormat="1" applyFont="1" applyBorder="1" applyAlignment="1">
      <alignment vertical="center"/>
    </xf>
    <xf numFmtId="176" fontId="174" fillId="0" borderId="37" xfId="3" applyFont="1" applyBorder="1" applyAlignment="1">
      <alignment vertical="center"/>
    </xf>
    <xf numFmtId="178" fontId="172" fillId="71" borderId="35" xfId="1" applyNumberFormat="1" applyFont="1" applyFill="1" applyBorder="1" applyAlignment="1">
      <alignment vertical="center"/>
    </xf>
    <xf numFmtId="178" fontId="177" fillId="0" borderId="92" xfId="1" applyNumberFormat="1" applyFont="1" applyBorder="1" applyAlignment="1">
      <alignment vertical="center"/>
    </xf>
    <xf numFmtId="176" fontId="174" fillId="71" borderId="93" xfId="3" applyFont="1" applyFill="1" applyBorder="1" applyAlignment="1">
      <alignment vertical="center"/>
    </xf>
    <xf numFmtId="176" fontId="174" fillId="0" borderId="92" xfId="3" applyFont="1" applyBorder="1" applyAlignment="1">
      <alignment vertical="center"/>
    </xf>
    <xf numFmtId="176" fontId="172" fillId="0" borderId="35" xfId="3" applyFont="1" applyFill="1" applyBorder="1" applyAlignment="1">
      <alignment vertical="center"/>
    </xf>
    <xf numFmtId="178" fontId="176" fillId="0" borderId="35" xfId="1" applyNumberFormat="1" applyFont="1" applyBorder="1" applyAlignment="1">
      <alignment vertical="center"/>
    </xf>
    <xf numFmtId="176" fontId="174" fillId="0" borderId="35" xfId="3" applyFont="1" applyFill="1" applyBorder="1" applyAlignment="1">
      <alignment vertical="center"/>
    </xf>
    <xf numFmtId="178" fontId="176" fillId="0" borderId="92" xfId="1" applyNumberFormat="1" applyFont="1" applyBorder="1" applyAlignment="1">
      <alignment vertical="center"/>
    </xf>
    <xf numFmtId="176" fontId="174" fillId="0" borderId="92" xfId="3" applyFont="1" applyFill="1" applyBorder="1" applyAlignment="1">
      <alignment vertical="center"/>
    </xf>
    <xf numFmtId="178" fontId="180" fillId="0" borderId="35" xfId="1" applyNumberFormat="1" applyFont="1" applyBorder="1" applyAlignment="1">
      <alignment vertical="center"/>
    </xf>
    <xf numFmtId="176" fontId="172" fillId="0" borderId="93" xfId="3" applyFont="1" applyFill="1" applyBorder="1" applyAlignment="1">
      <alignment vertical="center"/>
    </xf>
    <xf numFmtId="176" fontId="181" fillId="0" borderId="35" xfId="3" applyFont="1" applyBorder="1" applyAlignment="1">
      <alignment vertical="center"/>
    </xf>
    <xf numFmtId="176" fontId="172" fillId="71" borderId="93" xfId="3" applyFont="1" applyFill="1" applyBorder="1" applyAlignment="1">
      <alignment vertical="center"/>
    </xf>
    <xf numFmtId="176" fontId="172" fillId="71" borderId="94" xfId="3" applyFont="1" applyFill="1" applyBorder="1" applyAlignment="1">
      <alignment vertical="center"/>
    </xf>
    <xf numFmtId="176" fontId="174" fillId="71" borderId="35" xfId="3" applyFont="1" applyFill="1" applyBorder="1" applyAlignment="1">
      <alignment vertical="center"/>
    </xf>
    <xf numFmtId="176" fontId="174" fillId="71" borderId="53" xfId="3" applyFont="1" applyFill="1" applyBorder="1" applyAlignment="1">
      <alignment vertical="center"/>
    </xf>
    <xf numFmtId="176" fontId="4" fillId="0" borderId="0" xfId="3" applyAlignment="1">
      <alignment horizontal="left" vertical="center"/>
    </xf>
    <xf numFmtId="176" fontId="18" fillId="0" borderId="33" xfId="3" applyFont="1" applyBorder="1"/>
    <xf numFmtId="178" fontId="18" fillId="0" borderId="34" xfId="1" applyNumberFormat="1" applyFont="1" applyBorder="1" applyAlignment="1"/>
    <xf numFmtId="176" fontId="18" fillId="0" borderId="35" xfId="3" applyFont="1" applyBorder="1"/>
    <xf numFmtId="176" fontId="18" fillId="0" borderId="37" xfId="3" applyFont="1" applyBorder="1"/>
    <xf numFmtId="179" fontId="153" fillId="0" borderId="8" xfId="3" applyNumberFormat="1" applyFont="1" applyFill="1" applyBorder="1" applyAlignment="1">
      <alignment vertical="center"/>
    </xf>
    <xf numFmtId="176" fontId="18" fillId="0" borderId="53" xfId="3" applyFont="1" applyBorder="1"/>
    <xf numFmtId="41" fontId="18" fillId="0" borderId="54" xfId="303" applyNumberFormat="1" applyFont="1" applyBorder="1" applyAlignment="1"/>
    <xf numFmtId="259" fontId="18" fillId="0" borderId="0" xfId="3" applyNumberFormat="1" applyFont="1"/>
    <xf numFmtId="178" fontId="4" fillId="35" borderId="0" xfId="1" applyNumberFormat="1" applyFont="1" applyFill="1" applyAlignment="1"/>
    <xf numFmtId="178" fontId="176" fillId="0" borderId="37" xfId="1" applyNumberFormat="1" applyFont="1" applyBorder="1" applyAlignment="1">
      <alignment vertical="center"/>
    </xf>
    <xf numFmtId="176" fontId="172" fillId="71" borderId="53" xfId="3" applyFont="1" applyFill="1" applyBorder="1" applyAlignment="1">
      <alignment vertical="center"/>
    </xf>
    <xf numFmtId="248" fontId="174" fillId="0" borderId="35" xfId="3" applyNumberFormat="1" applyFont="1" applyBorder="1" applyAlignment="1">
      <alignment vertical="center"/>
    </xf>
    <xf numFmtId="176" fontId="175" fillId="0" borderId="35" xfId="3" applyFont="1" applyBorder="1" applyAlignment="1">
      <alignment horizontal="center" vertical="center"/>
    </xf>
    <xf numFmtId="176" fontId="172" fillId="0" borderId="35" xfId="3" applyFont="1" applyBorder="1" applyAlignment="1">
      <alignment vertical="center"/>
    </xf>
    <xf numFmtId="178" fontId="179" fillId="71" borderId="93" xfId="1" applyNumberFormat="1" applyFont="1" applyFill="1" applyBorder="1" applyAlignment="1">
      <alignment vertical="center"/>
    </xf>
    <xf numFmtId="176" fontId="172" fillId="71" borderId="33" xfId="3" applyFont="1" applyFill="1" applyBorder="1" applyAlignment="1">
      <alignment vertical="center"/>
    </xf>
    <xf numFmtId="176" fontId="172" fillId="71" borderId="92" xfId="3" applyFont="1" applyFill="1" applyBorder="1" applyAlignment="1">
      <alignment vertical="center"/>
    </xf>
    <xf numFmtId="10" fontId="4" fillId="0" borderId="9" xfId="1" applyNumberFormat="1" applyFont="1" applyFill="1" applyBorder="1" applyAlignment="1"/>
    <xf numFmtId="176" fontId="7" fillId="71" borderId="0" xfId="3" applyFont="1" applyFill="1" applyAlignment="1">
      <alignment vertical="center"/>
    </xf>
    <xf numFmtId="41" fontId="172" fillId="71" borderId="10" xfId="303" applyNumberFormat="1" applyFont="1" applyFill="1" applyBorder="1" applyAlignment="1">
      <alignment vertical="center"/>
    </xf>
    <xf numFmtId="176" fontId="138" fillId="0" borderId="0" xfId="3" applyFont="1" applyBorder="1" applyAlignment="1">
      <alignment vertical="center"/>
    </xf>
    <xf numFmtId="176" fontId="4" fillId="0" borderId="35" xfId="3" applyBorder="1" applyAlignment="1">
      <alignment vertical="center"/>
    </xf>
    <xf numFmtId="176" fontId="4" fillId="0" borderId="37" xfId="3" applyBorder="1" applyAlignment="1">
      <alignment vertical="center"/>
    </xf>
    <xf numFmtId="178" fontId="4" fillId="0" borderId="8" xfId="1" applyNumberFormat="1" applyFont="1" applyBorder="1" applyAlignment="1">
      <alignment vertical="center"/>
    </xf>
    <xf numFmtId="10" fontId="18" fillId="0" borderId="0" xfId="1" applyNumberFormat="1" applyFont="1" applyAlignment="1">
      <alignment vertical="center"/>
    </xf>
    <xf numFmtId="179" fontId="175" fillId="0" borderId="0" xfId="3" applyNumberFormat="1" applyFont="1" applyFill="1" applyBorder="1" applyAlignment="1">
      <alignment horizontal="center" vertical="center"/>
    </xf>
    <xf numFmtId="176" fontId="172" fillId="0" borderId="0" xfId="3" applyFont="1" applyFill="1" applyAlignment="1">
      <alignment vertical="center"/>
    </xf>
    <xf numFmtId="176" fontId="174" fillId="0" borderId="0" xfId="3" applyFont="1" applyFill="1" applyAlignment="1">
      <alignment vertical="center"/>
    </xf>
    <xf numFmtId="178" fontId="177" fillId="0" borderId="0" xfId="1" applyNumberFormat="1" applyFont="1" applyFill="1" applyAlignment="1">
      <alignment vertical="center"/>
    </xf>
    <xf numFmtId="178" fontId="172" fillId="0" borderId="0" xfId="1" applyNumberFormat="1" applyFont="1" applyFill="1" applyAlignment="1">
      <alignment vertical="center"/>
    </xf>
    <xf numFmtId="178" fontId="177" fillId="0" borderId="0" xfId="1" applyNumberFormat="1" applyFont="1" applyFill="1" applyBorder="1" applyAlignment="1">
      <alignment vertical="center"/>
    </xf>
    <xf numFmtId="178" fontId="4" fillId="0" borderId="0" xfId="1" applyNumberFormat="1" applyFont="1" applyFill="1" applyBorder="1" applyAlignment="1">
      <alignment vertical="center"/>
    </xf>
    <xf numFmtId="176" fontId="7" fillId="71" borderId="12" xfId="3" applyFont="1" applyFill="1" applyBorder="1" applyAlignment="1">
      <alignment vertical="center"/>
    </xf>
    <xf numFmtId="176" fontId="174" fillId="0" borderId="11" xfId="3" applyFont="1" applyBorder="1" applyAlignment="1">
      <alignment horizontal="right" vertical="center"/>
    </xf>
    <xf numFmtId="176" fontId="4" fillId="0" borderId="42" xfId="3" applyFill="1" applyBorder="1" applyAlignment="1">
      <alignment vertical="center"/>
    </xf>
    <xf numFmtId="176" fontId="174" fillId="0" borderId="95" xfId="3" applyFont="1" applyFill="1" applyBorder="1" applyAlignment="1">
      <alignment vertical="center"/>
    </xf>
    <xf numFmtId="176" fontId="174" fillId="0" borderId="94" xfId="3" applyFont="1" applyFill="1" applyBorder="1" applyAlignment="1">
      <alignment vertical="center"/>
    </xf>
    <xf numFmtId="176" fontId="174" fillId="0" borderId="42" xfId="3" applyFont="1" applyFill="1" applyBorder="1" applyAlignment="1">
      <alignment vertical="center"/>
    </xf>
    <xf numFmtId="0" fontId="175" fillId="0" borderId="11" xfId="3" applyNumberFormat="1" applyFont="1" applyBorder="1" applyAlignment="1">
      <alignment horizontal="center" vertical="center"/>
    </xf>
    <xf numFmtId="0" fontId="175" fillId="0" borderId="92" xfId="3" applyNumberFormat="1" applyFont="1" applyBorder="1" applyAlignment="1">
      <alignment horizontal="center" vertical="center"/>
    </xf>
    <xf numFmtId="0" fontId="17" fillId="0" borderId="8" xfId="3" applyNumberFormat="1" applyFont="1" applyBorder="1" applyAlignment="1">
      <alignment horizontal="center" vertical="center"/>
    </xf>
    <xf numFmtId="0" fontId="127" fillId="0" borderId="0" xfId="3" applyNumberFormat="1" applyFont="1" applyFill="1" applyBorder="1" applyAlignment="1">
      <alignment horizontal="center" vertical="center"/>
    </xf>
    <xf numFmtId="0" fontId="127" fillId="0" borderId="8" xfId="3" applyNumberFormat="1" applyFont="1" applyFill="1" applyBorder="1" applyAlignment="1">
      <alignment horizontal="center" vertical="center"/>
    </xf>
    <xf numFmtId="0" fontId="127" fillId="0" borderId="10" xfId="3" applyNumberFormat="1" applyFont="1" applyFill="1" applyBorder="1" applyAlignment="1">
      <alignment horizontal="center" vertical="center"/>
    </xf>
    <xf numFmtId="0" fontId="3" fillId="0" borderId="0" xfId="2" applyNumberFormat="1"/>
    <xf numFmtId="0" fontId="4" fillId="0" borderId="0" xfId="3" applyNumberFormat="1"/>
    <xf numFmtId="0" fontId="17" fillId="0" borderId="0" xfId="2" applyNumberFormat="1" applyFont="1" applyAlignment="1">
      <alignment vertical="center"/>
    </xf>
    <xf numFmtId="0" fontId="17" fillId="0" borderId="11" xfId="3" applyNumberFormat="1" applyFont="1" applyBorder="1" applyAlignment="1">
      <alignment horizontal="center" vertical="center"/>
    </xf>
    <xf numFmtId="0" fontId="4" fillId="0" borderId="8" xfId="3" applyNumberFormat="1" applyBorder="1"/>
    <xf numFmtId="0" fontId="4" fillId="0" borderId="0" xfId="3" applyNumberFormat="1" applyBorder="1"/>
    <xf numFmtId="0" fontId="4" fillId="0" borderId="11" xfId="3" applyNumberFormat="1" applyBorder="1"/>
    <xf numFmtId="0" fontId="4" fillId="0" borderId="33" xfId="3" applyNumberFormat="1" applyBorder="1"/>
    <xf numFmtId="0" fontId="4" fillId="0" borderId="35" xfId="3" applyNumberFormat="1" applyBorder="1"/>
    <xf numFmtId="0" fontId="4" fillId="0" borderId="37" xfId="3" applyNumberFormat="1" applyBorder="1"/>
    <xf numFmtId="0" fontId="17" fillId="0" borderId="33" xfId="2" applyNumberFormat="1" applyFont="1" applyBorder="1" applyAlignment="1">
      <alignment vertical="center"/>
    </xf>
    <xf numFmtId="0" fontId="18" fillId="0" borderId="35" xfId="3" applyNumberFormat="1" applyFont="1" applyBorder="1" applyAlignment="1">
      <alignment horizontal="left" vertical="center" indent="1"/>
    </xf>
    <xf numFmtId="0" fontId="18" fillId="0" borderId="37" xfId="3" applyNumberFormat="1" applyFont="1" applyBorder="1" applyAlignment="1">
      <alignment horizontal="left" vertical="center" indent="1"/>
    </xf>
    <xf numFmtId="0" fontId="4" fillId="0" borderId="10" xfId="3" applyNumberFormat="1" applyBorder="1"/>
    <xf numFmtId="0" fontId="126" fillId="0" borderId="0" xfId="3" applyNumberFormat="1" applyFont="1"/>
    <xf numFmtId="0" fontId="17" fillId="35" borderId="0" xfId="2" applyNumberFormat="1" applyFont="1" applyFill="1" applyAlignment="1">
      <alignment vertical="center"/>
    </xf>
    <xf numFmtId="0" fontId="4" fillId="0" borderId="9" xfId="3" applyNumberFormat="1" applyBorder="1"/>
    <xf numFmtId="0" fontId="111" fillId="0" borderId="0" xfId="3" applyNumberFormat="1" applyFont="1" applyBorder="1" applyAlignment="1">
      <alignment horizontal="center" vertical="center"/>
    </xf>
    <xf numFmtId="0" fontId="111" fillId="0" borderId="8" xfId="3" applyNumberFormat="1" applyFont="1" applyBorder="1" applyAlignment="1">
      <alignment horizontal="center" vertical="center"/>
    </xf>
    <xf numFmtId="0" fontId="128" fillId="0" borderId="11" xfId="367" applyNumberFormat="1" applyFont="1" applyAlignment="1">
      <alignment horizontal="left" wrapText="1"/>
    </xf>
    <xf numFmtId="0" fontId="130" fillId="0" borderId="42" xfId="367" applyNumberFormat="1" applyFont="1" applyBorder="1" applyAlignment="1">
      <alignment horizontal="center" wrapText="1"/>
    </xf>
    <xf numFmtId="0" fontId="130" fillId="0" borderId="0" xfId="0" applyNumberFormat="1" applyFont="1" applyBorder="1" applyAlignment="1"/>
    <xf numFmtId="0" fontId="131" fillId="0" borderId="0" xfId="0" applyNumberFormat="1" applyFont="1" applyBorder="1" applyAlignment="1"/>
    <xf numFmtId="0" fontId="136" fillId="0" borderId="0" xfId="0" applyNumberFormat="1" applyFont="1" applyBorder="1" applyAlignment="1"/>
    <xf numFmtId="0" fontId="131" fillId="0" borderId="11" xfId="0" applyNumberFormat="1" applyFont="1" applyBorder="1" applyAlignment="1"/>
    <xf numFmtId="0" fontId="131" fillId="0" borderId="0" xfId="0" applyNumberFormat="1" applyFont="1" applyAlignment="1"/>
    <xf numFmtId="0" fontId="131" fillId="0" borderId="43" xfId="0" applyNumberFormat="1" applyFont="1" applyBorder="1" applyAlignment="1"/>
    <xf numFmtId="0" fontId="4" fillId="0" borderId="0" xfId="3" applyNumberFormat="1" applyFill="1"/>
    <xf numFmtId="0" fontId="4" fillId="0" borderId="8" xfId="3" applyNumberFormat="1" applyFill="1" applyBorder="1"/>
    <xf numFmtId="0" fontId="165" fillId="0" borderId="63" xfId="0" applyNumberFormat="1" applyFont="1" applyBorder="1" applyAlignment="1">
      <alignment vertical="top" wrapText="1"/>
    </xf>
    <xf numFmtId="0" fontId="165" fillId="0" borderId="66" xfId="0" applyNumberFormat="1" applyFont="1" applyBorder="1" applyAlignment="1">
      <alignment vertical="top" wrapText="1"/>
    </xf>
    <xf numFmtId="41" fontId="17" fillId="0" borderId="34" xfId="303" applyNumberFormat="1" applyFont="1" applyBorder="1" applyAlignment="1">
      <alignment vertical="center"/>
    </xf>
    <xf numFmtId="41" fontId="111" fillId="0" borderId="36" xfId="303" applyNumberFormat="1" applyFont="1" applyBorder="1" applyAlignment="1">
      <alignment vertical="center"/>
    </xf>
    <xf numFmtId="41" fontId="111" fillId="0" borderId="38" xfId="303" applyNumberFormat="1" applyFont="1" applyBorder="1" applyAlignment="1">
      <alignment vertical="center"/>
    </xf>
    <xf numFmtId="0" fontId="127" fillId="0" borderId="0" xfId="3" applyNumberFormat="1" applyFont="1" applyBorder="1" applyAlignment="1">
      <alignment horizontal="center" vertical="center"/>
    </xf>
    <xf numFmtId="0" fontId="4" fillId="0" borderId="39" xfId="303" applyNumberFormat="1" applyFont="1" applyBorder="1" applyAlignment="1">
      <alignment horizontal="left" vertical="center"/>
    </xf>
    <xf numFmtId="0" fontId="4" fillId="0" borderId="0" xfId="303" applyNumberFormat="1" applyFont="1" applyBorder="1" applyAlignment="1">
      <alignment horizontal="left" vertical="center"/>
    </xf>
    <xf numFmtId="0" fontId="4" fillId="0" borderId="8" xfId="303" applyNumberFormat="1" applyFont="1" applyBorder="1" applyAlignment="1">
      <alignment horizontal="left" vertical="center"/>
    </xf>
    <xf numFmtId="0" fontId="4" fillId="0" borderId="10" xfId="303" applyNumberFormat="1" applyFont="1" applyBorder="1" applyAlignment="1">
      <alignment horizontal="left" vertical="center"/>
    </xf>
    <xf numFmtId="242" fontId="19" fillId="0" borderId="11" xfId="3" applyNumberFormat="1" applyFont="1" applyBorder="1" applyAlignment="1">
      <alignment vertical="center"/>
    </xf>
    <xf numFmtId="176" fontId="18" fillId="0" borderId="0" xfId="3" applyFont="1" applyBorder="1" applyAlignment="1">
      <alignment vertical="center"/>
    </xf>
    <xf numFmtId="176" fontId="18" fillId="0" borderId="8" xfId="3" applyFont="1" applyBorder="1" applyAlignment="1">
      <alignment vertical="center"/>
    </xf>
    <xf numFmtId="176" fontId="19" fillId="0" borderId="42" xfId="3" applyFont="1" applyBorder="1" applyAlignment="1">
      <alignment vertical="center"/>
    </xf>
    <xf numFmtId="176" fontId="172" fillId="0" borderId="42" xfId="3" applyFont="1" applyBorder="1" applyAlignment="1">
      <alignment vertical="center"/>
    </xf>
    <xf numFmtId="242" fontId="172" fillId="0" borderId="11" xfId="3" applyNumberFormat="1" applyFont="1" applyBorder="1" applyAlignment="1">
      <alignment vertical="center"/>
    </xf>
    <xf numFmtId="0" fontId="4" fillId="0" borderId="0" xfId="303" applyNumberFormat="1" applyFont="1" applyAlignment="1">
      <alignment horizontal="left" vertical="center"/>
    </xf>
    <xf numFmtId="0" fontId="19" fillId="0" borderId="39" xfId="303" applyNumberFormat="1" applyFont="1" applyBorder="1" applyAlignment="1">
      <alignment horizontal="left" vertical="center"/>
    </xf>
    <xf numFmtId="0" fontId="19" fillId="0" borderId="0" xfId="303" applyNumberFormat="1" applyFont="1" applyBorder="1" applyAlignment="1">
      <alignment horizontal="left" vertical="center"/>
    </xf>
    <xf numFmtId="0" fontId="19" fillId="0" borderId="8" xfId="303" applyNumberFormat="1" applyFont="1" applyBorder="1" applyAlignment="1">
      <alignment horizontal="left" vertical="center"/>
    </xf>
    <xf numFmtId="0" fontId="19" fillId="0" borderId="10" xfId="303" applyNumberFormat="1" applyFont="1" applyBorder="1" applyAlignment="1">
      <alignment horizontal="left" vertical="center"/>
    </xf>
    <xf numFmtId="0" fontId="19" fillId="0" borderId="0" xfId="303" applyNumberFormat="1" applyFont="1" applyAlignment="1">
      <alignment horizontal="left" vertical="center"/>
    </xf>
    <xf numFmtId="182" fontId="24" fillId="67" borderId="12" xfId="14" applyNumberFormat="1" applyFont="1" applyFill="1" applyBorder="1" applyAlignment="1">
      <alignment vertical="center"/>
    </xf>
    <xf numFmtId="176" fontId="196" fillId="0" borderId="70" xfId="3" applyFont="1" applyFill="1" applyBorder="1"/>
    <xf numFmtId="176" fontId="196" fillId="0" borderId="77" xfId="3" applyFont="1" applyFill="1" applyBorder="1"/>
    <xf numFmtId="176" fontId="196" fillId="0" borderId="0" xfId="3" applyFont="1" applyFill="1" applyBorder="1"/>
    <xf numFmtId="176" fontId="196" fillId="0" borderId="78" xfId="3" applyFont="1" applyFill="1" applyBorder="1"/>
    <xf numFmtId="176" fontId="195" fillId="0" borderId="35" xfId="3" applyFont="1" applyBorder="1"/>
    <xf numFmtId="176" fontId="191" fillId="0" borderId="37" xfId="3" applyFont="1" applyBorder="1"/>
    <xf numFmtId="176" fontId="191" fillId="0" borderId="35" xfId="3" applyFont="1" applyBorder="1"/>
    <xf numFmtId="176" fontId="195" fillId="0" borderId="37" xfId="3" applyFont="1" applyBorder="1"/>
    <xf numFmtId="176" fontId="195" fillId="0" borderId="92" xfId="3" applyFont="1" applyBorder="1"/>
    <xf numFmtId="176" fontId="191" fillId="0" borderId="35" xfId="3" applyFont="1" applyFill="1" applyBorder="1"/>
    <xf numFmtId="176" fontId="195" fillId="0" borderId="37" xfId="3" applyFont="1" applyFill="1" applyBorder="1"/>
    <xf numFmtId="176" fontId="195" fillId="0" borderId="92" xfId="3" applyFont="1" applyFill="1" applyBorder="1"/>
    <xf numFmtId="0" fontId="17" fillId="35" borderId="11" xfId="3" applyNumberFormat="1" applyFont="1" applyFill="1" applyBorder="1" applyAlignment="1">
      <alignment horizontal="center" vertical="center"/>
    </xf>
    <xf numFmtId="0" fontId="17" fillId="0" borderId="0" xfId="3" applyNumberFormat="1" applyFont="1" applyBorder="1" applyAlignment="1">
      <alignment horizontal="center" vertical="center"/>
    </xf>
    <xf numFmtId="0" fontId="17" fillId="0" borderId="0" xfId="2" applyNumberFormat="1" applyFont="1" applyAlignment="1">
      <alignment horizontal="center" vertical="center"/>
    </xf>
    <xf numFmtId="0" fontId="111" fillId="0" borderId="0" xfId="303" applyNumberFormat="1" applyFont="1" applyAlignment="1">
      <alignment vertical="center"/>
    </xf>
    <xf numFmtId="0" fontId="111" fillId="0" borderId="0" xfId="3" applyNumberFormat="1" applyFont="1" applyAlignment="1">
      <alignment vertical="center"/>
    </xf>
    <xf numFmtId="0" fontId="18" fillId="0" borderId="0" xfId="3" applyNumberFormat="1" applyFont="1" applyAlignment="1">
      <alignment vertical="center"/>
    </xf>
    <xf numFmtId="0" fontId="11" fillId="68" borderId="11" xfId="367" applyNumberFormat="1" applyFont="1" applyFill="1" applyAlignment="1">
      <alignment horizontal="center" wrapText="1"/>
    </xf>
    <xf numFmtId="0" fontId="11" fillId="67" borderId="11" xfId="367" applyNumberFormat="1" applyFont="1" applyFill="1" applyBorder="1" applyAlignment="1">
      <alignment horizontal="center" wrapText="1"/>
    </xf>
    <xf numFmtId="0" fontId="11" fillId="0" borderId="11" xfId="367" applyNumberFormat="1" applyFont="1" applyBorder="1" applyAlignment="1">
      <alignment horizontal="center" wrapText="1"/>
    </xf>
    <xf numFmtId="0" fontId="11" fillId="0" borderId="11" xfId="367" applyNumberFormat="1" applyFont="1" applyAlignment="1">
      <alignment horizontal="center" wrapText="1"/>
    </xf>
    <xf numFmtId="0" fontId="4" fillId="0" borderId="0" xfId="3" applyNumberFormat="1" applyFont="1" applyAlignment="1">
      <alignment horizontal="center"/>
    </xf>
    <xf numFmtId="0" fontId="19" fillId="0" borderId="8" xfId="3" applyNumberFormat="1" applyFont="1" applyBorder="1"/>
    <xf numFmtId="0" fontId="17" fillId="0" borderId="11" xfId="367" applyNumberFormat="1" applyFont="1">
      <alignment horizontal="right" wrapText="1"/>
    </xf>
    <xf numFmtId="0" fontId="111" fillId="0" borderId="27" xfId="367" applyNumberFormat="1" applyFont="1" applyBorder="1" applyAlignment="1">
      <alignment horizontal="center" wrapText="1"/>
    </xf>
    <xf numFmtId="176" fontId="174" fillId="0" borderId="0" xfId="3" applyNumberFormat="1" applyFont="1" applyBorder="1" applyAlignment="1">
      <alignment vertical="center"/>
    </xf>
    <xf numFmtId="176" fontId="173" fillId="0" borderId="0" xfId="3" applyFont="1" applyBorder="1" applyAlignment="1">
      <alignment horizontal="left" vertical="center"/>
    </xf>
    <xf numFmtId="176" fontId="174" fillId="0" borderId="39" xfId="3" applyFont="1" applyBorder="1" applyAlignment="1">
      <alignment horizontal="right" vertical="center"/>
    </xf>
    <xf numFmtId="176" fontId="18" fillId="0" borderId="39" xfId="3" applyFont="1" applyBorder="1" applyAlignment="1">
      <alignment vertical="center"/>
    </xf>
    <xf numFmtId="176" fontId="174" fillId="0" borderId="0" xfId="3" applyNumberFormat="1" applyFont="1" applyFill="1" applyBorder="1" applyAlignment="1">
      <alignment vertical="center"/>
    </xf>
    <xf numFmtId="176" fontId="174" fillId="0" borderId="0" xfId="3" applyFont="1" applyFill="1" applyBorder="1" applyAlignment="1">
      <alignment horizontal="right" vertical="center"/>
    </xf>
    <xf numFmtId="176" fontId="173" fillId="0" borderId="0" xfId="3" applyFont="1" applyFill="1" applyBorder="1" applyAlignment="1">
      <alignment horizontal="left" vertical="center"/>
    </xf>
    <xf numFmtId="176" fontId="178" fillId="0" borderId="0" xfId="3" applyFont="1" applyFill="1" applyBorder="1" applyAlignment="1">
      <alignment horizontal="center" vertical="center"/>
    </xf>
    <xf numFmtId="176" fontId="178" fillId="0" borderId="0" xfId="3" applyFont="1" applyFill="1" applyBorder="1" applyAlignment="1">
      <alignment vertical="center"/>
    </xf>
    <xf numFmtId="176" fontId="173" fillId="0" borderId="0" xfId="3" applyFont="1" applyFill="1" applyBorder="1" applyAlignment="1">
      <alignment vertical="center"/>
    </xf>
    <xf numFmtId="176" fontId="174" fillId="0" borderId="39" xfId="3" applyNumberFormat="1" applyFont="1" applyBorder="1" applyAlignment="1">
      <alignment vertical="center"/>
    </xf>
    <xf numFmtId="176" fontId="18" fillId="0" borderId="0" xfId="3" applyFont="1" applyBorder="1" applyAlignment="1">
      <alignment horizontal="left" vertical="center"/>
    </xf>
    <xf numFmtId="176" fontId="173" fillId="0" borderId="39" xfId="3" applyFont="1" applyBorder="1" applyAlignment="1">
      <alignment vertical="center"/>
    </xf>
    <xf numFmtId="251" fontId="4" fillId="0" borderId="0" xfId="3" applyNumberFormat="1" applyAlignment="1">
      <alignment vertical="center"/>
    </xf>
    <xf numFmtId="176" fontId="209" fillId="71" borderId="12" xfId="3" applyFont="1" applyFill="1" applyBorder="1" applyAlignment="1">
      <alignment vertical="center"/>
    </xf>
    <xf numFmtId="41" fontId="172" fillId="0" borderId="11" xfId="303" applyNumberFormat="1" applyFont="1" applyBorder="1" applyAlignment="1">
      <alignment vertical="center"/>
    </xf>
    <xf numFmtId="247" fontId="19" fillId="0" borderId="0" xfId="1" applyNumberFormat="1" applyFont="1" applyAlignment="1"/>
    <xf numFmtId="247" fontId="18" fillId="0" borderId="0" xfId="1" applyNumberFormat="1" applyFont="1" applyAlignment="1"/>
    <xf numFmtId="178" fontId="174" fillId="0" borderId="39" xfId="1" applyNumberFormat="1" applyFont="1" applyBorder="1" applyAlignment="1">
      <alignment vertical="center"/>
    </xf>
    <xf numFmtId="179" fontId="17" fillId="0" borderId="53" xfId="2" applyNumberFormat="1" applyFont="1" applyBorder="1" applyAlignment="1">
      <alignment vertical="center"/>
    </xf>
    <xf numFmtId="9" fontId="18" fillId="0" borderId="54" xfId="1" applyFont="1" applyBorder="1" applyAlignment="1">
      <alignment vertical="center"/>
    </xf>
    <xf numFmtId="247" fontId="13" fillId="0" borderId="8" xfId="1" applyNumberFormat="1" applyFont="1" applyBorder="1" applyAlignment="1"/>
    <xf numFmtId="0" fontId="4" fillId="0" borderId="33" xfId="389" applyNumberFormat="1" applyBorder="1" applyAlignment="1">
      <alignment horizontal="center"/>
    </xf>
    <xf numFmtId="0" fontId="4" fillId="0" borderId="10" xfId="389" applyNumberFormat="1" applyBorder="1" applyAlignment="1">
      <alignment horizontal="center"/>
    </xf>
    <xf numFmtId="0" fontId="4" fillId="0" borderId="34" xfId="389" applyNumberFormat="1" applyBorder="1" applyAlignment="1">
      <alignment horizontal="center"/>
    </xf>
    <xf numFmtId="176" fontId="4" fillId="0" borderId="0" xfId="1" applyNumberFormat="1" applyFont="1" applyBorder="1" applyAlignment="1"/>
    <xf numFmtId="0" fontId="15" fillId="0" borderId="0" xfId="3" applyNumberFormat="1" applyFont="1" applyFill="1" applyBorder="1" applyAlignment="1"/>
    <xf numFmtId="0" fontId="0" fillId="0" borderId="0" xfId="0" applyNumberFormat="1" applyFont="1" applyFill="1" applyBorder="1" applyAlignment="1"/>
    <xf numFmtId="0" fontId="17" fillId="0" borderId="11" xfId="367" applyNumberFormat="1" applyFont="1" applyAlignment="1">
      <alignment horizontal="center" wrapText="1"/>
    </xf>
    <xf numFmtId="10" fontId="153" fillId="0" borderId="0" xfId="1" applyNumberFormat="1" applyFont="1" applyBorder="1" applyAlignment="1">
      <alignment horizontal="right" vertical="center" wrapText="1"/>
    </xf>
    <xf numFmtId="10" fontId="18" fillId="0" borderId="0" xfId="1" applyNumberFormat="1" applyFont="1" applyBorder="1" applyAlignment="1"/>
    <xf numFmtId="10" fontId="18" fillId="0" borderId="36" xfId="1" applyNumberFormat="1" applyFont="1" applyBorder="1" applyAlignment="1"/>
    <xf numFmtId="10" fontId="18" fillId="0" borderId="8" xfId="1" applyNumberFormat="1" applyFont="1" applyBorder="1" applyAlignment="1"/>
    <xf numFmtId="10" fontId="18" fillId="0" borderId="38" xfId="1" applyNumberFormat="1" applyFont="1" applyBorder="1" applyAlignment="1"/>
    <xf numFmtId="260" fontId="18" fillId="66" borderId="39" xfId="14" applyNumberFormat="1" applyFont="1" applyFill="1" applyBorder="1"/>
    <xf numFmtId="260" fontId="18" fillId="66" borderId="0" xfId="14" applyNumberFormat="1" applyFont="1" applyFill="1" applyBorder="1"/>
    <xf numFmtId="260" fontId="18" fillId="66" borderId="11" xfId="14" applyNumberFormat="1" applyFont="1" applyFill="1" applyBorder="1"/>
    <xf numFmtId="260" fontId="18" fillId="0" borderId="0" xfId="3" applyNumberFormat="1" applyFont="1" applyBorder="1"/>
    <xf numFmtId="10" fontId="153" fillId="0" borderId="11" xfId="1" applyNumberFormat="1" applyFont="1" applyBorder="1" applyAlignment="1">
      <alignment horizontal="right" vertical="center" wrapText="1"/>
    </xf>
    <xf numFmtId="0" fontId="17" fillId="0" borderId="8" xfId="3" applyNumberFormat="1" applyFont="1" applyBorder="1" applyAlignment="1">
      <alignment horizontal="center"/>
    </xf>
    <xf numFmtId="0" fontId="4" fillId="0" borderId="48" xfId="3" applyNumberFormat="1" applyBorder="1" applyAlignment="1">
      <alignment horizontal="center"/>
    </xf>
    <xf numFmtId="261" fontId="166" fillId="0" borderId="11" xfId="3" applyNumberFormat="1" applyFont="1" applyBorder="1" applyAlignment="1">
      <alignment horizontal="left" vertical="top"/>
    </xf>
    <xf numFmtId="0" fontId="17" fillId="0" borderId="11" xfId="3" applyNumberFormat="1" applyFont="1" applyBorder="1" applyAlignment="1">
      <alignment vertical="center"/>
    </xf>
    <xf numFmtId="0" fontId="166" fillId="0" borderId="0" xfId="3" applyNumberFormat="1" applyFont="1" applyAlignment="1">
      <alignment vertical="center"/>
    </xf>
    <xf numFmtId="0" fontId="7" fillId="71" borderId="0" xfId="3" applyNumberFormat="1" applyFont="1" applyFill="1" applyAlignment="1">
      <alignment vertical="center"/>
    </xf>
    <xf numFmtId="0" fontId="17" fillId="36" borderId="8" xfId="3" applyNumberFormat="1" applyFont="1" applyFill="1" applyBorder="1" applyAlignment="1">
      <alignment horizontal="center" vertical="center"/>
    </xf>
    <xf numFmtId="0" fontId="4" fillId="0" borderId="11" xfId="3" applyNumberFormat="1" applyBorder="1" applyAlignment="1">
      <alignment horizontal="center"/>
    </xf>
    <xf numFmtId="176" fontId="4" fillId="0" borderId="12" xfId="3" applyBorder="1"/>
    <xf numFmtId="0" fontId="175" fillId="0" borderId="0" xfId="3" applyNumberFormat="1" applyFont="1" applyBorder="1" applyAlignment="1">
      <alignment horizontal="center" vertical="center"/>
    </xf>
    <xf numFmtId="176" fontId="19" fillId="0" borderId="0" xfId="3" applyFont="1" applyFill="1" applyAlignment="1">
      <alignment vertical="center"/>
    </xf>
    <xf numFmtId="176" fontId="4" fillId="0" borderId="8" xfId="3" applyFill="1" applyBorder="1" applyAlignment="1">
      <alignment vertical="center"/>
    </xf>
    <xf numFmtId="176" fontId="174" fillId="0" borderId="8" xfId="3" applyFont="1" applyFill="1" applyBorder="1" applyAlignment="1">
      <alignment vertical="center"/>
    </xf>
    <xf numFmtId="176" fontId="19" fillId="0" borderId="9" xfId="3" applyFont="1" applyFill="1" applyBorder="1" applyAlignment="1">
      <alignment vertical="center"/>
    </xf>
    <xf numFmtId="176" fontId="172" fillId="0" borderId="9" xfId="3" applyFont="1" applyFill="1" applyBorder="1" applyAlignment="1">
      <alignment vertical="center"/>
    </xf>
    <xf numFmtId="0" fontId="174" fillId="0" borderId="0" xfId="3" applyNumberFormat="1" applyFont="1" applyAlignment="1">
      <alignment vertical="center"/>
    </xf>
    <xf numFmtId="0" fontId="172" fillId="71" borderId="12" xfId="3" applyNumberFormat="1" applyFont="1" applyFill="1" applyBorder="1" applyAlignment="1">
      <alignment vertical="center"/>
    </xf>
    <xf numFmtId="0" fontId="4" fillId="0" borderId="0" xfId="3" applyNumberFormat="1" applyAlignment="1">
      <alignment vertical="center"/>
    </xf>
    <xf numFmtId="0" fontId="178" fillId="0" borderId="11" xfId="3" applyNumberFormat="1" applyFont="1" applyBorder="1" applyAlignment="1">
      <alignment horizontal="center" vertical="center"/>
    </xf>
    <xf numFmtId="0" fontId="213" fillId="71" borderId="12" xfId="3" applyNumberFormat="1" applyFont="1" applyFill="1" applyBorder="1" applyAlignment="1">
      <alignment vertical="center"/>
    </xf>
    <xf numFmtId="0" fontId="19" fillId="71" borderId="12" xfId="3" applyNumberFormat="1" applyFont="1" applyFill="1" applyBorder="1" applyAlignment="1">
      <alignment vertical="center"/>
    </xf>
    <xf numFmtId="0" fontId="173" fillId="0" borderId="8" xfId="3" applyNumberFormat="1" applyFont="1" applyBorder="1" applyAlignment="1">
      <alignment vertical="center"/>
    </xf>
    <xf numFmtId="0" fontId="172" fillId="71" borderId="0" xfId="3" applyNumberFormat="1" applyFont="1" applyFill="1" applyAlignment="1">
      <alignment vertical="center"/>
    </xf>
    <xf numFmtId="247" fontId="4" fillId="0" borderId="0" xfId="1" applyNumberFormat="1" applyFont="1" applyAlignment="1">
      <alignment vertical="center"/>
    </xf>
    <xf numFmtId="247" fontId="18" fillId="75" borderId="0" xfId="1" applyNumberFormat="1" applyFont="1" applyFill="1" applyAlignment="1"/>
    <xf numFmtId="9" fontId="4" fillId="0" borderId="0" xfId="1" applyFont="1" applyAlignment="1"/>
    <xf numFmtId="176" fontId="19" fillId="75" borderId="38" xfId="3" applyFont="1" applyFill="1" applyBorder="1"/>
    <xf numFmtId="176" fontId="4" fillId="75" borderId="36" xfId="3" applyFill="1" applyBorder="1"/>
    <xf numFmtId="0" fontId="20" fillId="0" borderId="0" xfId="2" applyNumberFormat="1" applyFont="1" applyAlignment="1">
      <alignment vertical="center"/>
    </xf>
    <xf numFmtId="0" fontId="4" fillId="0" borderId="96" xfId="3" applyNumberFormat="1" applyBorder="1"/>
    <xf numFmtId="176" fontId="4" fillId="0" borderId="96" xfId="3" applyBorder="1"/>
    <xf numFmtId="41" fontId="133" fillId="0" borderId="96" xfId="170" applyFont="1" applyBorder="1">
      <alignment vertical="center"/>
    </xf>
    <xf numFmtId="0" fontId="4" fillId="0" borderId="27" xfId="3" applyNumberFormat="1" applyBorder="1"/>
    <xf numFmtId="176" fontId="4" fillId="0" borderId="27" xfId="3" applyBorder="1"/>
    <xf numFmtId="176" fontId="4" fillId="0" borderId="57" xfId="3" applyBorder="1"/>
    <xf numFmtId="176" fontId="4" fillId="0" borderId="46" xfId="3" applyBorder="1"/>
    <xf numFmtId="176" fontId="4" fillId="0" borderId="56" xfId="3" applyBorder="1"/>
    <xf numFmtId="0" fontId="4" fillId="0" borderId="47" xfId="3" applyNumberFormat="1" applyBorder="1"/>
    <xf numFmtId="178" fontId="4" fillId="0" borderId="29" xfId="1" applyNumberFormat="1" applyFont="1" applyBorder="1" applyAlignment="1"/>
    <xf numFmtId="0" fontId="4" fillId="0" borderId="49" xfId="3" applyNumberFormat="1" applyBorder="1"/>
    <xf numFmtId="176" fontId="4" fillId="0" borderId="55" xfId="3" applyBorder="1"/>
    <xf numFmtId="41" fontId="4" fillId="0" borderId="0" xfId="303" applyNumberFormat="1" applyFont="1" applyAlignment="1">
      <alignment vertical="center"/>
    </xf>
    <xf numFmtId="41" fontId="217" fillId="35" borderId="0" xfId="170" applyFont="1" applyFill="1">
      <alignment vertical="center"/>
    </xf>
    <xf numFmtId="41" fontId="133" fillId="35" borderId="0" xfId="170" applyFont="1" applyFill="1">
      <alignment vertical="center"/>
    </xf>
    <xf numFmtId="10" fontId="4" fillId="0" borderId="0" xfId="3" applyNumberFormat="1"/>
    <xf numFmtId="10" fontId="4" fillId="33" borderId="0" xfId="1" applyNumberFormat="1" applyFont="1" applyFill="1" applyAlignment="1"/>
    <xf numFmtId="10" fontId="4" fillId="33" borderId="0" xfId="3" applyNumberFormat="1" applyFill="1"/>
    <xf numFmtId="262" fontId="17" fillId="0" borderId="11" xfId="3" applyNumberFormat="1" applyFont="1" applyBorder="1" applyAlignment="1">
      <alignment horizontal="right" vertical="center"/>
    </xf>
    <xf numFmtId="0" fontId="166" fillId="0" borderId="0" xfId="3" applyNumberFormat="1" applyFont="1" applyAlignment="1">
      <alignment horizontal="right" vertical="center"/>
    </xf>
    <xf numFmtId="179" fontId="19" fillId="71" borderId="10" xfId="2" applyNumberFormat="1" applyFont="1" applyFill="1" applyBorder="1" applyAlignment="1">
      <alignment vertical="center"/>
    </xf>
    <xf numFmtId="179" fontId="18" fillId="0" borderId="8" xfId="2" applyNumberFormat="1" applyFont="1" applyFill="1" applyBorder="1" applyAlignment="1">
      <alignment horizontal="left" vertical="center" indent="1"/>
    </xf>
    <xf numFmtId="179" fontId="18" fillId="0" borderId="8" xfId="3" applyNumberFormat="1" applyFont="1" applyFill="1" applyBorder="1" applyAlignment="1">
      <alignment vertical="center"/>
    </xf>
    <xf numFmtId="41" fontId="18" fillId="0" borderId="8" xfId="303" applyNumberFormat="1" applyFont="1" applyFill="1" applyBorder="1" applyAlignment="1">
      <alignment vertical="center"/>
    </xf>
    <xf numFmtId="179" fontId="19" fillId="76" borderId="0" xfId="3" applyNumberFormat="1" applyFont="1" applyFill="1" applyAlignment="1">
      <alignment vertical="center"/>
    </xf>
    <xf numFmtId="179" fontId="19" fillId="0" borderId="0" xfId="2" applyNumberFormat="1" applyFont="1" applyBorder="1" applyAlignment="1">
      <alignment horizontal="left" vertical="center" indent="1"/>
    </xf>
    <xf numFmtId="179" fontId="18" fillId="0" borderId="0" xfId="3" applyNumberFormat="1" applyFont="1" applyBorder="1" applyAlignment="1">
      <alignment horizontal="left" vertical="center" indent="2"/>
    </xf>
    <xf numFmtId="41" fontId="111" fillId="0" borderId="34" xfId="303" applyNumberFormat="1" applyFont="1" applyBorder="1" applyAlignment="1">
      <alignment vertical="center"/>
    </xf>
    <xf numFmtId="41" fontId="17" fillId="36" borderId="34" xfId="303" applyNumberFormat="1" applyFont="1" applyFill="1" applyBorder="1" applyAlignment="1">
      <alignment vertical="center"/>
    </xf>
    <xf numFmtId="179" fontId="19" fillId="0" borderId="33" xfId="3" applyNumberFormat="1" applyFont="1" applyBorder="1" applyAlignment="1">
      <alignment horizontal="left" vertical="center" indent="1"/>
    </xf>
    <xf numFmtId="179" fontId="19" fillId="0" borderId="37" xfId="3" applyNumberFormat="1" applyFont="1" applyBorder="1" applyAlignment="1">
      <alignment horizontal="left" vertical="center" indent="1"/>
    </xf>
    <xf numFmtId="179" fontId="218" fillId="77" borderId="0" xfId="2" applyNumberFormat="1" applyFont="1" applyFill="1" applyAlignment="1">
      <alignment vertical="center"/>
    </xf>
    <xf numFmtId="179" fontId="219" fillId="77" borderId="0" xfId="3" applyNumberFormat="1" applyFont="1" applyFill="1" applyAlignment="1">
      <alignment vertical="center"/>
    </xf>
    <xf numFmtId="179" fontId="17" fillId="76" borderId="0" xfId="2" applyNumberFormat="1" applyFont="1" applyFill="1" applyAlignment="1">
      <alignment vertical="center"/>
    </xf>
    <xf numFmtId="179" fontId="18" fillId="76" borderId="0" xfId="3" applyNumberFormat="1" applyFont="1" applyFill="1" applyAlignment="1">
      <alignment vertical="center"/>
    </xf>
    <xf numFmtId="41" fontId="18" fillId="76" borderId="0" xfId="303" applyNumberFormat="1" applyFont="1" applyFill="1" applyAlignment="1">
      <alignment vertical="center"/>
    </xf>
    <xf numFmtId="179" fontId="18" fillId="0" borderId="11" xfId="3" applyNumberFormat="1" applyFont="1" applyBorder="1" applyAlignment="1">
      <alignment horizontal="left" vertical="center" indent="2"/>
    </xf>
    <xf numFmtId="179" fontId="19" fillId="0" borderId="0" xfId="3" applyNumberFormat="1" applyFont="1" applyBorder="1" applyAlignment="1">
      <alignment vertical="center"/>
    </xf>
    <xf numFmtId="179" fontId="19" fillId="71" borderId="10" xfId="3" applyNumberFormat="1" applyFont="1" applyFill="1" applyBorder="1" applyAlignment="1">
      <alignment vertical="center"/>
    </xf>
    <xf numFmtId="41" fontId="19" fillId="71" borderId="10" xfId="303" applyNumberFormat="1" applyFont="1" applyFill="1" applyBorder="1" applyAlignment="1">
      <alignment vertical="center"/>
    </xf>
    <xf numFmtId="179" fontId="17" fillId="0" borderId="0" xfId="3" applyNumberFormat="1" applyFont="1" applyAlignment="1">
      <alignment horizontal="center" vertical="center"/>
    </xf>
    <xf numFmtId="176" fontId="4" fillId="0" borderId="53" xfId="3" applyBorder="1" applyAlignment="1">
      <alignment horizontal="center"/>
    </xf>
    <xf numFmtId="176" fontId="4" fillId="0" borderId="54" xfId="3" applyBorder="1" applyAlignment="1">
      <alignment horizontal="center"/>
    </xf>
    <xf numFmtId="176" fontId="171" fillId="0" borderId="88" xfId="0" applyFont="1" applyBorder="1" applyAlignment="1">
      <alignment horizontal="center" vertical="center" wrapText="1"/>
    </xf>
    <xf numFmtId="176" fontId="171" fillId="0" borderId="0" xfId="0" applyFont="1" applyAlignment="1">
      <alignment horizontal="center" vertical="center"/>
    </xf>
    <xf numFmtId="176" fontId="171" fillId="0" borderId="85" xfId="0" applyFont="1" applyBorder="1" applyAlignment="1">
      <alignment horizontal="center" vertical="center"/>
    </xf>
    <xf numFmtId="176" fontId="172" fillId="0" borderId="86" xfId="0" applyFont="1" applyBorder="1" applyAlignment="1">
      <alignment horizontal="center" vertical="center" wrapText="1"/>
    </xf>
    <xf numFmtId="176" fontId="173" fillId="0" borderId="87" xfId="0" applyFont="1" applyBorder="1" applyAlignment="1">
      <alignment horizontal="center" vertical="center" wrapText="1"/>
    </xf>
    <xf numFmtId="176" fontId="173" fillId="0" borderId="0" xfId="0" applyFont="1" applyAlignment="1">
      <alignment horizontal="center" vertical="center" wrapText="1"/>
    </xf>
    <xf numFmtId="176" fontId="173" fillId="0" borderId="86" xfId="0" applyFont="1" applyBorder="1" applyAlignment="1">
      <alignment horizontal="center" vertical="center" wrapText="1"/>
    </xf>
    <xf numFmtId="176" fontId="174" fillId="0" borderId="87" xfId="0" applyFont="1" applyBorder="1" applyAlignment="1">
      <alignment horizontal="right" vertical="center" wrapText="1"/>
    </xf>
    <xf numFmtId="176" fontId="174" fillId="0" borderId="0" xfId="0" applyFont="1" applyAlignment="1">
      <alignment horizontal="right" vertical="center" wrapText="1"/>
    </xf>
    <xf numFmtId="176" fontId="174" fillId="0" borderId="86" xfId="0" applyFont="1" applyBorder="1" applyAlignment="1">
      <alignment horizontal="right" vertical="center" wrapText="1"/>
    </xf>
    <xf numFmtId="176" fontId="173" fillId="0" borderId="87" xfId="0" applyFont="1" applyBorder="1" applyAlignment="1">
      <alignment vertical="center" wrapText="1"/>
    </xf>
    <xf numFmtId="176" fontId="173" fillId="0" borderId="0" xfId="0" applyFont="1" applyAlignment="1">
      <alignment vertical="center" wrapText="1"/>
    </xf>
    <xf numFmtId="176" fontId="173" fillId="0" borderId="86" xfId="0" applyFont="1" applyBorder="1" applyAlignment="1">
      <alignment vertical="center" wrapText="1"/>
    </xf>
    <xf numFmtId="179" fontId="111" fillId="0" borderId="39" xfId="3" applyNumberFormat="1" applyFont="1" applyBorder="1" applyAlignment="1">
      <alignment horizontal="center" vertical="center"/>
    </xf>
    <xf numFmtId="179" fontId="111" fillId="0" borderId="0" xfId="3" applyNumberFormat="1" applyFont="1" applyBorder="1" applyAlignment="1">
      <alignment horizontal="center" vertical="center"/>
    </xf>
    <xf numFmtId="179" fontId="111" fillId="0" borderId="43" xfId="367" applyFont="1" applyBorder="1" applyAlignment="1">
      <alignment horizontal="center" wrapText="1"/>
    </xf>
    <xf numFmtId="179" fontId="111" fillId="0" borderId="27" xfId="367" applyFont="1" applyBorder="1" applyAlignment="1">
      <alignment horizontal="center" wrapText="1"/>
    </xf>
    <xf numFmtId="176" fontId="4" fillId="0" borderId="35" xfId="3" applyBorder="1" applyAlignment="1">
      <alignment horizontal="center"/>
    </xf>
    <xf numFmtId="176" fontId="4" fillId="0" borderId="0" xfId="3" applyBorder="1" applyAlignment="1">
      <alignment horizontal="center"/>
    </xf>
    <xf numFmtId="176" fontId="4" fillId="0" borderId="0" xfId="3" applyAlignment="1">
      <alignment horizontal="center"/>
    </xf>
  </cellXfs>
  <cellStyles count="398">
    <cellStyle name="#,##0" xfId="17" xr:uid="{00000000-0005-0000-0000-000000000000}"/>
    <cellStyle name="#,##0!" xfId="18" xr:uid="{00000000-0005-0000-0000-000001000000}"/>
    <cellStyle name="#,##0$" xfId="19" xr:uid="{00000000-0005-0000-0000-000002000000}"/>
    <cellStyle name="#,##0$!" xfId="20" xr:uid="{00000000-0005-0000-0000-000003000000}"/>
    <cellStyle name="#,##0$$" xfId="21" xr:uid="{00000000-0005-0000-0000-000004000000}"/>
    <cellStyle name="#,##0$$!" xfId="22" xr:uid="{00000000-0005-0000-0000-000005000000}"/>
    <cellStyle name="#,##0$$$" xfId="23" xr:uid="{00000000-0005-0000-0000-000006000000}"/>
    <cellStyle name="#,##0$$$!" xfId="24" xr:uid="{00000000-0005-0000-0000-000007000000}"/>
    <cellStyle name="#,##0$$$$" xfId="25" xr:uid="{00000000-0005-0000-0000-000008000000}"/>
    <cellStyle name="#,##0$$$$!" xfId="26" xr:uid="{00000000-0005-0000-0000-000009000000}"/>
    <cellStyle name="#,##0$$$$$" xfId="27" xr:uid="{00000000-0005-0000-0000-00000A000000}"/>
    <cellStyle name="#,##0$$$$$!" xfId="28" xr:uid="{00000000-0005-0000-0000-00000B000000}"/>
    <cellStyle name="#,##0$$$$$$" xfId="29" xr:uid="{00000000-0005-0000-0000-00000C000000}"/>
    <cellStyle name="#,##0$$$$$$!" xfId="30" xr:uid="{00000000-0005-0000-0000-00000D000000}"/>
    <cellStyle name="#,##0$$$$$$$" xfId="31" xr:uid="{00000000-0005-0000-0000-00000E000000}"/>
    <cellStyle name="#,##0$$$$$$$!" xfId="32" xr:uid="{00000000-0005-0000-0000-00000F000000}"/>
    <cellStyle name="#,##0$$$$$$$$" xfId="33" xr:uid="{00000000-0005-0000-0000-000010000000}"/>
    <cellStyle name="#,##0.0$" xfId="34" xr:uid="{00000000-0005-0000-0000-000011000000}"/>
    <cellStyle name="#,##0.0$!" xfId="35" xr:uid="{00000000-0005-0000-0000-000012000000}"/>
    <cellStyle name="#,##0.0$$" xfId="36" xr:uid="{00000000-0005-0000-0000-000013000000}"/>
    <cellStyle name="#,##0.0$$!" xfId="37" xr:uid="{00000000-0005-0000-0000-000014000000}"/>
    <cellStyle name="#,##0.0$$$" xfId="38" xr:uid="{00000000-0005-0000-0000-000015000000}"/>
    <cellStyle name="#,##0.0$$$!" xfId="39" xr:uid="{00000000-0005-0000-0000-000016000000}"/>
    <cellStyle name="#,##0.0$$$$" xfId="40" xr:uid="{00000000-0005-0000-0000-000017000000}"/>
    <cellStyle name="#,##0.0$$$$!" xfId="41" xr:uid="{00000000-0005-0000-0000-000018000000}"/>
    <cellStyle name="#,##0.0$$$$$" xfId="42" xr:uid="{00000000-0005-0000-0000-000019000000}"/>
    <cellStyle name="#,##0.0$$$$$!" xfId="43" xr:uid="{00000000-0005-0000-0000-00001A000000}"/>
    <cellStyle name="#,##0.0$$$$$$" xfId="44" xr:uid="{00000000-0005-0000-0000-00001B000000}"/>
    <cellStyle name="#,##0.0$$$$$$!" xfId="45" xr:uid="{00000000-0005-0000-0000-00001C000000}"/>
    <cellStyle name="??&amp;O?&amp;H?_x0008__x000f__x0007_?_x0007__x0001__x0001_" xfId="46" xr:uid="{00000000-0005-0000-0000-00001D000000}"/>
    <cellStyle name="??&amp;O?&amp;H?_x0008__x000f__x0007_?_x0007__x0001__x0001_ 2" xfId="47" xr:uid="{00000000-0005-0000-0000-00001E000000}"/>
    <cellStyle name="??&amp;O?&amp;H?_x0008_??_x0007__x0001__x0001_" xfId="48" xr:uid="{00000000-0005-0000-0000-00001F000000}"/>
    <cellStyle name="??&amp;O?&amp;H?_x0008_??_x0007__x0001__x0001_ 2" xfId="49" xr:uid="{00000000-0005-0000-0000-000020000000}"/>
    <cellStyle name="^3-1" xfId="50" xr:uid="{00000000-0005-0000-0000-000021000000}"/>
    <cellStyle name="16" xfId="51" xr:uid="{00000000-0005-0000-0000-000022000000}"/>
    <cellStyle name="16 2" xfId="52" xr:uid="{00000000-0005-0000-0000-000023000000}"/>
    <cellStyle name="19990216" xfId="53" xr:uid="{00000000-0005-0000-0000-000024000000}"/>
    <cellStyle name="19990216 2" xfId="54" xr:uid="{00000000-0005-0000-0000-000025000000}"/>
    <cellStyle name="20% - 강조색1 2" xfId="55" xr:uid="{00000000-0005-0000-0000-000026000000}"/>
    <cellStyle name="20% - 강조색1 2 2" xfId="56" xr:uid="{00000000-0005-0000-0000-000027000000}"/>
    <cellStyle name="20% - 강조색1 3" xfId="57" xr:uid="{00000000-0005-0000-0000-000028000000}"/>
    <cellStyle name="20% - 강조색2 2" xfId="58" xr:uid="{00000000-0005-0000-0000-000029000000}"/>
    <cellStyle name="20% - 강조색2 2 2" xfId="59" xr:uid="{00000000-0005-0000-0000-00002A000000}"/>
    <cellStyle name="20% - 강조색2 3" xfId="60" xr:uid="{00000000-0005-0000-0000-00002B000000}"/>
    <cellStyle name="20% - 강조색3 2" xfId="61" xr:uid="{00000000-0005-0000-0000-00002C000000}"/>
    <cellStyle name="20% - 강조색3 2 2" xfId="62" xr:uid="{00000000-0005-0000-0000-00002D000000}"/>
    <cellStyle name="20% - 강조색3 3" xfId="63" xr:uid="{00000000-0005-0000-0000-00002E000000}"/>
    <cellStyle name="20% - 강조색4 2" xfId="64" xr:uid="{00000000-0005-0000-0000-00002F000000}"/>
    <cellStyle name="20% - 강조색4 2 2" xfId="65" xr:uid="{00000000-0005-0000-0000-000030000000}"/>
    <cellStyle name="20% - 강조색4 3" xfId="66" xr:uid="{00000000-0005-0000-0000-000031000000}"/>
    <cellStyle name="20% - 강조색5 2" xfId="67" xr:uid="{00000000-0005-0000-0000-000032000000}"/>
    <cellStyle name="20% - 강조색5 2 2" xfId="68" xr:uid="{00000000-0005-0000-0000-000033000000}"/>
    <cellStyle name="20% - 강조색5 3" xfId="69" xr:uid="{00000000-0005-0000-0000-000034000000}"/>
    <cellStyle name="20% - 강조색6 2" xfId="70" xr:uid="{00000000-0005-0000-0000-000035000000}"/>
    <cellStyle name="20% - 강조색6 2 2" xfId="71" xr:uid="{00000000-0005-0000-0000-000036000000}"/>
    <cellStyle name="20% - 강조색6 3" xfId="72" xr:uid="{00000000-0005-0000-0000-000037000000}"/>
    <cellStyle name="40% - 강조색1 2" xfId="73" xr:uid="{00000000-0005-0000-0000-000038000000}"/>
    <cellStyle name="40% - 강조색1 2 2" xfId="74" xr:uid="{00000000-0005-0000-0000-000039000000}"/>
    <cellStyle name="40% - 강조색1 3" xfId="75" xr:uid="{00000000-0005-0000-0000-00003A000000}"/>
    <cellStyle name="40% - 강조색2 2" xfId="76" xr:uid="{00000000-0005-0000-0000-00003B000000}"/>
    <cellStyle name="40% - 강조색2 2 2" xfId="77" xr:uid="{00000000-0005-0000-0000-00003C000000}"/>
    <cellStyle name="40% - 강조색2 3" xfId="78" xr:uid="{00000000-0005-0000-0000-00003D000000}"/>
    <cellStyle name="40% - 강조색3 2" xfId="79" xr:uid="{00000000-0005-0000-0000-00003E000000}"/>
    <cellStyle name="40% - 강조색3 2 2" xfId="80" xr:uid="{00000000-0005-0000-0000-00003F000000}"/>
    <cellStyle name="40% - 강조색3 3" xfId="81" xr:uid="{00000000-0005-0000-0000-000040000000}"/>
    <cellStyle name="40% - 강조색4 2" xfId="82" xr:uid="{00000000-0005-0000-0000-000041000000}"/>
    <cellStyle name="40% - 강조색4 2 2" xfId="83" xr:uid="{00000000-0005-0000-0000-000042000000}"/>
    <cellStyle name="40% - 강조색4 3" xfId="84" xr:uid="{00000000-0005-0000-0000-000043000000}"/>
    <cellStyle name="40% - 강조색5 2" xfId="85" xr:uid="{00000000-0005-0000-0000-000044000000}"/>
    <cellStyle name="40% - 강조색5 2 2" xfId="86" xr:uid="{00000000-0005-0000-0000-000045000000}"/>
    <cellStyle name="40% - 강조색5 3" xfId="87" xr:uid="{00000000-0005-0000-0000-000046000000}"/>
    <cellStyle name="40% - 강조색6 2" xfId="88" xr:uid="{00000000-0005-0000-0000-000047000000}"/>
    <cellStyle name="40% - 강조색6 2 2" xfId="89" xr:uid="{00000000-0005-0000-0000-000048000000}"/>
    <cellStyle name="40% - 강조색6 3" xfId="90" xr:uid="{00000000-0005-0000-0000-000049000000}"/>
    <cellStyle name="60% - 강조색1 2" xfId="91" xr:uid="{00000000-0005-0000-0000-00004A000000}"/>
    <cellStyle name="60% - 강조색1 2 2" xfId="92" xr:uid="{00000000-0005-0000-0000-00004B000000}"/>
    <cellStyle name="60% - 강조색1 3" xfId="93" xr:uid="{00000000-0005-0000-0000-00004C000000}"/>
    <cellStyle name="60% - 강조색2 2" xfId="94" xr:uid="{00000000-0005-0000-0000-00004D000000}"/>
    <cellStyle name="60% - 강조색2 2 2" xfId="95" xr:uid="{00000000-0005-0000-0000-00004E000000}"/>
    <cellStyle name="60% - 강조색2 3" xfId="96" xr:uid="{00000000-0005-0000-0000-00004F000000}"/>
    <cellStyle name="60% - 강조색3 2" xfId="97" xr:uid="{00000000-0005-0000-0000-000050000000}"/>
    <cellStyle name="60% - 강조색3 2 2" xfId="98" xr:uid="{00000000-0005-0000-0000-000051000000}"/>
    <cellStyle name="60% - 강조색3 3" xfId="99" xr:uid="{00000000-0005-0000-0000-000052000000}"/>
    <cellStyle name="60% - 강조색4 2" xfId="100" xr:uid="{00000000-0005-0000-0000-000053000000}"/>
    <cellStyle name="60% - 강조색4 2 2" xfId="101" xr:uid="{00000000-0005-0000-0000-000054000000}"/>
    <cellStyle name="60% - 강조색4 3" xfId="102" xr:uid="{00000000-0005-0000-0000-000055000000}"/>
    <cellStyle name="60% - 강조색5 2" xfId="103" xr:uid="{00000000-0005-0000-0000-000056000000}"/>
    <cellStyle name="60% - 강조색5 2 2" xfId="104" xr:uid="{00000000-0005-0000-0000-000057000000}"/>
    <cellStyle name="60% - 강조색5 3" xfId="105" xr:uid="{00000000-0005-0000-0000-000058000000}"/>
    <cellStyle name="60% - 강조색6 2" xfId="106" xr:uid="{00000000-0005-0000-0000-000059000000}"/>
    <cellStyle name="60% - 강조색6 2 2" xfId="107" xr:uid="{00000000-0005-0000-0000-00005A000000}"/>
    <cellStyle name="60% - 강조색6 3" xfId="108" xr:uid="{00000000-0005-0000-0000-00005B000000}"/>
    <cellStyle name="ÅëÈ­ [0]_´ë¿©±Ý" xfId="269" xr:uid="{00000000-0005-0000-0000-00005C000000}"/>
    <cellStyle name="AeE­ [0]_¿­¸° INT" xfId="270" xr:uid="{00000000-0005-0000-0000-00005D000000}"/>
    <cellStyle name="ÅëÈ­ [0]_laroux" xfId="271" xr:uid="{00000000-0005-0000-0000-00005E000000}"/>
    <cellStyle name="ÅëÈ­_´ë¿©±Ý" xfId="272" xr:uid="{00000000-0005-0000-0000-00005F000000}"/>
    <cellStyle name="AeE­_¿­¸° INT" xfId="273" xr:uid="{00000000-0005-0000-0000-000060000000}"/>
    <cellStyle name="ÅëÈ­_laroux" xfId="274" xr:uid="{00000000-0005-0000-0000-000061000000}"/>
    <cellStyle name="Arial" xfId="275" xr:uid="{00000000-0005-0000-0000-000062000000}"/>
    <cellStyle name="Arial 2" xfId="276" xr:uid="{00000000-0005-0000-0000-000063000000}"/>
    <cellStyle name="ÄÞ¸¶ [0]_´ë¿©±Ý" xfId="277" xr:uid="{00000000-0005-0000-0000-000064000000}"/>
    <cellStyle name="AÞ¸¶ [0]_¿­¸° INT" xfId="278" xr:uid="{00000000-0005-0000-0000-000065000000}"/>
    <cellStyle name="ÄÞ¸¶ [0]_laroux" xfId="279" xr:uid="{00000000-0005-0000-0000-000066000000}"/>
    <cellStyle name="ÄÞ¸¶_´ë¿©±Ý" xfId="280" xr:uid="{00000000-0005-0000-0000-000067000000}"/>
    <cellStyle name="AÞ¸¶_¿­¸° INT" xfId="281" xr:uid="{00000000-0005-0000-0000-000068000000}"/>
    <cellStyle name="ÄÞ¸¶_laroux" xfId="282" xr:uid="{00000000-0005-0000-0000-000069000000}"/>
    <cellStyle name="body" xfId="283" xr:uid="{00000000-0005-0000-0000-00006A000000}"/>
    <cellStyle name="body 2" xfId="284" xr:uid="{00000000-0005-0000-0000-00006B000000}"/>
    <cellStyle name="Brand Align Left Text" xfId="285" xr:uid="{00000000-0005-0000-0000-00006C000000}"/>
    <cellStyle name="Brand Default" xfId="286" xr:uid="{00000000-0005-0000-0000-00006D000000}"/>
    <cellStyle name="Brand Default 2" xfId="287" xr:uid="{00000000-0005-0000-0000-00006E000000}"/>
    <cellStyle name="Brand Default 3" xfId="394" xr:uid="{00000000-0005-0000-0000-00006F000000}"/>
    <cellStyle name="Brand Default_1 Blank worksheet2" xfId="288" xr:uid="{00000000-0005-0000-0000-000070000000}"/>
    <cellStyle name="Brand Default_M사_Valuation_101213_V17_Revised" xfId="391" xr:uid="{00000000-0005-0000-0000-000071000000}"/>
    <cellStyle name="Brand Percent" xfId="289" xr:uid="{00000000-0005-0000-0000-000072000000}"/>
    <cellStyle name="Brand Source" xfId="290" xr:uid="{00000000-0005-0000-0000-000073000000}"/>
    <cellStyle name="Brand Subtitle with Underline" xfId="291" xr:uid="{00000000-0005-0000-0000-000074000000}"/>
    <cellStyle name="Brand Subtitle with Underline 2" xfId="292" xr:uid="{00000000-0005-0000-0000-000075000000}"/>
    <cellStyle name="Brand Subtitle with Underline 2 2" xfId="293" xr:uid="{00000000-0005-0000-0000-000076000000}"/>
    <cellStyle name="Brand Subtitle without Underline" xfId="294" xr:uid="{00000000-0005-0000-0000-000077000000}"/>
    <cellStyle name="Brand Title" xfId="295" xr:uid="{00000000-0005-0000-0000-000078000000}"/>
    <cellStyle name="Ç¥ÁØ_´ç¿ùÀÚ±Ý¼öÁö" xfId="296" xr:uid="{00000000-0005-0000-0000-000079000000}"/>
    <cellStyle name="C￥AØ_¸AAa.¼OAI " xfId="297" xr:uid="{00000000-0005-0000-0000-00007A000000}"/>
    <cellStyle name="Ç¥ÁØ_foxz" xfId="298" xr:uid="{00000000-0005-0000-0000-00007B000000}"/>
    <cellStyle name="Calc Currency (0)" xfId="299" xr:uid="{00000000-0005-0000-0000-00007C000000}"/>
    <cellStyle name="Calc Currency (0) 2" xfId="300" xr:uid="{00000000-0005-0000-0000-00007D000000}"/>
    <cellStyle name="category" xfId="301" xr:uid="{00000000-0005-0000-0000-00007E000000}"/>
    <cellStyle name="category 2" xfId="302" xr:uid="{00000000-0005-0000-0000-00007F000000}"/>
    <cellStyle name="Comma [0] 2" xfId="304" xr:uid="{00000000-0005-0000-0000-000081000000}"/>
    <cellStyle name="comma zerodec" xfId="305" xr:uid="{00000000-0005-0000-0000-000082000000}"/>
    <cellStyle name="Currency [0]" xfId="306" xr:uid="{00000000-0005-0000-0000-000083000000}"/>
    <cellStyle name="Currency [0] 2" xfId="307" xr:uid="{00000000-0005-0000-0000-000084000000}"/>
    <cellStyle name="Currency [0]?1" xfId="308" xr:uid="{00000000-0005-0000-0000-000085000000}"/>
    <cellStyle name="Currency [0]?1 2" xfId="309" xr:uid="{00000000-0005-0000-0000-000086000000}"/>
    <cellStyle name="Currency [0]_ 내역 (2)" xfId="310" xr:uid="{00000000-0005-0000-0000-000087000000}"/>
    <cellStyle name="Currency1" xfId="311" xr:uid="{00000000-0005-0000-0000-000088000000}"/>
    <cellStyle name="Date" xfId="312" xr:uid="{00000000-0005-0000-0000-000089000000}"/>
    <cellStyle name="Dezimal [0]_Company sheet (2)" xfId="313" xr:uid="{00000000-0005-0000-0000-00008A000000}"/>
    <cellStyle name="Dezimal_Company sheet (2)" xfId="314" xr:uid="{00000000-0005-0000-0000-00008B000000}"/>
    <cellStyle name="Dollar (zero dec)" xfId="315" xr:uid="{00000000-0005-0000-0000-00008C000000}"/>
    <cellStyle name="Euro" xfId="316" xr:uid="{00000000-0005-0000-0000-00008D000000}"/>
    <cellStyle name="Fixed" xfId="317" xr:uid="{00000000-0005-0000-0000-00008E000000}"/>
    <cellStyle name="Grey" xfId="318" xr:uid="{00000000-0005-0000-0000-00008F000000}"/>
    <cellStyle name="head" xfId="319" xr:uid="{00000000-0005-0000-0000-000090000000}"/>
    <cellStyle name="head 1" xfId="320" xr:uid="{00000000-0005-0000-0000-000091000000}"/>
    <cellStyle name="head 1 2" xfId="321" xr:uid="{00000000-0005-0000-0000-000092000000}"/>
    <cellStyle name="head 1-1" xfId="322" xr:uid="{00000000-0005-0000-0000-000093000000}"/>
    <cellStyle name="head 1-1 2" xfId="323" xr:uid="{00000000-0005-0000-0000-000094000000}"/>
    <cellStyle name="head 2" xfId="324" xr:uid="{00000000-0005-0000-0000-000095000000}"/>
    <cellStyle name="HEADER" xfId="325" xr:uid="{00000000-0005-0000-0000-000096000000}"/>
    <cellStyle name="HEADER 2" xfId="326" xr:uid="{00000000-0005-0000-0000-000097000000}"/>
    <cellStyle name="Header1" xfId="327" xr:uid="{00000000-0005-0000-0000-000098000000}"/>
    <cellStyle name="Header1 2" xfId="328" xr:uid="{00000000-0005-0000-0000-000099000000}"/>
    <cellStyle name="Header2" xfId="329" xr:uid="{00000000-0005-0000-0000-00009A000000}"/>
    <cellStyle name="Header2 2" xfId="330" xr:uid="{00000000-0005-0000-0000-00009B000000}"/>
    <cellStyle name="Heading1" xfId="331" xr:uid="{00000000-0005-0000-0000-00009C000000}"/>
    <cellStyle name="Heading2" xfId="332" xr:uid="{00000000-0005-0000-0000-00009D000000}"/>
    <cellStyle name="Hedaings" xfId="333" xr:uid="{00000000-0005-0000-0000-00009E000000}"/>
    <cellStyle name="Hedaings 2" xfId="334" xr:uid="{00000000-0005-0000-0000-00009F000000}"/>
    <cellStyle name="Horizontal" xfId="335" xr:uid="{00000000-0005-0000-0000-0000A0000000}"/>
    <cellStyle name="Horizontal 2" xfId="336" xr:uid="{00000000-0005-0000-0000-0000A1000000}"/>
    <cellStyle name="Input [yellow]" xfId="337" xr:uid="{00000000-0005-0000-0000-0000A2000000}"/>
    <cellStyle name="Matrix" xfId="338" xr:uid="{00000000-0005-0000-0000-0000A3000000}"/>
    <cellStyle name="Matrix 2" xfId="339" xr:uid="{00000000-0005-0000-0000-0000A4000000}"/>
    <cellStyle name="Millares [0]_PERSONAL" xfId="340" xr:uid="{00000000-0005-0000-0000-0000A5000000}"/>
    <cellStyle name="Millares_PERSONAL" xfId="341" xr:uid="{00000000-0005-0000-0000-0000A6000000}"/>
    <cellStyle name="Milliers [0]_pldt" xfId="342" xr:uid="{00000000-0005-0000-0000-0000A7000000}"/>
    <cellStyle name="Milliers_pldt" xfId="343" xr:uid="{00000000-0005-0000-0000-0000A8000000}"/>
    <cellStyle name="Model" xfId="344" xr:uid="{00000000-0005-0000-0000-0000A9000000}"/>
    <cellStyle name="Model 2" xfId="345" xr:uid="{00000000-0005-0000-0000-0000AA000000}"/>
    <cellStyle name="Moneda [0]_CONTENCION CONDELL 25.051" xfId="346" xr:uid="{00000000-0005-0000-0000-0000AB000000}"/>
    <cellStyle name="Moneda_CONTENCION CONDELL 25.051" xfId="347" xr:uid="{00000000-0005-0000-0000-0000AC000000}"/>
    <cellStyle name="Monétaire [0]_PLDT" xfId="348" xr:uid="{00000000-0005-0000-0000-0000AD000000}"/>
    <cellStyle name="Monétaire_PLDT" xfId="349" xr:uid="{00000000-0005-0000-0000-0000AE000000}"/>
    <cellStyle name="Option" xfId="350" xr:uid="{00000000-0005-0000-0000-0000B0000000}"/>
    <cellStyle name="Option 2" xfId="351" xr:uid="{00000000-0005-0000-0000-0000B1000000}"/>
    <cellStyle name="OptionHeading" xfId="352" xr:uid="{00000000-0005-0000-0000-0000B2000000}"/>
    <cellStyle name="OptionHeading 2" xfId="353" xr:uid="{00000000-0005-0000-0000-0000B3000000}"/>
    <cellStyle name="Output Amounts" xfId="354" xr:uid="{00000000-0005-0000-0000-0000B4000000}"/>
    <cellStyle name="Output Column Headings" xfId="355" xr:uid="{00000000-0005-0000-0000-0000B5000000}"/>
    <cellStyle name="Output Column Headings 2" xfId="356" xr:uid="{00000000-0005-0000-0000-0000B6000000}"/>
    <cellStyle name="Output Line Items" xfId="357" xr:uid="{00000000-0005-0000-0000-0000B7000000}"/>
    <cellStyle name="Output Line Items 2" xfId="358" xr:uid="{00000000-0005-0000-0000-0000B8000000}"/>
    <cellStyle name="Output Report Heading" xfId="359" xr:uid="{00000000-0005-0000-0000-0000B9000000}"/>
    <cellStyle name="Output Report Heading 2" xfId="360" xr:uid="{00000000-0005-0000-0000-0000BA000000}"/>
    <cellStyle name="Output Report Title" xfId="361" xr:uid="{00000000-0005-0000-0000-0000BB000000}"/>
    <cellStyle name="Output Report Title 2" xfId="362" xr:uid="{00000000-0005-0000-0000-0000BC000000}"/>
    <cellStyle name="Percent [2]" xfId="363" xr:uid="{00000000-0005-0000-0000-0000BE000000}"/>
    <cellStyle name="Pourcentage_pldt" xfId="364" xr:uid="{00000000-0005-0000-0000-0000BF000000}"/>
    <cellStyle name="Smart Bold" xfId="4" xr:uid="{00000000-0005-0000-0000-0000C0000000}"/>
    <cellStyle name="Smart Bold 2" xfId="390" xr:uid="{00000000-0005-0000-0000-0000C1000000}"/>
    <cellStyle name="Smart Forecast" xfId="5" xr:uid="{00000000-0005-0000-0000-0000C2000000}"/>
    <cellStyle name="Smart Forecast 2" xfId="365" xr:uid="{00000000-0005-0000-0000-0000C3000000}"/>
    <cellStyle name="Smart General" xfId="6" xr:uid="{00000000-0005-0000-0000-0000C4000000}"/>
    <cellStyle name="Smart General 2" xfId="366" xr:uid="{00000000-0005-0000-0000-0000C5000000}"/>
    <cellStyle name="Smart Highlight" xfId="7" xr:uid="{00000000-0005-0000-0000-0000C6000000}"/>
    <cellStyle name="Smart Highlight 2" xfId="15" xr:uid="{00000000-0005-0000-0000-0000C7000000}"/>
    <cellStyle name="Smart Percent" xfId="8" xr:uid="{00000000-0005-0000-0000-0000C8000000}"/>
    <cellStyle name="Smart Source" xfId="9" xr:uid="{00000000-0005-0000-0000-0000C9000000}"/>
    <cellStyle name="Smart Source 2" xfId="392" xr:uid="{00000000-0005-0000-0000-0000CA000000}"/>
    <cellStyle name="Smart Subtitle 1" xfId="10" xr:uid="{00000000-0005-0000-0000-0000CB000000}"/>
    <cellStyle name="Smart Subtitle 1 2" xfId="367" xr:uid="{00000000-0005-0000-0000-0000CC000000}"/>
    <cellStyle name="Smart Subtitle 1 2 2" xfId="368" xr:uid="{00000000-0005-0000-0000-0000CD000000}"/>
    <cellStyle name="Smart Subtitle 1 3" xfId="369" xr:uid="{00000000-0005-0000-0000-0000CE000000}"/>
    <cellStyle name="Smart Subtitle 2" xfId="11" xr:uid="{00000000-0005-0000-0000-0000CF000000}"/>
    <cellStyle name="Smart Subtitle 2 2" xfId="370" xr:uid="{00000000-0005-0000-0000-0000D0000000}"/>
    <cellStyle name="Smart Subtotal" xfId="12" xr:uid="{00000000-0005-0000-0000-0000D1000000}"/>
    <cellStyle name="Smart Subtotal 2" xfId="371" xr:uid="{00000000-0005-0000-0000-0000D2000000}"/>
    <cellStyle name="Smart Title" xfId="2" xr:uid="{00000000-0005-0000-0000-0000D3000000}"/>
    <cellStyle name="Smart Title 2" xfId="16" xr:uid="{00000000-0005-0000-0000-0000D4000000}"/>
    <cellStyle name="Smart Title 2 2" xfId="372" xr:uid="{00000000-0005-0000-0000-0000D5000000}"/>
    <cellStyle name="Smart Title 2 3" xfId="397" xr:uid="{00000000-0005-0000-0000-0000D6000000}"/>
    <cellStyle name="Smart Title 3" xfId="373" xr:uid="{00000000-0005-0000-0000-0000D7000000}"/>
    <cellStyle name="Smart Title 4" xfId="374" xr:uid="{00000000-0005-0000-0000-0000D8000000}"/>
    <cellStyle name="Smart Title 5" xfId="375" xr:uid="{00000000-0005-0000-0000-0000D9000000}"/>
    <cellStyle name="Smart Title 6" xfId="376" xr:uid="{00000000-0005-0000-0000-0000DA000000}"/>
    <cellStyle name="Smart Total" xfId="13" xr:uid="{00000000-0005-0000-0000-0000DB000000}"/>
    <cellStyle name="Smart Total 2" xfId="377" xr:uid="{00000000-0005-0000-0000-0000DC000000}"/>
    <cellStyle name="Standard_laroux" xfId="378" xr:uid="{00000000-0005-0000-0000-0000DD000000}"/>
    <cellStyle name="subhead" xfId="379" xr:uid="{00000000-0005-0000-0000-0000DE000000}"/>
    <cellStyle name="subhead 2" xfId="380" xr:uid="{00000000-0005-0000-0000-0000DF000000}"/>
    <cellStyle name="Total" xfId="381" xr:uid="{00000000-0005-0000-0000-0000E0000000}"/>
    <cellStyle name="Vertical" xfId="382" xr:uid="{00000000-0005-0000-0000-0000E1000000}"/>
    <cellStyle name="Vertical 2" xfId="383" xr:uid="{00000000-0005-0000-0000-0000E2000000}"/>
    <cellStyle name="Währung [0]_Inhalt" xfId="384" xr:uid="{00000000-0005-0000-0000-0000E3000000}"/>
    <cellStyle name="Währung_Inhalt" xfId="385" xr:uid="{00000000-0005-0000-0000-0000E4000000}"/>
    <cellStyle name="강조색1 2" xfId="109" xr:uid="{00000000-0005-0000-0000-0000E5000000}"/>
    <cellStyle name="강조색1 2 2" xfId="110" xr:uid="{00000000-0005-0000-0000-0000E6000000}"/>
    <cellStyle name="강조색1 3" xfId="111" xr:uid="{00000000-0005-0000-0000-0000E7000000}"/>
    <cellStyle name="강조색2 2" xfId="112" xr:uid="{00000000-0005-0000-0000-0000E8000000}"/>
    <cellStyle name="강조색2 2 2" xfId="113" xr:uid="{00000000-0005-0000-0000-0000E9000000}"/>
    <cellStyle name="강조색2 3" xfId="114" xr:uid="{00000000-0005-0000-0000-0000EA000000}"/>
    <cellStyle name="강조색3 2" xfId="115" xr:uid="{00000000-0005-0000-0000-0000EB000000}"/>
    <cellStyle name="강조색3 2 2" xfId="116" xr:uid="{00000000-0005-0000-0000-0000EC000000}"/>
    <cellStyle name="강조색3 3" xfId="117" xr:uid="{00000000-0005-0000-0000-0000ED000000}"/>
    <cellStyle name="강조색4 2" xfId="118" xr:uid="{00000000-0005-0000-0000-0000EE000000}"/>
    <cellStyle name="강조색4 2 2" xfId="119" xr:uid="{00000000-0005-0000-0000-0000EF000000}"/>
    <cellStyle name="강조색4 3" xfId="120" xr:uid="{00000000-0005-0000-0000-0000F0000000}"/>
    <cellStyle name="강조색5 2" xfId="121" xr:uid="{00000000-0005-0000-0000-0000F1000000}"/>
    <cellStyle name="강조색5 2 2" xfId="122" xr:uid="{00000000-0005-0000-0000-0000F2000000}"/>
    <cellStyle name="강조색5 3" xfId="123" xr:uid="{00000000-0005-0000-0000-0000F3000000}"/>
    <cellStyle name="강조색6 2" xfId="124" xr:uid="{00000000-0005-0000-0000-0000F4000000}"/>
    <cellStyle name="강조색6 2 2" xfId="125" xr:uid="{00000000-0005-0000-0000-0000F5000000}"/>
    <cellStyle name="강조색6 3" xfId="126" xr:uid="{00000000-0005-0000-0000-0000F6000000}"/>
    <cellStyle name="경고문 2" xfId="127" xr:uid="{00000000-0005-0000-0000-0000F7000000}"/>
    <cellStyle name="경고문 2 2" xfId="128" xr:uid="{00000000-0005-0000-0000-0000F8000000}"/>
    <cellStyle name="경고문 3" xfId="129" xr:uid="{00000000-0005-0000-0000-0000F9000000}"/>
    <cellStyle name="계산 2" xfId="130" xr:uid="{00000000-0005-0000-0000-0000FA000000}"/>
    <cellStyle name="계산 2 2" xfId="131" xr:uid="{00000000-0005-0000-0000-0000FB000000}"/>
    <cellStyle name="계산 3" xfId="132" xr:uid="{00000000-0005-0000-0000-0000FC000000}"/>
    <cellStyle name="고정소숫점" xfId="133" xr:uid="{00000000-0005-0000-0000-0000FD000000}"/>
    <cellStyle name="고정출력1" xfId="134" xr:uid="{00000000-0005-0000-0000-0000FE000000}"/>
    <cellStyle name="고정출력1 2" xfId="135" xr:uid="{00000000-0005-0000-0000-0000FF000000}"/>
    <cellStyle name="고정출력2" xfId="136" xr:uid="{00000000-0005-0000-0000-000000010000}"/>
    <cellStyle name="고정출력2 2" xfId="137" xr:uid="{00000000-0005-0000-0000-000001010000}"/>
    <cellStyle name="금액" xfId="138" xr:uid="{00000000-0005-0000-0000-000002010000}"/>
    <cellStyle name="나쁨 2" xfId="139" xr:uid="{00000000-0005-0000-0000-000003010000}"/>
    <cellStyle name="나쁨 2 2" xfId="140" xr:uid="{00000000-0005-0000-0000-000004010000}"/>
    <cellStyle name="나쁨 3" xfId="141" xr:uid="{00000000-0005-0000-0000-000005010000}"/>
    <cellStyle name="날짜" xfId="142" xr:uid="{00000000-0005-0000-0000-000006010000}"/>
    <cellStyle name="날짜 2" xfId="143" xr:uid="{00000000-0005-0000-0000-000007010000}"/>
    <cellStyle name="달러" xfId="144" xr:uid="{00000000-0005-0000-0000-000008010000}"/>
    <cellStyle name="달러 2" xfId="145" xr:uid="{00000000-0005-0000-0000-000009010000}"/>
    <cellStyle name="뒤에 오는 하이퍼링크_고정부채- 2 박양희" xfId="146" xr:uid="{00000000-0005-0000-0000-00000A010000}"/>
    <cellStyle name="똿뗦먛귟 [0.00]_PRODUCT DETAIL Q1" xfId="147" xr:uid="{00000000-0005-0000-0000-00000B010000}"/>
    <cellStyle name="똿뗦먛귟_PRODUCT DETAIL Q1" xfId="148" xr:uid="{00000000-0005-0000-0000-00000C010000}"/>
    <cellStyle name="메모 2" xfId="149" xr:uid="{00000000-0005-0000-0000-00000D010000}"/>
    <cellStyle name="메모 2 2" xfId="150" xr:uid="{00000000-0005-0000-0000-00000E010000}"/>
    <cellStyle name="믅됞 [0.00]_PRODUCT DETAIL Q1" xfId="151" xr:uid="{00000000-0005-0000-0000-00000F010000}"/>
    <cellStyle name="믅됞_PRODUCT DETAIL Q1" xfId="152" xr:uid="{00000000-0005-0000-0000-000010010000}"/>
    <cellStyle name="백분율" xfId="1" builtinId="5" customBuiltin="1"/>
    <cellStyle name="백분율 2" xfId="14" xr:uid="{00000000-0005-0000-0000-000011010000}"/>
    <cellStyle name="백분율 3" xfId="153" xr:uid="{00000000-0005-0000-0000-000012010000}"/>
    <cellStyle name="백분율 3 2" xfId="154" xr:uid="{00000000-0005-0000-0000-000013010000}"/>
    <cellStyle name="백분율 4" xfId="396" xr:uid="{00000000-0005-0000-0000-000014010000}"/>
    <cellStyle name="백분율 5" xfId="155" xr:uid="{00000000-0005-0000-0000-000015010000}"/>
    <cellStyle name="백분율 7" xfId="388" xr:uid="{00000000-0005-0000-0000-000016010000}"/>
    <cellStyle name="보통 2" xfId="156" xr:uid="{00000000-0005-0000-0000-000017010000}"/>
    <cellStyle name="보통 2 2" xfId="157" xr:uid="{00000000-0005-0000-0000-000018010000}"/>
    <cellStyle name="보통 3" xfId="158" xr:uid="{00000000-0005-0000-0000-000019010000}"/>
    <cellStyle name="뷭?_BOOKSHIP" xfId="159" xr:uid="{00000000-0005-0000-0000-00001A010000}"/>
    <cellStyle name="常规_investee status_alibaba" xfId="160" xr:uid="{00000000-0005-0000-0000-00001B010000}"/>
    <cellStyle name="새귑[0]_롤痰삠悧 " xfId="161" xr:uid="{00000000-0005-0000-0000-00001C010000}"/>
    <cellStyle name="새귑_롤痰삠悧 " xfId="162" xr:uid="{00000000-0005-0000-0000-00001D010000}"/>
    <cellStyle name="설명 텍스트 2" xfId="163" xr:uid="{00000000-0005-0000-0000-00001E010000}"/>
    <cellStyle name="설명 텍스트 2 2" xfId="164" xr:uid="{00000000-0005-0000-0000-00001F010000}"/>
    <cellStyle name="설명 텍스트 3" xfId="165" xr:uid="{00000000-0005-0000-0000-000020010000}"/>
    <cellStyle name="셀 확인 2" xfId="166" xr:uid="{00000000-0005-0000-0000-000021010000}"/>
    <cellStyle name="셀 확인 2 2" xfId="167" xr:uid="{00000000-0005-0000-0000-000022010000}"/>
    <cellStyle name="셀 확인 3" xfId="168" xr:uid="{00000000-0005-0000-0000-000023010000}"/>
    <cellStyle name="숫자(R)" xfId="169" xr:uid="{00000000-0005-0000-0000-000024010000}"/>
    <cellStyle name="쉼표 [0]" xfId="303" builtinId="6"/>
    <cellStyle name="쉼표 [0] 16" xfId="387" xr:uid="{00000000-0005-0000-0000-000025010000}"/>
    <cellStyle name="쉼표 [0] 2" xfId="170" xr:uid="{00000000-0005-0000-0000-000026010000}"/>
    <cellStyle name="쉼표 [0] 2 2" xfId="171" xr:uid="{00000000-0005-0000-0000-000027010000}"/>
    <cellStyle name="쉼표 [0] 2 3" xfId="172" xr:uid="{00000000-0005-0000-0000-000028010000}"/>
    <cellStyle name="쉼표 [0] 2 4" xfId="173" xr:uid="{00000000-0005-0000-0000-000029010000}"/>
    <cellStyle name="쉼표 [0] 3" xfId="174" xr:uid="{00000000-0005-0000-0000-00002A010000}"/>
    <cellStyle name="쉼표 [0] 3 2" xfId="175" xr:uid="{00000000-0005-0000-0000-00002B010000}"/>
    <cellStyle name="쉼표 [0] 4" xfId="176" xr:uid="{00000000-0005-0000-0000-00002C010000}"/>
    <cellStyle name="쉼표 [0] 5" xfId="177" xr:uid="{00000000-0005-0000-0000-00002D010000}"/>
    <cellStyle name="쉼표 [0] 6" xfId="178" xr:uid="{00000000-0005-0000-0000-00002E010000}"/>
    <cellStyle name="쉼표 [0] 7" xfId="389" xr:uid="{00000000-0005-0000-0000-00002F010000}"/>
    <cellStyle name="쉼표 [0] 8" xfId="179" xr:uid="{00000000-0005-0000-0000-000030010000}"/>
    <cellStyle name="쉼표 [0] 9" xfId="395" xr:uid="{00000000-0005-0000-0000-000031010000}"/>
    <cellStyle name="쉼표 2" xfId="180" xr:uid="{00000000-0005-0000-0000-000032010000}"/>
    <cellStyle name="스타일 1" xfId="181" xr:uid="{00000000-0005-0000-0000-000033010000}"/>
    <cellStyle name="스타일 1 2" xfId="182" xr:uid="{00000000-0005-0000-0000-000034010000}"/>
    <cellStyle name="안건회계법인" xfId="183" xr:uid="{00000000-0005-0000-0000-000035010000}"/>
    <cellStyle name="안건회계법인 2" xfId="184" xr:uid="{00000000-0005-0000-0000-000036010000}"/>
    <cellStyle name="연결된 셀 2" xfId="185" xr:uid="{00000000-0005-0000-0000-000037010000}"/>
    <cellStyle name="연결된 셀 2 2" xfId="186" xr:uid="{00000000-0005-0000-0000-000038010000}"/>
    <cellStyle name="연결된 셀 3" xfId="187" xr:uid="{00000000-0005-0000-0000-000039010000}"/>
    <cellStyle name="열어 본 하이퍼링크 2" xfId="188" xr:uid="{00000000-0005-0000-0000-00003A010000}"/>
    <cellStyle name="요약 2" xfId="189" xr:uid="{00000000-0005-0000-0000-00003B010000}"/>
    <cellStyle name="요약 2 2" xfId="190" xr:uid="{00000000-0005-0000-0000-00003C010000}"/>
    <cellStyle name="요약 3" xfId="191" xr:uid="{00000000-0005-0000-0000-00003D010000}"/>
    <cellStyle name="원" xfId="192" xr:uid="{00000000-0005-0000-0000-00003E010000}"/>
    <cellStyle name="입력 2" xfId="193" xr:uid="{00000000-0005-0000-0000-00003F010000}"/>
    <cellStyle name="입력 2 2" xfId="194" xr:uid="{00000000-0005-0000-0000-000040010000}"/>
    <cellStyle name="입력 3" xfId="195" xr:uid="{00000000-0005-0000-0000-000041010000}"/>
    <cellStyle name="자리수" xfId="196" xr:uid="{00000000-0005-0000-0000-000042010000}"/>
    <cellStyle name="자리수0" xfId="197" xr:uid="{00000000-0005-0000-0000-000043010000}"/>
    <cellStyle name="제목 1 2" xfId="198" xr:uid="{00000000-0005-0000-0000-000044010000}"/>
    <cellStyle name="제목 1 2 2" xfId="199" xr:uid="{00000000-0005-0000-0000-000045010000}"/>
    <cellStyle name="제목 2 2" xfId="200" xr:uid="{00000000-0005-0000-0000-000046010000}"/>
    <cellStyle name="제목 2 2 2" xfId="201" xr:uid="{00000000-0005-0000-0000-000047010000}"/>
    <cellStyle name="제목 3 2" xfId="202" xr:uid="{00000000-0005-0000-0000-000048010000}"/>
    <cellStyle name="제목 3 2 2" xfId="203" xr:uid="{00000000-0005-0000-0000-000049010000}"/>
    <cellStyle name="제목 4 2" xfId="204" xr:uid="{00000000-0005-0000-0000-00004A010000}"/>
    <cellStyle name="제목 4 2 2" xfId="205" xr:uid="{00000000-0005-0000-0000-00004B010000}"/>
    <cellStyle name="제목 5" xfId="206" xr:uid="{00000000-0005-0000-0000-00004C010000}"/>
    <cellStyle name="제목 5 2" xfId="207" xr:uid="{00000000-0005-0000-0000-00004D010000}"/>
    <cellStyle name="좋음 2" xfId="208" xr:uid="{00000000-0005-0000-0000-00004E010000}"/>
    <cellStyle name="좋음 2 2" xfId="209" xr:uid="{00000000-0005-0000-0000-00004F010000}"/>
    <cellStyle name="좋음 3" xfId="210" xr:uid="{00000000-0005-0000-0000-000050010000}"/>
    <cellStyle name="중앙(표준)" xfId="211" xr:uid="{00000000-0005-0000-0000-000051010000}"/>
    <cellStyle name="중앙(표준) 2" xfId="212" xr:uid="{00000000-0005-0000-0000-000052010000}"/>
    <cellStyle name="지정되지 않음" xfId="213" xr:uid="{00000000-0005-0000-0000-000053010000}"/>
    <cellStyle name="지정되지 않음 2" xfId="214" xr:uid="{00000000-0005-0000-0000-000054010000}"/>
    <cellStyle name="千位分隔[0]_investee status_alibaba" xfId="215" xr:uid="{00000000-0005-0000-0000-000055010000}"/>
    <cellStyle name="출력 2" xfId="216" xr:uid="{00000000-0005-0000-0000-000056010000}"/>
    <cellStyle name="출력 2 2" xfId="217" xr:uid="{00000000-0005-0000-0000-000057010000}"/>
    <cellStyle name="출력 3" xfId="218" xr:uid="{00000000-0005-0000-0000-000058010000}"/>
    <cellStyle name="콤마 [0]_  종  합  " xfId="219" xr:uid="{00000000-0005-0000-0000-000059010000}"/>
    <cellStyle name="콤마_  종  합  " xfId="220" xr:uid="{00000000-0005-0000-0000-00005A010000}"/>
    <cellStyle name="통화 [0] 2" xfId="221" xr:uid="{00000000-0005-0000-0000-00005B010000}"/>
    <cellStyle name="퍼센트" xfId="222" xr:uid="{00000000-0005-0000-0000-00005C010000}"/>
    <cellStyle name="표준" xfId="0" builtinId="0" customBuiltin="1"/>
    <cellStyle name="표준 10" xfId="223" xr:uid="{00000000-0005-0000-0000-00005D010000}"/>
    <cellStyle name="표준 10 2" xfId="224" xr:uid="{00000000-0005-0000-0000-00005E010000}"/>
    <cellStyle name="표준 11" xfId="225" xr:uid="{00000000-0005-0000-0000-00005F010000}"/>
    <cellStyle name="표준 12" xfId="386" xr:uid="{00000000-0005-0000-0000-000060010000}"/>
    <cellStyle name="표준 15" xfId="226" xr:uid="{00000000-0005-0000-0000-000061010000}"/>
    <cellStyle name="표준 15 2" xfId="227" xr:uid="{00000000-0005-0000-0000-000062010000}"/>
    <cellStyle name="표준 2" xfId="3" xr:uid="{00000000-0005-0000-0000-000063010000}"/>
    <cellStyle name="표준 2 2" xfId="228" xr:uid="{00000000-0005-0000-0000-000064010000}"/>
    <cellStyle name="표준 2 2 2" xfId="229" xr:uid="{00000000-0005-0000-0000-000065010000}"/>
    <cellStyle name="표준 2 3" xfId="230" xr:uid="{00000000-0005-0000-0000-000066010000}"/>
    <cellStyle name="표준 2 3 2" xfId="231" xr:uid="{00000000-0005-0000-0000-000067010000}"/>
    <cellStyle name="표준 2 4" xfId="232" xr:uid="{00000000-0005-0000-0000-000068010000}"/>
    <cellStyle name="표준 2 4 2" xfId="233" xr:uid="{00000000-0005-0000-0000-000069010000}"/>
    <cellStyle name="표준 2 5" xfId="234" xr:uid="{00000000-0005-0000-0000-00006A010000}"/>
    <cellStyle name="표준 3" xfId="235" xr:uid="{00000000-0005-0000-0000-00006B010000}"/>
    <cellStyle name="표준 3 2" xfId="236" xr:uid="{00000000-0005-0000-0000-00006C010000}"/>
    <cellStyle name="표준 3 2 2" xfId="237" xr:uid="{00000000-0005-0000-0000-00006D010000}"/>
    <cellStyle name="표준 3 3" xfId="238" xr:uid="{00000000-0005-0000-0000-00006E010000}"/>
    <cellStyle name="표준 3 3 2" xfId="239" xr:uid="{00000000-0005-0000-0000-00006F010000}"/>
    <cellStyle name="표준 3 4" xfId="240" xr:uid="{00000000-0005-0000-0000-000070010000}"/>
    <cellStyle name="표준 4" xfId="241" xr:uid="{00000000-0005-0000-0000-000071010000}"/>
    <cellStyle name="표준 4 2" xfId="242" xr:uid="{00000000-0005-0000-0000-000072010000}"/>
    <cellStyle name="표준 4 2 2" xfId="243" xr:uid="{00000000-0005-0000-0000-000073010000}"/>
    <cellStyle name="표준 4 3" xfId="244" xr:uid="{00000000-0005-0000-0000-000074010000}"/>
    <cellStyle name="표준 5" xfId="245" xr:uid="{00000000-0005-0000-0000-000075010000}"/>
    <cellStyle name="표준 5 2" xfId="246" xr:uid="{00000000-0005-0000-0000-000076010000}"/>
    <cellStyle name="표준 5 2 2" xfId="247" xr:uid="{00000000-0005-0000-0000-000077010000}"/>
    <cellStyle name="표준 5 3" xfId="248" xr:uid="{00000000-0005-0000-0000-000078010000}"/>
    <cellStyle name="표준 6" xfId="249" xr:uid="{00000000-0005-0000-0000-000079010000}"/>
    <cellStyle name="표준 6 2" xfId="250" xr:uid="{00000000-0005-0000-0000-00007A010000}"/>
    <cellStyle name="표준 7" xfId="251" xr:uid="{00000000-0005-0000-0000-00007B010000}"/>
    <cellStyle name="표준 7 2" xfId="252" xr:uid="{00000000-0005-0000-0000-00007C010000}"/>
    <cellStyle name="표준 8" xfId="253" xr:uid="{00000000-0005-0000-0000-00007D010000}"/>
    <cellStyle name="표준 9" xfId="254" xr:uid="{00000000-0005-0000-0000-00007E010000}"/>
    <cellStyle name="표준 9 2" xfId="255" xr:uid="{00000000-0005-0000-0000-00007F010000}"/>
    <cellStyle name="표준(중앙)" xfId="256" xr:uid="{00000000-0005-0000-0000-000080010000}"/>
    <cellStyle name="표준(중앙) 2" xfId="257" xr:uid="{00000000-0005-0000-0000-000081010000}"/>
    <cellStyle name="標準_98CFFORM" xfId="258" xr:uid="{00000000-0005-0000-0000-000082010000}"/>
    <cellStyle name="표준_M사_Valuation_101213_V17_Revised" xfId="393" xr:uid="{00000000-0005-0000-0000-000083010000}"/>
    <cellStyle name="하이퍼링크 2" xfId="259" xr:uid="{00000000-0005-0000-0000-000084010000}"/>
    <cellStyle name="하이퍼링크 2 2" xfId="260" xr:uid="{00000000-0005-0000-0000-000085010000}"/>
    <cellStyle name="하이퍼링크 3" xfId="261" xr:uid="{00000000-0005-0000-0000-000086010000}"/>
    <cellStyle name="하이퍼링크 3 2" xfId="262" xr:uid="{00000000-0005-0000-0000-000087010000}"/>
    <cellStyle name="하이퍼링크 4" xfId="263" xr:uid="{00000000-0005-0000-0000-000088010000}"/>
    <cellStyle name="합산" xfId="264" xr:uid="{00000000-0005-0000-0000-000089010000}"/>
    <cellStyle name="합산 2" xfId="265" xr:uid="{00000000-0005-0000-0000-00008A010000}"/>
    <cellStyle name="桁区切り_98CFFORM" xfId="266" xr:uid="{00000000-0005-0000-0000-00008B010000}"/>
    <cellStyle name="화폐기호" xfId="267" xr:uid="{00000000-0005-0000-0000-00008C010000}"/>
    <cellStyle name="화폐기호0" xfId="268" xr:uid="{00000000-0005-0000-0000-00008D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매출추정!$C$327</c:f>
              <c:strCache>
                <c:ptCount val="1"/>
                <c:pt idx="0">
                  <c:v>C/E</c:v>
                </c:pt>
              </c:strCache>
            </c:strRef>
          </c:tx>
          <c:invertIfNegative val="0"/>
          <c:cat>
            <c:numRef>
              <c:f>매출추정!$D$326:$M$326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매출추정!$D$327:$M$327</c:f>
              <c:numCache>
                <c:formatCode>_(* #,##0_);_(* \(#,##0\);_(* "-"_);_(@_)</c:formatCode>
                <c:ptCount val="10"/>
                <c:pt idx="0">
                  <c:v>14555</c:v>
                </c:pt>
                <c:pt idx="1">
                  <c:v>15267</c:v>
                </c:pt>
                <c:pt idx="2">
                  <c:v>15659</c:v>
                </c:pt>
                <c:pt idx="3">
                  <c:v>16381</c:v>
                </c:pt>
                <c:pt idx="4">
                  <c:v>17487</c:v>
                </c:pt>
                <c:pt idx="5">
                  <c:v>19158</c:v>
                </c:pt>
                <c:pt idx="6">
                  <c:v>20555</c:v>
                </c:pt>
                <c:pt idx="7">
                  <c:v>21781</c:v>
                </c:pt>
                <c:pt idx="8">
                  <c:v>22962.872508394652</c:v>
                </c:pt>
                <c:pt idx="9">
                  <c:v>24208.875342582385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E-4A9A-9C04-224D81CE8FAD}"/>
            </c:ext>
          </c:extLst>
        </c:ser>
        <c:ser>
          <c:idx val="2"/>
          <c:order val="1"/>
          <c:tx>
            <c:strRef>
              <c:f>매출추정!$C$328</c:f>
              <c:strCache>
                <c:ptCount val="1"/>
                <c:pt idx="0">
                  <c:v>C/A</c:v>
                </c:pt>
              </c:strCache>
            </c:strRef>
          </c:tx>
          <c:invertIfNegative val="0"/>
          <c:cat>
            <c:numRef>
              <c:f>매출추정!$D$326:$M$326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매출추정!$D$328:$M$328</c:f>
              <c:numCache>
                <c:formatCode>_(* #,##0_);_(* \(#,##0\);_(* "-"_);_(@_)</c:formatCode>
                <c:ptCount val="10"/>
                <c:pt idx="0">
                  <c:v>6856</c:v>
                </c:pt>
                <c:pt idx="1">
                  <c:v>6441</c:v>
                </c:pt>
                <c:pt idx="2">
                  <c:v>6328</c:v>
                </c:pt>
                <c:pt idx="3">
                  <c:v>6622</c:v>
                </c:pt>
                <c:pt idx="4">
                  <c:v>6884</c:v>
                </c:pt>
                <c:pt idx="5">
                  <c:v>7156</c:v>
                </c:pt>
                <c:pt idx="6">
                  <c:v>7439</c:v>
                </c:pt>
                <c:pt idx="7">
                  <c:v>7732</c:v>
                </c:pt>
                <c:pt idx="8">
                  <c:v>8151.5509037650918</c:v>
                </c:pt>
                <c:pt idx="9">
                  <c:v>8593.8673223840506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E-4A9A-9C04-224D81CE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21112704"/>
        <c:axId val="329568640"/>
      </c:barChart>
      <c:lineChart>
        <c:grouping val="standard"/>
        <c:varyColors val="0"/>
        <c:ser>
          <c:idx val="4"/>
          <c:order val="2"/>
          <c:tx>
            <c:strRef>
              <c:f>매출추정!$C$330</c:f>
              <c:strCache>
                <c:ptCount val="1"/>
                <c:pt idx="0">
                  <c:v>성장률</c:v>
                </c:pt>
              </c:strCache>
            </c:strRef>
          </c:tx>
          <c:dLbls>
            <c:dLbl>
              <c:idx val="1"/>
              <c:layout>
                <c:manualLayout>
                  <c:x val="-4.2686754551161422E-2"/>
                  <c:y val="-6.2947067238912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FE-4A9A-9C04-224D81CE8FAD}"/>
                </c:ext>
              </c:extLst>
            </c:dLbl>
            <c:dLbl>
              <c:idx val="2"/>
              <c:layout>
                <c:manualLayout>
                  <c:x val="-5.5241682360326415E-2"/>
                  <c:y val="-6.8669527896995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FE-4A9A-9C04-224D81CE8FAD}"/>
                </c:ext>
              </c:extLst>
            </c:dLbl>
            <c:dLbl>
              <c:idx val="5"/>
              <c:layout>
                <c:manualLayout>
                  <c:x val="-5.0219711236660393E-2"/>
                  <c:y val="-3.4334763948497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FE-4A9A-9C04-224D81CE8FAD}"/>
                </c:ext>
              </c:extLst>
            </c:dLbl>
            <c:dLbl>
              <c:idx val="6"/>
              <c:layout>
                <c:manualLayout>
                  <c:x val="-3.7664783427495206E-2"/>
                  <c:y val="-3.4334763948497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FE-4A9A-9C04-224D81CE8FAD}"/>
                </c:ext>
              </c:extLst>
            </c:dLbl>
            <c:dLbl>
              <c:idx val="7"/>
              <c:layout>
                <c:manualLayout>
                  <c:x val="-4.5197937828393271E-2"/>
                  <c:y val="5.132467020865917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FE-4A9A-9C04-224D81CE8FAD}"/>
                </c:ext>
              </c:extLst>
            </c:dLbl>
            <c:dLbl>
              <c:idx val="8"/>
              <c:layout>
                <c:manualLayout>
                  <c:x val="-4.7708923390225914E-2"/>
                  <c:y val="6.312408571950188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FE-4A9A-9C04-224D81CE8FAD}"/>
                </c:ext>
              </c:extLst>
            </c:dLbl>
            <c:dLbl>
              <c:idx val="9"/>
              <c:layout>
                <c:manualLayout>
                  <c:x val="-5.0219711236660393E-2"/>
                  <c:y val="3.362554694239516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FE-4A9A-9C04-224D81CE8FA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매출추정!$D$326:$M$326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매출추정!$D$330:$M$330</c:f>
              <c:numCache>
                <c:formatCode>0.0%</c:formatCode>
                <c:ptCount val="10"/>
                <c:pt idx="1">
                  <c:v>1.3871374527112179E-2</c:v>
                </c:pt>
                <c:pt idx="2">
                  <c:v>1.28524046434495E-2</c:v>
                </c:pt>
                <c:pt idx="3">
                  <c:v>4.6209123573020428E-2</c:v>
                </c:pt>
                <c:pt idx="4">
                  <c:v>5.9470503847324219E-2</c:v>
                </c:pt>
                <c:pt idx="5">
                  <c:v>7.9725903738049331E-2</c:v>
                </c:pt>
                <c:pt idx="6">
                  <c:v>6.3844341415216332E-2</c:v>
                </c:pt>
                <c:pt idx="7">
                  <c:v>5.4261627491605235E-2</c:v>
                </c:pt>
                <c:pt idx="8">
                  <c:v>5.4261627491605235E-2</c:v>
                </c:pt>
                <c:pt idx="9">
                  <c:v>5.4261627491605235E-2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FE-4A9A-9C04-224D81CE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571712"/>
        <c:axId val="329570176"/>
      </c:lineChart>
      <c:catAx>
        <c:axId val="3211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9568640"/>
        <c:crosses val="autoZero"/>
        <c:auto val="1"/>
        <c:lblAlgn val="ctr"/>
        <c:lblOffset val="100"/>
        <c:noMultiLvlLbl val="0"/>
      </c:catAx>
      <c:valAx>
        <c:axId val="329568640"/>
        <c:scaling>
          <c:orientation val="minMax"/>
          <c:max val="35000"/>
          <c:min val="10000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21112704"/>
        <c:crosses val="autoZero"/>
        <c:crossBetween val="between"/>
        <c:majorUnit val="5000"/>
        <c:minorUnit val="1000"/>
      </c:valAx>
      <c:valAx>
        <c:axId val="329570176"/>
        <c:scaling>
          <c:orientation val="minMax"/>
          <c:max val="0.1"/>
          <c:min val="-0.05"/>
        </c:scaling>
        <c:delete val="0"/>
        <c:axPos val="r"/>
        <c:numFmt formatCode="0.0%" sourceLinked="1"/>
        <c:majorTickMark val="out"/>
        <c:minorTickMark val="none"/>
        <c:tickLblPos val="nextTo"/>
        <c:crossAx val="329571712"/>
        <c:crosses val="max"/>
        <c:crossBetween val="between"/>
        <c:majorUnit val="0.05"/>
      </c:valAx>
      <c:catAx>
        <c:axId val="32957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957017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700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Century Gothic" pitchFamily="34" charset="0"/>
        </a:defRPr>
      </a:pPr>
      <a:endParaRPr lang="ko-KR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매출원가추정!$B$36</c:f>
              <c:strCache>
                <c:ptCount val="1"/>
                <c:pt idx="0">
                  <c:v>H마트 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5.2434446619983574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C8-43DA-9B03-DE07ED4D597E}"/>
                </c:ext>
              </c:extLst>
            </c:dLbl>
            <c:dLbl>
              <c:idx val="1"/>
              <c:layout>
                <c:manualLayout>
                  <c:x val="-5.7428203440934432E-2"/>
                  <c:y val="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C8-43DA-9B03-DE07ED4D597E}"/>
                </c:ext>
              </c:extLst>
            </c:dLbl>
            <c:dLbl>
              <c:idx val="2"/>
              <c:layout>
                <c:manualLayout>
                  <c:x val="-5.9925081851410128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C8-43DA-9B03-DE07ED4D597E}"/>
                </c:ext>
              </c:extLst>
            </c:dLbl>
            <c:dLbl>
              <c:idx val="3"/>
              <c:layout>
                <c:manualLayout>
                  <c:x val="-6.4918838672360604E-2"/>
                  <c:y val="5.5555555555555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C8-43DA-9B03-DE07ED4D59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매출원가추정!$C$35:$F$35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매출원가추정!$C$36:$F$36</c:f>
              <c:numCache>
                <c:formatCode>0.0%</c:formatCode>
                <c:ptCount val="4"/>
                <c:pt idx="0">
                  <c:v>0.74548439638817654</c:v>
                </c:pt>
                <c:pt idx="1">
                  <c:v>0.74605249343752955</c:v>
                </c:pt>
                <c:pt idx="2">
                  <c:v>0.75301184976752233</c:v>
                </c:pt>
                <c:pt idx="3">
                  <c:v>0.75052891559292134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C8-43DA-9B03-DE07ED4D597E}"/>
            </c:ext>
          </c:extLst>
        </c:ser>
        <c:ser>
          <c:idx val="3"/>
          <c:order val="1"/>
          <c:tx>
            <c:strRef>
              <c:f>매출원가추정!$B$37</c:f>
              <c:strCache>
                <c:ptCount val="1"/>
                <c:pt idx="0">
                  <c:v>전자랜드 </c:v>
                </c:pt>
              </c:strCache>
            </c:strRef>
          </c:tx>
          <c:marker>
            <c:symbol val="none"/>
          </c:marker>
          <c:cat>
            <c:numRef>
              <c:f>매출원가추정!$C$35:$F$35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매출원가추정!$C$37:$F$37</c:f>
              <c:numCache>
                <c:formatCode>0.0%</c:formatCode>
                <c:ptCount val="4"/>
                <c:pt idx="0">
                  <c:v>0.80752244497877657</c:v>
                </c:pt>
                <c:pt idx="1">
                  <c:v>0.80420839953257128</c:v>
                </c:pt>
                <c:pt idx="2">
                  <c:v>0.80598796393264216</c:v>
                </c:pt>
                <c:pt idx="3">
                  <c:v>0.79595990956855578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C8-43DA-9B03-DE07ED4D597E}"/>
            </c:ext>
          </c:extLst>
        </c:ser>
        <c:ser>
          <c:idx val="4"/>
          <c:order val="2"/>
          <c:tx>
            <c:strRef>
              <c:f>매출원가추정!$B$38</c:f>
              <c:strCache>
                <c:ptCount val="1"/>
                <c:pt idx="0">
                  <c:v>리빙프라자 </c:v>
                </c:pt>
              </c:strCache>
            </c:strRef>
          </c:tx>
          <c:marker>
            <c:symbol val="none"/>
          </c:marker>
          <c:cat>
            <c:numRef>
              <c:f>매출원가추정!$C$35:$F$35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매출원가추정!$C$38:$F$38</c:f>
              <c:numCache>
                <c:formatCode>0.0%</c:formatCode>
                <c:ptCount val="4"/>
                <c:pt idx="0">
                  <c:v>0.82159860025270881</c:v>
                </c:pt>
                <c:pt idx="1">
                  <c:v>0.82654752641852802</c:v>
                </c:pt>
                <c:pt idx="2">
                  <c:v>0.83017400961945986</c:v>
                </c:pt>
                <c:pt idx="3">
                  <c:v>0.80695187500277665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8-43DA-9B03-DE07ED4D597E}"/>
            </c:ext>
          </c:extLst>
        </c:ser>
        <c:ser>
          <c:idx val="0"/>
          <c:order val="3"/>
          <c:tx>
            <c:strRef>
              <c:f>매출원가추정!$B$39</c:f>
              <c:strCache>
                <c:ptCount val="1"/>
                <c:pt idx="0">
                  <c:v>하이프라자 </c:v>
                </c:pt>
              </c:strCache>
            </c:strRef>
          </c:tx>
          <c:marker>
            <c:symbol val="none"/>
          </c:marker>
          <c:cat>
            <c:numRef>
              <c:f>매출원가추정!$C$35:$F$35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매출원가추정!$C$39:$F$39</c:f>
              <c:numCache>
                <c:formatCode>0.0%</c:formatCode>
                <c:ptCount val="4"/>
                <c:pt idx="0">
                  <c:v>0.8084352540530978</c:v>
                </c:pt>
                <c:pt idx="1">
                  <c:v>0.79349708949672593</c:v>
                </c:pt>
                <c:pt idx="2">
                  <c:v>0.78943824098339777</c:v>
                </c:pt>
                <c:pt idx="3">
                  <c:v>0.78930869885103139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C8-43DA-9B03-DE07ED4D597E}"/>
            </c:ext>
          </c:extLst>
        </c:ser>
        <c:ser>
          <c:idx val="5"/>
          <c:order val="4"/>
          <c:tx>
            <c:strRef>
              <c:f>매출원가추정!$B$40</c:f>
              <c:strCache>
                <c:ptCount val="1"/>
                <c:pt idx="0">
                  <c:v>평균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9292480383082139E-2"/>
                  <c:y val="-4.200550540938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C8-43DA-9B03-DE07ED4D597E}"/>
                </c:ext>
              </c:extLst>
            </c:dLbl>
            <c:dLbl>
              <c:idx val="1"/>
              <c:layout>
                <c:manualLayout>
                  <c:x val="-3.5995215231216481E-2"/>
                  <c:y val="-4.8509570450035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C8-43DA-9B03-DE07ED4D597E}"/>
                </c:ext>
              </c:extLst>
            </c:dLbl>
            <c:dLbl>
              <c:idx val="2"/>
              <c:layout>
                <c:manualLayout>
                  <c:x val="-4.7440658368401362E-2"/>
                  <c:y val="-4.387990525574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C8-43DA-9B03-DE07ED4D597E}"/>
                </c:ext>
              </c:extLst>
            </c:dLbl>
            <c:dLbl>
              <c:idx val="3"/>
              <c:layout>
                <c:manualLayout>
                  <c:x val="-4.9518552017919631E-2"/>
                  <c:y val="-4.7516036105243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C8-43DA-9B03-DE07ED4D59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매출원가추정!$C$35:$F$35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매출원가추정!$C$40:$F$40</c:f>
              <c:numCache>
                <c:formatCode>0.0%</c:formatCode>
                <c:ptCount val="4"/>
                <c:pt idx="0">
                  <c:v>0.79576017391818998</c:v>
                </c:pt>
                <c:pt idx="1">
                  <c:v>0.79257637722133867</c:v>
                </c:pt>
                <c:pt idx="2">
                  <c:v>0.79465301607575556</c:v>
                </c:pt>
                <c:pt idx="3">
                  <c:v>0.78568734975382126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C8-43DA-9B03-DE07ED4D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16160"/>
        <c:axId val="315146624"/>
      </c:lineChart>
      <c:catAx>
        <c:axId val="3151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146624"/>
        <c:crosses val="autoZero"/>
        <c:auto val="1"/>
        <c:lblAlgn val="ctr"/>
        <c:lblOffset val="100"/>
        <c:noMultiLvlLbl val="0"/>
      </c:catAx>
      <c:valAx>
        <c:axId val="315146624"/>
        <c:scaling>
          <c:orientation val="minMax"/>
          <c:max val="0.85000000000000064"/>
          <c:min val="0.70000000000000062"/>
        </c:scaling>
        <c:delete val="0"/>
        <c:axPos val="l"/>
        <c:numFmt formatCode="0.0%" sourceLinked="0"/>
        <c:majorTickMark val="out"/>
        <c:minorTickMark val="none"/>
        <c:tickLblPos val="nextTo"/>
        <c:crossAx val="315116160"/>
        <c:crosses val="autoZero"/>
        <c:crossBetween val="between"/>
        <c:majorUnit val="0.05"/>
      </c:valAx>
    </c:plotArea>
    <c:legend>
      <c:legendPos val="r"/>
      <c:overlay val="0"/>
      <c:txPr>
        <a:bodyPr/>
        <a:lstStyle/>
        <a:p>
          <a:pPr>
            <a:defRPr sz="500"/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/>
      </a:pPr>
      <a:endParaRPr lang="ko-K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보고서용!$B$115:$C$120</c:f>
              <c:strCache>
                <c:ptCount val="6"/>
                <c:pt idx="0">
                  <c:v>재고자산 </c:v>
                </c:pt>
                <c:pt idx="1">
                  <c:v>매출채권 </c:v>
                </c:pt>
                <c:pt idx="2">
                  <c:v>매입채무 </c:v>
                </c:pt>
                <c:pt idx="3">
                  <c:v>미지급금 </c:v>
                </c:pt>
                <c:pt idx="5">
                  <c:v>선수금 </c:v>
                </c:pt>
              </c:strCache>
            </c:strRef>
          </c:cat>
          <c:val>
            <c:numRef>
              <c:f>보고서용!$M$115:$M$120</c:f>
              <c:numCache>
                <c:formatCode>0.0%</c:formatCode>
                <c:ptCount val="6"/>
                <c:pt idx="0">
                  <c:v>6.0759436596301918E-2</c:v>
                </c:pt>
                <c:pt idx="1">
                  <c:v>0.19294314971964657</c:v>
                </c:pt>
                <c:pt idx="2">
                  <c:v>-0.98667822271400663</c:v>
                </c:pt>
                <c:pt idx="3">
                  <c:v>-0.14586059125707213</c:v>
                </c:pt>
                <c:pt idx="5">
                  <c:v>-0.12116377234486972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864-A845-C396414B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17312"/>
        <c:axId val="325518848"/>
      </c:barChart>
      <c:catAx>
        <c:axId val="3255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700"/>
            </a:pPr>
            <a:endParaRPr lang="ko-KR"/>
          </a:p>
        </c:txPr>
        <c:crossAx val="325518848"/>
        <c:crosses val="autoZero"/>
        <c:auto val="1"/>
        <c:lblAlgn val="ctr"/>
        <c:lblOffset val="100"/>
        <c:noMultiLvlLbl val="0"/>
      </c:catAx>
      <c:valAx>
        <c:axId val="325518848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325517312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latin typeface="Century Gothic" pitchFamily="34" charset="0"/>
        </a:defRPr>
      </a:pPr>
      <a:endParaRPr lang="ko-K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보고서용!$BE$55:$BH$55</c:f>
              <c:strCache>
                <c:ptCount val="4"/>
                <c:pt idx="0">
                  <c:v>건물 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보고서용!$BJ$53:$BO$53</c:f>
              <c:strCache>
                <c:ptCount val="6"/>
                <c:pt idx="0">
                  <c:v>2011 2H 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보고서용!$BJ$55:$BO$55</c:f>
              <c:numCache>
                <c:formatCode>_(* #,##0_);_(* \(#,##0\);_(* "-"_);@_)</c:formatCode>
                <c:ptCount val="6"/>
                <c:pt idx="0">
                  <c:v>9275.2011389289401</c:v>
                </c:pt>
                <c:pt idx="1">
                  <c:v>18271.423823192814</c:v>
                </c:pt>
                <c:pt idx="2">
                  <c:v>15864.242247180071</c:v>
                </c:pt>
                <c:pt idx="3">
                  <c:v>15249.165448174685</c:v>
                </c:pt>
                <c:pt idx="4">
                  <c:v>14801.965441411463</c:v>
                </c:pt>
                <c:pt idx="5">
                  <c:v>14595.763923413109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4-4C05-A07F-845D5FC3A061}"/>
            </c:ext>
          </c:extLst>
        </c:ser>
        <c:ser>
          <c:idx val="2"/>
          <c:order val="1"/>
          <c:tx>
            <c:strRef>
              <c:f>보고서용!$BE$56:$BH$56</c:f>
              <c:strCache>
                <c:ptCount val="4"/>
                <c:pt idx="0">
                  <c:v>구축물 </c:v>
                </c:pt>
              </c:strCache>
            </c:strRef>
          </c:tx>
          <c:invertIfNegative val="0"/>
          <c:cat>
            <c:strRef>
              <c:f>보고서용!$BJ$53:$BO$53</c:f>
              <c:strCache>
                <c:ptCount val="6"/>
                <c:pt idx="0">
                  <c:v>2011 2H 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보고서용!$BJ$56:$BO$56</c:f>
              <c:numCache>
                <c:formatCode>_(* #,##0_);_(* \(#,##0\);_(* "-"_);@_)</c:formatCode>
                <c:ptCount val="6"/>
                <c:pt idx="0">
                  <c:v>0.526725</c:v>
                </c:pt>
                <c:pt idx="1">
                  <c:v>1.6525676212037825</c:v>
                </c:pt>
                <c:pt idx="2">
                  <c:v>2.9306852131051855</c:v>
                </c:pt>
                <c:pt idx="3">
                  <c:v>3.7773103059806745</c:v>
                </c:pt>
                <c:pt idx="4">
                  <c:v>4.3768266998731296</c:v>
                </c:pt>
                <c:pt idx="5">
                  <c:v>4.9371020207108067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4-4C05-A07F-845D5FC3A061}"/>
            </c:ext>
          </c:extLst>
        </c:ser>
        <c:ser>
          <c:idx val="3"/>
          <c:order val="2"/>
          <c:tx>
            <c:strRef>
              <c:f>보고서용!$BE$57:$BH$57</c:f>
              <c:strCache>
                <c:ptCount val="4"/>
                <c:pt idx="0">
                  <c:v>차량운반구 </c:v>
                </c:pt>
              </c:strCache>
            </c:strRef>
          </c:tx>
          <c:invertIfNegative val="0"/>
          <c:cat>
            <c:strRef>
              <c:f>보고서용!$BJ$53:$BO$53</c:f>
              <c:strCache>
                <c:ptCount val="6"/>
                <c:pt idx="0">
                  <c:v>2011 2H 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보고서용!$BJ$57:$BO$57</c:f>
              <c:numCache>
                <c:formatCode>_(* #,##0_);_(* \(#,##0\);_(* "-"_);@_)</c:formatCode>
                <c:ptCount val="6"/>
                <c:pt idx="0">
                  <c:v>7.3182</c:v>
                </c:pt>
                <c:pt idx="1">
                  <c:v>15.862133559306569</c:v>
                </c:pt>
                <c:pt idx="2">
                  <c:v>18.580918624602919</c:v>
                </c:pt>
                <c:pt idx="3">
                  <c:v>21.57541147116876</c:v>
                </c:pt>
                <c:pt idx="4">
                  <c:v>24.782205053224217</c:v>
                </c:pt>
                <c:pt idx="5">
                  <c:v>20.858507186340205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4-4C05-A07F-845D5FC3A061}"/>
            </c:ext>
          </c:extLst>
        </c:ser>
        <c:ser>
          <c:idx val="4"/>
          <c:order val="3"/>
          <c:tx>
            <c:strRef>
              <c:f>보고서용!$BE$58:$BH$58</c:f>
              <c:strCache>
                <c:ptCount val="4"/>
                <c:pt idx="0">
                  <c:v>비품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보고서용!$BJ$53:$BO$53</c:f>
              <c:strCache>
                <c:ptCount val="6"/>
                <c:pt idx="0">
                  <c:v>2011 2H 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보고서용!$BJ$58:$BO$58</c:f>
              <c:numCache>
                <c:formatCode>_(* #,##0_);_(* \(#,##0\);_(* "-"_);@_)</c:formatCode>
                <c:ptCount val="6"/>
                <c:pt idx="0">
                  <c:v>10698.083615895997</c:v>
                </c:pt>
                <c:pt idx="1">
                  <c:v>22612.963031791998</c:v>
                </c:pt>
                <c:pt idx="2">
                  <c:v>25489.434172592002</c:v>
                </c:pt>
                <c:pt idx="3">
                  <c:v>26141.879510192004</c:v>
                </c:pt>
                <c:pt idx="4">
                  <c:v>27477.246205601376</c:v>
                </c:pt>
                <c:pt idx="5">
                  <c:v>27843.613641602929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4-4C05-A07F-845D5FC3A061}"/>
            </c:ext>
          </c:extLst>
        </c:ser>
        <c:ser>
          <c:idx val="5"/>
          <c:order val="4"/>
          <c:tx>
            <c:strRef>
              <c:f>보고서용!$BE$59:$BH$59</c:f>
              <c:strCache>
                <c:ptCount val="4"/>
                <c:pt idx="0">
                  <c:v>무형자산상각비 </c:v>
                </c:pt>
              </c:strCache>
            </c:strRef>
          </c:tx>
          <c:invertIfNegative val="0"/>
          <c:cat>
            <c:strRef>
              <c:f>보고서용!$BJ$53:$BO$53</c:f>
              <c:strCache>
                <c:ptCount val="6"/>
                <c:pt idx="0">
                  <c:v>2011 2H 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보고서용!$BJ$59:$BO$59</c:f>
              <c:numCache>
                <c:formatCode>_(* #,##0_);_(* \(#,##0\);_(* "-"_);@_)</c:formatCode>
                <c:ptCount val="6"/>
                <c:pt idx="0">
                  <c:v>392.62514320000002</c:v>
                </c:pt>
                <c:pt idx="1">
                  <c:v>810.6662864000001</c:v>
                </c:pt>
                <c:pt idx="2">
                  <c:v>864.88708640000004</c:v>
                </c:pt>
                <c:pt idx="3">
                  <c:v>900.80294432000005</c:v>
                </c:pt>
                <c:pt idx="4">
                  <c:v>926.23586120959999</c:v>
                </c:pt>
                <c:pt idx="5">
                  <c:v>557.37893488460793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C4-4C05-A07F-845D5FC3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566464"/>
        <c:axId val="325568000"/>
      </c:barChart>
      <c:catAx>
        <c:axId val="32556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800"/>
            </a:pPr>
            <a:endParaRPr lang="ko-KR"/>
          </a:p>
        </c:txPr>
        <c:crossAx val="325568000"/>
        <c:crosses val="autoZero"/>
        <c:auto val="1"/>
        <c:lblAlgn val="ctr"/>
        <c:lblOffset val="100"/>
        <c:noMultiLvlLbl val="0"/>
      </c:catAx>
      <c:valAx>
        <c:axId val="325568000"/>
        <c:scaling>
          <c:orientation val="minMax"/>
        </c:scaling>
        <c:delete val="0"/>
        <c:axPos val="l"/>
        <c:numFmt formatCode="_(* #,##0_);_(* \(#,##0\);_(* &quot;-&quot;_);@_)" sourceLinked="1"/>
        <c:majorTickMark val="out"/>
        <c:minorTickMark val="none"/>
        <c:tickLblPos val="nextTo"/>
        <c:spPr>
          <a:ln w="9525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800"/>
            </a:pPr>
            <a:endParaRPr lang="ko-KR"/>
          </a:p>
        </c:txPr>
        <c:crossAx val="3255664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/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Century Gothic" pitchFamily="34" charset="0"/>
        </a:defRPr>
      </a:pPr>
      <a:endParaRPr lang="ko-K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보고서용!$BS$22</c:f>
              <c:strCache>
                <c:ptCount val="1"/>
                <c:pt idx="0">
                  <c:v>기타 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보고서용!$BX$15:$BY$15</c:f>
              <c:numCache>
                <c:formatCode>_-[$€-2]* #,##0.00_-;\-[$€-2]* #,##0.00_-;_-[$€-2]* "-"??_-</c:formatCode>
                <c:ptCount val="2"/>
                <c:pt idx="0">
                  <c:v>2009</c:v>
                </c:pt>
                <c:pt idx="1">
                  <c:v>2010</c:v>
                </c:pt>
              </c:numCache>
            </c:numRef>
          </c:cat>
          <c:val>
            <c:numRef>
              <c:f>보고서용!$BX$22:$BY$22</c:f>
              <c:numCache>
                <c:formatCode>0.0%</c:formatCode>
                <c:ptCount val="2"/>
                <c:pt idx="0">
                  <c:v>0.104</c:v>
                </c:pt>
                <c:pt idx="1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67B-B03C-102771F1D651}"/>
            </c:ext>
          </c:extLst>
        </c:ser>
        <c:ser>
          <c:idx val="2"/>
          <c:order val="1"/>
          <c:tx>
            <c:strRef>
              <c:f>보고서용!$BS$17</c:f>
              <c:strCache>
                <c:ptCount val="1"/>
                <c:pt idx="0">
                  <c:v>일반 가전제품 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보고서용!$BX$15:$BY$15</c:f>
              <c:numCache>
                <c:formatCode>_-[$€-2]* #,##0.00_-;\-[$€-2]* #,##0.00_-;_-[$€-2]* "-"??_-</c:formatCode>
                <c:ptCount val="2"/>
                <c:pt idx="0">
                  <c:v>2009</c:v>
                </c:pt>
                <c:pt idx="1">
                  <c:v>2010</c:v>
                </c:pt>
              </c:numCache>
            </c:numRef>
          </c:cat>
          <c:val>
            <c:numRef>
              <c:f>보고서용!$BX$17:$BY$17</c:f>
              <c:numCache>
                <c:formatCode>0.0%</c:formatCode>
                <c:ptCount val="2"/>
                <c:pt idx="0">
                  <c:v>0.29199999999999998</c:v>
                </c:pt>
                <c:pt idx="1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0-467B-B03C-102771F1D651}"/>
            </c:ext>
          </c:extLst>
        </c:ser>
        <c:ser>
          <c:idx val="1"/>
          <c:order val="2"/>
          <c:tx>
            <c:strRef>
              <c:f>보고서용!$BS$16</c:f>
              <c:strCache>
                <c:ptCount val="1"/>
                <c:pt idx="0">
                  <c:v>오디오/비디오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6166485753832177E-3"/>
                  <c:y val="-6.34717952872058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70-467B-B03C-102771F1D651}"/>
                </c:ext>
              </c:extLst>
            </c:dLbl>
            <c:dLbl>
              <c:idx val="1"/>
              <c:layout>
                <c:manualLayout>
                  <c:x val="0"/>
                  <c:y val="-2.0304579348803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70-467B-B03C-102771F1D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보고서용!$BX$15:$BY$15</c:f>
              <c:numCache>
                <c:formatCode>_-[$€-2]* #,##0.00_-;\-[$€-2]* #,##0.00_-;_-[$€-2]* "-"??_-</c:formatCode>
                <c:ptCount val="2"/>
                <c:pt idx="0">
                  <c:v>2009</c:v>
                </c:pt>
                <c:pt idx="1">
                  <c:v>2010</c:v>
                </c:pt>
              </c:numCache>
            </c:numRef>
          </c:cat>
          <c:val>
            <c:numRef>
              <c:f>보고서용!$BX$16:$BY$16</c:f>
              <c:numCache>
                <c:formatCode>0.0%</c:formatCode>
                <c:ptCount val="2"/>
                <c:pt idx="0">
                  <c:v>0.222</c:v>
                </c:pt>
                <c:pt idx="1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0-467B-B03C-102771F1D651}"/>
            </c:ext>
          </c:extLst>
        </c:ser>
        <c:ser>
          <c:idx val="3"/>
          <c:order val="3"/>
          <c:tx>
            <c:strRef>
              <c:f>보고서용!$BS$18</c:f>
              <c:strCache>
                <c:ptCount val="1"/>
                <c:pt idx="0">
                  <c:v>컴퓨터 HW/SW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보고서용!$BX$15:$BY$15</c:f>
              <c:numCache>
                <c:formatCode>_-[$€-2]* #,##0.00_-;\-[$€-2]* #,##0.00_-;_-[$€-2]* "-"??_-</c:formatCode>
                <c:ptCount val="2"/>
                <c:pt idx="0">
                  <c:v>2009</c:v>
                </c:pt>
                <c:pt idx="1">
                  <c:v>2010</c:v>
                </c:pt>
              </c:numCache>
            </c:numRef>
          </c:cat>
          <c:val>
            <c:numRef>
              <c:f>보고서용!$BX$18:$BY$18</c:f>
              <c:numCache>
                <c:formatCode>0.0%</c:formatCode>
                <c:ptCount val="2"/>
                <c:pt idx="0">
                  <c:v>0.151</c:v>
                </c:pt>
                <c:pt idx="1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0-467B-B03C-102771F1D651}"/>
            </c:ext>
          </c:extLst>
        </c:ser>
        <c:ser>
          <c:idx val="4"/>
          <c:order val="4"/>
          <c:tx>
            <c:strRef>
              <c:f>보고서용!$BS$19</c:f>
              <c:strCache>
                <c:ptCount val="1"/>
                <c:pt idx="0">
                  <c:v>계절용 전자기기 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보고서용!$BX$15:$BY$15</c:f>
              <c:numCache>
                <c:formatCode>_-[$€-2]* #,##0.00_-;\-[$€-2]* #,##0.00_-;_-[$€-2]* "-"??_-</c:formatCode>
                <c:ptCount val="2"/>
                <c:pt idx="0">
                  <c:v>2009</c:v>
                </c:pt>
                <c:pt idx="1">
                  <c:v>2010</c:v>
                </c:pt>
              </c:numCache>
            </c:numRef>
          </c:cat>
          <c:val>
            <c:numRef>
              <c:f>보고서용!$BX$19:$BY$19</c:f>
              <c:numCache>
                <c:formatCode>0.0%</c:formatCode>
                <c:ptCount val="2"/>
                <c:pt idx="0">
                  <c:v>0.1</c:v>
                </c:pt>
                <c:pt idx="1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70-467B-B03C-102771F1D651}"/>
            </c:ext>
          </c:extLst>
        </c:ser>
        <c:ser>
          <c:idx val="5"/>
          <c:order val="5"/>
          <c:tx>
            <c:strRef>
              <c:f>보고서용!$BS$21</c:f>
              <c:strCache>
                <c:ptCount val="1"/>
                <c:pt idx="0">
                  <c:v>모바일 통신기기 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0.10211524434719214"/>
                  <c:y val="-6.6335026356420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70-467B-B03C-102771F1D651}"/>
                </c:ext>
              </c:extLst>
            </c:dLbl>
            <c:dLbl>
              <c:idx val="1"/>
              <c:layout>
                <c:manualLayout>
                  <c:x val="-9.9197665937272805E-2"/>
                  <c:y val="-6.6335026356420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70-467B-B03C-102771F1D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보고서용!$BX$15:$BY$15</c:f>
              <c:numCache>
                <c:formatCode>_-[$€-2]* #,##0.00_-;\-[$€-2]* #,##0.00_-;_-[$€-2]* "-"??_-</c:formatCode>
                <c:ptCount val="2"/>
                <c:pt idx="0">
                  <c:v>2009</c:v>
                </c:pt>
                <c:pt idx="1">
                  <c:v>2010</c:v>
                </c:pt>
              </c:numCache>
            </c:numRef>
          </c:cat>
          <c:val>
            <c:numRef>
              <c:f>보고서용!$BX$21:$BY$21</c:f>
              <c:numCache>
                <c:formatCode>0.0%</c:formatCode>
                <c:ptCount val="2"/>
                <c:pt idx="0">
                  <c:v>5.8000000000000003E-2</c:v>
                </c:pt>
                <c:pt idx="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70-467B-B03C-102771F1D651}"/>
            </c:ext>
          </c:extLst>
        </c:ser>
        <c:ser>
          <c:idx val="0"/>
          <c:order val="6"/>
          <c:tx>
            <c:strRef>
              <c:f>보고서용!$BS$20</c:f>
              <c:strCache>
                <c:ptCount val="1"/>
                <c:pt idx="0">
                  <c:v>휴대용 디지털기기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9175784099197627E-3"/>
                  <c:y val="-5.3068021085136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70-467B-B03C-102771F1D651}"/>
                </c:ext>
              </c:extLst>
            </c:dLbl>
            <c:dLbl>
              <c:idx val="1"/>
              <c:layout>
                <c:manualLayout>
                  <c:x val="0"/>
                  <c:y val="-5.9701523720778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70-467B-B03C-102771F1D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보고서용!$BX$20:$BY$20</c:f>
              <c:numCache>
                <c:formatCode>0.0%</c:formatCode>
                <c:ptCount val="2"/>
                <c:pt idx="0">
                  <c:v>7.2999999999999995E-2</c:v>
                </c:pt>
                <c:pt idx="1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70-467B-B03C-102771F1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1"/>
        <c:overlap val="100"/>
        <c:axId val="326295936"/>
        <c:axId val="326297472"/>
      </c:barChart>
      <c:catAx>
        <c:axId val="326295936"/>
        <c:scaling>
          <c:orientation val="minMax"/>
        </c:scaling>
        <c:delete val="0"/>
        <c:axPos val="b"/>
        <c:numFmt formatCode="_-[$€-2]* #,##0.00_-;\-[$€-2]* #,##0.00_-;_-[$€-2]* &quot;-&quot;??_-" sourceLinked="1"/>
        <c:majorTickMark val="out"/>
        <c:minorTickMark val="none"/>
        <c:tickLblPos val="nextTo"/>
        <c:crossAx val="326297472"/>
        <c:crosses val="autoZero"/>
        <c:auto val="1"/>
        <c:lblAlgn val="ctr"/>
        <c:lblOffset val="100"/>
        <c:noMultiLvlLbl val="0"/>
      </c:catAx>
      <c:valAx>
        <c:axId val="326297472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one"/>
        <c:crossAx val="326295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700"/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Century Gothic" pitchFamily="34" charset="0"/>
        </a:defRPr>
      </a:pPr>
      <a:endParaRPr lang="ko-K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보고서용!$BS$32</c:f>
              <c:strCache>
                <c:ptCount val="1"/>
                <c:pt idx="0">
                  <c:v>기타 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보고서용!$BX$26:$BZ$26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보고서용!$BX$32:$BZ$32</c:f>
              <c:numCache>
                <c:formatCode>0.0%</c:formatCode>
                <c:ptCount val="3"/>
                <c:pt idx="0">
                  <c:v>0.57126291572162335</c:v>
                </c:pt>
                <c:pt idx="1">
                  <c:v>0.52838110122463278</c:v>
                </c:pt>
                <c:pt idx="2">
                  <c:v>0.48109276577188814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6-4BCF-BA2C-BBD0C3866C15}"/>
            </c:ext>
          </c:extLst>
        </c:ser>
        <c:ser>
          <c:idx val="5"/>
          <c:order val="1"/>
          <c:tx>
            <c:strRef>
              <c:f>보고서용!$BS$31</c:f>
              <c:strCache>
                <c:ptCount val="1"/>
                <c:pt idx="0">
                  <c:v>온라인쇼핑몰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보고서용!$BX$26:$BZ$26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보고서용!$BX$31:$BZ$31</c:f>
              <c:numCache>
                <c:formatCode>0.0%</c:formatCode>
                <c:ptCount val="3"/>
                <c:pt idx="0">
                  <c:v>0.18905933296480562</c:v>
                </c:pt>
                <c:pt idx="1">
                  <c:v>0.21512712057124664</c:v>
                </c:pt>
                <c:pt idx="2">
                  <c:v>0.23698445961501785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6-4BCF-BA2C-BBD0C3866C15}"/>
            </c:ext>
          </c:extLst>
        </c:ser>
        <c:ser>
          <c:idx val="1"/>
          <c:order val="2"/>
          <c:tx>
            <c:strRef>
              <c:f>보고서용!$BS$27</c:f>
              <c:strCache>
                <c:ptCount val="1"/>
                <c:pt idx="0">
                  <c:v>H마트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보고서용!$BX$26:$BZ$26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보고서용!$BX$27:$BZ$27</c:f>
              <c:numCache>
                <c:formatCode>0.0%</c:formatCode>
                <c:ptCount val="3"/>
                <c:pt idx="0">
                  <c:v>0.11263128800442233</c:v>
                </c:pt>
                <c:pt idx="1">
                  <c:v>0.12125346795833902</c:v>
                </c:pt>
                <c:pt idx="2">
                  <c:v>0.13263487371212451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6-4BCF-BA2C-BBD0C3866C15}"/>
            </c:ext>
          </c:extLst>
        </c:ser>
        <c:ser>
          <c:idx val="3"/>
          <c:order val="3"/>
          <c:tx>
            <c:strRef>
              <c:f>보고서용!$BS$29</c:f>
              <c:strCache>
                <c:ptCount val="1"/>
                <c:pt idx="0">
                  <c:v>리빙프라자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보고서용!$BX$26:$BZ$26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보고서용!$BX$29:$BZ$29</c:f>
              <c:numCache>
                <c:formatCode>0.0%</c:formatCode>
                <c:ptCount val="3"/>
                <c:pt idx="0">
                  <c:v>6.0564066705960935E-2</c:v>
                </c:pt>
                <c:pt idx="1">
                  <c:v>6.6548986510710867E-2</c:v>
                </c:pt>
                <c:pt idx="2">
                  <c:v>7.5182846921879765E-2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6-4BCF-BA2C-BBD0C3866C15}"/>
            </c:ext>
          </c:extLst>
        </c:ser>
        <c:ser>
          <c:idx val="4"/>
          <c:order val="4"/>
          <c:tx>
            <c:strRef>
              <c:f>보고서용!$BS$30</c:f>
              <c:strCache>
                <c:ptCount val="1"/>
                <c:pt idx="0">
                  <c:v>하이프라자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9.691629955947139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36-4BCF-BA2C-BBD0C3866C15}"/>
                </c:ext>
              </c:extLst>
            </c:dLbl>
            <c:dLbl>
              <c:idx val="1"/>
              <c:layout>
                <c:manualLayout>
                  <c:x val="-9.10425844346549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36-4BCF-BA2C-BBD0C3866C15}"/>
                </c:ext>
              </c:extLst>
            </c:dLbl>
            <c:dLbl>
              <c:idx val="2"/>
              <c:layout>
                <c:manualLayout>
                  <c:x val="-9.10425844346549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36-4BCF-BA2C-BBD0C3866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보고서용!$BX$26:$BZ$26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보고서용!$BX$30:$BZ$30</c:f>
              <c:numCache>
                <c:formatCode>0.0%</c:formatCode>
                <c:ptCount val="3"/>
                <c:pt idx="0">
                  <c:v>3.612934490971071E-2</c:v>
                </c:pt>
                <c:pt idx="1">
                  <c:v>4.1001775974575883E-2</c:v>
                </c:pt>
                <c:pt idx="2">
                  <c:v>5.0499449792418383E-2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6-4BCF-BA2C-BBD0C3866C15}"/>
            </c:ext>
          </c:extLst>
        </c:ser>
        <c:ser>
          <c:idx val="2"/>
          <c:order val="5"/>
          <c:tx>
            <c:strRef>
              <c:f>보고서용!$BS$28</c:f>
              <c:strCache>
                <c:ptCount val="1"/>
                <c:pt idx="0">
                  <c:v>전자랜드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4674618762023E-3"/>
                  <c:y val="-4.75421065640337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36-4BCF-BA2C-BBD0C3866C15}"/>
                </c:ext>
              </c:extLst>
            </c:dLbl>
            <c:dLbl>
              <c:idx val="1"/>
              <c:layout>
                <c:manualLayout>
                  <c:x val="0"/>
                  <c:y val="-4.3829902428115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36-4BCF-BA2C-BBD0C3866C15}"/>
                </c:ext>
              </c:extLst>
            </c:dLbl>
            <c:dLbl>
              <c:idx val="2"/>
              <c:layout>
                <c:manualLayout>
                  <c:x val="0"/>
                  <c:y val="-3.762955639513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36-4BCF-BA2C-BBD0C3866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보고서용!$BX$26:$BZ$26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보고서용!$BX$28:$BZ$28</c:f>
              <c:numCache>
                <c:formatCode>0.0%</c:formatCode>
                <c:ptCount val="3"/>
                <c:pt idx="0">
                  <c:v>3.0353051693477059E-2</c:v>
                </c:pt>
                <c:pt idx="1">
                  <c:v>2.7687547760494834E-2</c:v>
                </c:pt>
                <c:pt idx="2">
                  <c:v>2.3605604186671302E-2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6-4BCF-BA2C-BBD0C386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0557824"/>
        <c:axId val="326182016"/>
      </c:barChart>
      <c:catAx>
        <c:axId val="905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182016"/>
        <c:crosses val="autoZero"/>
        <c:auto val="1"/>
        <c:lblAlgn val="ctr"/>
        <c:lblOffset val="100"/>
        <c:noMultiLvlLbl val="0"/>
      </c:catAx>
      <c:valAx>
        <c:axId val="326182016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one"/>
        <c:crossAx val="90557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700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Century Gothic" pitchFamily="34" charset="0"/>
        </a:defRPr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79101049868767E-2"/>
          <c:y val="6.6532051143227591E-2"/>
          <c:w val="0.88145423228346464"/>
          <c:h val="0.54297449147251964"/>
        </c:manualLayout>
      </c:layout>
      <c:lineChart>
        <c:grouping val="standard"/>
        <c:varyColors val="0"/>
        <c:ser>
          <c:idx val="1"/>
          <c:order val="0"/>
          <c:tx>
            <c:strRef>
              <c:f>보고서용!$BS$42</c:f>
              <c:strCache>
                <c:ptCount val="1"/>
                <c:pt idx="0">
                  <c:v>H마트 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square"/>
            <c:size val="4"/>
            <c:spPr>
              <a:solidFill>
                <a:schemeClr val="tx2">
                  <a:lumMod val="50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5.0251269536994547E-2"/>
                  <c:y val="3.4934513832600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46-4EB3-9BA7-73A414BDE04E}"/>
                </c:ext>
              </c:extLst>
            </c:dLbl>
            <c:dLbl>
              <c:idx val="1"/>
              <c:layout>
                <c:manualLayout>
                  <c:x val="-6.0301523444393594E-2"/>
                  <c:y val="4.0756932804700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46-4EB3-9BA7-73A414BDE04E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46-4EB3-9BA7-73A414BDE04E}"/>
                </c:ext>
              </c:extLst>
            </c:dLbl>
            <c:dLbl>
              <c:idx val="3"/>
              <c:layout>
                <c:manualLayout>
                  <c:x val="-6.3651608080193101E-2"/>
                  <c:y val="5.2401770748900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46-4EB3-9BA7-73A414BDE0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보고서용!$BX$41:$CA$41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보고서용!$BX$42:$CA$42</c:f>
              <c:numCache>
                <c:formatCode>0.0%</c:formatCode>
                <c:ptCount val="4"/>
                <c:pt idx="0">
                  <c:v>0.74548439638817654</c:v>
                </c:pt>
                <c:pt idx="1">
                  <c:v>0.74605249343752955</c:v>
                </c:pt>
                <c:pt idx="2">
                  <c:v>0.75301184976752233</c:v>
                </c:pt>
                <c:pt idx="3">
                  <c:v>0.75052891559292134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6-4EB3-9BA7-73A414BDE04E}"/>
            </c:ext>
          </c:extLst>
        </c:ser>
        <c:ser>
          <c:idx val="2"/>
          <c:order val="1"/>
          <c:tx>
            <c:strRef>
              <c:f>보고서용!$BS$43</c:f>
              <c:strCache>
                <c:ptCount val="1"/>
                <c:pt idx="0">
                  <c:v>전자랜드 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보고서용!$BX$41:$CA$41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보고서용!$BX$43:$CA$43</c:f>
              <c:numCache>
                <c:formatCode>0.0%</c:formatCode>
                <c:ptCount val="4"/>
                <c:pt idx="0">
                  <c:v>0.80752244497877657</c:v>
                </c:pt>
                <c:pt idx="1">
                  <c:v>0.80420839953257128</c:v>
                </c:pt>
                <c:pt idx="2">
                  <c:v>0.80598796393264216</c:v>
                </c:pt>
                <c:pt idx="3">
                  <c:v>0.79595990956855578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6-4EB3-9BA7-73A414BDE04E}"/>
            </c:ext>
          </c:extLst>
        </c:ser>
        <c:ser>
          <c:idx val="3"/>
          <c:order val="2"/>
          <c:tx>
            <c:strRef>
              <c:f>보고서용!$BS$44</c:f>
              <c:strCache>
                <c:ptCount val="1"/>
                <c:pt idx="0">
                  <c:v>리빙프라자 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보고서용!$BX$41:$CA$41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보고서용!$BX$44:$CA$44</c:f>
              <c:numCache>
                <c:formatCode>0.0%</c:formatCode>
                <c:ptCount val="4"/>
                <c:pt idx="0">
                  <c:v>0.82159860025270881</c:v>
                </c:pt>
                <c:pt idx="1">
                  <c:v>0.82654752641852802</c:v>
                </c:pt>
                <c:pt idx="2">
                  <c:v>0.83017400961945986</c:v>
                </c:pt>
                <c:pt idx="3">
                  <c:v>0.80695187500277665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6-4EB3-9BA7-73A414BDE04E}"/>
            </c:ext>
          </c:extLst>
        </c:ser>
        <c:ser>
          <c:idx val="4"/>
          <c:order val="3"/>
          <c:tx>
            <c:strRef>
              <c:f>보고서용!$BS$45</c:f>
              <c:strCache>
                <c:ptCount val="1"/>
                <c:pt idx="0">
                  <c:v>하이프라자 </c:v>
                </c:pt>
              </c:strCache>
            </c:strRef>
          </c:tx>
          <c:marker>
            <c:symbol val="none"/>
          </c:marker>
          <c:cat>
            <c:numRef>
              <c:f>보고서용!$BX$41:$CA$41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보고서용!$BX$45:$CA$45</c:f>
              <c:numCache>
                <c:formatCode>0.0%</c:formatCode>
                <c:ptCount val="4"/>
                <c:pt idx="0">
                  <c:v>0.8084352540530978</c:v>
                </c:pt>
                <c:pt idx="1">
                  <c:v>0.79349708949672593</c:v>
                </c:pt>
                <c:pt idx="2">
                  <c:v>0.78943824098339777</c:v>
                </c:pt>
                <c:pt idx="3">
                  <c:v>0.78930869885103139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6-4EB3-9BA7-73A414BDE04E}"/>
            </c:ext>
          </c:extLst>
        </c:ser>
        <c:ser>
          <c:idx val="5"/>
          <c:order val="4"/>
          <c:tx>
            <c:strRef>
              <c:f>보고서용!$BS$46</c:f>
              <c:strCache>
                <c:ptCount val="1"/>
                <c:pt idx="0">
                  <c:v>평균 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square"/>
            <c:size val="4"/>
            <c:spPr>
              <a:ln>
                <a:noFill/>
              </a:ln>
            </c:spPr>
          </c:marker>
          <c:dLbls>
            <c:dLbl>
              <c:idx val="0"/>
              <c:layout>
                <c:manualLayout>
                  <c:x val="-0.1005025390739895"/>
                  <c:y val="-4.0756932804700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46-4EB3-9BA7-73A414BDE04E}"/>
                </c:ext>
              </c:extLst>
            </c:dLbl>
            <c:dLbl>
              <c:idx val="1"/>
              <c:layout>
                <c:manualLayout>
                  <c:x val="-5.748264553611579E-2"/>
                  <c:y val="-6.1964062184534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46-4EB3-9BA7-73A414BDE04E}"/>
                </c:ext>
              </c:extLst>
            </c:dLbl>
            <c:dLbl>
              <c:idx val="2"/>
              <c:layout>
                <c:manualLayout>
                  <c:x val="-4.935182256551969E-2"/>
                  <c:y val="-6.5887744801130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46-4EB3-9BA7-73A414BDE04E}"/>
                </c:ext>
              </c:extLst>
            </c:dLbl>
            <c:dLbl>
              <c:idx val="3"/>
              <c:layout>
                <c:manualLayout>
                  <c:x val="-6.7001825617463776E-2"/>
                  <c:y val="-5.6141732283464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46-4EB3-9BA7-73A414BDE0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보고서용!$BX$41:$CA$41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보고서용!$BX$46:$CA$46</c:f>
              <c:numCache>
                <c:formatCode>0.0%</c:formatCode>
                <c:ptCount val="4"/>
                <c:pt idx="0">
                  <c:v>0.79576017391818998</c:v>
                </c:pt>
                <c:pt idx="1">
                  <c:v>0.79257637722133867</c:v>
                </c:pt>
                <c:pt idx="2">
                  <c:v>0.79465301607575556</c:v>
                </c:pt>
                <c:pt idx="3">
                  <c:v>0.78568734975382126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46-4EB3-9BA7-73A414BDE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475008"/>
        <c:axId val="328476544"/>
      </c:lineChart>
      <c:catAx>
        <c:axId val="3284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28476544"/>
        <c:crosses val="autoZero"/>
        <c:auto val="1"/>
        <c:lblAlgn val="ctr"/>
        <c:lblOffset val="100"/>
        <c:noMultiLvlLbl val="0"/>
      </c:catAx>
      <c:valAx>
        <c:axId val="328476544"/>
        <c:scaling>
          <c:orientation val="minMax"/>
          <c:min val="0.70000000000000062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28475008"/>
        <c:crosses val="autoZero"/>
        <c:crossBetween val="between"/>
        <c:majorUnit val="0.05"/>
      </c:valAx>
    </c:plotArea>
    <c:legend>
      <c:legendPos val="b"/>
      <c:layout>
        <c:manualLayout>
          <c:xMode val="edge"/>
          <c:yMode val="edge"/>
          <c:x val="5.7812477457231601E-2"/>
          <c:y val="0.78586357980152721"/>
          <c:w val="0.89999988412044563"/>
          <c:h val="8.5240909685820737E-2"/>
        </c:manualLayout>
      </c:layout>
      <c:overlay val="0"/>
      <c:txPr>
        <a:bodyPr/>
        <a:lstStyle/>
        <a:p>
          <a:pPr>
            <a:defRPr sz="700"/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Century Gothic" pitchFamily="34" charset="0"/>
        </a:defRPr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보고서용!$BS$161</c:f>
              <c:strCache>
                <c:ptCount val="1"/>
                <c:pt idx="0">
                  <c:v>고정비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보고서용!$BX$158:$CA$158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 1H</c:v>
                </c:pt>
              </c:strCache>
            </c:strRef>
          </c:cat>
          <c:val>
            <c:numRef>
              <c:f>보고서용!$BX$161:$CA$161</c:f>
              <c:numCache>
                <c:formatCode>0.0%</c:formatCode>
                <c:ptCount val="4"/>
                <c:pt idx="0">
                  <c:v>0.5876662004990717</c:v>
                </c:pt>
                <c:pt idx="1">
                  <c:v>0.35428733544014845</c:v>
                </c:pt>
                <c:pt idx="2">
                  <c:v>0.34085437001719548</c:v>
                </c:pt>
                <c:pt idx="3">
                  <c:v>0.32885669938938372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2-4A33-B9BB-DE489CC25F00}"/>
            </c:ext>
          </c:extLst>
        </c:ser>
        <c:ser>
          <c:idx val="0"/>
          <c:order val="1"/>
          <c:tx>
            <c:strRef>
              <c:f>보고서용!$BS$159</c:f>
              <c:strCache>
                <c:ptCount val="1"/>
                <c:pt idx="0">
                  <c:v>인건비성 경비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보고서용!$BX$158:$CA$158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 1H</c:v>
                </c:pt>
              </c:strCache>
            </c:strRef>
          </c:cat>
          <c:val>
            <c:numRef>
              <c:f>보고서용!$BX$159:$CA$159</c:f>
              <c:numCache>
                <c:formatCode>0.0%</c:formatCode>
                <c:ptCount val="4"/>
                <c:pt idx="0">
                  <c:v>0.2319123513078831</c:v>
                </c:pt>
                <c:pt idx="1">
                  <c:v>0.28802612354038182</c:v>
                </c:pt>
                <c:pt idx="2">
                  <c:v>0.28234136837815971</c:v>
                </c:pt>
                <c:pt idx="3">
                  <c:v>0.27204372935085835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2-4A33-B9BB-DE489CC25F00}"/>
            </c:ext>
          </c:extLst>
        </c:ser>
        <c:ser>
          <c:idx val="1"/>
          <c:order val="2"/>
          <c:tx>
            <c:strRef>
              <c:f>보고서용!$BS$160</c:f>
              <c:strCache>
                <c:ptCount val="1"/>
                <c:pt idx="0">
                  <c:v>매출연동 경비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보고서용!$BX$158:$CA$158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 1H</c:v>
                </c:pt>
              </c:strCache>
            </c:strRef>
          </c:cat>
          <c:val>
            <c:numRef>
              <c:f>보고서용!$BX$160:$CA$160</c:f>
              <c:numCache>
                <c:formatCode>0.0%</c:formatCode>
                <c:ptCount val="4"/>
                <c:pt idx="0">
                  <c:v>0.18042144819304506</c:v>
                </c:pt>
                <c:pt idx="1">
                  <c:v>0.35768654101946962</c:v>
                </c:pt>
                <c:pt idx="2">
                  <c:v>0.37680426160464492</c:v>
                </c:pt>
                <c:pt idx="3">
                  <c:v>0.39909957125975792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2-4A33-B9BB-DE489CC25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8499200"/>
        <c:axId val="328500736"/>
      </c:barChart>
      <c:catAx>
        <c:axId val="32849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28500736"/>
        <c:crosses val="autoZero"/>
        <c:auto val="1"/>
        <c:lblAlgn val="ctr"/>
        <c:lblOffset val="100"/>
        <c:noMultiLvlLbl val="0"/>
      </c:catAx>
      <c:valAx>
        <c:axId val="328500736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one"/>
        <c:crossAx val="3284992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700"/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entury Gothic" pitchFamily="34" charset="0"/>
        </a:defRPr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매출원가추정!$B$79</c:f>
              <c:strCache>
                <c:ptCount val="1"/>
                <c:pt idx="0">
                  <c:v>매출총이익률 </c:v>
                </c:pt>
              </c:strCache>
            </c:strRef>
          </c:tx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8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70D-413B-A459-85A4E32C4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매출원가추정!$C$78:$F$78</c:f>
              <c:strCache>
                <c:ptCount val="4"/>
                <c:pt idx="0">
                  <c:v>H마트 </c:v>
                </c:pt>
                <c:pt idx="1">
                  <c:v>전자랜드 </c:v>
                </c:pt>
                <c:pt idx="2">
                  <c:v>리빙프라자 </c:v>
                </c:pt>
                <c:pt idx="3">
                  <c:v>하이프라자 </c:v>
                </c:pt>
              </c:strCache>
            </c:strRef>
          </c:cat>
          <c:val>
            <c:numRef>
              <c:f>매출원가추정!$C$79:$F$79</c:f>
              <c:numCache>
                <c:formatCode>0.0%</c:formatCode>
                <c:ptCount val="4"/>
                <c:pt idx="0">
                  <c:v>0.24797526983463195</c:v>
                </c:pt>
                <c:pt idx="1">
                  <c:v>0.19794790898874359</c:v>
                </c:pt>
                <c:pt idx="2">
                  <c:v>0.1787755296530785</c:v>
                </c:pt>
                <c:pt idx="3">
                  <c:v>0.2092519902229483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D-413B-A459-85A4E32C4798}"/>
            </c:ext>
          </c:extLst>
        </c:ser>
        <c:ser>
          <c:idx val="1"/>
          <c:order val="1"/>
          <c:tx>
            <c:strRef>
              <c:f>매출원가추정!$B$80</c:f>
              <c:strCache>
                <c:ptCount val="1"/>
                <c:pt idx="0">
                  <c:v>영업이익률 </c:v>
                </c:pt>
              </c:strCache>
            </c:strRef>
          </c:tx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8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70D-413B-A459-85A4E32C4798}"/>
                </c:ext>
              </c:extLst>
            </c:dLbl>
            <c:dLbl>
              <c:idx val="1"/>
              <c:layout>
                <c:manualLayout>
                  <c:x val="3.3333114610673807E-2"/>
                  <c:y val="0.132597479369132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0D-413B-A459-85A4E32C4798}"/>
                </c:ext>
              </c:extLst>
            </c:dLbl>
            <c:dLbl>
              <c:idx val="2"/>
              <c:layout>
                <c:manualLayout>
                  <c:x val="1.6666666666666701E-2"/>
                  <c:y val="0.129188716275330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0D-413B-A459-85A4E32C4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매출원가추정!$C$78:$F$78</c:f>
              <c:strCache>
                <c:ptCount val="4"/>
                <c:pt idx="0">
                  <c:v>H마트 </c:v>
                </c:pt>
                <c:pt idx="1">
                  <c:v>전자랜드 </c:v>
                </c:pt>
                <c:pt idx="2">
                  <c:v>리빙프라자 </c:v>
                </c:pt>
                <c:pt idx="3">
                  <c:v>하이프라자 </c:v>
                </c:pt>
              </c:strCache>
            </c:strRef>
          </c:cat>
          <c:val>
            <c:numRef>
              <c:f>매출원가추정!$C$80:$F$80</c:f>
              <c:numCache>
                <c:formatCode>0.0%</c:formatCode>
                <c:ptCount val="4"/>
                <c:pt idx="0">
                  <c:v>6.1681953623769735E-2</c:v>
                </c:pt>
                <c:pt idx="1">
                  <c:v>-4.8975404241536459E-3</c:v>
                </c:pt>
                <c:pt idx="2">
                  <c:v>-4.2915973646499564E-3</c:v>
                </c:pt>
                <c:pt idx="3">
                  <c:v>1.3732993460861839E-3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D-413B-A459-85A4E32C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864768"/>
        <c:axId val="360870656"/>
      </c:barChart>
      <c:catAx>
        <c:axId val="36086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360870656"/>
        <c:crosses val="autoZero"/>
        <c:auto val="1"/>
        <c:lblAlgn val="ctr"/>
        <c:lblOffset val="100"/>
        <c:noMultiLvlLbl val="0"/>
      </c:catAx>
      <c:valAx>
        <c:axId val="360870656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one"/>
        <c:crossAx val="3608647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entury Gothic" pitchFamily="34" charset="0"/>
        </a:defRPr>
      </a:pPr>
      <a:endParaRPr lang="ko-K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34</xdr:row>
      <xdr:rowOff>9525</xdr:rowOff>
    </xdr:from>
    <xdr:to>
      <xdr:col>35</xdr:col>
      <xdr:colOff>152400</xdr:colOff>
      <xdr:row>46</xdr:row>
      <xdr:rowOff>66674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28573</xdr:colOff>
      <xdr:row>47</xdr:row>
      <xdr:rowOff>76200</xdr:rowOff>
    </xdr:from>
    <xdr:to>
      <xdr:col>34</xdr:col>
      <xdr:colOff>409574</xdr:colOff>
      <xdr:row>60</xdr:row>
      <xdr:rowOff>47625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112</xdr:row>
      <xdr:rowOff>85725</xdr:rowOff>
    </xdr:from>
    <xdr:to>
      <xdr:col>20</xdr:col>
      <xdr:colOff>114299</xdr:colOff>
      <xdr:row>125</xdr:row>
      <xdr:rowOff>47625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9524</xdr:colOff>
      <xdr:row>62</xdr:row>
      <xdr:rowOff>28574</xdr:rowOff>
    </xdr:from>
    <xdr:to>
      <xdr:col>65</xdr:col>
      <xdr:colOff>523875</xdr:colOff>
      <xdr:row>73</xdr:row>
      <xdr:rowOff>104774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66675</xdr:colOff>
      <xdr:row>13</xdr:row>
      <xdr:rowOff>57150</xdr:rowOff>
    </xdr:from>
    <xdr:to>
      <xdr:col>79</xdr:col>
      <xdr:colOff>295275</xdr:colOff>
      <xdr:row>25</xdr:row>
      <xdr:rowOff>47624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</xdr:colOff>
      <xdr:row>22</xdr:row>
      <xdr:rowOff>76200</xdr:rowOff>
    </xdr:from>
    <xdr:to>
      <xdr:col>79</xdr:col>
      <xdr:colOff>295276</xdr:colOff>
      <xdr:row>36</xdr:row>
      <xdr:rowOff>66675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590550</xdr:colOff>
      <xdr:row>36</xdr:row>
      <xdr:rowOff>114300</xdr:rowOff>
    </xdr:from>
    <xdr:to>
      <xdr:col>79</xdr:col>
      <xdr:colOff>200025</xdr:colOff>
      <xdr:row>53</xdr:row>
      <xdr:rowOff>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47625</xdr:colOff>
      <xdr:row>158</xdr:row>
      <xdr:rowOff>19050</xdr:rowOff>
    </xdr:from>
    <xdr:to>
      <xdr:col>78</xdr:col>
      <xdr:colOff>552450</xdr:colOff>
      <xdr:row>173</xdr:row>
      <xdr:rowOff>38100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647700</xdr:colOff>
      <xdr:row>73</xdr:row>
      <xdr:rowOff>47625</xdr:rowOff>
    </xdr:from>
    <xdr:to>
      <xdr:col>31</xdr:col>
      <xdr:colOff>98425</xdr:colOff>
      <xdr:row>74</xdr:row>
      <xdr:rowOff>22225</xdr:rowOff>
    </xdr:to>
    <xdr:sp macro="" textlink="">
      <xdr:nvSpPr>
        <xdr:cNvPr id="68" name="GridGrid - Report" hidden="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11430000" y="11430000"/>
          <a:ext cx="12700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altLang="ko-KR" sz="900">
              <a:latin typeface="Arial"/>
            </a:rPr>
            <a:t>100</a:t>
          </a:r>
          <a:endParaRPr lang="ko-KR" altLang="en-US" sz="900">
            <a:latin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</xdr:colOff>
      <xdr:row>493</xdr:row>
      <xdr:rowOff>142875</xdr:rowOff>
    </xdr:from>
    <xdr:to>
      <xdr:col>23</xdr:col>
      <xdr:colOff>342899</xdr:colOff>
      <xdr:row>513</xdr:row>
      <xdr:rowOff>114301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05725" y="30260925"/>
          <a:ext cx="7381875" cy="30194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266700</xdr:colOff>
      <xdr:row>513</xdr:row>
      <xdr:rowOff>47625</xdr:rowOff>
    </xdr:from>
    <xdr:to>
      <xdr:col>25</xdr:col>
      <xdr:colOff>149676</xdr:colOff>
      <xdr:row>553</xdr:row>
      <xdr:rowOff>35375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15450" y="33404175"/>
          <a:ext cx="6772275" cy="60674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362</xdr:row>
      <xdr:rowOff>66675</xdr:rowOff>
    </xdr:from>
    <xdr:to>
      <xdr:col>9</xdr:col>
      <xdr:colOff>73476</xdr:colOff>
      <xdr:row>400</xdr:row>
      <xdr:rowOff>149677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972550"/>
          <a:ext cx="7353300" cy="5857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399</xdr:row>
      <xdr:rowOff>114300</xdr:rowOff>
    </xdr:from>
    <xdr:to>
      <xdr:col>8</xdr:col>
      <xdr:colOff>383269</xdr:colOff>
      <xdr:row>419</xdr:row>
      <xdr:rowOff>38100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5011400"/>
          <a:ext cx="6829425" cy="2971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417</xdr:row>
      <xdr:rowOff>28575</xdr:rowOff>
    </xdr:from>
    <xdr:to>
      <xdr:col>8</xdr:col>
      <xdr:colOff>607331</xdr:colOff>
      <xdr:row>443</xdr:row>
      <xdr:rowOff>112032</xdr:rowOff>
    </xdr:to>
    <xdr:pic>
      <xdr:nvPicPr>
        <xdr:cNvPr id="2060" name="Picture 12"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525" y="17840325"/>
          <a:ext cx="7029450" cy="40386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442</xdr:row>
      <xdr:rowOff>9525</xdr:rowOff>
    </xdr:from>
    <xdr:to>
      <xdr:col>8</xdr:col>
      <xdr:colOff>416376</xdr:colOff>
      <xdr:row>465</xdr:row>
      <xdr:rowOff>149675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1869400"/>
          <a:ext cx="6838950" cy="3629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463</xdr:row>
      <xdr:rowOff>66675</xdr:rowOff>
    </xdr:from>
    <xdr:to>
      <xdr:col>8</xdr:col>
      <xdr:colOff>421369</xdr:colOff>
      <xdr:row>477</xdr:row>
      <xdr:rowOff>73476</xdr:rowOff>
    </xdr:to>
    <xdr:pic>
      <xdr:nvPicPr>
        <xdr:cNvPr id="2064" name="Picture 16"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5326975"/>
          <a:ext cx="6867525" cy="21240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475</xdr:row>
      <xdr:rowOff>133350</xdr:rowOff>
    </xdr:from>
    <xdr:to>
      <xdr:col>8</xdr:col>
      <xdr:colOff>454931</xdr:colOff>
      <xdr:row>516</xdr:row>
      <xdr:rowOff>40369</xdr:rowOff>
    </xdr:to>
    <xdr:pic>
      <xdr:nvPicPr>
        <xdr:cNvPr id="2066" name="Picture 18"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7336750"/>
          <a:ext cx="6886575" cy="6162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75</xdr:row>
      <xdr:rowOff>38100</xdr:rowOff>
    </xdr:from>
    <xdr:to>
      <xdr:col>4</xdr:col>
      <xdr:colOff>1152525</xdr:colOff>
      <xdr:row>90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101600</xdr:colOff>
      <xdr:row>1</xdr:row>
      <xdr:rowOff>63500</xdr:rowOff>
    </xdr:from>
    <xdr:to>
      <xdr:col>21</xdr:col>
      <xdr:colOff>25400</xdr:colOff>
      <xdr:row>54</xdr:row>
      <xdr:rowOff>140206</xdr:rowOff>
    </xdr:to>
    <xdr:grpSp>
      <xdr:nvGrpSpPr>
        <xdr:cNvPr id="16" name="GroupExplanation_5_714.7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pSpPr/>
      </xdr:nvGrpSpPr>
      <xdr:grpSpPr>
        <a:xfrm>
          <a:off x="9245600" y="241300"/>
          <a:ext cx="3225800" cy="9017506"/>
          <a:chOff x="9293225" y="254000"/>
          <a:chExt cx="3238500" cy="8706356"/>
        </a:xfrm>
      </xdr:grpSpPr>
      <xdr:sp macro="" textlink="">
        <xdr:nvSpPr>
          <xdr:cNvPr id="10" name="NoteEX11265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/>
        </xdr:nvSpPr>
        <xdr:spPr>
          <a:xfrm>
            <a:off x="9356725" y="317500"/>
            <a:ext cx="3175000" cy="855395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vert="horz" rtlCol="0" anchor="t"/>
          <a:lstStyle/>
          <a:p>
            <a:r>
              <a:rPr lang="en-US" altLang="ko-KR" sz="800">
                <a:latin typeface="Arial"/>
              </a:rPr>
              <a:t>(1) </a:t>
            </a:r>
            <a:r>
              <a:rPr lang="ko-KR" altLang="en-US" sz="800">
                <a:latin typeface="Arial"/>
              </a:rPr>
              <a:t>인건비성 경비
</a:t>
            </a:r>
            <a:r>
              <a:rPr lang="en-US" altLang="ko-KR" sz="800">
                <a:latin typeface="Arial"/>
              </a:rPr>
              <a:t>- </a:t>
            </a:r>
            <a:r>
              <a:rPr lang="ko-KR" altLang="en-US" sz="800">
                <a:latin typeface="Arial"/>
              </a:rPr>
              <a:t>급여 
</a:t>
            </a:r>
            <a:r>
              <a:rPr lang="en-US" altLang="ko-KR" sz="800">
                <a:latin typeface="Arial"/>
              </a:rPr>
              <a:t>a. </a:t>
            </a:r>
            <a:r>
              <a:rPr lang="ko-KR" altLang="en-US" sz="800">
                <a:latin typeface="Arial"/>
              </a:rPr>
              <a:t>인원</a:t>
            </a:r>
            <a:r>
              <a:rPr lang="en-US" altLang="ko-KR" sz="800">
                <a:latin typeface="Arial"/>
              </a:rPr>
              <a:t>: </a:t>
            </a:r>
            <a:r>
              <a:rPr lang="ko-KR" altLang="en-US" sz="800">
                <a:latin typeface="Arial"/>
              </a:rPr>
              <a:t>인수 후 상품본부 </a:t>
            </a:r>
            <a:r>
              <a:rPr lang="en-US" altLang="ko-KR" sz="800">
                <a:latin typeface="Arial"/>
              </a:rPr>
              <a:t>15</a:t>
            </a:r>
            <a:r>
              <a:rPr lang="ko-KR" altLang="en-US" sz="800">
                <a:latin typeface="Arial"/>
              </a:rPr>
              <a:t>명을 이마트로 배치 예정</a:t>
            </a:r>
            <a:r>
              <a:rPr lang="en-US" altLang="ko-KR" sz="800">
                <a:latin typeface="Arial"/>
              </a:rPr>
              <a:t>(2011.2H)
b. </a:t>
            </a:r>
            <a:r>
              <a:rPr lang="ko-KR" altLang="en-US" sz="800">
                <a:latin typeface="Arial"/>
              </a:rPr>
              <a:t>인상율</a:t>
            </a:r>
            <a:r>
              <a:rPr lang="en-US" altLang="ko-KR" sz="800">
                <a:latin typeface="Arial"/>
              </a:rPr>
              <a:t>: ① </a:t>
            </a:r>
            <a:r>
              <a:rPr lang="ko-KR" altLang="en-US" sz="800">
                <a:latin typeface="Arial"/>
              </a:rPr>
              <a:t>정규직 급여는 현재 이마트 급여대비 </a:t>
            </a:r>
            <a:r>
              <a:rPr lang="en-US" altLang="ko-KR" sz="800">
                <a:latin typeface="Arial"/>
              </a:rPr>
              <a:t>85% </a:t>
            </a:r>
            <a:r>
              <a:rPr lang="ko-KR" altLang="en-US" sz="800">
                <a:latin typeface="Arial"/>
              </a:rPr>
              <a:t>수준으로 추정 </a:t>
            </a:r>
            <a:r>
              <a:rPr lang="en-US" altLang="ko-KR" sz="800">
                <a:latin typeface="Arial"/>
              </a:rPr>
              <a:t>--&gt; 4</a:t>
            </a:r>
            <a:r>
              <a:rPr lang="ko-KR" altLang="en-US" sz="800">
                <a:latin typeface="Arial"/>
              </a:rPr>
              <a:t>년간 </a:t>
            </a:r>
            <a:r>
              <a:rPr lang="en-US" altLang="ko-KR" sz="800">
                <a:latin typeface="Arial"/>
              </a:rPr>
              <a:t>catch-up</a:t>
            </a:r>
            <a:r>
              <a:rPr lang="ko-KR" altLang="en-US" sz="800">
                <a:latin typeface="Arial"/>
              </a:rPr>
              <a:t>하여 이마트 급여수준으로 일치 </a:t>
            </a:r>
            <a:r>
              <a:rPr lang="en-US" altLang="ko-KR" sz="800">
                <a:latin typeface="Arial"/>
              </a:rPr>
              <a:t>&amp; </a:t>
            </a:r>
            <a:r>
              <a:rPr lang="ko-KR" altLang="en-US" sz="800">
                <a:latin typeface="Arial"/>
              </a:rPr>
              <a:t>기본인상율 </a:t>
            </a:r>
            <a:r>
              <a:rPr lang="en-US" altLang="ko-KR" sz="800">
                <a:latin typeface="Arial"/>
              </a:rPr>
              <a:t>5% </a:t>
            </a:r>
            <a:r>
              <a:rPr lang="ko-KR" altLang="en-US" sz="800">
                <a:latin typeface="Arial"/>
              </a:rPr>
              <a:t>반영
②  비정규직 급여는 최저임금상승률</a:t>
            </a:r>
            <a:r>
              <a:rPr lang="en-US" altLang="ko-KR" sz="800">
                <a:latin typeface="Arial"/>
              </a:rPr>
              <a:t>(</a:t>
            </a:r>
            <a:r>
              <a:rPr lang="ko-KR" altLang="en-US" sz="800">
                <a:latin typeface="Arial"/>
              </a:rPr>
              <a:t>직전 </a:t>
            </a:r>
            <a:r>
              <a:rPr lang="en-US" altLang="ko-KR" sz="800">
                <a:latin typeface="Arial"/>
              </a:rPr>
              <a:t>3</a:t>
            </a:r>
            <a:r>
              <a:rPr lang="ko-KR" altLang="en-US" sz="800">
                <a:latin typeface="Arial"/>
              </a:rPr>
              <a:t>개년 가중평균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최저임금위원회</a:t>
            </a:r>
            <a:r>
              <a:rPr lang="en-US" altLang="ko-KR" sz="800">
                <a:latin typeface="Arial"/>
              </a:rPr>
              <a:t>) 4.5% </a:t>
            </a:r>
            <a:r>
              <a:rPr lang="ko-KR" altLang="en-US" sz="800">
                <a:latin typeface="Arial"/>
              </a:rPr>
              <a:t>가정
</a:t>
            </a:r>
            <a:r>
              <a:rPr lang="en-US" altLang="ko-KR" sz="800">
                <a:latin typeface="Arial"/>
              </a:rPr>
              <a:t>c. </a:t>
            </a:r>
            <a:r>
              <a:rPr lang="ko-KR" altLang="en-US" sz="800">
                <a:latin typeface="Arial"/>
              </a:rPr>
              <a:t>기타 특이사항</a:t>
            </a:r>
            <a:r>
              <a:rPr lang="en-US" altLang="ko-KR" sz="800">
                <a:latin typeface="Arial"/>
              </a:rPr>
              <a:t>: 2011</a:t>
            </a:r>
            <a:r>
              <a:rPr lang="ko-KR" altLang="en-US" sz="800">
                <a:latin typeface="Arial"/>
              </a:rPr>
              <a:t>년 하반기 </a:t>
            </a:r>
            <a:r>
              <a:rPr lang="en-US" altLang="ko-KR" sz="800">
                <a:latin typeface="Arial"/>
              </a:rPr>
              <a:t>renovation</a:t>
            </a:r>
            <a:r>
              <a:rPr lang="ko-KR" altLang="en-US" sz="800">
                <a:latin typeface="Arial"/>
              </a:rPr>
              <a:t>으로 인한 영업중단일을  단순평균하여 </a:t>
            </a:r>
            <a:r>
              <a:rPr lang="en-US" altLang="ko-KR" sz="800">
                <a:latin typeface="Arial"/>
              </a:rPr>
              <a:t>38</a:t>
            </a:r>
            <a:r>
              <a:rPr lang="ko-KR" altLang="en-US" sz="800">
                <a:latin typeface="Arial"/>
              </a:rPr>
              <a:t>일로 가정 </a:t>
            </a:r>
            <a:r>
              <a:rPr lang="en-US" altLang="ko-KR" sz="800">
                <a:latin typeface="Arial"/>
              </a:rPr>
              <a:t>--&gt; </a:t>
            </a:r>
            <a:r>
              <a:rPr lang="ko-KR" altLang="en-US" sz="800">
                <a:latin typeface="Arial"/>
              </a:rPr>
              <a:t>비정규직 급여 미발생</a:t>
            </a:r>
            <a:r>
              <a:rPr lang="en-US" altLang="ko-KR" sz="800">
                <a:latin typeface="Arial"/>
              </a:rPr>
              <a:t>(</a:t>
            </a:r>
            <a:r>
              <a:rPr lang="ko-KR" altLang="en-US" sz="800">
                <a:latin typeface="Arial"/>
              </a:rPr>
              <a:t>정규직은 발생 가정</a:t>
            </a:r>
            <a:r>
              <a:rPr lang="en-US" altLang="ko-KR" sz="800">
                <a:latin typeface="Arial"/>
              </a:rPr>
              <a:t>)
- </a:t>
            </a:r>
            <a:r>
              <a:rPr lang="ko-KR" altLang="en-US" sz="800">
                <a:latin typeface="Arial"/>
              </a:rPr>
              <a:t>퇴직급여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복리후생비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교육훈련비</a:t>
            </a:r>
            <a:r>
              <a:rPr lang="en-US" altLang="ko-KR" sz="800">
                <a:latin typeface="Arial"/>
              </a:rPr>
              <a:t>: </a:t>
            </a:r>
            <a:r>
              <a:rPr lang="ko-KR" altLang="en-US" sz="800">
                <a:latin typeface="Arial"/>
              </a:rPr>
              <a:t>직전 </a:t>
            </a:r>
            <a:r>
              <a:rPr lang="en-US" altLang="ko-KR" sz="800">
                <a:latin typeface="Arial"/>
              </a:rPr>
              <a:t>3</a:t>
            </a:r>
            <a:r>
              <a:rPr lang="ko-KR" altLang="en-US" sz="800">
                <a:latin typeface="Arial"/>
              </a:rPr>
              <a:t>개년 급여액 대비 평균비율 적용
</a:t>
            </a:r>
            <a:r>
              <a:rPr lang="en-US" altLang="ko-KR" sz="800">
                <a:latin typeface="Arial"/>
              </a:rPr>
              <a:t>(2) </a:t>
            </a:r>
            <a:r>
              <a:rPr lang="ko-KR" altLang="en-US" sz="800">
                <a:latin typeface="Arial"/>
              </a:rPr>
              <a:t>매출연동 경비
</a:t>
            </a:r>
            <a:r>
              <a:rPr lang="en-US" altLang="ko-KR" sz="800">
                <a:latin typeface="Arial"/>
              </a:rPr>
              <a:t>-</a:t>
            </a:r>
            <a:r>
              <a:rPr lang="ko-KR" altLang="en-US" sz="800">
                <a:latin typeface="Arial"/>
              </a:rPr>
              <a:t>지급수수료
</a:t>
            </a:r>
            <a:r>
              <a:rPr lang="en-US" altLang="ko-KR" sz="800">
                <a:latin typeface="Arial"/>
              </a:rPr>
              <a:t>a. </a:t>
            </a:r>
            <a:r>
              <a:rPr lang="ko-KR" altLang="en-US" sz="800">
                <a:latin typeface="Arial"/>
              </a:rPr>
              <a:t>카드판매수수료</a:t>
            </a:r>
            <a:r>
              <a:rPr lang="en-US" altLang="ko-KR" sz="800">
                <a:latin typeface="Arial"/>
              </a:rPr>
              <a:t>: </a:t>
            </a:r>
            <a:r>
              <a:rPr lang="ko-KR" altLang="en-US" sz="800">
                <a:latin typeface="Arial"/>
              </a:rPr>
              <a:t>킴스클럽 카드수수료는 </a:t>
            </a:r>
            <a:r>
              <a:rPr lang="en-US" altLang="ko-KR" sz="800">
                <a:latin typeface="Arial"/>
              </a:rPr>
              <a:t>1.84%, </a:t>
            </a:r>
            <a:r>
              <a:rPr lang="ko-KR" altLang="en-US" sz="800">
                <a:latin typeface="Arial"/>
              </a:rPr>
              <a:t>이마트 카드수수료는 </a:t>
            </a:r>
            <a:r>
              <a:rPr lang="en-US" altLang="ko-KR" sz="800">
                <a:latin typeface="Arial"/>
              </a:rPr>
              <a:t>1.48% --&gt; </a:t>
            </a:r>
            <a:r>
              <a:rPr lang="ko-KR" altLang="en-US" sz="800">
                <a:latin typeface="Arial"/>
              </a:rPr>
              <a:t>카드매출금액이 총매출금액의 </a:t>
            </a:r>
            <a:r>
              <a:rPr lang="en-US" altLang="ko-KR" sz="800">
                <a:latin typeface="Arial"/>
              </a:rPr>
              <a:t>69%</a:t>
            </a:r>
            <a:r>
              <a:rPr lang="ko-KR" altLang="en-US" sz="800">
                <a:latin typeface="Arial"/>
              </a:rPr>
              <a:t>로 추정하여 총매출액 대비 </a:t>
            </a:r>
            <a:r>
              <a:rPr lang="en-US" altLang="ko-KR" sz="800">
                <a:latin typeface="Arial"/>
              </a:rPr>
              <a:t>1.02%</a:t>
            </a:r>
            <a:r>
              <a:rPr lang="ko-KR" altLang="en-US" sz="800">
                <a:latin typeface="Arial"/>
              </a:rPr>
              <a:t>를 이용하여 추정</a:t>
            </a:r>
            <a:r>
              <a:rPr lang="en-US" altLang="ko-KR" sz="800">
                <a:latin typeface="Arial"/>
              </a:rPr>
              <a:t>(AS-IS 1.27%)
b. </a:t>
            </a:r>
            <a:r>
              <a:rPr lang="ko-KR" altLang="en-US" sz="800">
                <a:latin typeface="Arial"/>
              </a:rPr>
              <a:t>로열티수수료</a:t>
            </a:r>
            <a:r>
              <a:rPr lang="en-US" altLang="ko-KR" sz="800">
                <a:latin typeface="Arial"/>
              </a:rPr>
              <a:t>: </a:t>
            </a:r>
            <a:r>
              <a:rPr lang="ko-KR" altLang="en-US" sz="800">
                <a:latin typeface="Arial"/>
              </a:rPr>
              <a:t>이마트와의 프랜차이즈 계약에 따른 순매출액의 </a:t>
            </a:r>
            <a:r>
              <a:rPr lang="en-US" altLang="ko-KR" sz="800">
                <a:latin typeface="Arial"/>
              </a:rPr>
              <a:t>2%</a:t>
            </a:r>
            <a:r>
              <a:rPr lang="ko-KR" altLang="en-US" sz="800">
                <a:latin typeface="Arial"/>
              </a:rPr>
              <a:t>를 판관비로 반영 </a:t>
            </a:r>
            <a:r>
              <a:rPr lang="en-US" altLang="ko-KR" sz="800">
                <a:latin typeface="Arial"/>
              </a:rPr>
              <a:t>--&gt; valuation</a:t>
            </a:r>
            <a:r>
              <a:rPr lang="ko-KR" altLang="en-US" sz="800">
                <a:latin typeface="Arial"/>
              </a:rPr>
              <a:t>시 제외
</a:t>
            </a:r>
            <a:r>
              <a:rPr lang="en-US" altLang="ko-KR" sz="800">
                <a:latin typeface="Arial"/>
              </a:rPr>
              <a:t>c. </a:t>
            </a:r>
            <a:r>
              <a:rPr lang="ko-KR" altLang="en-US" sz="800">
                <a:latin typeface="Arial"/>
              </a:rPr>
              <a:t>기타지급수수료</a:t>
            </a:r>
            <a:r>
              <a:rPr lang="en-US" altLang="ko-KR" sz="800">
                <a:latin typeface="Arial"/>
              </a:rPr>
              <a:t>: 2010</a:t>
            </a:r>
            <a:r>
              <a:rPr lang="ko-KR" altLang="en-US" sz="800">
                <a:latin typeface="Arial"/>
              </a:rPr>
              <a:t>년 매출액 대비 비율과 동일하게 추정
</a:t>
            </a:r>
            <a:r>
              <a:rPr lang="en-US" altLang="ko-KR" sz="800">
                <a:latin typeface="Arial"/>
              </a:rPr>
              <a:t>- </a:t>
            </a:r>
            <a:r>
              <a:rPr lang="ko-KR" altLang="en-US" sz="800">
                <a:latin typeface="Arial"/>
              </a:rPr>
              <a:t>광고선전비</a:t>
            </a:r>
            <a:r>
              <a:rPr lang="en-US" altLang="ko-KR" sz="800">
                <a:latin typeface="Arial"/>
              </a:rPr>
              <a:t>: </a:t>
            </a:r>
            <a:r>
              <a:rPr lang="ko-KR" altLang="en-US" sz="800">
                <a:latin typeface="Arial"/>
              </a:rPr>
              <a:t>회사의 정책성 경비로 </a:t>
            </a:r>
            <a:r>
              <a:rPr lang="en-US" altLang="ko-KR" sz="800">
                <a:latin typeface="Arial"/>
              </a:rPr>
              <a:t>2011</a:t>
            </a:r>
            <a:r>
              <a:rPr lang="ko-KR" altLang="en-US" sz="800">
                <a:latin typeface="Arial"/>
              </a:rPr>
              <a:t>년은 매출액의 </a:t>
            </a:r>
            <a:r>
              <a:rPr lang="en-US" altLang="ko-KR" sz="800">
                <a:latin typeface="Arial"/>
              </a:rPr>
              <a:t>1% </a:t>
            </a:r>
            <a:r>
              <a:rPr lang="ko-KR" altLang="en-US" sz="800">
                <a:latin typeface="Arial"/>
              </a:rPr>
              <a:t>추정</a:t>
            </a:r>
            <a:r>
              <a:rPr lang="en-US" altLang="ko-KR" sz="800">
                <a:latin typeface="Arial"/>
              </a:rPr>
              <a:t>, 2012</a:t>
            </a:r>
            <a:r>
              <a:rPr lang="ko-KR" altLang="en-US" sz="800">
                <a:latin typeface="Arial"/>
              </a:rPr>
              <a:t>년부터 매출액의 </a:t>
            </a:r>
            <a:r>
              <a:rPr lang="en-US" altLang="ko-KR" sz="800">
                <a:latin typeface="Arial"/>
              </a:rPr>
              <a:t>0.4% </a:t>
            </a:r>
            <a:r>
              <a:rPr lang="ko-KR" altLang="en-US" sz="800">
                <a:latin typeface="Arial"/>
              </a:rPr>
              <a:t>유지</a:t>
            </a:r>
            <a:r>
              <a:rPr lang="en-US" altLang="ko-KR" sz="800">
                <a:latin typeface="Arial"/>
              </a:rPr>
              <a:t>(</a:t>
            </a:r>
            <a:r>
              <a:rPr lang="ko-KR" altLang="en-US" sz="800">
                <a:latin typeface="Arial"/>
              </a:rPr>
              <a:t>에브리데이 </a:t>
            </a:r>
            <a:r>
              <a:rPr lang="en-US" altLang="ko-KR" sz="800">
                <a:latin typeface="Arial"/>
              </a:rPr>
              <a:t>0.2%, Metor 0.6%)
- </a:t>
            </a:r>
            <a:r>
              <a:rPr lang="ko-KR" altLang="en-US" sz="800">
                <a:latin typeface="Arial"/>
              </a:rPr>
              <a:t>기타 매출연동 경비</a:t>
            </a:r>
            <a:r>
              <a:rPr lang="en-US" altLang="ko-KR" sz="800">
                <a:latin typeface="Arial"/>
              </a:rPr>
              <a:t>: </a:t>
            </a:r>
            <a:r>
              <a:rPr lang="ko-KR" altLang="en-US" sz="800">
                <a:latin typeface="Arial"/>
              </a:rPr>
              <a:t>운반비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포장비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소모품비 </a:t>
            </a:r>
            <a:r>
              <a:rPr lang="en-US" altLang="ko-KR" sz="800">
                <a:latin typeface="Arial"/>
              </a:rPr>
              <a:t>--&gt; </a:t>
            </a:r>
            <a:r>
              <a:rPr lang="ko-KR" altLang="en-US" sz="800">
                <a:latin typeface="Arial"/>
              </a:rPr>
              <a:t>직전 </a:t>
            </a:r>
            <a:r>
              <a:rPr lang="en-US" altLang="ko-KR" sz="800">
                <a:latin typeface="Arial"/>
              </a:rPr>
              <a:t>3</a:t>
            </a:r>
            <a:r>
              <a:rPr lang="ko-KR" altLang="en-US" sz="800">
                <a:latin typeface="Arial"/>
              </a:rPr>
              <a:t>개년 매출액대비 </a:t>
            </a:r>
            <a:r>
              <a:rPr lang="en-US" altLang="ko-KR" sz="800">
                <a:latin typeface="Arial"/>
              </a:rPr>
              <a:t>3</a:t>
            </a:r>
            <a:r>
              <a:rPr lang="ko-KR" altLang="en-US" sz="800">
                <a:latin typeface="Arial"/>
              </a:rPr>
              <a:t>개년 비용의 평균 비율을 이용하여 추정
</a:t>
            </a:r>
            <a:r>
              <a:rPr lang="en-US" altLang="ko-KR" sz="800">
                <a:latin typeface="Arial"/>
              </a:rPr>
              <a:t>(3) </a:t>
            </a:r>
            <a:r>
              <a:rPr lang="ko-KR" altLang="en-US" sz="800">
                <a:latin typeface="Arial"/>
              </a:rPr>
              <a:t>준고정비 추정
</a:t>
            </a:r>
            <a:r>
              <a:rPr lang="en-US" altLang="ko-KR" sz="800">
                <a:latin typeface="Arial"/>
              </a:rPr>
              <a:t>- </a:t>
            </a:r>
            <a:r>
              <a:rPr lang="ko-KR" altLang="en-US" sz="800">
                <a:latin typeface="Arial"/>
              </a:rPr>
              <a:t>지급임차료
</a:t>
            </a:r>
            <a:r>
              <a:rPr lang="en-US" altLang="ko-KR" sz="800">
                <a:latin typeface="Arial"/>
              </a:rPr>
              <a:t>a. </a:t>
            </a:r>
            <a:r>
              <a:rPr lang="ko-KR" altLang="en-US" sz="800">
                <a:latin typeface="Arial"/>
              </a:rPr>
              <a:t>지역구분</a:t>
            </a:r>
            <a:r>
              <a:rPr lang="en-US" altLang="ko-KR" sz="800">
                <a:latin typeface="Arial"/>
              </a:rPr>
              <a:t>: 2011</a:t>
            </a:r>
            <a:r>
              <a:rPr lang="ko-KR" altLang="en-US" sz="800">
                <a:latin typeface="Arial"/>
              </a:rPr>
              <a:t>년 예상 임차료를 서울지역</a:t>
            </a:r>
            <a:r>
              <a:rPr lang="en-US" altLang="ko-KR" sz="800">
                <a:latin typeface="Arial"/>
              </a:rPr>
              <a:t>(34%), </a:t>
            </a:r>
            <a:r>
              <a:rPr lang="ko-KR" altLang="en-US" sz="800">
                <a:latin typeface="Arial"/>
              </a:rPr>
              <a:t>서울이외지역</a:t>
            </a:r>
            <a:r>
              <a:rPr lang="en-US" altLang="ko-KR" sz="800">
                <a:latin typeface="Arial"/>
              </a:rPr>
              <a:t>(66%)</a:t>
            </a:r>
            <a:r>
              <a:rPr lang="ko-KR" altLang="en-US" sz="800">
                <a:latin typeface="Arial"/>
              </a:rPr>
              <a:t>로 구분
</a:t>
            </a:r>
            <a:r>
              <a:rPr lang="en-US" altLang="ko-KR" sz="800">
                <a:latin typeface="Arial"/>
              </a:rPr>
              <a:t>b. </a:t>
            </a:r>
            <a:r>
              <a:rPr lang="ko-KR" altLang="en-US" sz="800">
                <a:latin typeface="Arial"/>
              </a:rPr>
              <a:t>인상율</a:t>
            </a:r>
            <a:r>
              <a:rPr lang="en-US" altLang="ko-KR" sz="800">
                <a:latin typeface="Arial"/>
              </a:rPr>
              <a:t>: </a:t>
            </a:r>
            <a:r>
              <a:rPr lang="ko-KR" altLang="en-US" sz="800">
                <a:latin typeface="Arial"/>
              </a:rPr>
              <a:t>매장용 빌딩임대료 가중평균상승률</a:t>
            </a:r>
            <a:r>
              <a:rPr lang="en-US" altLang="ko-KR" sz="800">
                <a:latin typeface="Arial"/>
              </a:rPr>
              <a:t>(</a:t>
            </a:r>
            <a:r>
              <a:rPr lang="ko-KR" altLang="en-US" sz="800">
                <a:latin typeface="Arial"/>
              </a:rPr>
              <a:t>국토해양부</a:t>
            </a:r>
            <a:r>
              <a:rPr lang="en-US" altLang="ko-KR" sz="800">
                <a:latin typeface="Arial"/>
              </a:rPr>
              <a:t>)</a:t>
            </a:r>
            <a:r>
              <a:rPr lang="ko-KR" altLang="en-US" sz="800">
                <a:latin typeface="Arial"/>
              </a:rPr>
              <a:t>를 이용하여 서울지역은 </a:t>
            </a:r>
            <a:r>
              <a:rPr lang="en-US" altLang="ko-KR" sz="800">
                <a:latin typeface="Arial"/>
              </a:rPr>
              <a:t>3.2%, </a:t>
            </a:r>
            <a:r>
              <a:rPr lang="ko-KR" altLang="en-US" sz="800">
                <a:latin typeface="Arial"/>
              </a:rPr>
              <a:t>서울이외지역은 </a:t>
            </a:r>
            <a:r>
              <a:rPr lang="en-US" altLang="ko-KR" sz="800">
                <a:latin typeface="Arial"/>
              </a:rPr>
              <a:t>0.9% </a:t>
            </a:r>
            <a:r>
              <a:rPr lang="ko-KR" altLang="en-US" sz="800">
                <a:latin typeface="Arial"/>
              </a:rPr>
              <a:t>상승 가정</a:t>
            </a:r>
            <a:r>
              <a:rPr lang="en-US" altLang="ko-KR" sz="800">
                <a:latin typeface="Arial"/>
              </a:rPr>
              <a:t>(</a:t>
            </a:r>
            <a:r>
              <a:rPr lang="ko-KR" altLang="en-US" sz="800">
                <a:latin typeface="Arial"/>
              </a:rPr>
              <a:t>가중평균 </a:t>
            </a:r>
            <a:r>
              <a:rPr lang="en-US" altLang="ko-KR" sz="800">
                <a:latin typeface="Arial"/>
              </a:rPr>
              <a:t>1.67%)
- </a:t>
            </a:r>
            <a:r>
              <a:rPr lang="ko-KR" altLang="en-US" sz="800">
                <a:latin typeface="Arial"/>
              </a:rPr>
              <a:t>기타준고정비
</a:t>
            </a:r>
            <a:r>
              <a:rPr lang="en-US" altLang="ko-KR" sz="800">
                <a:latin typeface="Arial"/>
              </a:rPr>
              <a:t>a. </a:t>
            </a:r>
            <a:r>
              <a:rPr lang="ko-KR" altLang="en-US" sz="800">
                <a:latin typeface="Arial"/>
              </a:rPr>
              <a:t>수도광열비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세금과공과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관리비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수선비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여비교통비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보험료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잡비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통신비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차량유지비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사무비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접대비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도서인쇄비
</a:t>
            </a:r>
            <a:r>
              <a:rPr lang="en-US" altLang="ko-KR" sz="800">
                <a:latin typeface="Arial"/>
              </a:rPr>
              <a:t>b. 2010</a:t>
            </a:r>
            <a:r>
              <a:rPr lang="ko-KR" altLang="en-US" sz="800">
                <a:latin typeface="Arial"/>
              </a:rPr>
              <a:t>년 비용에 물가상승율만큼 상승한다고 가정</a:t>
            </a:r>
            <a:r>
              <a:rPr lang="en-US" altLang="ko-KR" sz="800">
                <a:latin typeface="Arial"/>
              </a:rPr>
              <a:t>(EIU information)
(4) </a:t>
            </a:r>
            <a:r>
              <a:rPr lang="ko-KR" altLang="en-US" sz="800">
                <a:latin typeface="Arial"/>
              </a:rPr>
              <a:t>별도계산
</a:t>
            </a:r>
            <a:r>
              <a:rPr lang="en-US" altLang="ko-KR" sz="800">
                <a:latin typeface="Arial"/>
              </a:rPr>
              <a:t>- </a:t>
            </a:r>
            <a:r>
              <a:rPr lang="ko-KR" altLang="en-US" sz="800">
                <a:latin typeface="Arial"/>
              </a:rPr>
              <a:t>감가상각비</a:t>
            </a:r>
            <a:r>
              <a:rPr lang="en-US" altLang="ko-KR" sz="800">
                <a:latin typeface="Arial"/>
              </a:rPr>
              <a:t>: CAPEX</a:t>
            </a:r>
            <a:r>
              <a:rPr lang="ko-KR" altLang="en-US" sz="800">
                <a:latin typeface="Arial"/>
              </a:rPr>
              <a:t>에서 별도 추정
</a:t>
            </a:r>
            <a:r>
              <a:rPr lang="en-US" altLang="ko-KR" sz="800">
                <a:latin typeface="Arial"/>
              </a:rPr>
              <a:t>- </a:t>
            </a:r>
            <a:r>
              <a:rPr lang="ko-KR" altLang="en-US" sz="800">
                <a:latin typeface="Arial"/>
              </a:rPr>
              <a:t>무형자산상각비</a:t>
            </a:r>
            <a:r>
              <a:rPr lang="en-US" altLang="ko-KR" sz="800">
                <a:latin typeface="Arial"/>
              </a:rPr>
              <a:t>: 2010</a:t>
            </a:r>
            <a:r>
              <a:rPr lang="ko-KR" altLang="en-US" sz="800">
                <a:latin typeface="Arial"/>
              </a:rPr>
              <a:t>년 발생한 영업권 </a:t>
            </a:r>
            <a:r>
              <a:rPr lang="en-US" altLang="ko-KR" sz="800">
                <a:latin typeface="Arial"/>
              </a:rPr>
              <a:t>19</a:t>
            </a:r>
            <a:r>
              <a:rPr lang="ko-KR" altLang="en-US" sz="800">
                <a:latin typeface="Arial"/>
              </a:rPr>
              <a:t>억을 </a:t>
            </a:r>
            <a:r>
              <a:rPr lang="en-US" altLang="ko-KR" sz="800">
                <a:latin typeface="Arial"/>
              </a:rPr>
              <a:t>5</a:t>
            </a:r>
            <a:r>
              <a:rPr lang="ko-KR" altLang="en-US" sz="800">
                <a:latin typeface="Arial"/>
              </a:rPr>
              <a:t>년 상각</a:t>
            </a:r>
            <a:r>
              <a:rPr lang="en-US" altLang="ko-KR" sz="800">
                <a:latin typeface="Arial"/>
              </a:rPr>
              <a:t>, </a:t>
            </a:r>
            <a:r>
              <a:rPr lang="ko-KR" altLang="en-US" sz="800">
                <a:latin typeface="Arial"/>
              </a:rPr>
              <a:t>추가발생 않는다고 가정</a:t>
            </a:r>
          </a:p>
        </xdr:txBody>
      </xdr:sp>
      <xdr:grpSp>
        <xdr:nvGrpSpPr>
          <xdr:cNvPr id="15" name="GroupExplanation_5_714.75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GrpSpPr/>
        </xdr:nvGrpSpPr>
        <xdr:grpSpPr>
          <a:xfrm>
            <a:off x="9293225" y="254000"/>
            <a:ext cx="3238500" cy="8706356"/>
            <a:chOff x="9293225" y="254000"/>
            <a:chExt cx="3238500" cy="8706356"/>
          </a:xfrm>
        </xdr:grpSpPr>
        <xdr:cxnSp macro="">
          <xdr:nvCxnSpPr>
            <xdr:cNvPr id="11" name="EXLeft">
              <a:extLst>
                <a:ext uri="{FF2B5EF4-FFF2-40B4-BE49-F238E27FC236}">
                  <a16:creationId xmlns:a16="http://schemas.microsoft.com/office/drawing/2014/main" id="{00000000-0008-0000-0700-00000B000000}"/>
                </a:ext>
              </a:extLst>
            </xdr:cNvPr>
            <xdr:cNvCxnSpPr/>
          </xdr:nvCxnSpPr>
          <xdr:spPr>
            <a:xfrm>
              <a:off x="9293225" y="254000"/>
              <a:ext cx="0" cy="8706356"/>
            </a:xfrm>
            <a:prstGeom prst="line">
              <a:avLst/>
            </a:prstGeom>
            <a:ln w="9525">
              <a:solidFill>
                <a:srgbClr val="AAA99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EXRight">
              <a:extLs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CxnSpPr/>
          </xdr:nvCxnSpPr>
          <xdr:spPr>
            <a:xfrm>
              <a:off x="12531725" y="254000"/>
              <a:ext cx="0" cy="8706356"/>
            </a:xfrm>
            <a:prstGeom prst="line">
              <a:avLst/>
            </a:prstGeom>
            <a:ln w="9525">
              <a:solidFill>
                <a:srgbClr val="AAA99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EXBottom">
              <a:extLst>
                <a:ext uri="{FF2B5EF4-FFF2-40B4-BE49-F238E27FC236}">
                  <a16:creationId xmlns:a16="http://schemas.microsoft.com/office/drawing/2014/main" id="{00000000-0008-0000-0700-00000D000000}"/>
                </a:ext>
              </a:extLst>
            </xdr:cNvPr>
            <xdr:cNvCxnSpPr/>
          </xdr:nvCxnSpPr>
          <xdr:spPr>
            <a:xfrm>
              <a:off x="9293225" y="8960356"/>
              <a:ext cx="3238500" cy="0"/>
            </a:xfrm>
            <a:prstGeom prst="line">
              <a:avLst/>
            </a:prstGeom>
            <a:ln w="9525">
              <a:solidFill>
                <a:srgbClr val="AAA99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EXTop">
              <a:extLst>
                <a:ext uri="{FF2B5EF4-FFF2-40B4-BE49-F238E27FC236}">
                  <a16:creationId xmlns:a16="http://schemas.microsoft.com/office/drawing/2014/main" id="{00000000-0008-0000-0700-00000E000000}"/>
                </a:ext>
              </a:extLst>
            </xdr:cNvPr>
            <xdr:cNvCxnSpPr/>
          </xdr:nvCxnSpPr>
          <xdr:spPr>
            <a:xfrm>
              <a:off x="9293225" y="254000"/>
              <a:ext cx="3238500" cy="0"/>
            </a:xfrm>
            <a:prstGeom prst="line">
              <a:avLst/>
            </a:prstGeom>
            <a:ln w="9525">
              <a:solidFill>
                <a:srgbClr val="AAA998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user/LOCALS~1/Temp/notesE8DBF2/Project%20K%20Valuation_2(WC%20&#52628;&#5122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user/LOCALS~1/Temp/notesE8DBF2/Project%20K%20Valuation_7_3(0415%20&#48372;&#44256;&#50857;)-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user/LOCALS~1/Temp/notesE8DBF2/&#51060;&#47560;&#53944;%20&#53428;&#49828;&#53364;&#47101;%20&#51064;&#49688;&#54217;&#44032;/Project%20K%20Valuation_2(&#54032;&#44288;&#48708;%20&#52628;&#51221;)_&#51076;&#52264;&#47308;%20&#44048;&#49548;%20&#44540;&#4414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user/LOCALS~1/Temp/notesE8DBF2/Project%20H_Valuation_11102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user/LOCALS~1/Temp/notesE8DBF2/Project%20H_Valuation_111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To do"/>
      <sheetName val="이슈로그"/>
      <sheetName val="Section A"/>
      <sheetName val="EIU전망"/>
      <sheetName val="기간가정"/>
      <sheetName val="Section W"/>
      <sheetName val="WACC"/>
      <sheetName val="KWACC"/>
      <sheetName val="KWACCDetail"/>
      <sheetName val="목표자본구조"/>
      <sheetName val="Section V"/>
      <sheetName val="DCF"/>
      <sheetName val="과거 투자현금흐름"/>
      <sheetName val="점별 매출"/>
      <sheetName val="비영업자산"/>
      <sheetName val="Net Debt"/>
      <sheetName val="재무제표 등"/>
      <sheetName val="BS"/>
      <sheetName val="IS"/>
      <sheetName val="EIU"/>
      <sheetName val="NWC"/>
      <sheetName val="이마트 회전율산정"/>
    </sheetNames>
    <sheetDataSet>
      <sheetData sheetId="0">
        <row r="3">
          <cell r="D3" t="str">
            <v>Project 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To do"/>
      <sheetName val="Assumption"/>
      <sheetName val="EIU전망"/>
      <sheetName val="기간가정"/>
      <sheetName val="Issue Log Valuation"/>
      <sheetName val="Section W"/>
      <sheetName val="목표자본구조"/>
      <sheetName val="R_WACC"/>
      <sheetName val="WACC"/>
      <sheetName val="Kd Target"/>
      <sheetName val="CV"/>
      <sheetName val="Section V"/>
      <sheetName val="Income Tax"/>
      <sheetName val="R_매출"/>
      <sheetName val="2. 매출추정"/>
      <sheetName val="3. 상품매출추정액"/>
      <sheetName val="4.임대료매출"/>
      <sheetName val="조정변수"/>
      <sheetName val="1. DCF"/>
      <sheetName val="Sheet1"/>
      <sheetName val="NWC-report"/>
      <sheetName val="NWC"/>
      <sheetName val="SG&amp;A-report"/>
      <sheetName val="SG&amp;A"/>
      <sheetName val="CAPEX"/>
      <sheetName val="킴스클럽마트 리뉴얼 공사비"/>
      <sheetName val="점포별"/>
      <sheetName val="에브리데이"/>
      <sheetName val="평가표"/>
      <sheetName val="매출"/>
      <sheetName val="상권평가_기준"/>
      <sheetName val="과거 투자현금흐름"/>
      <sheetName val="점별 매출"/>
      <sheetName val="비영업자산"/>
      <sheetName val="비영업자산_FDD"/>
      <sheetName val="Net Debt"/>
      <sheetName val="재무제표 등"/>
      <sheetName val="IS"/>
      <sheetName val="BS"/>
      <sheetName val="EIU"/>
      <sheetName val="VDR Index"/>
    </sheetNames>
    <sheetDataSet>
      <sheetData sheetId="0">
        <row r="3">
          <cell r="D3" t="str">
            <v>Project K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D5">
            <v>169794370682</v>
          </cell>
        </row>
      </sheetData>
      <sheetData sheetId="21" refreshError="1"/>
      <sheetData sheetId="22"/>
      <sheetData sheetId="23">
        <row r="5">
          <cell r="D5">
            <v>3240245613</v>
          </cell>
        </row>
      </sheetData>
      <sheetData sheetId="24"/>
      <sheetData sheetId="25">
        <row r="8">
          <cell r="D8">
            <v>13339671341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To do"/>
      <sheetName val="이슈로그"/>
      <sheetName val="Section A"/>
      <sheetName val="EIU전망"/>
      <sheetName val="기간가정"/>
      <sheetName val="Section W"/>
      <sheetName val="WACC"/>
      <sheetName val="KWACC"/>
      <sheetName val="KWACCDetail"/>
      <sheetName val="목표자본구조"/>
      <sheetName val="Section V"/>
      <sheetName val="DCF"/>
      <sheetName val="과거 투자현금흐름"/>
      <sheetName val="점별 매출"/>
      <sheetName val="비영업자산"/>
      <sheetName val="Net Debt"/>
      <sheetName val="재무제표 등"/>
      <sheetName val="BS"/>
      <sheetName val="IS"/>
      <sheetName val="EIU"/>
      <sheetName val="SG&amp;A"/>
      <sheetName val="이마트자체비율"/>
      <sheetName val="K임금"/>
      <sheetName val="도소매업임금상승률"/>
      <sheetName val="최저임금상승률"/>
      <sheetName val="임대료상승률"/>
      <sheetName val="2010.12.31 임차부동산"/>
      <sheetName val="지급수수료"/>
    </sheetNames>
    <sheetDataSet>
      <sheetData sheetId="0">
        <row r="3">
          <cell r="D3" t="str">
            <v>Project K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To do"/>
      <sheetName val="Assumption"/>
      <sheetName val="Section W"/>
      <sheetName val="WACC_Tier2"/>
      <sheetName val="R_WACC"/>
      <sheetName val="WACC"/>
      <sheetName val="Section V"/>
      <sheetName val="R_DCF"/>
      <sheetName val="R_Two"/>
      <sheetName val="R_Two (2)"/>
      <sheetName val="R-SG&amp;A"/>
      <sheetName val="SG&amp;A"/>
      <sheetName val="R-NWC"/>
      <sheetName val="NWC"/>
      <sheetName val="R_CAPEX"/>
      <sheetName val="CAPEX"/>
      <sheetName val="Net Debt &amp; Non OA"/>
      <sheetName val="Section I"/>
      <sheetName val="BS"/>
      <sheetName val="IS"/>
      <sheetName val="Issue Log Valuation"/>
      <sheetName val="예상손익계산서"/>
      <sheetName val="조정변수"/>
      <sheetName val="CV"/>
      <sheetName val="R_매출"/>
      <sheetName val="2. 매출추정"/>
      <sheetName val="R_상품매출추정"/>
      <sheetName val="3. 상품매출추정액"/>
      <sheetName val="비영업자산"/>
    </sheetNames>
    <sheetDataSet>
      <sheetData sheetId="0">
        <row r="3">
          <cell r="D3" t="str">
            <v>Project 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To do"/>
      <sheetName val="Assumption"/>
      <sheetName val="EIU전망"/>
      <sheetName val="기간가정"/>
      <sheetName val="Issue Log Valuation"/>
      <sheetName val="R_Two"/>
      <sheetName val="R_WACC"/>
      <sheetName val="조정변수"/>
      <sheetName val="R_CAPEX"/>
      <sheetName val="CAPEX"/>
      <sheetName val="R-SG&amp;A"/>
      <sheetName val="R-NWC"/>
      <sheetName val="Net Debt"/>
      <sheetName val="비영업자산_FDD"/>
      <sheetName val="Section W"/>
      <sheetName val="목표자본구조"/>
      <sheetName val="WACC"/>
      <sheetName val="WACC_Tier2"/>
      <sheetName val="Kd Target"/>
      <sheetName val="CV"/>
      <sheetName val="Section V"/>
      <sheetName val="R_DCF"/>
      <sheetName val="R_매출"/>
      <sheetName val="BS"/>
      <sheetName val="IS"/>
      <sheetName val="IS (2)"/>
      <sheetName val="SG&amp;A (2)"/>
      <sheetName val="BS (2)"/>
      <sheetName val="예상손익계산서"/>
      <sheetName val="차입금"/>
      <sheetName val="Income Tax"/>
      <sheetName val="2. 매출추정"/>
      <sheetName val="R_상품매출추정"/>
      <sheetName val="점포별"/>
      <sheetName val="3. 상품매출추정액"/>
      <sheetName val="Sheet"/>
      <sheetName val="매출분석"/>
      <sheetName val="점별 상권분석"/>
      <sheetName val="킴스클럽마트 리뉴얼 공사비"/>
      <sheetName val="4.임대료매출"/>
      <sheetName val="임대상세"/>
      <sheetName val="NWC"/>
      <sheetName val="SG&amp;A"/>
      <sheetName val="에브리데이"/>
      <sheetName val="평가표"/>
      <sheetName val="매출"/>
      <sheetName val="상권평가_기준"/>
      <sheetName val="과거 투자현금흐름"/>
      <sheetName val="비영업자산"/>
      <sheetName val="실사결과"/>
      <sheetName val="재무제표 등"/>
      <sheetName val="EIU"/>
      <sheetName val="VDR Index"/>
    </sheetNames>
    <sheetDataSet>
      <sheetData sheetId="0">
        <row r="3">
          <cell r="D3" t="str">
            <v>Project 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vert="horz" rtlCol="0" anchor="t"/>
      <a:lstStyle>
        <a:defPPr>
          <a:defRPr sz="900">
            <a:latin typeface="Arial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58"/>
  <sheetViews>
    <sheetView showGridLines="0" zoomScaleNormal="100" workbookViewId="0">
      <selection activeCell="K1" sqref="K1"/>
    </sheetView>
  </sheetViews>
  <sheetFormatPr defaultColWidth="9" defaultRowHeight="16"/>
  <cols>
    <col min="1" max="1" width="1.58203125" style="12" customWidth="1"/>
    <col min="2" max="2" width="1.6640625" style="12" customWidth="1"/>
    <col min="3" max="3" width="1.58203125" style="12" customWidth="1"/>
    <col min="4" max="4" width="5" style="12" customWidth="1"/>
    <col min="5" max="5" width="3.5" style="12" customWidth="1"/>
    <col min="6" max="6" width="3.83203125" style="12" customWidth="1"/>
    <col min="7" max="16384" width="9" style="12"/>
  </cols>
  <sheetData>
    <row r="3" spans="2:15">
      <c r="B3" s="15" t="s">
        <v>17</v>
      </c>
      <c r="C3" s="15"/>
      <c r="D3" s="15"/>
      <c r="E3" s="15"/>
      <c r="F3" s="15"/>
      <c r="G3" s="15"/>
      <c r="H3" s="15"/>
      <c r="I3" s="15"/>
      <c r="J3" s="15"/>
      <c r="K3" s="15" t="s">
        <v>46</v>
      </c>
      <c r="L3" s="15" t="s">
        <v>96</v>
      </c>
      <c r="M3" s="16"/>
      <c r="N3" s="16"/>
      <c r="O3" s="16"/>
    </row>
    <row r="4" spans="2:15" s="11" customFormat="1">
      <c r="B4" s="13" t="s">
        <v>97</v>
      </c>
      <c r="E4" s="11" t="s">
        <v>0</v>
      </c>
    </row>
    <row r="5" spans="2:15" s="11" customFormat="1">
      <c r="B5" s="13" t="s">
        <v>47</v>
      </c>
      <c r="C5" s="13"/>
      <c r="D5" s="13"/>
      <c r="E5" s="11" t="s">
        <v>1</v>
      </c>
    </row>
    <row r="6" spans="2:15" s="11" customFormat="1">
      <c r="C6" s="13" t="s">
        <v>98</v>
      </c>
      <c r="D6" s="13"/>
      <c r="E6" s="11" t="s">
        <v>2</v>
      </c>
      <c r="K6" s="12"/>
      <c r="L6" s="12" t="s">
        <v>86</v>
      </c>
      <c r="M6" s="12"/>
      <c r="N6" s="12"/>
      <c r="O6" s="12"/>
    </row>
    <row r="7" spans="2:15">
      <c r="D7" s="14" t="s">
        <v>59</v>
      </c>
      <c r="E7" s="12" t="s">
        <v>44</v>
      </c>
      <c r="K7" s="12">
        <v>1</v>
      </c>
    </row>
    <row r="8" spans="2:15">
      <c r="D8" s="14" t="s">
        <v>60</v>
      </c>
      <c r="E8" s="12" t="s">
        <v>45</v>
      </c>
      <c r="K8" s="12">
        <v>1</v>
      </c>
    </row>
    <row r="9" spans="2:15" s="11" customFormat="1">
      <c r="C9" s="13" t="s">
        <v>48</v>
      </c>
      <c r="D9" s="13"/>
      <c r="E9" s="11" t="s">
        <v>83</v>
      </c>
      <c r="K9" s="12"/>
      <c r="L9" s="12"/>
      <c r="M9" s="12"/>
      <c r="N9" s="12"/>
      <c r="O9" s="12"/>
    </row>
    <row r="10" spans="2:15">
      <c r="D10" s="14" t="s">
        <v>99</v>
      </c>
      <c r="E10" s="12" t="s">
        <v>100</v>
      </c>
      <c r="K10" s="12">
        <v>1</v>
      </c>
      <c r="L10" s="12" t="s">
        <v>716</v>
      </c>
    </row>
    <row r="11" spans="2:15">
      <c r="D11" s="14" t="s">
        <v>60</v>
      </c>
      <c r="E11" s="12" t="s">
        <v>101</v>
      </c>
      <c r="K11" s="12">
        <v>1</v>
      </c>
    </row>
    <row r="12" spans="2:15">
      <c r="D12" s="14" t="s">
        <v>61</v>
      </c>
      <c r="E12" s="12" t="s">
        <v>102</v>
      </c>
      <c r="K12" s="12">
        <v>1</v>
      </c>
    </row>
    <row r="13" spans="2:15">
      <c r="D13" s="14" t="s">
        <v>62</v>
      </c>
      <c r="E13" s="12" t="s">
        <v>103</v>
      </c>
      <c r="K13" s="12">
        <v>1</v>
      </c>
      <c r="L13" s="12" t="s">
        <v>717</v>
      </c>
    </row>
    <row r="14" spans="2:15" s="11" customFormat="1">
      <c r="C14" s="13" t="s">
        <v>49</v>
      </c>
      <c r="D14" s="13"/>
      <c r="E14" s="11" t="s">
        <v>84</v>
      </c>
      <c r="K14" s="12"/>
      <c r="L14" s="12"/>
      <c r="M14" s="12"/>
      <c r="N14" s="12"/>
      <c r="O14" s="12"/>
    </row>
    <row r="15" spans="2:15">
      <c r="D15" s="14" t="s">
        <v>104</v>
      </c>
      <c r="E15" s="12" t="s">
        <v>105</v>
      </c>
      <c r="K15" s="12">
        <v>2</v>
      </c>
      <c r="L15" s="12" t="s">
        <v>150</v>
      </c>
    </row>
    <row r="16" spans="2:15" s="11" customFormat="1">
      <c r="C16" s="13" t="s">
        <v>50</v>
      </c>
      <c r="D16" s="13"/>
      <c r="E16" s="11" t="s">
        <v>85</v>
      </c>
      <c r="K16" s="12">
        <v>1</v>
      </c>
      <c r="L16" s="12" t="s">
        <v>151</v>
      </c>
      <c r="M16" s="12"/>
      <c r="N16" s="12"/>
      <c r="O16" s="12"/>
    </row>
    <row r="17" spans="2:15">
      <c r="D17" s="14" t="s">
        <v>106</v>
      </c>
      <c r="E17" s="12" t="s">
        <v>107</v>
      </c>
    </row>
    <row r="18" spans="2:15">
      <c r="D18" s="14" t="s">
        <v>63</v>
      </c>
      <c r="E18" s="12" t="s">
        <v>108</v>
      </c>
      <c r="K18" s="12">
        <v>1</v>
      </c>
    </row>
    <row r="19" spans="2:15">
      <c r="D19" s="14" t="s">
        <v>64</v>
      </c>
      <c r="E19" s="12" t="s">
        <v>109</v>
      </c>
      <c r="K19" s="12">
        <v>1</v>
      </c>
    </row>
    <row r="20" spans="2:15" s="11" customFormat="1">
      <c r="B20" s="13" t="s">
        <v>110</v>
      </c>
      <c r="C20" s="13"/>
      <c r="D20" s="13"/>
      <c r="E20" s="11" t="s">
        <v>111</v>
      </c>
      <c r="K20" s="12"/>
      <c r="L20" s="12"/>
      <c r="M20" s="12"/>
      <c r="N20" s="12"/>
      <c r="O20" s="12"/>
    </row>
    <row r="21" spans="2:15" s="11" customFormat="1">
      <c r="C21" s="13" t="s">
        <v>112</v>
      </c>
      <c r="D21" s="13"/>
      <c r="E21" s="11" t="s">
        <v>113</v>
      </c>
      <c r="K21" s="12"/>
      <c r="L21" s="12"/>
      <c r="M21" s="12"/>
      <c r="N21" s="12"/>
      <c r="O21" s="12"/>
    </row>
    <row r="22" spans="2:15">
      <c r="D22" s="14" t="s">
        <v>114</v>
      </c>
      <c r="E22" s="12" t="s">
        <v>115</v>
      </c>
      <c r="K22" s="12">
        <v>1</v>
      </c>
    </row>
    <row r="23" spans="2:15">
      <c r="D23" s="14" t="s">
        <v>65</v>
      </c>
      <c r="E23" s="12" t="s">
        <v>116</v>
      </c>
      <c r="K23" s="12">
        <v>1</v>
      </c>
    </row>
    <row r="24" spans="2:15">
      <c r="D24" s="14" t="s">
        <v>66</v>
      </c>
      <c r="E24" s="12" t="s">
        <v>117</v>
      </c>
      <c r="K24" s="12">
        <v>1</v>
      </c>
    </row>
    <row r="25" spans="2:15">
      <c r="D25" s="14" t="s">
        <v>67</v>
      </c>
      <c r="E25" s="12" t="s">
        <v>118</v>
      </c>
      <c r="K25" s="12">
        <v>1</v>
      </c>
    </row>
    <row r="26" spans="2:15" s="11" customFormat="1">
      <c r="C26" s="13" t="s">
        <v>51</v>
      </c>
      <c r="D26" s="13"/>
      <c r="E26" s="11" t="s">
        <v>87</v>
      </c>
      <c r="K26" s="12"/>
      <c r="L26" s="12"/>
      <c r="M26" s="12"/>
      <c r="N26" s="12"/>
      <c r="O26" s="12"/>
    </row>
    <row r="27" spans="2:15">
      <c r="D27" s="14" t="s">
        <v>119</v>
      </c>
      <c r="E27" s="12" t="s">
        <v>120</v>
      </c>
      <c r="K27" s="12">
        <v>1</v>
      </c>
    </row>
    <row r="28" spans="2:15" s="11" customFormat="1">
      <c r="C28" s="13" t="s">
        <v>52</v>
      </c>
      <c r="D28" s="13"/>
      <c r="E28" s="11" t="s">
        <v>88</v>
      </c>
      <c r="K28" s="12"/>
      <c r="L28" s="12"/>
      <c r="M28" s="12"/>
      <c r="N28" s="12"/>
      <c r="O28" s="12"/>
    </row>
    <row r="29" spans="2:15">
      <c r="D29" s="14" t="s">
        <v>121</v>
      </c>
      <c r="E29" s="12" t="s">
        <v>122</v>
      </c>
      <c r="K29" s="12">
        <v>1</v>
      </c>
      <c r="L29" s="12" t="s">
        <v>3001</v>
      </c>
    </row>
    <row r="30" spans="2:15">
      <c r="D30" s="14" t="s">
        <v>68</v>
      </c>
      <c r="E30" s="12" t="s">
        <v>123</v>
      </c>
      <c r="K30" s="12">
        <v>2</v>
      </c>
      <c r="L30" s="12" t="s">
        <v>718</v>
      </c>
    </row>
    <row r="31" spans="2:15" s="11" customFormat="1">
      <c r="C31" s="13" t="s">
        <v>53</v>
      </c>
      <c r="D31" s="13"/>
      <c r="E31" s="11" t="s">
        <v>89</v>
      </c>
      <c r="K31" s="12"/>
      <c r="L31" s="12"/>
      <c r="M31" s="12"/>
      <c r="N31" s="12"/>
      <c r="O31" s="12"/>
    </row>
    <row r="32" spans="2:15">
      <c r="D32" s="14" t="s">
        <v>124</v>
      </c>
      <c r="E32" s="12" t="s">
        <v>125</v>
      </c>
      <c r="K32" s="12">
        <v>1</v>
      </c>
      <c r="L32" s="12" t="s">
        <v>719</v>
      </c>
    </row>
    <row r="33" spans="2:15">
      <c r="D33" s="14" t="s">
        <v>69</v>
      </c>
      <c r="E33" s="12" t="s">
        <v>126</v>
      </c>
      <c r="K33" s="12">
        <v>2</v>
      </c>
    </row>
    <row r="34" spans="2:15" s="11" customFormat="1">
      <c r="C34" s="13" t="s">
        <v>54</v>
      </c>
      <c r="D34" s="13"/>
      <c r="E34" s="11" t="s">
        <v>90</v>
      </c>
      <c r="K34" s="12"/>
      <c r="L34" s="12"/>
      <c r="M34" s="12"/>
      <c r="N34" s="12"/>
      <c r="O34" s="12"/>
    </row>
    <row r="35" spans="2:15">
      <c r="D35" s="14" t="s">
        <v>127</v>
      </c>
      <c r="E35" s="12" t="s">
        <v>128</v>
      </c>
      <c r="K35" s="12">
        <v>1</v>
      </c>
      <c r="L35" s="12" t="s">
        <v>152</v>
      </c>
    </row>
    <row r="36" spans="2:15">
      <c r="D36" s="14" t="s">
        <v>70</v>
      </c>
      <c r="E36" s="12" t="s">
        <v>129</v>
      </c>
      <c r="K36" s="12">
        <v>1</v>
      </c>
    </row>
    <row r="37" spans="2:15">
      <c r="D37" s="14" t="s">
        <v>71</v>
      </c>
      <c r="E37" s="12" t="s">
        <v>130</v>
      </c>
      <c r="K37" s="12">
        <v>1</v>
      </c>
    </row>
    <row r="38" spans="2:15" s="11" customFormat="1">
      <c r="C38" s="13" t="s">
        <v>55</v>
      </c>
      <c r="D38" s="13"/>
      <c r="E38" s="11" t="s">
        <v>91</v>
      </c>
      <c r="K38" s="12">
        <v>1</v>
      </c>
      <c r="L38" s="12"/>
      <c r="M38" s="12"/>
      <c r="N38" s="12"/>
      <c r="O38" s="12"/>
    </row>
    <row r="39" spans="2:15" s="11" customFormat="1">
      <c r="B39" s="13" t="s">
        <v>131</v>
      </c>
      <c r="C39" s="13"/>
      <c r="D39" s="13"/>
      <c r="E39" s="11" t="s">
        <v>132</v>
      </c>
      <c r="K39" s="12"/>
      <c r="L39" s="12"/>
      <c r="M39" s="12"/>
      <c r="N39" s="12"/>
      <c r="O39" s="12"/>
    </row>
    <row r="40" spans="2:15" s="11" customFormat="1">
      <c r="C40" s="13" t="s">
        <v>133</v>
      </c>
      <c r="D40" s="13"/>
      <c r="E40" s="11" t="s">
        <v>134</v>
      </c>
      <c r="K40" s="12">
        <v>1</v>
      </c>
      <c r="L40" s="12" t="s">
        <v>92</v>
      </c>
      <c r="M40" s="12"/>
      <c r="N40" s="12"/>
      <c r="O40" s="12"/>
    </row>
    <row r="41" spans="2:15" s="11" customFormat="1">
      <c r="C41" s="13" t="s">
        <v>56</v>
      </c>
      <c r="D41" s="13"/>
      <c r="E41" s="11" t="s">
        <v>93</v>
      </c>
      <c r="K41" s="12"/>
      <c r="L41" s="12"/>
      <c r="M41" s="12"/>
      <c r="N41" s="12"/>
      <c r="O41" s="12"/>
    </row>
    <row r="42" spans="2:15">
      <c r="D42" s="12" t="s">
        <v>135</v>
      </c>
      <c r="E42" s="12" t="s">
        <v>136</v>
      </c>
      <c r="K42" s="12">
        <v>1</v>
      </c>
    </row>
    <row r="43" spans="2:15">
      <c r="D43" s="12" t="s">
        <v>72</v>
      </c>
      <c r="E43" s="12" t="s">
        <v>137</v>
      </c>
      <c r="K43" s="12">
        <v>2</v>
      </c>
    </row>
    <row r="44" spans="2:15">
      <c r="D44" s="12" t="s">
        <v>73</v>
      </c>
      <c r="E44" s="12" t="s">
        <v>138</v>
      </c>
    </row>
    <row r="45" spans="2:15" s="11" customFormat="1">
      <c r="C45" s="13" t="s">
        <v>57</v>
      </c>
      <c r="D45" s="13"/>
      <c r="E45" s="11" t="s">
        <v>94</v>
      </c>
      <c r="K45" s="12"/>
      <c r="L45" s="12"/>
      <c r="M45" s="12"/>
      <c r="N45" s="12"/>
      <c r="O45" s="12"/>
    </row>
    <row r="46" spans="2:15">
      <c r="D46" s="14" t="s">
        <v>139</v>
      </c>
      <c r="E46" s="12" t="s">
        <v>140</v>
      </c>
      <c r="K46" s="12">
        <v>1</v>
      </c>
    </row>
    <row r="47" spans="2:15">
      <c r="D47" s="14" t="s">
        <v>74</v>
      </c>
      <c r="E47" s="12" t="s">
        <v>141</v>
      </c>
      <c r="K47" s="12">
        <v>1</v>
      </c>
    </row>
    <row r="48" spans="2:15">
      <c r="D48" s="14" t="s">
        <v>75</v>
      </c>
      <c r="E48" s="12" t="s">
        <v>142</v>
      </c>
      <c r="K48" s="12">
        <v>1</v>
      </c>
      <c r="L48" s="12" t="s">
        <v>153</v>
      </c>
    </row>
    <row r="49" spans="2:15">
      <c r="D49" s="14" t="s">
        <v>76</v>
      </c>
      <c r="E49" s="12" t="s">
        <v>143</v>
      </c>
      <c r="K49" s="12">
        <v>1</v>
      </c>
    </row>
    <row r="50" spans="2:15">
      <c r="D50" s="14" t="s">
        <v>77</v>
      </c>
      <c r="E50" s="12" t="s">
        <v>144</v>
      </c>
      <c r="K50" s="12">
        <v>1</v>
      </c>
    </row>
    <row r="51" spans="2:15">
      <c r="D51" s="14" t="s">
        <v>78</v>
      </c>
      <c r="E51" s="12" t="s">
        <v>145</v>
      </c>
      <c r="K51" s="12">
        <v>1</v>
      </c>
    </row>
    <row r="52" spans="2:15">
      <c r="D52" s="14" t="s">
        <v>79</v>
      </c>
      <c r="E52" s="12" t="s">
        <v>146</v>
      </c>
      <c r="K52" s="12">
        <v>1</v>
      </c>
    </row>
    <row r="53" spans="2:15">
      <c r="D53" s="14" t="s">
        <v>80</v>
      </c>
      <c r="E53" s="12" t="s">
        <v>147</v>
      </c>
      <c r="K53" s="12">
        <v>1</v>
      </c>
    </row>
    <row r="54" spans="2:15">
      <c r="D54" s="14" t="s">
        <v>81</v>
      </c>
      <c r="E54" s="12" t="s">
        <v>148</v>
      </c>
      <c r="K54" s="12">
        <v>1</v>
      </c>
    </row>
    <row r="55" spans="2:15">
      <c r="D55" s="14" t="s">
        <v>82</v>
      </c>
      <c r="E55" s="12" t="s">
        <v>149</v>
      </c>
      <c r="K55" s="12">
        <v>1</v>
      </c>
    </row>
    <row r="56" spans="2:15" s="11" customFormat="1">
      <c r="C56" s="17" t="s">
        <v>58</v>
      </c>
      <c r="D56" s="17"/>
      <c r="E56" s="15" t="s">
        <v>95</v>
      </c>
      <c r="F56" s="15"/>
      <c r="G56" s="15"/>
      <c r="H56" s="15"/>
      <c r="I56" s="15"/>
      <c r="J56" s="15"/>
      <c r="K56" s="16">
        <v>1</v>
      </c>
      <c r="L56" s="16"/>
      <c r="M56" s="16"/>
      <c r="N56" s="16"/>
      <c r="O56" s="16"/>
    </row>
    <row r="57" spans="2:15">
      <c r="B57" s="14"/>
      <c r="C57" s="14"/>
      <c r="D57" s="14"/>
    </row>
    <row r="58" spans="2:15">
      <c r="K58" s="12">
        <f>SUM(K4:K56)</f>
        <v>41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B1:BO134"/>
  <sheetViews>
    <sheetView showGridLines="0" topLeftCell="A70" workbookViewId="0">
      <selection activeCell="K139" sqref="K139"/>
    </sheetView>
  </sheetViews>
  <sheetFormatPr defaultColWidth="9" defaultRowHeight="14.5"/>
  <cols>
    <col min="1" max="1" width="1.6640625" style="639" customWidth="1"/>
    <col min="2" max="2" width="9" style="639"/>
    <col min="3" max="3" width="13.6640625" style="639" customWidth="1"/>
    <col min="4" max="4" width="9.58203125" style="639" bestFit="1" customWidth="1"/>
    <col min="5" max="5" width="9.6640625" style="639" bestFit="1" customWidth="1"/>
    <col min="6" max="6" width="9" style="639"/>
    <col min="7" max="7" width="11.58203125" style="639" customWidth="1"/>
    <col min="8" max="26" width="9" style="639"/>
    <col min="27" max="28" width="10.5" style="639" customWidth="1"/>
    <col min="29" max="65" width="10.58203125" style="639" customWidth="1"/>
    <col min="66" max="16384" width="9" style="639"/>
  </cols>
  <sheetData>
    <row r="1" spans="2:67">
      <c r="B1" s="638" t="s">
        <v>1508</v>
      </c>
    </row>
    <row r="2" spans="2:67">
      <c r="B2" s="638"/>
    </row>
    <row r="3" spans="2:67">
      <c r="B3" s="638"/>
    </row>
    <row r="4" spans="2:67">
      <c r="C4" s="639" t="s">
        <v>1533</v>
      </c>
      <c r="E4" s="823"/>
      <c r="F4" s="1228">
        <f t="shared" ref="F4:AK4" si="0">YEAR(F6)</f>
        <v>2011</v>
      </c>
      <c r="G4" s="1228">
        <f t="shared" si="0"/>
        <v>2011</v>
      </c>
      <c r="H4" s="1228">
        <f t="shared" si="0"/>
        <v>2011</v>
      </c>
      <c r="I4" s="1228">
        <f t="shared" si="0"/>
        <v>2011</v>
      </c>
      <c r="J4" s="1228">
        <f t="shared" si="0"/>
        <v>2011</v>
      </c>
      <c r="K4" s="1228">
        <f t="shared" si="0"/>
        <v>2011</v>
      </c>
      <c r="L4" s="1228">
        <f t="shared" si="0"/>
        <v>2011</v>
      </c>
      <c r="M4" s="1228">
        <f t="shared" si="0"/>
        <v>2012</v>
      </c>
      <c r="N4" s="1228">
        <f t="shared" si="0"/>
        <v>2012</v>
      </c>
      <c r="O4" s="1228">
        <f t="shared" si="0"/>
        <v>2012</v>
      </c>
      <c r="P4" s="1228">
        <f t="shared" si="0"/>
        <v>2012</v>
      </c>
      <c r="Q4" s="1228">
        <f t="shared" si="0"/>
        <v>2012</v>
      </c>
      <c r="R4" s="1228">
        <f t="shared" si="0"/>
        <v>2012</v>
      </c>
      <c r="S4" s="1228">
        <f t="shared" si="0"/>
        <v>2012</v>
      </c>
      <c r="T4" s="1228">
        <f t="shared" si="0"/>
        <v>2012</v>
      </c>
      <c r="U4" s="1228">
        <f t="shared" si="0"/>
        <v>2012</v>
      </c>
      <c r="V4" s="1228">
        <f t="shared" si="0"/>
        <v>2012</v>
      </c>
      <c r="W4" s="1228">
        <f t="shared" si="0"/>
        <v>2012</v>
      </c>
      <c r="X4" s="1228">
        <f t="shared" si="0"/>
        <v>2012</v>
      </c>
      <c r="Y4" s="1228">
        <f t="shared" si="0"/>
        <v>2013</v>
      </c>
      <c r="Z4" s="1228">
        <f t="shared" si="0"/>
        <v>2013</v>
      </c>
      <c r="AA4" s="1228">
        <f t="shared" si="0"/>
        <v>2013</v>
      </c>
      <c r="AB4" s="1228">
        <f t="shared" si="0"/>
        <v>2013</v>
      </c>
      <c r="AC4" s="1228">
        <f t="shared" si="0"/>
        <v>2013</v>
      </c>
      <c r="AD4" s="1228">
        <f t="shared" si="0"/>
        <v>2013</v>
      </c>
      <c r="AE4" s="1228">
        <f t="shared" si="0"/>
        <v>2013</v>
      </c>
      <c r="AF4" s="1228">
        <f t="shared" si="0"/>
        <v>2013</v>
      </c>
      <c r="AG4" s="1228">
        <f t="shared" si="0"/>
        <v>2013</v>
      </c>
      <c r="AH4" s="1228">
        <f t="shared" si="0"/>
        <v>2013</v>
      </c>
      <c r="AI4" s="1228">
        <f t="shared" si="0"/>
        <v>2013</v>
      </c>
      <c r="AJ4" s="1228">
        <f t="shared" si="0"/>
        <v>2013</v>
      </c>
      <c r="AK4" s="1228">
        <f t="shared" si="0"/>
        <v>2014</v>
      </c>
      <c r="AL4" s="1228">
        <f t="shared" ref="AL4:BN4" si="1">YEAR(AL6)</f>
        <v>2014</v>
      </c>
      <c r="AM4" s="1228">
        <f t="shared" si="1"/>
        <v>2014</v>
      </c>
      <c r="AN4" s="1228">
        <f t="shared" si="1"/>
        <v>2014</v>
      </c>
      <c r="AO4" s="1228">
        <f t="shared" si="1"/>
        <v>2014</v>
      </c>
      <c r="AP4" s="1228">
        <f t="shared" si="1"/>
        <v>2014</v>
      </c>
      <c r="AQ4" s="1228">
        <f t="shared" si="1"/>
        <v>2014</v>
      </c>
      <c r="AR4" s="1228">
        <f t="shared" si="1"/>
        <v>2014</v>
      </c>
      <c r="AS4" s="1228">
        <f t="shared" si="1"/>
        <v>2014</v>
      </c>
      <c r="AT4" s="1228">
        <f t="shared" si="1"/>
        <v>2014</v>
      </c>
      <c r="AU4" s="1228">
        <f t="shared" si="1"/>
        <v>2014</v>
      </c>
      <c r="AV4" s="1228">
        <f t="shared" si="1"/>
        <v>2014</v>
      </c>
      <c r="AW4" s="1228">
        <f t="shared" si="1"/>
        <v>2015</v>
      </c>
      <c r="AX4" s="1228">
        <f t="shared" si="1"/>
        <v>2015</v>
      </c>
      <c r="AY4" s="1228">
        <f t="shared" si="1"/>
        <v>2015</v>
      </c>
      <c r="AZ4" s="1228">
        <f t="shared" si="1"/>
        <v>2015</v>
      </c>
      <c r="BA4" s="1228">
        <f t="shared" si="1"/>
        <v>2015</v>
      </c>
      <c r="BB4" s="1228">
        <f t="shared" si="1"/>
        <v>2015</v>
      </c>
      <c r="BC4" s="1228">
        <f t="shared" si="1"/>
        <v>2015</v>
      </c>
      <c r="BD4" s="1228">
        <f t="shared" si="1"/>
        <v>2015</v>
      </c>
      <c r="BE4" s="1228">
        <f t="shared" si="1"/>
        <v>2015</v>
      </c>
      <c r="BF4" s="1228">
        <f t="shared" si="1"/>
        <v>2015</v>
      </c>
      <c r="BG4" s="1228">
        <f t="shared" si="1"/>
        <v>2015</v>
      </c>
      <c r="BH4" s="1228">
        <f t="shared" si="1"/>
        <v>2015</v>
      </c>
      <c r="BI4" s="1228">
        <f t="shared" si="1"/>
        <v>2016</v>
      </c>
      <c r="BJ4" s="1228">
        <f t="shared" si="1"/>
        <v>2016</v>
      </c>
      <c r="BK4" s="1228">
        <f t="shared" si="1"/>
        <v>2016</v>
      </c>
      <c r="BL4" s="1228">
        <f t="shared" si="1"/>
        <v>2016</v>
      </c>
      <c r="BM4" s="1228">
        <f t="shared" si="1"/>
        <v>2016</v>
      </c>
      <c r="BN4" s="1228">
        <f t="shared" si="1"/>
        <v>2016</v>
      </c>
    </row>
    <row r="5" spans="2:67">
      <c r="B5" s="638"/>
      <c r="C5" s="639" t="s">
        <v>1538</v>
      </c>
      <c r="E5" s="822"/>
      <c r="F5" s="822"/>
      <c r="G5" s="822" t="s">
        <v>1583</v>
      </c>
      <c r="H5" s="822" t="s">
        <v>1583</v>
      </c>
      <c r="I5" s="822" t="s">
        <v>1583</v>
      </c>
      <c r="J5" s="822" t="s">
        <v>1584</v>
      </c>
      <c r="K5" s="822" t="s">
        <v>1584</v>
      </c>
      <c r="L5" s="822" t="s">
        <v>1584</v>
      </c>
      <c r="M5" s="822" t="s">
        <v>1585</v>
      </c>
      <c r="N5" s="822" t="s">
        <v>1585</v>
      </c>
      <c r="O5" s="822" t="s">
        <v>1585</v>
      </c>
      <c r="P5" s="822" t="s">
        <v>1586</v>
      </c>
      <c r="Q5" s="822" t="s">
        <v>1586</v>
      </c>
      <c r="R5" s="822" t="s">
        <v>1586</v>
      </c>
      <c r="S5" s="822" t="s">
        <v>1587</v>
      </c>
      <c r="T5" s="822" t="s">
        <v>1587</v>
      </c>
      <c r="U5" s="822" t="s">
        <v>1587</v>
      </c>
      <c r="V5" s="822" t="s">
        <v>1588</v>
      </c>
      <c r="W5" s="822" t="s">
        <v>1588</v>
      </c>
      <c r="X5" s="822" t="s">
        <v>1588</v>
      </c>
      <c r="Y5" s="822" t="s">
        <v>1589</v>
      </c>
      <c r="Z5" s="822" t="s">
        <v>1589</v>
      </c>
      <c r="AA5" s="822" t="s">
        <v>1589</v>
      </c>
      <c r="AB5" s="822" t="s">
        <v>1590</v>
      </c>
      <c r="AC5" s="822" t="s">
        <v>1590</v>
      </c>
      <c r="AD5" s="822" t="s">
        <v>1590</v>
      </c>
      <c r="AE5" s="822" t="s">
        <v>1591</v>
      </c>
      <c r="AF5" s="822" t="s">
        <v>1591</v>
      </c>
      <c r="AG5" s="822" t="s">
        <v>1591</v>
      </c>
      <c r="AH5" s="822" t="s">
        <v>1592</v>
      </c>
      <c r="AI5" s="822" t="s">
        <v>1592</v>
      </c>
      <c r="AJ5" s="822" t="s">
        <v>1592</v>
      </c>
      <c r="AK5" s="822" t="s">
        <v>1593</v>
      </c>
      <c r="AL5" s="822" t="s">
        <v>1593</v>
      </c>
      <c r="AM5" s="822" t="s">
        <v>1593</v>
      </c>
      <c r="AN5" s="822" t="s">
        <v>1594</v>
      </c>
      <c r="AO5" s="822" t="s">
        <v>1594</v>
      </c>
      <c r="AP5" s="822" t="s">
        <v>1594</v>
      </c>
      <c r="AQ5" s="822" t="s">
        <v>1595</v>
      </c>
      <c r="AR5" s="822" t="s">
        <v>1595</v>
      </c>
      <c r="AS5" s="822" t="s">
        <v>1595</v>
      </c>
      <c r="AT5" s="822" t="s">
        <v>1596</v>
      </c>
      <c r="AU5" s="822" t="s">
        <v>1596</v>
      </c>
      <c r="AV5" s="822" t="s">
        <v>1596</v>
      </c>
      <c r="AW5" s="822" t="s">
        <v>1597</v>
      </c>
      <c r="AX5" s="822" t="s">
        <v>1597</v>
      </c>
      <c r="AY5" s="822" t="s">
        <v>1597</v>
      </c>
      <c r="AZ5" s="822" t="s">
        <v>1598</v>
      </c>
      <c r="BA5" s="822" t="s">
        <v>1598</v>
      </c>
      <c r="BB5" s="822" t="s">
        <v>1598</v>
      </c>
      <c r="BC5" s="822" t="s">
        <v>1599</v>
      </c>
      <c r="BD5" s="822" t="s">
        <v>1599</v>
      </c>
      <c r="BE5" s="822" t="s">
        <v>1599</v>
      </c>
      <c r="BF5" s="822" t="s">
        <v>1600</v>
      </c>
      <c r="BG5" s="822" t="s">
        <v>1600</v>
      </c>
      <c r="BH5" s="822" t="s">
        <v>1600</v>
      </c>
      <c r="BI5" s="822" t="s">
        <v>1601</v>
      </c>
      <c r="BJ5" s="822" t="s">
        <v>1601</v>
      </c>
      <c r="BK5" s="822" t="s">
        <v>1601</v>
      </c>
      <c r="BL5" s="822" t="s">
        <v>1602</v>
      </c>
      <c r="BM5" s="822" t="s">
        <v>1602</v>
      </c>
      <c r="BN5" s="822" t="s">
        <v>1602</v>
      </c>
    </row>
    <row r="6" spans="2:67">
      <c r="C6" s="639" t="s">
        <v>1534</v>
      </c>
      <c r="E6" s="824"/>
      <c r="F6" s="824">
        <v>40724</v>
      </c>
      <c r="G6" s="824">
        <f t="shared" ref="G6:AL6" si="2">EOMONTH(F6,1)</f>
        <v>40755</v>
      </c>
      <c r="H6" s="824">
        <f t="shared" si="2"/>
        <v>40786</v>
      </c>
      <c r="I6" s="824">
        <f t="shared" si="2"/>
        <v>40816</v>
      </c>
      <c r="J6" s="824">
        <f t="shared" si="2"/>
        <v>40847</v>
      </c>
      <c r="K6" s="824">
        <f t="shared" si="2"/>
        <v>40877</v>
      </c>
      <c r="L6" s="824">
        <f t="shared" si="2"/>
        <v>40908</v>
      </c>
      <c r="M6" s="824">
        <f t="shared" si="2"/>
        <v>40939</v>
      </c>
      <c r="N6" s="824">
        <f t="shared" si="2"/>
        <v>40968</v>
      </c>
      <c r="O6" s="824">
        <f t="shared" si="2"/>
        <v>40999</v>
      </c>
      <c r="P6" s="824">
        <f t="shared" si="2"/>
        <v>41029</v>
      </c>
      <c r="Q6" s="824">
        <f t="shared" si="2"/>
        <v>41060</v>
      </c>
      <c r="R6" s="824">
        <f t="shared" si="2"/>
        <v>41090</v>
      </c>
      <c r="S6" s="824">
        <f t="shared" si="2"/>
        <v>41121</v>
      </c>
      <c r="T6" s="824">
        <f t="shared" si="2"/>
        <v>41152</v>
      </c>
      <c r="U6" s="824">
        <f t="shared" si="2"/>
        <v>41182</v>
      </c>
      <c r="V6" s="824">
        <f t="shared" si="2"/>
        <v>41213</v>
      </c>
      <c r="W6" s="824">
        <f t="shared" si="2"/>
        <v>41243</v>
      </c>
      <c r="X6" s="824">
        <f t="shared" si="2"/>
        <v>41274</v>
      </c>
      <c r="Y6" s="824">
        <f t="shared" si="2"/>
        <v>41305</v>
      </c>
      <c r="Z6" s="824">
        <f t="shared" si="2"/>
        <v>41333</v>
      </c>
      <c r="AA6" s="824">
        <f t="shared" si="2"/>
        <v>41364</v>
      </c>
      <c r="AB6" s="824">
        <f t="shared" si="2"/>
        <v>41394</v>
      </c>
      <c r="AC6" s="824">
        <f t="shared" si="2"/>
        <v>41425</v>
      </c>
      <c r="AD6" s="824">
        <f t="shared" si="2"/>
        <v>41455</v>
      </c>
      <c r="AE6" s="824">
        <f t="shared" si="2"/>
        <v>41486</v>
      </c>
      <c r="AF6" s="824">
        <f t="shared" si="2"/>
        <v>41517</v>
      </c>
      <c r="AG6" s="824">
        <f t="shared" si="2"/>
        <v>41547</v>
      </c>
      <c r="AH6" s="824">
        <f t="shared" si="2"/>
        <v>41578</v>
      </c>
      <c r="AI6" s="824">
        <f t="shared" si="2"/>
        <v>41608</v>
      </c>
      <c r="AJ6" s="824">
        <f t="shared" si="2"/>
        <v>41639</v>
      </c>
      <c r="AK6" s="824">
        <f t="shared" si="2"/>
        <v>41670</v>
      </c>
      <c r="AL6" s="824">
        <f t="shared" si="2"/>
        <v>41698</v>
      </c>
      <c r="AM6" s="824">
        <f t="shared" ref="AM6:BN6" si="3">EOMONTH(AL6,1)</f>
        <v>41729</v>
      </c>
      <c r="AN6" s="824">
        <f t="shared" si="3"/>
        <v>41759</v>
      </c>
      <c r="AO6" s="824">
        <f t="shared" si="3"/>
        <v>41790</v>
      </c>
      <c r="AP6" s="824">
        <f t="shared" si="3"/>
        <v>41820</v>
      </c>
      <c r="AQ6" s="824">
        <f t="shared" si="3"/>
        <v>41851</v>
      </c>
      <c r="AR6" s="824">
        <f t="shared" si="3"/>
        <v>41882</v>
      </c>
      <c r="AS6" s="824">
        <f t="shared" si="3"/>
        <v>41912</v>
      </c>
      <c r="AT6" s="824">
        <f t="shared" si="3"/>
        <v>41943</v>
      </c>
      <c r="AU6" s="824">
        <f t="shared" si="3"/>
        <v>41973</v>
      </c>
      <c r="AV6" s="824">
        <f t="shared" si="3"/>
        <v>42004</v>
      </c>
      <c r="AW6" s="824">
        <f t="shared" si="3"/>
        <v>42035</v>
      </c>
      <c r="AX6" s="824">
        <f t="shared" si="3"/>
        <v>42063</v>
      </c>
      <c r="AY6" s="824">
        <f t="shared" si="3"/>
        <v>42094</v>
      </c>
      <c r="AZ6" s="824">
        <f t="shared" si="3"/>
        <v>42124</v>
      </c>
      <c r="BA6" s="824">
        <f t="shared" si="3"/>
        <v>42155</v>
      </c>
      <c r="BB6" s="824">
        <f t="shared" si="3"/>
        <v>42185</v>
      </c>
      <c r="BC6" s="824">
        <f t="shared" si="3"/>
        <v>42216</v>
      </c>
      <c r="BD6" s="824">
        <f t="shared" si="3"/>
        <v>42247</v>
      </c>
      <c r="BE6" s="824">
        <f t="shared" si="3"/>
        <v>42277</v>
      </c>
      <c r="BF6" s="824">
        <f t="shared" si="3"/>
        <v>42308</v>
      </c>
      <c r="BG6" s="824">
        <f t="shared" si="3"/>
        <v>42338</v>
      </c>
      <c r="BH6" s="824">
        <f t="shared" si="3"/>
        <v>42369</v>
      </c>
      <c r="BI6" s="824">
        <f t="shared" si="3"/>
        <v>42400</v>
      </c>
      <c r="BJ6" s="824">
        <f t="shared" si="3"/>
        <v>42429</v>
      </c>
      <c r="BK6" s="824">
        <f t="shared" si="3"/>
        <v>42460</v>
      </c>
      <c r="BL6" s="824">
        <f t="shared" si="3"/>
        <v>42490</v>
      </c>
      <c r="BM6" s="824">
        <f t="shared" si="3"/>
        <v>42521</v>
      </c>
      <c r="BN6" s="824">
        <f t="shared" si="3"/>
        <v>42551</v>
      </c>
    </row>
    <row r="7" spans="2:67">
      <c r="B7" s="813"/>
      <c r="C7" s="813" t="s">
        <v>1535</v>
      </c>
      <c r="D7" s="813"/>
      <c r="E7" s="825"/>
      <c r="F7" s="825"/>
      <c r="G7" s="825">
        <f>DAY(G6)</f>
        <v>31</v>
      </c>
      <c r="H7" s="825">
        <f t="shared" ref="H7:BN7" si="4">DAY(H6)</f>
        <v>31</v>
      </c>
      <c r="I7" s="825">
        <f t="shared" si="4"/>
        <v>30</v>
      </c>
      <c r="J7" s="825">
        <f t="shared" si="4"/>
        <v>31</v>
      </c>
      <c r="K7" s="825">
        <f t="shared" si="4"/>
        <v>30</v>
      </c>
      <c r="L7" s="825">
        <f t="shared" si="4"/>
        <v>31</v>
      </c>
      <c r="M7" s="825">
        <f t="shared" si="4"/>
        <v>31</v>
      </c>
      <c r="N7" s="825">
        <f t="shared" si="4"/>
        <v>29</v>
      </c>
      <c r="O7" s="825">
        <f t="shared" si="4"/>
        <v>31</v>
      </c>
      <c r="P7" s="825">
        <f t="shared" si="4"/>
        <v>30</v>
      </c>
      <c r="Q7" s="825">
        <f t="shared" si="4"/>
        <v>31</v>
      </c>
      <c r="R7" s="825">
        <f t="shared" si="4"/>
        <v>30</v>
      </c>
      <c r="S7" s="825">
        <f t="shared" si="4"/>
        <v>31</v>
      </c>
      <c r="T7" s="825">
        <f t="shared" si="4"/>
        <v>31</v>
      </c>
      <c r="U7" s="825">
        <f t="shared" si="4"/>
        <v>30</v>
      </c>
      <c r="V7" s="825">
        <f t="shared" si="4"/>
        <v>31</v>
      </c>
      <c r="W7" s="825">
        <f t="shared" si="4"/>
        <v>30</v>
      </c>
      <c r="X7" s="825">
        <f t="shared" si="4"/>
        <v>31</v>
      </c>
      <c r="Y7" s="825">
        <f t="shared" si="4"/>
        <v>31</v>
      </c>
      <c r="Z7" s="825">
        <f t="shared" si="4"/>
        <v>28</v>
      </c>
      <c r="AA7" s="825">
        <f t="shared" si="4"/>
        <v>31</v>
      </c>
      <c r="AB7" s="825">
        <f t="shared" si="4"/>
        <v>30</v>
      </c>
      <c r="AC7" s="825">
        <f t="shared" si="4"/>
        <v>31</v>
      </c>
      <c r="AD7" s="825">
        <f t="shared" si="4"/>
        <v>30</v>
      </c>
      <c r="AE7" s="825">
        <f t="shared" si="4"/>
        <v>31</v>
      </c>
      <c r="AF7" s="825">
        <f t="shared" si="4"/>
        <v>31</v>
      </c>
      <c r="AG7" s="825">
        <f t="shared" si="4"/>
        <v>30</v>
      </c>
      <c r="AH7" s="825">
        <f t="shared" si="4"/>
        <v>31</v>
      </c>
      <c r="AI7" s="825">
        <f t="shared" si="4"/>
        <v>30</v>
      </c>
      <c r="AJ7" s="825">
        <f t="shared" si="4"/>
        <v>31</v>
      </c>
      <c r="AK7" s="825">
        <f t="shared" si="4"/>
        <v>31</v>
      </c>
      <c r="AL7" s="825">
        <f t="shared" si="4"/>
        <v>28</v>
      </c>
      <c r="AM7" s="825">
        <f t="shared" si="4"/>
        <v>31</v>
      </c>
      <c r="AN7" s="825">
        <f t="shared" si="4"/>
        <v>30</v>
      </c>
      <c r="AO7" s="825">
        <f t="shared" si="4"/>
        <v>31</v>
      </c>
      <c r="AP7" s="825">
        <f t="shared" si="4"/>
        <v>30</v>
      </c>
      <c r="AQ7" s="825">
        <f t="shared" si="4"/>
        <v>31</v>
      </c>
      <c r="AR7" s="825">
        <f t="shared" si="4"/>
        <v>31</v>
      </c>
      <c r="AS7" s="825">
        <f t="shared" si="4"/>
        <v>30</v>
      </c>
      <c r="AT7" s="825">
        <f t="shared" si="4"/>
        <v>31</v>
      </c>
      <c r="AU7" s="825">
        <f t="shared" si="4"/>
        <v>30</v>
      </c>
      <c r="AV7" s="825">
        <f t="shared" si="4"/>
        <v>31</v>
      </c>
      <c r="AW7" s="825">
        <f t="shared" si="4"/>
        <v>31</v>
      </c>
      <c r="AX7" s="825">
        <f t="shared" si="4"/>
        <v>28</v>
      </c>
      <c r="AY7" s="825">
        <f t="shared" si="4"/>
        <v>31</v>
      </c>
      <c r="AZ7" s="825">
        <f t="shared" si="4"/>
        <v>30</v>
      </c>
      <c r="BA7" s="825">
        <f t="shared" si="4"/>
        <v>31</v>
      </c>
      <c r="BB7" s="825">
        <f t="shared" si="4"/>
        <v>30</v>
      </c>
      <c r="BC7" s="825">
        <f t="shared" si="4"/>
        <v>31</v>
      </c>
      <c r="BD7" s="825">
        <f t="shared" si="4"/>
        <v>31</v>
      </c>
      <c r="BE7" s="825">
        <f t="shared" si="4"/>
        <v>30</v>
      </c>
      <c r="BF7" s="825">
        <f t="shared" si="4"/>
        <v>31</v>
      </c>
      <c r="BG7" s="825">
        <f t="shared" si="4"/>
        <v>30</v>
      </c>
      <c r="BH7" s="825">
        <f t="shared" si="4"/>
        <v>31</v>
      </c>
      <c r="BI7" s="825">
        <f t="shared" si="4"/>
        <v>31</v>
      </c>
      <c r="BJ7" s="825">
        <f t="shared" si="4"/>
        <v>29</v>
      </c>
      <c r="BK7" s="825">
        <f t="shared" si="4"/>
        <v>31</v>
      </c>
      <c r="BL7" s="825">
        <f t="shared" si="4"/>
        <v>30</v>
      </c>
      <c r="BM7" s="825">
        <f t="shared" si="4"/>
        <v>31</v>
      </c>
      <c r="BN7" s="825">
        <f t="shared" si="4"/>
        <v>30</v>
      </c>
      <c r="BO7" s="643"/>
    </row>
    <row r="8" spans="2:67">
      <c r="B8" s="639" t="s">
        <v>1454</v>
      </c>
      <c r="C8" s="639" t="s">
        <v>1529</v>
      </c>
      <c r="F8" s="639">
        <f>SUM(D76:D80)</f>
        <v>900000</v>
      </c>
    </row>
    <row r="9" spans="2:67">
      <c r="C9" s="639" t="s">
        <v>1528</v>
      </c>
      <c r="F9" s="639">
        <f t="shared" ref="F9:AK9" si="5">SUMIF($H$76:$H$80,F$6,$D$76:$D$80)</f>
        <v>0</v>
      </c>
      <c r="G9" s="639">
        <f t="shared" si="5"/>
        <v>0</v>
      </c>
      <c r="H9" s="639">
        <f t="shared" si="5"/>
        <v>0</v>
      </c>
      <c r="I9" s="639">
        <f t="shared" si="5"/>
        <v>0</v>
      </c>
      <c r="J9" s="639">
        <f t="shared" si="5"/>
        <v>0</v>
      </c>
      <c r="K9" s="639">
        <f t="shared" si="5"/>
        <v>0</v>
      </c>
      <c r="L9" s="639">
        <f t="shared" si="5"/>
        <v>0</v>
      </c>
      <c r="M9" s="639">
        <f t="shared" si="5"/>
        <v>0</v>
      </c>
      <c r="N9" s="639">
        <f t="shared" si="5"/>
        <v>0</v>
      </c>
      <c r="O9" s="639">
        <f t="shared" si="5"/>
        <v>0</v>
      </c>
      <c r="P9" s="639">
        <f t="shared" si="5"/>
        <v>0</v>
      </c>
      <c r="Q9" s="639">
        <f t="shared" si="5"/>
        <v>0</v>
      </c>
      <c r="R9" s="639">
        <f t="shared" si="5"/>
        <v>0</v>
      </c>
      <c r="S9" s="639">
        <f t="shared" si="5"/>
        <v>0</v>
      </c>
      <c r="T9" s="639">
        <f t="shared" si="5"/>
        <v>0</v>
      </c>
      <c r="U9" s="639">
        <f t="shared" si="5"/>
        <v>0</v>
      </c>
      <c r="V9" s="639">
        <f t="shared" si="5"/>
        <v>0</v>
      </c>
      <c r="W9" s="639">
        <f t="shared" si="5"/>
        <v>0</v>
      </c>
      <c r="X9" s="639">
        <f t="shared" si="5"/>
        <v>0</v>
      </c>
      <c r="Y9" s="639">
        <f t="shared" si="5"/>
        <v>0</v>
      </c>
      <c r="Z9" s="639">
        <f t="shared" si="5"/>
        <v>0</v>
      </c>
      <c r="AA9" s="639">
        <f t="shared" si="5"/>
        <v>0</v>
      </c>
      <c r="AB9" s="639">
        <f t="shared" si="5"/>
        <v>0</v>
      </c>
      <c r="AC9" s="639">
        <f t="shared" si="5"/>
        <v>0</v>
      </c>
      <c r="AD9" s="639">
        <f t="shared" si="5"/>
        <v>100000</v>
      </c>
      <c r="AE9" s="639">
        <f t="shared" si="5"/>
        <v>0</v>
      </c>
      <c r="AF9" s="639">
        <f t="shared" si="5"/>
        <v>0</v>
      </c>
      <c r="AG9" s="639">
        <f t="shared" si="5"/>
        <v>0</v>
      </c>
      <c r="AH9" s="639">
        <f t="shared" si="5"/>
        <v>0</v>
      </c>
      <c r="AI9" s="639">
        <f t="shared" si="5"/>
        <v>0</v>
      </c>
      <c r="AJ9" s="639">
        <f t="shared" si="5"/>
        <v>0</v>
      </c>
      <c r="AK9" s="639">
        <f t="shared" si="5"/>
        <v>0</v>
      </c>
      <c r="AL9" s="639">
        <f t="shared" ref="AL9:BN9" si="6">SUMIF($H$76:$H$80,AL$6,$D$76:$D$80)</f>
        <v>0</v>
      </c>
      <c r="AM9" s="639">
        <f t="shared" si="6"/>
        <v>0</v>
      </c>
      <c r="AN9" s="639">
        <f t="shared" si="6"/>
        <v>0</v>
      </c>
      <c r="AO9" s="639">
        <f t="shared" si="6"/>
        <v>0</v>
      </c>
      <c r="AP9" s="639">
        <f t="shared" si="6"/>
        <v>100000</v>
      </c>
      <c r="AQ9" s="639">
        <f t="shared" si="6"/>
        <v>0</v>
      </c>
      <c r="AR9" s="639">
        <f t="shared" si="6"/>
        <v>0</v>
      </c>
      <c r="AS9" s="639">
        <f t="shared" si="6"/>
        <v>0</v>
      </c>
      <c r="AT9" s="639">
        <f t="shared" si="6"/>
        <v>0</v>
      </c>
      <c r="AU9" s="639">
        <f t="shared" si="6"/>
        <v>0</v>
      </c>
      <c r="AV9" s="639">
        <f t="shared" si="6"/>
        <v>0</v>
      </c>
      <c r="AW9" s="639">
        <f t="shared" si="6"/>
        <v>0</v>
      </c>
      <c r="AX9" s="639">
        <f t="shared" si="6"/>
        <v>0</v>
      </c>
      <c r="AY9" s="639">
        <f t="shared" si="6"/>
        <v>0</v>
      </c>
      <c r="AZ9" s="639">
        <f t="shared" si="6"/>
        <v>0</v>
      </c>
      <c r="BA9" s="639">
        <f t="shared" si="6"/>
        <v>0</v>
      </c>
      <c r="BB9" s="639">
        <f t="shared" si="6"/>
        <v>150000</v>
      </c>
      <c r="BC9" s="639">
        <f t="shared" si="6"/>
        <v>0</v>
      </c>
      <c r="BD9" s="639">
        <f t="shared" si="6"/>
        <v>0</v>
      </c>
      <c r="BE9" s="639">
        <f t="shared" si="6"/>
        <v>0</v>
      </c>
      <c r="BF9" s="639">
        <f t="shared" si="6"/>
        <v>0</v>
      </c>
      <c r="BG9" s="639">
        <f t="shared" si="6"/>
        <v>0</v>
      </c>
      <c r="BH9" s="639">
        <f t="shared" si="6"/>
        <v>0</v>
      </c>
      <c r="BI9" s="639">
        <f t="shared" si="6"/>
        <v>0</v>
      </c>
      <c r="BJ9" s="639">
        <f t="shared" si="6"/>
        <v>0</v>
      </c>
      <c r="BK9" s="639">
        <f t="shared" si="6"/>
        <v>0</v>
      </c>
      <c r="BL9" s="639">
        <f t="shared" si="6"/>
        <v>0</v>
      </c>
      <c r="BM9" s="639">
        <f t="shared" si="6"/>
        <v>0</v>
      </c>
      <c r="BN9" s="639">
        <f t="shared" si="6"/>
        <v>550000</v>
      </c>
    </row>
    <row r="10" spans="2:67">
      <c r="C10" s="639" t="s">
        <v>1530</v>
      </c>
      <c r="F10" s="639">
        <f>F8-F9</f>
        <v>900000</v>
      </c>
      <c r="G10" s="639">
        <f>F10-G9</f>
        <v>900000</v>
      </c>
      <c r="H10" s="639">
        <f t="shared" ref="H10:BN10" si="7">G10-H9</f>
        <v>900000</v>
      </c>
      <c r="I10" s="639">
        <f t="shared" si="7"/>
        <v>900000</v>
      </c>
      <c r="J10" s="639">
        <f t="shared" si="7"/>
        <v>900000</v>
      </c>
      <c r="K10" s="639">
        <f t="shared" si="7"/>
        <v>900000</v>
      </c>
      <c r="L10" s="639">
        <f t="shared" si="7"/>
        <v>900000</v>
      </c>
      <c r="M10" s="639">
        <f t="shared" si="7"/>
        <v>900000</v>
      </c>
      <c r="N10" s="639">
        <f t="shared" si="7"/>
        <v>900000</v>
      </c>
      <c r="O10" s="639">
        <f t="shared" si="7"/>
        <v>900000</v>
      </c>
      <c r="P10" s="639">
        <f t="shared" si="7"/>
        <v>900000</v>
      </c>
      <c r="Q10" s="639">
        <f t="shared" si="7"/>
        <v>900000</v>
      </c>
      <c r="R10" s="639">
        <f t="shared" si="7"/>
        <v>900000</v>
      </c>
      <c r="S10" s="639">
        <f t="shared" si="7"/>
        <v>900000</v>
      </c>
      <c r="T10" s="639">
        <f t="shared" si="7"/>
        <v>900000</v>
      </c>
      <c r="U10" s="639">
        <f t="shared" si="7"/>
        <v>900000</v>
      </c>
      <c r="V10" s="639">
        <f t="shared" si="7"/>
        <v>900000</v>
      </c>
      <c r="W10" s="639">
        <f t="shared" si="7"/>
        <v>900000</v>
      </c>
      <c r="X10" s="639">
        <f t="shared" si="7"/>
        <v>900000</v>
      </c>
      <c r="Y10" s="639">
        <f t="shared" si="7"/>
        <v>900000</v>
      </c>
      <c r="Z10" s="639">
        <f t="shared" si="7"/>
        <v>900000</v>
      </c>
      <c r="AA10" s="639">
        <f t="shared" si="7"/>
        <v>900000</v>
      </c>
      <c r="AB10" s="639">
        <f t="shared" si="7"/>
        <v>900000</v>
      </c>
      <c r="AC10" s="639">
        <f t="shared" si="7"/>
        <v>900000</v>
      </c>
      <c r="AD10" s="639">
        <f t="shared" si="7"/>
        <v>800000</v>
      </c>
      <c r="AE10" s="639">
        <f t="shared" si="7"/>
        <v>800000</v>
      </c>
      <c r="AF10" s="639">
        <f t="shared" si="7"/>
        <v>800000</v>
      </c>
      <c r="AG10" s="639">
        <f t="shared" si="7"/>
        <v>800000</v>
      </c>
      <c r="AH10" s="639">
        <f t="shared" si="7"/>
        <v>800000</v>
      </c>
      <c r="AI10" s="639">
        <f t="shared" si="7"/>
        <v>800000</v>
      </c>
      <c r="AJ10" s="639">
        <f t="shared" si="7"/>
        <v>800000</v>
      </c>
      <c r="AK10" s="639">
        <f t="shared" si="7"/>
        <v>800000</v>
      </c>
      <c r="AL10" s="639">
        <f t="shared" si="7"/>
        <v>800000</v>
      </c>
      <c r="AM10" s="639">
        <f t="shared" si="7"/>
        <v>800000</v>
      </c>
      <c r="AN10" s="639">
        <f t="shared" si="7"/>
        <v>800000</v>
      </c>
      <c r="AO10" s="639">
        <f t="shared" si="7"/>
        <v>800000</v>
      </c>
      <c r="AP10" s="639">
        <f t="shared" si="7"/>
        <v>700000</v>
      </c>
      <c r="AQ10" s="639">
        <f t="shared" si="7"/>
        <v>700000</v>
      </c>
      <c r="AR10" s="639">
        <f t="shared" si="7"/>
        <v>700000</v>
      </c>
      <c r="AS10" s="639">
        <f t="shared" si="7"/>
        <v>700000</v>
      </c>
      <c r="AT10" s="639">
        <f t="shared" si="7"/>
        <v>700000</v>
      </c>
      <c r="AU10" s="639">
        <f t="shared" si="7"/>
        <v>700000</v>
      </c>
      <c r="AV10" s="639">
        <f t="shared" si="7"/>
        <v>700000</v>
      </c>
      <c r="AW10" s="639">
        <f t="shared" si="7"/>
        <v>700000</v>
      </c>
      <c r="AX10" s="639">
        <f t="shared" si="7"/>
        <v>700000</v>
      </c>
      <c r="AY10" s="639">
        <f t="shared" si="7"/>
        <v>700000</v>
      </c>
      <c r="AZ10" s="639">
        <f t="shared" si="7"/>
        <v>700000</v>
      </c>
      <c r="BA10" s="639">
        <f t="shared" si="7"/>
        <v>700000</v>
      </c>
      <c r="BB10" s="639">
        <f t="shared" si="7"/>
        <v>550000</v>
      </c>
      <c r="BC10" s="639">
        <f t="shared" si="7"/>
        <v>550000</v>
      </c>
      <c r="BD10" s="639">
        <f t="shared" si="7"/>
        <v>550000</v>
      </c>
      <c r="BE10" s="639">
        <f t="shared" si="7"/>
        <v>550000</v>
      </c>
      <c r="BF10" s="639">
        <f t="shared" si="7"/>
        <v>550000</v>
      </c>
      <c r="BG10" s="639">
        <f t="shared" si="7"/>
        <v>550000</v>
      </c>
      <c r="BH10" s="639">
        <f t="shared" si="7"/>
        <v>550000</v>
      </c>
      <c r="BI10" s="639">
        <f t="shared" si="7"/>
        <v>550000</v>
      </c>
      <c r="BJ10" s="639">
        <f t="shared" si="7"/>
        <v>550000</v>
      </c>
      <c r="BK10" s="639">
        <f t="shared" si="7"/>
        <v>550000</v>
      </c>
      <c r="BL10" s="639">
        <f t="shared" si="7"/>
        <v>550000</v>
      </c>
      <c r="BM10" s="639">
        <f t="shared" si="7"/>
        <v>550000</v>
      </c>
      <c r="BN10" s="639">
        <f t="shared" si="7"/>
        <v>0</v>
      </c>
    </row>
    <row r="12" spans="2:67">
      <c r="B12" s="828"/>
      <c r="C12" s="828" t="s">
        <v>1531</v>
      </c>
      <c r="D12" s="829">
        <v>6.3600000000000004E-2</v>
      </c>
      <c r="E12" s="828">
        <f>SUM(F12:BN12)</f>
        <v>242760.32876712343</v>
      </c>
      <c r="F12" s="828"/>
      <c r="G12" s="828">
        <f t="shared" ref="G12:AL12" si="8">(F10+G10)/2*$D$12*G$7/365</f>
        <v>4861.4794520547948</v>
      </c>
      <c r="H12" s="828">
        <f t="shared" si="8"/>
        <v>4861.4794520547948</v>
      </c>
      <c r="I12" s="828">
        <f t="shared" si="8"/>
        <v>4704.6575342465758</v>
      </c>
      <c r="J12" s="828">
        <f t="shared" si="8"/>
        <v>4861.4794520547948</v>
      </c>
      <c r="K12" s="828">
        <f t="shared" si="8"/>
        <v>4704.6575342465758</v>
      </c>
      <c r="L12" s="828">
        <f t="shared" si="8"/>
        <v>4861.4794520547948</v>
      </c>
      <c r="M12" s="828">
        <f t="shared" si="8"/>
        <v>4861.4794520547948</v>
      </c>
      <c r="N12" s="828">
        <f t="shared" si="8"/>
        <v>4547.8356164383558</v>
      </c>
      <c r="O12" s="828">
        <f t="shared" si="8"/>
        <v>4861.4794520547948</v>
      </c>
      <c r="P12" s="828">
        <f t="shared" si="8"/>
        <v>4704.6575342465758</v>
      </c>
      <c r="Q12" s="828">
        <f t="shared" si="8"/>
        <v>4861.4794520547948</v>
      </c>
      <c r="R12" s="828">
        <f t="shared" si="8"/>
        <v>4704.6575342465758</v>
      </c>
      <c r="S12" s="828">
        <f t="shared" si="8"/>
        <v>4861.4794520547948</v>
      </c>
      <c r="T12" s="828">
        <f t="shared" si="8"/>
        <v>4861.4794520547948</v>
      </c>
      <c r="U12" s="828">
        <f t="shared" si="8"/>
        <v>4704.6575342465758</v>
      </c>
      <c r="V12" s="828">
        <f t="shared" si="8"/>
        <v>4861.4794520547948</v>
      </c>
      <c r="W12" s="828">
        <f t="shared" si="8"/>
        <v>4704.6575342465758</v>
      </c>
      <c r="X12" s="828">
        <f t="shared" si="8"/>
        <v>4861.4794520547948</v>
      </c>
      <c r="Y12" s="828">
        <f t="shared" si="8"/>
        <v>4861.4794520547948</v>
      </c>
      <c r="Z12" s="828">
        <f t="shared" si="8"/>
        <v>4391.0136986301368</v>
      </c>
      <c r="AA12" s="828">
        <f t="shared" si="8"/>
        <v>4861.4794520547948</v>
      </c>
      <c r="AB12" s="828">
        <f t="shared" si="8"/>
        <v>4704.6575342465758</v>
      </c>
      <c r="AC12" s="828">
        <f t="shared" si="8"/>
        <v>4861.4794520547948</v>
      </c>
      <c r="AD12" s="828">
        <f t="shared" si="8"/>
        <v>4443.2876712328771</v>
      </c>
      <c r="AE12" s="828">
        <f t="shared" si="8"/>
        <v>4321.3150684931506</v>
      </c>
      <c r="AF12" s="828">
        <f t="shared" si="8"/>
        <v>4321.3150684931506</v>
      </c>
      <c r="AG12" s="828">
        <f t="shared" si="8"/>
        <v>4181.9178082191784</v>
      </c>
      <c r="AH12" s="828">
        <f t="shared" si="8"/>
        <v>4321.3150684931506</v>
      </c>
      <c r="AI12" s="828">
        <f t="shared" si="8"/>
        <v>4181.9178082191784</v>
      </c>
      <c r="AJ12" s="828">
        <f t="shared" si="8"/>
        <v>4321.3150684931506</v>
      </c>
      <c r="AK12" s="828">
        <f t="shared" si="8"/>
        <v>4321.3150684931506</v>
      </c>
      <c r="AL12" s="828">
        <f t="shared" si="8"/>
        <v>3903.1232876712329</v>
      </c>
      <c r="AM12" s="828">
        <f t="shared" ref="AM12:BN12" si="9">(AL10+AM10)/2*$D$12*AM$7/365</f>
        <v>4321.3150684931506</v>
      </c>
      <c r="AN12" s="828">
        <f t="shared" si="9"/>
        <v>4181.9178082191784</v>
      </c>
      <c r="AO12" s="828">
        <f t="shared" si="9"/>
        <v>4321.3150684931506</v>
      </c>
      <c r="AP12" s="828">
        <f t="shared" si="9"/>
        <v>3920.5479452054797</v>
      </c>
      <c r="AQ12" s="828">
        <f t="shared" si="9"/>
        <v>3781.1506849315069</v>
      </c>
      <c r="AR12" s="828">
        <f t="shared" si="9"/>
        <v>3781.1506849315069</v>
      </c>
      <c r="AS12" s="828">
        <f t="shared" si="9"/>
        <v>3659.178082191781</v>
      </c>
      <c r="AT12" s="828">
        <f t="shared" si="9"/>
        <v>3781.1506849315069</v>
      </c>
      <c r="AU12" s="828">
        <f t="shared" si="9"/>
        <v>3659.178082191781</v>
      </c>
      <c r="AV12" s="828">
        <f t="shared" si="9"/>
        <v>3781.1506849315069</v>
      </c>
      <c r="AW12" s="828">
        <f t="shared" si="9"/>
        <v>3781.1506849315069</v>
      </c>
      <c r="AX12" s="828">
        <f t="shared" si="9"/>
        <v>3415.2328767123286</v>
      </c>
      <c r="AY12" s="828">
        <f t="shared" si="9"/>
        <v>3781.1506849315069</v>
      </c>
      <c r="AZ12" s="828">
        <f t="shared" si="9"/>
        <v>3659.178082191781</v>
      </c>
      <c r="BA12" s="828">
        <f t="shared" si="9"/>
        <v>3781.1506849315069</v>
      </c>
      <c r="BB12" s="828">
        <f t="shared" si="9"/>
        <v>3267.1232876712329</v>
      </c>
      <c r="BC12" s="828">
        <f t="shared" si="9"/>
        <v>2970.9041095890411</v>
      </c>
      <c r="BD12" s="828">
        <f t="shared" si="9"/>
        <v>2970.9041095890411</v>
      </c>
      <c r="BE12" s="828">
        <f t="shared" si="9"/>
        <v>2875.0684931506848</v>
      </c>
      <c r="BF12" s="828">
        <f t="shared" si="9"/>
        <v>2970.9041095890411</v>
      </c>
      <c r="BG12" s="828">
        <f t="shared" si="9"/>
        <v>2875.0684931506848</v>
      </c>
      <c r="BH12" s="828">
        <f t="shared" si="9"/>
        <v>2970.9041095890411</v>
      </c>
      <c r="BI12" s="828">
        <f t="shared" si="9"/>
        <v>2970.9041095890411</v>
      </c>
      <c r="BJ12" s="828">
        <f t="shared" si="9"/>
        <v>2779.2328767123286</v>
      </c>
      <c r="BK12" s="828">
        <f t="shared" si="9"/>
        <v>2970.9041095890411</v>
      </c>
      <c r="BL12" s="828">
        <f t="shared" si="9"/>
        <v>2875.0684931506848</v>
      </c>
      <c r="BM12" s="828">
        <f t="shared" si="9"/>
        <v>2970.9041095890411</v>
      </c>
      <c r="BN12" s="828">
        <f t="shared" si="9"/>
        <v>1437.5342465753424</v>
      </c>
    </row>
    <row r="13" spans="2:67">
      <c r="B13" s="828"/>
      <c r="C13" s="828" t="s">
        <v>1692</v>
      </c>
      <c r="D13" s="829"/>
      <c r="E13" s="828"/>
      <c r="F13" s="828"/>
      <c r="G13" s="828">
        <f>$E$26*G12/$E$12</f>
        <v>324.10043410852626</v>
      </c>
      <c r="H13" s="828">
        <f t="shared" ref="H13:BN13" si="10">$E$26*H12/$E$12</f>
        <v>324.10043410852626</v>
      </c>
      <c r="I13" s="828">
        <f t="shared" si="10"/>
        <v>313.64558139534802</v>
      </c>
      <c r="J13" s="828">
        <f t="shared" si="10"/>
        <v>324.10043410852626</v>
      </c>
      <c r="K13" s="828">
        <f t="shared" si="10"/>
        <v>313.64558139534802</v>
      </c>
      <c r="L13" s="828">
        <f t="shared" si="10"/>
        <v>324.10043410852626</v>
      </c>
      <c r="M13" s="828">
        <f t="shared" si="10"/>
        <v>324.10043410852626</v>
      </c>
      <c r="N13" s="828">
        <f t="shared" si="10"/>
        <v>303.19072868216966</v>
      </c>
      <c r="O13" s="828">
        <f t="shared" si="10"/>
        <v>324.10043410852626</v>
      </c>
      <c r="P13" s="828">
        <f t="shared" si="10"/>
        <v>313.64558139534802</v>
      </c>
      <c r="Q13" s="828">
        <f t="shared" si="10"/>
        <v>324.10043410852626</v>
      </c>
      <c r="R13" s="828">
        <f t="shared" si="10"/>
        <v>313.64558139534802</v>
      </c>
      <c r="S13" s="828">
        <f t="shared" si="10"/>
        <v>324.10043410852626</v>
      </c>
      <c r="T13" s="828">
        <f t="shared" si="10"/>
        <v>324.10043410852626</v>
      </c>
      <c r="U13" s="828">
        <f t="shared" si="10"/>
        <v>313.64558139534802</v>
      </c>
      <c r="V13" s="828">
        <f t="shared" si="10"/>
        <v>324.10043410852626</v>
      </c>
      <c r="W13" s="828">
        <f t="shared" si="10"/>
        <v>313.64558139534802</v>
      </c>
      <c r="X13" s="828">
        <f t="shared" si="10"/>
        <v>324.10043410852626</v>
      </c>
      <c r="Y13" s="828">
        <f t="shared" si="10"/>
        <v>324.10043410852626</v>
      </c>
      <c r="Z13" s="828">
        <f t="shared" si="10"/>
        <v>292.73587596899142</v>
      </c>
      <c r="AA13" s="828">
        <f t="shared" si="10"/>
        <v>324.10043410852626</v>
      </c>
      <c r="AB13" s="828">
        <f t="shared" si="10"/>
        <v>313.64558139534802</v>
      </c>
      <c r="AC13" s="828">
        <f t="shared" si="10"/>
        <v>324.10043410852626</v>
      </c>
      <c r="AD13" s="828">
        <f t="shared" si="10"/>
        <v>296.22082687338417</v>
      </c>
      <c r="AE13" s="828">
        <f t="shared" si="10"/>
        <v>288.08927476313443</v>
      </c>
      <c r="AF13" s="828">
        <f t="shared" si="10"/>
        <v>288.08927476313443</v>
      </c>
      <c r="AG13" s="828">
        <f t="shared" si="10"/>
        <v>278.79607235142043</v>
      </c>
      <c r="AH13" s="828">
        <f t="shared" si="10"/>
        <v>288.08927476313443</v>
      </c>
      <c r="AI13" s="828">
        <f t="shared" si="10"/>
        <v>278.79607235142043</v>
      </c>
      <c r="AJ13" s="828">
        <f t="shared" si="10"/>
        <v>288.08927476313443</v>
      </c>
      <c r="AK13" s="828">
        <f t="shared" si="10"/>
        <v>288.08927476313443</v>
      </c>
      <c r="AL13" s="828">
        <f t="shared" si="10"/>
        <v>260.20966752799239</v>
      </c>
      <c r="AM13" s="828">
        <f t="shared" si="10"/>
        <v>288.08927476313443</v>
      </c>
      <c r="AN13" s="828">
        <f t="shared" si="10"/>
        <v>278.79607235142043</v>
      </c>
      <c r="AO13" s="828">
        <f t="shared" si="10"/>
        <v>288.08927476313443</v>
      </c>
      <c r="AP13" s="828">
        <f t="shared" si="10"/>
        <v>261.37131782945664</v>
      </c>
      <c r="AQ13" s="828">
        <f t="shared" si="10"/>
        <v>252.07811541774265</v>
      </c>
      <c r="AR13" s="828">
        <f t="shared" si="10"/>
        <v>252.07811541774265</v>
      </c>
      <c r="AS13" s="828">
        <f t="shared" si="10"/>
        <v>243.94656330749285</v>
      </c>
      <c r="AT13" s="828">
        <f t="shared" si="10"/>
        <v>252.07811541774265</v>
      </c>
      <c r="AU13" s="828">
        <f t="shared" si="10"/>
        <v>243.94656330749285</v>
      </c>
      <c r="AV13" s="828">
        <f t="shared" si="10"/>
        <v>252.07811541774265</v>
      </c>
      <c r="AW13" s="828">
        <f t="shared" si="10"/>
        <v>252.07811541774265</v>
      </c>
      <c r="AX13" s="828">
        <f t="shared" si="10"/>
        <v>227.68345908699331</v>
      </c>
      <c r="AY13" s="828">
        <f t="shared" si="10"/>
        <v>252.07811541774265</v>
      </c>
      <c r="AZ13" s="828">
        <f t="shared" si="10"/>
        <v>243.94656330749285</v>
      </c>
      <c r="BA13" s="828">
        <f t="shared" si="10"/>
        <v>252.07811541774265</v>
      </c>
      <c r="BB13" s="828">
        <f t="shared" si="10"/>
        <v>217.80943152454722</v>
      </c>
      <c r="BC13" s="828">
        <f t="shared" si="10"/>
        <v>198.06137639965493</v>
      </c>
      <c r="BD13" s="828">
        <f t="shared" si="10"/>
        <v>198.06137639965493</v>
      </c>
      <c r="BE13" s="828">
        <f t="shared" si="10"/>
        <v>191.67229974160153</v>
      </c>
      <c r="BF13" s="828">
        <f t="shared" si="10"/>
        <v>198.06137639965493</v>
      </c>
      <c r="BG13" s="828">
        <f t="shared" si="10"/>
        <v>191.67229974160153</v>
      </c>
      <c r="BH13" s="828">
        <f t="shared" si="10"/>
        <v>198.06137639965493</v>
      </c>
      <c r="BI13" s="828">
        <f t="shared" si="10"/>
        <v>198.06137639965493</v>
      </c>
      <c r="BJ13" s="828">
        <f t="shared" si="10"/>
        <v>185.28322308354814</v>
      </c>
      <c r="BK13" s="828">
        <f t="shared" si="10"/>
        <v>198.06137639965493</v>
      </c>
      <c r="BL13" s="828">
        <f t="shared" si="10"/>
        <v>191.67229974160153</v>
      </c>
      <c r="BM13" s="828">
        <f t="shared" si="10"/>
        <v>198.06137639965493</v>
      </c>
      <c r="BN13" s="828">
        <f t="shared" si="10"/>
        <v>95.836149870800767</v>
      </c>
    </row>
    <row r="14" spans="2:67">
      <c r="B14" s="813"/>
      <c r="C14" s="813" t="s">
        <v>1695</v>
      </c>
      <c r="D14" s="815"/>
      <c r="E14" s="813"/>
      <c r="F14" s="813"/>
      <c r="G14" s="813">
        <f>SUM(G12:G13)</f>
        <v>5185.5798861633211</v>
      </c>
      <c r="H14" s="813">
        <f t="shared" ref="H14:BN14" si="11">SUM(H12:H13)</f>
        <v>5185.5798861633211</v>
      </c>
      <c r="I14" s="813">
        <f t="shared" si="11"/>
        <v>5018.3031156419238</v>
      </c>
      <c r="J14" s="813">
        <f t="shared" si="11"/>
        <v>5185.5798861633211</v>
      </c>
      <c r="K14" s="813">
        <f t="shared" si="11"/>
        <v>5018.3031156419238</v>
      </c>
      <c r="L14" s="813">
        <f t="shared" si="11"/>
        <v>5185.5798861633211</v>
      </c>
      <c r="M14" s="813">
        <f t="shared" si="11"/>
        <v>5185.5798861633211</v>
      </c>
      <c r="N14" s="813">
        <f t="shared" si="11"/>
        <v>4851.0263451205255</v>
      </c>
      <c r="O14" s="813">
        <f t="shared" si="11"/>
        <v>5185.5798861633211</v>
      </c>
      <c r="P14" s="813">
        <f t="shared" si="11"/>
        <v>5018.3031156419238</v>
      </c>
      <c r="Q14" s="813">
        <f t="shared" si="11"/>
        <v>5185.5798861633211</v>
      </c>
      <c r="R14" s="813">
        <f t="shared" si="11"/>
        <v>5018.3031156419238</v>
      </c>
      <c r="S14" s="813">
        <f t="shared" si="11"/>
        <v>5185.5798861633211</v>
      </c>
      <c r="T14" s="813">
        <f t="shared" si="11"/>
        <v>5185.5798861633211</v>
      </c>
      <c r="U14" s="813">
        <f t="shared" si="11"/>
        <v>5018.3031156419238</v>
      </c>
      <c r="V14" s="813">
        <f t="shared" si="11"/>
        <v>5185.5798861633211</v>
      </c>
      <c r="W14" s="813">
        <f t="shared" si="11"/>
        <v>5018.3031156419238</v>
      </c>
      <c r="X14" s="813">
        <f t="shared" si="11"/>
        <v>5185.5798861633211</v>
      </c>
      <c r="Y14" s="813">
        <f t="shared" si="11"/>
        <v>5185.5798861633211</v>
      </c>
      <c r="Z14" s="813">
        <f t="shared" si="11"/>
        <v>4683.7495745991282</v>
      </c>
      <c r="AA14" s="813">
        <f t="shared" si="11"/>
        <v>5185.5798861633211</v>
      </c>
      <c r="AB14" s="813">
        <f t="shared" si="11"/>
        <v>5018.3031156419238</v>
      </c>
      <c r="AC14" s="813">
        <f t="shared" si="11"/>
        <v>5185.5798861633211</v>
      </c>
      <c r="AD14" s="813">
        <f t="shared" si="11"/>
        <v>4739.508498106261</v>
      </c>
      <c r="AE14" s="813">
        <f t="shared" si="11"/>
        <v>4609.4043432562848</v>
      </c>
      <c r="AF14" s="813">
        <f t="shared" si="11"/>
        <v>4609.4043432562848</v>
      </c>
      <c r="AG14" s="813">
        <f t="shared" si="11"/>
        <v>4460.713880570599</v>
      </c>
      <c r="AH14" s="813">
        <f t="shared" si="11"/>
        <v>4609.4043432562848</v>
      </c>
      <c r="AI14" s="813">
        <f t="shared" si="11"/>
        <v>4460.713880570599</v>
      </c>
      <c r="AJ14" s="813">
        <f t="shared" si="11"/>
        <v>4609.4043432562848</v>
      </c>
      <c r="AK14" s="813">
        <f t="shared" si="11"/>
        <v>4609.4043432562848</v>
      </c>
      <c r="AL14" s="813">
        <f t="shared" si="11"/>
        <v>4163.3329551992256</v>
      </c>
      <c r="AM14" s="813">
        <f t="shared" si="11"/>
        <v>4609.4043432562848</v>
      </c>
      <c r="AN14" s="813">
        <f t="shared" si="11"/>
        <v>4460.713880570599</v>
      </c>
      <c r="AO14" s="813">
        <f t="shared" si="11"/>
        <v>4609.4043432562848</v>
      </c>
      <c r="AP14" s="813">
        <f t="shared" si="11"/>
        <v>4181.9192630349362</v>
      </c>
      <c r="AQ14" s="813">
        <f t="shared" si="11"/>
        <v>4033.2288003492495</v>
      </c>
      <c r="AR14" s="813">
        <f t="shared" si="11"/>
        <v>4033.2288003492495</v>
      </c>
      <c r="AS14" s="813">
        <f t="shared" si="11"/>
        <v>3903.1246454992738</v>
      </c>
      <c r="AT14" s="813">
        <f t="shared" si="11"/>
        <v>4033.2288003492495</v>
      </c>
      <c r="AU14" s="813">
        <f t="shared" si="11"/>
        <v>3903.1246454992738</v>
      </c>
      <c r="AV14" s="813">
        <f t="shared" si="11"/>
        <v>4033.2288003492495</v>
      </c>
      <c r="AW14" s="813">
        <f t="shared" si="11"/>
        <v>4033.2288003492495</v>
      </c>
      <c r="AX14" s="813">
        <f t="shared" si="11"/>
        <v>3642.916335799322</v>
      </c>
      <c r="AY14" s="813">
        <f t="shared" si="11"/>
        <v>4033.2288003492495</v>
      </c>
      <c r="AZ14" s="813">
        <f t="shared" si="11"/>
        <v>3903.1246454992738</v>
      </c>
      <c r="BA14" s="813">
        <f t="shared" si="11"/>
        <v>4033.2288003492495</v>
      </c>
      <c r="BB14" s="813">
        <f t="shared" si="11"/>
        <v>3484.93271919578</v>
      </c>
      <c r="BC14" s="813">
        <f t="shared" si="11"/>
        <v>3168.9654859886959</v>
      </c>
      <c r="BD14" s="813">
        <f t="shared" si="11"/>
        <v>3168.9654859886959</v>
      </c>
      <c r="BE14" s="813">
        <f t="shared" si="11"/>
        <v>3066.7407928922862</v>
      </c>
      <c r="BF14" s="813">
        <f t="shared" si="11"/>
        <v>3168.9654859886959</v>
      </c>
      <c r="BG14" s="813">
        <f t="shared" si="11"/>
        <v>3066.7407928922862</v>
      </c>
      <c r="BH14" s="813">
        <f t="shared" si="11"/>
        <v>3168.9654859886959</v>
      </c>
      <c r="BI14" s="813">
        <f t="shared" si="11"/>
        <v>3168.9654859886959</v>
      </c>
      <c r="BJ14" s="813">
        <f t="shared" si="11"/>
        <v>2964.5160997958765</v>
      </c>
      <c r="BK14" s="813">
        <f t="shared" si="11"/>
        <v>3168.9654859886959</v>
      </c>
      <c r="BL14" s="813">
        <f t="shared" si="11"/>
        <v>3066.7407928922862</v>
      </c>
      <c r="BM14" s="813">
        <f t="shared" si="11"/>
        <v>3168.9654859886959</v>
      </c>
      <c r="BN14" s="813">
        <f t="shared" si="11"/>
        <v>1533.3703964461431</v>
      </c>
    </row>
    <row r="15" spans="2:67">
      <c r="B15" s="639" t="s">
        <v>1532</v>
      </c>
      <c r="C15" s="639" t="s">
        <v>1529</v>
      </c>
      <c r="F15" s="639">
        <f>SUM(D82:D91)</f>
        <v>130000</v>
      </c>
    </row>
    <row r="16" spans="2:67">
      <c r="C16" s="639" t="s">
        <v>1528</v>
      </c>
      <c r="F16" s="639">
        <f t="shared" ref="F16:AK16" si="12">SUMIF($H$82:$H$91,F$6,$D$82:$D$91)</f>
        <v>0</v>
      </c>
      <c r="G16" s="639">
        <f t="shared" si="12"/>
        <v>0</v>
      </c>
      <c r="H16" s="639">
        <f t="shared" si="12"/>
        <v>0</v>
      </c>
      <c r="I16" s="639">
        <f t="shared" si="12"/>
        <v>0</v>
      </c>
      <c r="J16" s="639">
        <f t="shared" si="12"/>
        <v>0</v>
      </c>
      <c r="K16" s="639">
        <f t="shared" si="12"/>
        <v>0</v>
      </c>
      <c r="L16" s="639">
        <f t="shared" si="12"/>
        <v>0</v>
      </c>
      <c r="M16" s="639">
        <f t="shared" si="12"/>
        <v>0</v>
      </c>
      <c r="N16" s="639">
        <f t="shared" si="12"/>
        <v>0</v>
      </c>
      <c r="O16" s="639">
        <f t="shared" si="12"/>
        <v>0</v>
      </c>
      <c r="P16" s="639">
        <f t="shared" si="12"/>
        <v>0</v>
      </c>
      <c r="Q16" s="639">
        <f t="shared" si="12"/>
        <v>0</v>
      </c>
      <c r="R16" s="639">
        <f t="shared" si="12"/>
        <v>0</v>
      </c>
      <c r="S16" s="639">
        <f t="shared" si="12"/>
        <v>0</v>
      </c>
      <c r="T16" s="639">
        <f t="shared" si="12"/>
        <v>0</v>
      </c>
      <c r="U16" s="639">
        <f t="shared" si="12"/>
        <v>0</v>
      </c>
      <c r="V16" s="639">
        <f t="shared" si="12"/>
        <v>0</v>
      </c>
      <c r="W16" s="639">
        <f t="shared" si="12"/>
        <v>0</v>
      </c>
      <c r="X16" s="639">
        <f t="shared" si="12"/>
        <v>0</v>
      </c>
      <c r="Y16" s="639">
        <f t="shared" si="12"/>
        <v>0</v>
      </c>
      <c r="Z16" s="639">
        <f t="shared" si="12"/>
        <v>0</v>
      </c>
      <c r="AA16" s="639">
        <f t="shared" si="12"/>
        <v>0</v>
      </c>
      <c r="AB16" s="639">
        <f t="shared" si="12"/>
        <v>13000</v>
      </c>
      <c r="AC16" s="639">
        <f t="shared" si="12"/>
        <v>13000</v>
      </c>
      <c r="AD16" s="639">
        <f t="shared" si="12"/>
        <v>14000</v>
      </c>
      <c r="AE16" s="639">
        <f t="shared" si="12"/>
        <v>14000</v>
      </c>
      <c r="AF16" s="639">
        <f t="shared" si="12"/>
        <v>14000</v>
      </c>
      <c r="AG16" s="639">
        <f t="shared" si="12"/>
        <v>14000</v>
      </c>
      <c r="AH16" s="639">
        <f t="shared" si="12"/>
        <v>14000</v>
      </c>
      <c r="AI16" s="639">
        <f t="shared" si="12"/>
        <v>14000</v>
      </c>
      <c r="AJ16" s="639">
        <f t="shared" si="12"/>
        <v>10000</v>
      </c>
      <c r="AK16" s="639">
        <f t="shared" si="12"/>
        <v>10000</v>
      </c>
      <c r="AL16" s="639">
        <f t="shared" ref="AL16:BN16" si="13">SUMIF($H$82:$H$91,AL$6,$D$82:$D$91)</f>
        <v>0</v>
      </c>
      <c r="AM16" s="639">
        <f t="shared" si="13"/>
        <v>0</v>
      </c>
      <c r="AN16" s="639">
        <f t="shared" si="13"/>
        <v>0</v>
      </c>
      <c r="AO16" s="639">
        <f t="shared" si="13"/>
        <v>0</v>
      </c>
      <c r="AP16" s="639">
        <f t="shared" si="13"/>
        <v>0</v>
      </c>
      <c r="AQ16" s="639">
        <f t="shared" si="13"/>
        <v>0</v>
      </c>
      <c r="AR16" s="639">
        <f t="shared" si="13"/>
        <v>0</v>
      </c>
      <c r="AS16" s="639">
        <f t="shared" si="13"/>
        <v>0</v>
      </c>
      <c r="AT16" s="639">
        <f t="shared" si="13"/>
        <v>0</v>
      </c>
      <c r="AU16" s="639">
        <f t="shared" si="13"/>
        <v>0</v>
      </c>
      <c r="AV16" s="639">
        <f t="shared" si="13"/>
        <v>0</v>
      </c>
      <c r="AW16" s="639">
        <f t="shared" si="13"/>
        <v>0</v>
      </c>
      <c r="AX16" s="639">
        <f t="shared" si="13"/>
        <v>0</v>
      </c>
      <c r="AY16" s="639">
        <f t="shared" si="13"/>
        <v>0</v>
      </c>
      <c r="AZ16" s="639">
        <f t="shared" si="13"/>
        <v>0</v>
      </c>
      <c r="BA16" s="639">
        <f t="shared" si="13"/>
        <v>0</v>
      </c>
      <c r="BB16" s="639">
        <f t="shared" si="13"/>
        <v>0</v>
      </c>
      <c r="BC16" s="639">
        <f t="shared" si="13"/>
        <v>0</v>
      </c>
      <c r="BD16" s="639">
        <f t="shared" si="13"/>
        <v>0</v>
      </c>
      <c r="BE16" s="639">
        <f t="shared" si="13"/>
        <v>0</v>
      </c>
      <c r="BF16" s="639">
        <f t="shared" si="13"/>
        <v>0</v>
      </c>
      <c r="BG16" s="639">
        <f t="shared" si="13"/>
        <v>0</v>
      </c>
      <c r="BH16" s="639">
        <f t="shared" si="13"/>
        <v>0</v>
      </c>
      <c r="BI16" s="639">
        <f t="shared" si="13"/>
        <v>0</v>
      </c>
      <c r="BJ16" s="639">
        <f t="shared" si="13"/>
        <v>0</v>
      </c>
      <c r="BK16" s="639">
        <f t="shared" si="13"/>
        <v>0</v>
      </c>
      <c r="BL16" s="639">
        <f t="shared" si="13"/>
        <v>0</v>
      </c>
      <c r="BM16" s="639">
        <f t="shared" si="13"/>
        <v>0</v>
      </c>
      <c r="BN16" s="639">
        <f t="shared" si="13"/>
        <v>0</v>
      </c>
    </row>
    <row r="17" spans="2:66">
      <c r="C17" s="639" t="s">
        <v>1530</v>
      </c>
      <c r="F17" s="639">
        <f>F15-F16</f>
        <v>130000</v>
      </c>
      <c r="G17" s="639">
        <f>F17-G16</f>
        <v>130000</v>
      </c>
      <c r="H17" s="639">
        <f t="shared" ref="H17:BN17" si="14">G17-H16</f>
        <v>130000</v>
      </c>
      <c r="I17" s="639">
        <f t="shared" si="14"/>
        <v>130000</v>
      </c>
      <c r="J17" s="639">
        <f t="shared" si="14"/>
        <v>130000</v>
      </c>
      <c r="K17" s="639">
        <f t="shared" si="14"/>
        <v>130000</v>
      </c>
      <c r="L17" s="639">
        <f t="shared" si="14"/>
        <v>130000</v>
      </c>
      <c r="M17" s="639">
        <f t="shared" si="14"/>
        <v>130000</v>
      </c>
      <c r="N17" s="639">
        <f t="shared" si="14"/>
        <v>130000</v>
      </c>
      <c r="O17" s="639">
        <f t="shared" si="14"/>
        <v>130000</v>
      </c>
      <c r="P17" s="639">
        <f t="shared" si="14"/>
        <v>130000</v>
      </c>
      <c r="Q17" s="639">
        <f t="shared" si="14"/>
        <v>130000</v>
      </c>
      <c r="R17" s="639">
        <f t="shared" si="14"/>
        <v>130000</v>
      </c>
      <c r="S17" s="639">
        <f t="shared" si="14"/>
        <v>130000</v>
      </c>
      <c r="T17" s="639">
        <f t="shared" si="14"/>
        <v>130000</v>
      </c>
      <c r="U17" s="639">
        <f t="shared" si="14"/>
        <v>130000</v>
      </c>
      <c r="V17" s="639">
        <f t="shared" si="14"/>
        <v>130000</v>
      </c>
      <c r="W17" s="639">
        <f t="shared" si="14"/>
        <v>130000</v>
      </c>
      <c r="X17" s="639">
        <f t="shared" si="14"/>
        <v>130000</v>
      </c>
      <c r="Y17" s="639">
        <f t="shared" si="14"/>
        <v>130000</v>
      </c>
      <c r="Z17" s="639">
        <f t="shared" si="14"/>
        <v>130000</v>
      </c>
      <c r="AA17" s="639">
        <f t="shared" si="14"/>
        <v>130000</v>
      </c>
      <c r="AB17" s="639">
        <f t="shared" si="14"/>
        <v>117000</v>
      </c>
      <c r="AC17" s="639">
        <f t="shared" si="14"/>
        <v>104000</v>
      </c>
      <c r="AD17" s="639">
        <f t="shared" si="14"/>
        <v>90000</v>
      </c>
      <c r="AE17" s="639">
        <f t="shared" si="14"/>
        <v>76000</v>
      </c>
      <c r="AF17" s="639">
        <f t="shared" si="14"/>
        <v>62000</v>
      </c>
      <c r="AG17" s="639">
        <f t="shared" si="14"/>
        <v>48000</v>
      </c>
      <c r="AH17" s="639">
        <f t="shared" si="14"/>
        <v>34000</v>
      </c>
      <c r="AI17" s="639">
        <f t="shared" si="14"/>
        <v>20000</v>
      </c>
      <c r="AJ17" s="639">
        <f t="shared" si="14"/>
        <v>10000</v>
      </c>
      <c r="AK17" s="639">
        <f t="shared" si="14"/>
        <v>0</v>
      </c>
      <c r="AL17" s="639">
        <f t="shared" si="14"/>
        <v>0</v>
      </c>
      <c r="AM17" s="639">
        <f t="shared" si="14"/>
        <v>0</v>
      </c>
      <c r="AN17" s="639">
        <f t="shared" si="14"/>
        <v>0</v>
      </c>
      <c r="AO17" s="639">
        <f t="shared" si="14"/>
        <v>0</v>
      </c>
      <c r="AP17" s="639">
        <f t="shared" si="14"/>
        <v>0</v>
      </c>
      <c r="AQ17" s="639">
        <f t="shared" si="14"/>
        <v>0</v>
      </c>
      <c r="AR17" s="639">
        <f t="shared" si="14"/>
        <v>0</v>
      </c>
      <c r="AS17" s="639">
        <f t="shared" si="14"/>
        <v>0</v>
      </c>
      <c r="AT17" s="639">
        <f t="shared" si="14"/>
        <v>0</v>
      </c>
      <c r="AU17" s="639">
        <f t="shared" si="14"/>
        <v>0</v>
      </c>
      <c r="AV17" s="639">
        <f t="shared" si="14"/>
        <v>0</v>
      </c>
      <c r="AW17" s="639">
        <f t="shared" si="14"/>
        <v>0</v>
      </c>
      <c r="AX17" s="639">
        <f t="shared" si="14"/>
        <v>0</v>
      </c>
      <c r="AY17" s="639">
        <f t="shared" si="14"/>
        <v>0</v>
      </c>
      <c r="AZ17" s="639">
        <f t="shared" si="14"/>
        <v>0</v>
      </c>
      <c r="BA17" s="639">
        <f t="shared" si="14"/>
        <v>0</v>
      </c>
      <c r="BB17" s="639">
        <f t="shared" si="14"/>
        <v>0</v>
      </c>
      <c r="BC17" s="639">
        <f t="shared" si="14"/>
        <v>0</v>
      </c>
      <c r="BD17" s="639">
        <f t="shared" si="14"/>
        <v>0</v>
      </c>
      <c r="BE17" s="639">
        <f t="shared" si="14"/>
        <v>0</v>
      </c>
      <c r="BF17" s="639">
        <f t="shared" si="14"/>
        <v>0</v>
      </c>
      <c r="BG17" s="639">
        <f t="shared" si="14"/>
        <v>0</v>
      </c>
      <c r="BH17" s="639">
        <f t="shared" si="14"/>
        <v>0</v>
      </c>
      <c r="BI17" s="639">
        <f t="shared" si="14"/>
        <v>0</v>
      </c>
      <c r="BJ17" s="639">
        <f t="shared" si="14"/>
        <v>0</v>
      </c>
      <c r="BK17" s="639">
        <f t="shared" si="14"/>
        <v>0</v>
      </c>
      <c r="BL17" s="639">
        <f t="shared" si="14"/>
        <v>0</v>
      </c>
      <c r="BM17" s="639">
        <f t="shared" si="14"/>
        <v>0</v>
      </c>
      <c r="BN17" s="639">
        <f t="shared" si="14"/>
        <v>0</v>
      </c>
    </row>
    <row r="19" spans="2:66">
      <c r="B19" s="828"/>
      <c r="C19" s="828" t="s">
        <v>1531</v>
      </c>
      <c r="D19" s="829">
        <f>E92</f>
        <v>4.7050000000000002E-2</v>
      </c>
      <c r="E19" s="828">
        <f>SUM(F19:BN19)</f>
        <v>13187.341575342469</v>
      </c>
      <c r="F19" s="828"/>
      <c r="G19" s="828">
        <f t="shared" ref="G19:AL19" si="15">(F17+G17)/2*$D$19*G$7/365</f>
        <v>519.48356164383563</v>
      </c>
      <c r="H19" s="828">
        <f t="shared" si="15"/>
        <v>519.48356164383563</v>
      </c>
      <c r="I19" s="828">
        <f t="shared" si="15"/>
        <v>502.72602739726028</v>
      </c>
      <c r="J19" s="828">
        <f t="shared" si="15"/>
        <v>519.48356164383563</v>
      </c>
      <c r="K19" s="828">
        <f t="shared" si="15"/>
        <v>502.72602739726028</v>
      </c>
      <c r="L19" s="828">
        <f t="shared" si="15"/>
        <v>519.48356164383563</v>
      </c>
      <c r="M19" s="828">
        <f t="shared" si="15"/>
        <v>519.48356164383563</v>
      </c>
      <c r="N19" s="828">
        <f t="shared" si="15"/>
        <v>485.96849315068494</v>
      </c>
      <c r="O19" s="828">
        <f t="shared" si="15"/>
        <v>519.48356164383563</v>
      </c>
      <c r="P19" s="828">
        <f t="shared" si="15"/>
        <v>502.72602739726028</v>
      </c>
      <c r="Q19" s="828">
        <f t="shared" si="15"/>
        <v>519.48356164383563</v>
      </c>
      <c r="R19" s="828">
        <f t="shared" si="15"/>
        <v>502.72602739726028</v>
      </c>
      <c r="S19" s="828">
        <f t="shared" si="15"/>
        <v>519.48356164383563</v>
      </c>
      <c r="T19" s="828">
        <f t="shared" si="15"/>
        <v>519.48356164383563</v>
      </c>
      <c r="U19" s="828">
        <f t="shared" si="15"/>
        <v>502.72602739726028</v>
      </c>
      <c r="V19" s="828">
        <f t="shared" si="15"/>
        <v>519.48356164383563</v>
      </c>
      <c r="W19" s="828">
        <f t="shared" si="15"/>
        <v>502.72602739726028</v>
      </c>
      <c r="X19" s="828">
        <f t="shared" si="15"/>
        <v>519.48356164383563</v>
      </c>
      <c r="Y19" s="828">
        <f t="shared" si="15"/>
        <v>519.48356164383563</v>
      </c>
      <c r="Z19" s="828">
        <f t="shared" si="15"/>
        <v>469.21095890410959</v>
      </c>
      <c r="AA19" s="828">
        <f t="shared" si="15"/>
        <v>519.48356164383563</v>
      </c>
      <c r="AB19" s="828">
        <f t="shared" si="15"/>
        <v>477.58972602739726</v>
      </c>
      <c r="AC19" s="828">
        <f t="shared" si="15"/>
        <v>441.56102739726032</v>
      </c>
      <c r="AD19" s="828">
        <f t="shared" si="15"/>
        <v>375.11095890410957</v>
      </c>
      <c r="AE19" s="828">
        <f t="shared" si="15"/>
        <v>331.67027397260279</v>
      </c>
      <c r="AF19" s="828">
        <f t="shared" si="15"/>
        <v>275.72589041095893</v>
      </c>
      <c r="AG19" s="828">
        <f t="shared" si="15"/>
        <v>212.6917808219178</v>
      </c>
      <c r="AH19" s="828">
        <f t="shared" si="15"/>
        <v>163.83712328767123</v>
      </c>
      <c r="AI19" s="828">
        <f t="shared" si="15"/>
        <v>104.41232876712331</v>
      </c>
      <c r="AJ19" s="828">
        <f t="shared" si="15"/>
        <v>59.94041095890411</v>
      </c>
      <c r="AK19" s="828">
        <f t="shared" si="15"/>
        <v>19.980136986301371</v>
      </c>
      <c r="AL19" s="828">
        <f t="shared" si="15"/>
        <v>0</v>
      </c>
      <c r="AM19" s="828">
        <f t="shared" ref="AM19:BN19" si="16">(AL17+AM17)/2*$D$19*AM$7/365</f>
        <v>0</v>
      </c>
      <c r="AN19" s="828">
        <f t="shared" si="16"/>
        <v>0</v>
      </c>
      <c r="AO19" s="828">
        <f t="shared" si="16"/>
        <v>0</v>
      </c>
      <c r="AP19" s="828">
        <f t="shared" si="16"/>
        <v>0</v>
      </c>
      <c r="AQ19" s="828">
        <f t="shared" si="16"/>
        <v>0</v>
      </c>
      <c r="AR19" s="828">
        <f t="shared" si="16"/>
        <v>0</v>
      </c>
      <c r="AS19" s="828">
        <f t="shared" si="16"/>
        <v>0</v>
      </c>
      <c r="AT19" s="828">
        <f t="shared" si="16"/>
        <v>0</v>
      </c>
      <c r="AU19" s="828">
        <f t="shared" si="16"/>
        <v>0</v>
      </c>
      <c r="AV19" s="828">
        <f t="shared" si="16"/>
        <v>0</v>
      </c>
      <c r="AW19" s="828">
        <f t="shared" si="16"/>
        <v>0</v>
      </c>
      <c r="AX19" s="828">
        <f t="shared" si="16"/>
        <v>0</v>
      </c>
      <c r="AY19" s="828">
        <f t="shared" si="16"/>
        <v>0</v>
      </c>
      <c r="AZ19" s="828">
        <f t="shared" si="16"/>
        <v>0</v>
      </c>
      <c r="BA19" s="828">
        <f t="shared" si="16"/>
        <v>0</v>
      </c>
      <c r="BB19" s="828">
        <f t="shared" si="16"/>
        <v>0</v>
      </c>
      <c r="BC19" s="828">
        <f t="shared" si="16"/>
        <v>0</v>
      </c>
      <c r="BD19" s="828">
        <f t="shared" si="16"/>
        <v>0</v>
      </c>
      <c r="BE19" s="828">
        <f t="shared" si="16"/>
        <v>0</v>
      </c>
      <c r="BF19" s="828">
        <f t="shared" si="16"/>
        <v>0</v>
      </c>
      <c r="BG19" s="828">
        <f t="shared" si="16"/>
        <v>0</v>
      </c>
      <c r="BH19" s="828">
        <f t="shared" si="16"/>
        <v>0</v>
      </c>
      <c r="BI19" s="828">
        <f t="shared" si="16"/>
        <v>0</v>
      </c>
      <c r="BJ19" s="828">
        <f t="shared" si="16"/>
        <v>0</v>
      </c>
      <c r="BK19" s="828">
        <f t="shared" si="16"/>
        <v>0</v>
      </c>
      <c r="BL19" s="828">
        <f t="shared" si="16"/>
        <v>0</v>
      </c>
      <c r="BM19" s="828">
        <f t="shared" si="16"/>
        <v>0</v>
      </c>
      <c r="BN19" s="828">
        <f t="shared" si="16"/>
        <v>0</v>
      </c>
    </row>
    <row r="20" spans="2:66">
      <c r="B20" s="828"/>
      <c r="C20" s="828" t="s">
        <v>1692</v>
      </c>
      <c r="D20" s="829"/>
      <c r="E20" s="828"/>
      <c r="F20" s="828"/>
      <c r="G20" s="828">
        <f>$E$29*G19/$E$19</f>
        <v>23.530349078086427</v>
      </c>
      <c r="H20" s="828">
        <f t="shared" ref="H20:BN20" si="17">$E$29*H19/$E$19</f>
        <v>23.530349078086427</v>
      </c>
      <c r="I20" s="828">
        <f t="shared" si="17"/>
        <v>22.771305559438481</v>
      </c>
      <c r="J20" s="828">
        <f t="shared" si="17"/>
        <v>23.530349078086427</v>
      </c>
      <c r="K20" s="828">
        <f t="shared" si="17"/>
        <v>22.771305559438481</v>
      </c>
      <c r="L20" s="828">
        <f t="shared" si="17"/>
        <v>23.530349078086427</v>
      </c>
      <c r="M20" s="828">
        <f t="shared" si="17"/>
        <v>23.530349078086427</v>
      </c>
      <c r="N20" s="828">
        <f t="shared" si="17"/>
        <v>22.012262040790532</v>
      </c>
      <c r="O20" s="828">
        <f t="shared" si="17"/>
        <v>23.530349078086427</v>
      </c>
      <c r="P20" s="828">
        <f t="shared" si="17"/>
        <v>22.771305559438481</v>
      </c>
      <c r="Q20" s="828">
        <f t="shared" si="17"/>
        <v>23.530349078086427</v>
      </c>
      <c r="R20" s="828">
        <f t="shared" si="17"/>
        <v>22.771305559438481</v>
      </c>
      <c r="S20" s="828">
        <f t="shared" si="17"/>
        <v>23.530349078086427</v>
      </c>
      <c r="T20" s="828">
        <f t="shared" si="17"/>
        <v>23.530349078086427</v>
      </c>
      <c r="U20" s="828">
        <f t="shared" si="17"/>
        <v>22.771305559438481</v>
      </c>
      <c r="V20" s="828">
        <f t="shared" si="17"/>
        <v>23.530349078086427</v>
      </c>
      <c r="W20" s="828">
        <f t="shared" si="17"/>
        <v>22.771305559438481</v>
      </c>
      <c r="X20" s="828">
        <f t="shared" si="17"/>
        <v>23.530349078086427</v>
      </c>
      <c r="Y20" s="828">
        <f t="shared" si="17"/>
        <v>23.530349078086427</v>
      </c>
      <c r="Z20" s="828">
        <f t="shared" si="17"/>
        <v>21.253218522142582</v>
      </c>
      <c r="AA20" s="828">
        <f t="shared" si="17"/>
        <v>23.530349078086427</v>
      </c>
      <c r="AB20" s="828">
        <f t="shared" si="17"/>
        <v>21.632740281466557</v>
      </c>
      <c r="AC20" s="828">
        <f t="shared" si="17"/>
        <v>20.000796716373465</v>
      </c>
      <c r="AD20" s="828">
        <f t="shared" si="17"/>
        <v>16.990897225119479</v>
      </c>
      <c r="AE20" s="828">
        <f t="shared" si="17"/>
        <v>15.023222872932108</v>
      </c>
      <c r="AF20" s="828">
        <f t="shared" si="17"/>
        <v>12.489185279907414</v>
      </c>
      <c r="AG20" s="828">
        <f t="shared" si="17"/>
        <v>9.6340138905316639</v>
      </c>
      <c r="AH20" s="828">
        <f t="shared" si="17"/>
        <v>7.4211100938580277</v>
      </c>
      <c r="AI20" s="828">
        <f t="shared" si="17"/>
        <v>4.7294250008064544</v>
      </c>
      <c r="AJ20" s="828">
        <f t="shared" si="17"/>
        <v>2.7150402782407417</v>
      </c>
      <c r="AK20" s="828">
        <f t="shared" si="17"/>
        <v>0.90501342608024737</v>
      </c>
      <c r="AL20" s="828">
        <f t="shared" si="17"/>
        <v>0</v>
      </c>
      <c r="AM20" s="828">
        <f t="shared" si="17"/>
        <v>0</v>
      </c>
      <c r="AN20" s="828">
        <f t="shared" si="17"/>
        <v>0</v>
      </c>
      <c r="AO20" s="828">
        <f t="shared" si="17"/>
        <v>0</v>
      </c>
      <c r="AP20" s="828">
        <f t="shared" si="17"/>
        <v>0</v>
      </c>
      <c r="AQ20" s="828">
        <f t="shared" si="17"/>
        <v>0</v>
      </c>
      <c r="AR20" s="828">
        <f t="shared" si="17"/>
        <v>0</v>
      </c>
      <c r="AS20" s="828">
        <f t="shared" si="17"/>
        <v>0</v>
      </c>
      <c r="AT20" s="828">
        <f t="shared" si="17"/>
        <v>0</v>
      </c>
      <c r="AU20" s="828">
        <f t="shared" si="17"/>
        <v>0</v>
      </c>
      <c r="AV20" s="828">
        <f t="shared" si="17"/>
        <v>0</v>
      </c>
      <c r="AW20" s="828">
        <f t="shared" si="17"/>
        <v>0</v>
      </c>
      <c r="AX20" s="828">
        <f t="shared" si="17"/>
        <v>0</v>
      </c>
      <c r="AY20" s="828">
        <f t="shared" si="17"/>
        <v>0</v>
      </c>
      <c r="AZ20" s="828">
        <f t="shared" si="17"/>
        <v>0</v>
      </c>
      <c r="BA20" s="828">
        <f t="shared" si="17"/>
        <v>0</v>
      </c>
      <c r="BB20" s="828">
        <f t="shared" si="17"/>
        <v>0</v>
      </c>
      <c r="BC20" s="828">
        <f t="shared" si="17"/>
        <v>0</v>
      </c>
      <c r="BD20" s="828">
        <f t="shared" si="17"/>
        <v>0</v>
      </c>
      <c r="BE20" s="828">
        <f t="shared" si="17"/>
        <v>0</v>
      </c>
      <c r="BF20" s="828">
        <f t="shared" si="17"/>
        <v>0</v>
      </c>
      <c r="BG20" s="828">
        <f t="shared" si="17"/>
        <v>0</v>
      </c>
      <c r="BH20" s="828">
        <f t="shared" si="17"/>
        <v>0</v>
      </c>
      <c r="BI20" s="828">
        <f t="shared" si="17"/>
        <v>0</v>
      </c>
      <c r="BJ20" s="828">
        <f t="shared" si="17"/>
        <v>0</v>
      </c>
      <c r="BK20" s="828">
        <f t="shared" si="17"/>
        <v>0</v>
      </c>
      <c r="BL20" s="828">
        <f t="shared" si="17"/>
        <v>0</v>
      </c>
      <c r="BM20" s="828">
        <f t="shared" si="17"/>
        <v>0</v>
      </c>
      <c r="BN20" s="828">
        <f t="shared" si="17"/>
        <v>0</v>
      </c>
    </row>
    <row r="21" spans="2:66">
      <c r="B21" s="813"/>
      <c r="C21" s="813"/>
      <c r="D21" s="813"/>
      <c r="E21" s="813"/>
      <c r="F21" s="813"/>
      <c r="G21" s="813">
        <f>SUM(G19:G20)</f>
        <v>543.013910721922</v>
      </c>
      <c r="H21" s="813">
        <f t="shared" ref="H21:BN21" si="18">SUM(H19:H20)</f>
        <v>543.013910721922</v>
      </c>
      <c r="I21" s="813">
        <f t="shared" si="18"/>
        <v>525.49733295669876</v>
      </c>
      <c r="J21" s="813">
        <f t="shared" si="18"/>
        <v>543.013910721922</v>
      </c>
      <c r="K21" s="813">
        <f t="shared" si="18"/>
        <v>525.49733295669876</v>
      </c>
      <c r="L21" s="813">
        <f t="shared" si="18"/>
        <v>543.013910721922</v>
      </c>
      <c r="M21" s="813">
        <f t="shared" si="18"/>
        <v>543.013910721922</v>
      </c>
      <c r="N21" s="813">
        <f t="shared" si="18"/>
        <v>507.98075519147545</v>
      </c>
      <c r="O21" s="813">
        <f t="shared" si="18"/>
        <v>543.013910721922</v>
      </c>
      <c r="P21" s="813">
        <f t="shared" si="18"/>
        <v>525.49733295669876</v>
      </c>
      <c r="Q21" s="813">
        <f t="shared" si="18"/>
        <v>543.013910721922</v>
      </c>
      <c r="R21" s="813">
        <f t="shared" si="18"/>
        <v>525.49733295669876</v>
      </c>
      <c r="S21" s="813">
        <f t="shared" si="18"/>
        <v>543.013910721922</v>
      </c>
      <c r="T21" s="813">
        <f t="shared" si="18"/>
        <v>543.013910721922</v>
      </c>
      <c r="U21" s="813">
        <f t="shared" si="18"/>
        <v>525.49733295669876</v>
      </c>
      <c r="V21" s="813">
        <f t="shared" si="18"/>
        <v>543.013910721922</v>
      </c>
      <c r="W21" s="813">
        <f t="shared" si="18"/>
        <v>525.49733295669876</v>
      </c>
      <c r="X21" s="813">
        <f t="shared" si="18"/>
        <v>543.013910721922</v>
      </c>
      <c r="Y21" s="813">
        <f t="shared" si="18"/>
        <v>543.013910721922</v>
      </c>
      <c r="Z21" s="813">
        <f t="shared" si="18"/>
        <v>490.46417742625215</v>
      </c>
      <c r="AA21" s="813">
        <f t="shared" si="18"/>
        <v>543.013910721922</v>
      </c>
      <c r="AB21" s="813">
        <f t="shared" si="18"/>
        <v>499.22246630886383</v>
      </c>
      <c r="AC21" s="813">
        <f t="shared" si="18"/>
        <v>461.5618241136338</v>
      </c>
      <c r="AD21" s="813">
        <f t="shared" si="18"/>
        <v>392.10185612922902</v>
      </c>
      <c r="AE21" s="813">
        <f t="shared" si="18"/>
        <v>346.69349684553487</v>
      </c>
      <c r="AF21" s="813">
        <f t="shared" si="18"/>
        <v>288.21507569086634</v>
      </c>
      <c r="AG21" s="813">
        <f t="shared" si="18"/>
        <v>222.32579471244946</v>
      </c>
      <c r="AH21" s="813">
        <f t="shared" si="18"/>
        <v>171.25823338152927</v>
      </c>
      <c r="AI21" s="813">
        <f t="shared" si="18"/>
        <v>109.14175376792977</v>
      </c>
      <c r="AJ21" s="813">
        <f t="shared" si="18"/>
        <v>62.655451237144852</v>
      </c>
      <c r="AK21" s="813">
        <f t="shared" si="18"/>
        <v>20.88515041238162</v>
      </c>
      <c r="AL21" s="813">
        <f t="shared" si="18"/>
        <v>0</v>
      </c>
      <c r="AM21" s="813">
        <f t="shared" si="18"/>
        <v>0</v>
      </c>
      <c r="AN21" s="813">
        <f t="shared" si="18"/>
        <v>0</v>
      </c>
      <c r="AO21" s="813">
        <f t="shared" si="18"/>
        <v>0</v>
      </c>
      <c r="AP21" s="813">
        <f t="shared" si="18"/>
        <v>0</v>
      </c>
      <c r="AQ21" s="813">
        <f t="shared" si="18"/>
        <v>0</v>
      </c>
      <c r="AR21" s="813">
        <f t="shared" si="18"/>
        <v>0</v>
      </c>
      <c r="AS21" s="813">
        <f t="shared" si="18"/>
        <v>0</v>
      </c>
      <c r="AT21" s="813">
        <f t="shared" si="18"/>
        <v>0</v>
      </c>
      <c r="AU21" s="813">
        <f t="shared" si="18"/>
        <v>0</v>
      </c>
      <c r="AV21" s="813">
        <f t="shared" si="18"/>
        <v>0</v>
      </c>
      <c r="AW21" s="813">
        <f t="shared" si="18"/>
        <v>0</v>
      </c>
      <c r="AX21" s="813">
        <f t="shared" si="18"/>
        <v>0</v>
      </c>
      <c r="AY21" s="813">
        <f t="shared" si="18"/>
        <v>0</v>
      </c>
      <c r="AZ21" s="813">
        <f t="shared" si="18"/>
        <v>0</v>
      </c>
      <c r="BA21" s="813">
        <f t="shared" si="18"/>
        <v>0</v>
      </c>
      <c r="BB21" s="813">
        <f t="shared" si="18"/>
        <v>0</v>
      </c>
      <c r="BC21" s="813">
        <f t="shared" si="18"/>
        <v>0</v>
      </c>
      <c r="BD21" s="813">
        <f t="shared" si="18"/>
        <v>0</v>
      </c>
      <c r="BE21" s="813">
        <f t="shared" si="18"/>
        <v>0</v>
      </c>
      <c r="BF21" s="813">
        <f t="shared" si="18"/>
        <v>0</v>
      </c>
      <c r="BG21" s="813">
        <f t="shared" si="18"/>
        <v>0</v>
      </c>
      <c r="BH21" s="813">
        <f t="shared" si="18"/>
        <v>0</v>
      </c>
      <c r="BI21" s="813">
        <f t="shared" si="18"/>
        <v>0</v>
      </c>
      <c r="BJ21" s="813">
        <f t="shared" si="18"/>
        <v>0</v>
      </c>
      <c r="BK21" s="813">
        <f t="shared" si="18"/>
        <v>0</v>
      </c>
      <c r="BL21" s="813">
        <f t="shared" si="18"/>
        <v>0</v>
      </c>
      <c r="BM21" s="813">
        <f t="shared" si="18"/>
        <v>0</v>
      </c>
      <c r="BN21" s="813">
        <f t="shared" si="18"/>
        <v>0</v>
      </c>
    </row>
    <row r="22" spans="2:66">
      <c r="B22" s="813" t="s">
        <v>1531</v>
      </c>
      <c r="C22" s="813"/>
      <c r="D22" s="813"/>
      <c r="E22" s="813"/>
      <c r="F22" s="813"/>
      <c r="G22" s="813">
        <f t="shared" ref="G22:AL22" si="19">G12+G19</f>
        <v>5380.9630136986307</v>
      </c>
      <c r="H22" s="813">
        <f t="shared" si="19"/>
        <v>5380.9630136986307</v>
      </c>
      <c r="I22" s="813">
        <f t="shared" si="19"/>
        <v>5207.3835616438364</v>
      </c>
      <c r="J22" s="813">
        <f t="shared" si="19"/>
        <v>5380.9630136986307</v>
      </c>
      <c r="K22" s="813">
        <f t="shared" si="19"/>
        <v>5207.3835616438364</v>
      </c>
      <c r="L22" s="813">
        <f t="shared" si="19"/>
        <v>5380.9630136986307</v>
      </c>
      <c r="M22" s="813">
        <f t="shared" si="19"/>
        <v>5380.9630136986307</v>
      </c>
      <c r="N22" s="813">
        <f t="shared" si="19"/>
        <v>5033.8041095890403</v>
      </c>
      <c r="O22" s="813">
        <f t="shared" si="19"/>
        <v>5380.9630136986307</v>
      </c>
      <c r="P22" s="813">
        <f t="shared" si="19"/>
        <v>5207.3835616438364</v>
      </c>
      <c r="Q22" s="813">
        <f t="shared" si="19"/>
        <v>5380.9630136986307</v>
      </c>
      <c r="R22" s="813">
        <f t="shared" si="19"/>
        <v>5207.3835616438364</v>
      </c>
      <c r="S22" s="813">
        <f t="shared" si="19"/>
        <v>5380.9630136986307</v>
      </c>
      <c r="T22" s="813">
        <f t="shared" si="19"/>
        <v>5380.9630136986307</v>
      </c>
      <c r="U22" s="813">
        <f t="shared" si="19"/>
        <v>5207.3835616438364</v>
      </c>
      <c r="V22" s="813">
        <f t="shared" si="19"/>
        <v>5380.9630136986307</v>
      </c>
      <c r="W22" s="813">
        <f t="shared" si="19"/>
        <v>5207.3835616438364</v>
      </c>
      <c r="X22" s="813">
        <f t="shared" si="19"/>
        <v>5380.9630136986307</v>
      </c>
      <c r="Y22" s="813">
        <f t="shared" si="19"/>
        <v>5380.9630136986307</v>
      </c>
      <c r="Z22" s="813">
        <f t="shared" si="19"/>
        <v>4860.224657534246</v>
      </c>
      <c r="AA22" s="813">
        <f t="shared" si="19"/>
        <v>5380.9630136986307</v>
      </c>
      <c r="AB22" s="813">
        <f t="shared" si="19"/>
        <v>5182.2472602739726</v>
      </c>
      <c r="AC22" s="813">
        <f t="shared" si="19"/>
        <v>5303.0404794520555</v>
      </c>
      <c r="AD22" s="813">
        <f t="shared" si="19"/>
        <v>4818.3986301369869</v>
      </c>
      <c r="AE22" s="813">
        <f t="shared" si="19"/>
        <v>4652.9853424657531</v>
      </c>
      <c r="AF22" s="813">
        <f t="shared" si="19"/>
        <v>4597.0409589041092</v>
      </c>
      <c r="AG22" s="813">
        <f t="shared" si="19"/>
        <v>4394.6095890410961</v>
      </c>
      <c r="AH22" s="813">
        <f t="shared" si="19"/>
        <v>4485.1521917808222</v>
      </c>
      <c r="AI22" s="813">
        <f t="shared" si="19"/>
        <v>4286.330136986302</v>
      </c>
      <c r="AJ22" s="813">
        <f t="shared" si="19"/>
        <v>4381.2554794520547</v>
      </c>
      <c r="AK22" s="813">
        <f t="shared" si="19"/>
        <v>4341.2952054794523</v>
      </c>
      <c r="AL22" s="813">
        <f t="shared" si="19"/>
        <v>3903.1232876712329</v>
      </c>
      <c r="AM22" s="813">
        <f t="shared" ref="AM22:BN22" si="20">AM12+AM19</f>
        <v>4321.3150684931506</v>
      </c>
      <c r="AN22" s="813">
        <f t="shared" si="20"/>
        <v>4181.9178082191784</v>
      </c>
      <c r="AO22" s="813">
        <f t="shared" si="20"/>
        <v>4321.3150684931506</v>
      </c>
      <c r="AP22" s="813">
        <f t="shared" si="20"/>
        <v>3920.5479452054797</v>
      </c>
      <c r="AQ22" s="813">
        <f t="shared" si="20"/>
        <v>3781.1506849315069</v>
      </c>
      <c r="AR22" s="813">
        <f t="shared" si="20"/>
        <v>3781.1506849315069</v>
      </c>
      <c r="AS22" s="813">
        <f t="shared" si="20"/>
        <v>3659.178082191781</v>
      </c>
      <c r="AT22" s="813">
        <f t="shared" si="20"/>
        <v>3781.1506849315069</v>
      </c>
      <c r="AU22" s="813">
        <f t="shared" si="20"/>
        <v>3659.178082191781</v>
      </c>
      <c r="AV22" s="813">
        <f t="shared" si="20"/>
        <v>3781.1506849315069</v>
      </c>
      <c r="AW22" s="813">
        <f t="shared" si="20"/>
        <v>3781.1506849315069</v>
      </c>
      <c r="AX22" s="813">
        <f t="shared" si="20"/>
        <v>3415.2328767123286</v>
      </c>
      <c r="AY22" s="813">
        <f t="shared" si="20"/>
        <v>3781.1506849315069</v>
      </c>
      <c r="AZ22" s="813">
        <f t="shared" si="20"/>
        <v>3659.178082191781</v>
      </c>
      <c r="BA22" s="813">
        <f t="shared" si="20"/>
        <v>3781.1506849315069</v>
      </c>
      <c r="BB22" s="813">
        <f t="shared" si="20"/>
        <v>3267.1232876712329</v>
      </c>
      <c r="BC22" s="813">
        <f t="shared" si="20"/>
        <v>2970.9041095890411</v>
      </c>
      <c r="BD22" s="813">
        <f t="shared" si="20"/>
        <v>2970.9041095890411</v>
      </c>
      <c r="BE22" s="813">
        <f t="shared" si="20"/>
        <v>2875.0684931506848</v>
      </c>
      <c r="BF22" s="813">
        <f t="shared" si="20"/>
        <v>2970.9041095890411</v>
      </c>
      <c r="BG22" s="813">
        <f t="shared" si="20"/>
        <v>2875.0684931506848</v>
      </c>
      <c r="BH22" s="813">
        <f t="shared" si="20"/>
        <v>2970.9041095890411</v>
      </c>
      <c r="BI22" s="813">
        <f t="shared" si="20"/>
        <v>2970.9041095890411</v>
      </c>
      <c r="BJ22" s="813">
        <f t="shared" si="20"/>
        <v>2779.2328767123286</v>
      </c>
      <c r="BK22" s="813">
        <f t="shared" si="20"/>
        <v>2970.9041095890411</v>
      </c>
      <c r="BL22" s="813">
        <f t="shared" si="20"/>
        <v>2875.0684931506848</v>
      </c>
      <c r="BM22" s="813">
        <f t="shared" si="20"/>
        <v>2970.9041095890411</v>
      </c>
      <c r="BN22" s="813">
        <f t="shared" si="20"/>
        <v>1437.5342465753424</v>
      </c>
    </row>
    <row r="25" spans="2:66">
      <c r="B25" s="639" t="s">
        <v>1454</v>
      </c>
      <c r="E25" s="639">
        <f>F8</f>
        <v>900000</v>
      </c>
    </row>
    <row r="26" spans="2:66">
      <c r="B26" s="639" t="s">
        <v>1694</v>
      </c>
      <c r="E26" s="639">
        <f>E25-추정FS!K161</f>
        <v>16184.111999999965</v>
      </c>
    </row>
    <row r="28" spans="2:66">
      <c r="B28" s="639" t="s">
        <v>1580</v>
      </c>
      <c r="E28" s="639">
        <f>F15</f>
        <v>130000</v>
      </c>
    </row>
    <row r="29" spans="2:66">
      <c r="E29" s="639">
        <f>E28-추정FS!K164</f>
        <v>597.32929700000386</v>
      </c>
    </row>
    <row r="31" spans="2:66">
      <c r="E31" s="826" t="s">
        <v>1603</v>
      </c>
    </row>
    <row r="32" spans="2:66">
      <c r="B32" s="637" t="s">
        <v>1579</v>
      </c>
      <c r="C32" s="637"/>
      <c r="D32" s="813"/>
      <c r="E32" s="1229">
        <v>2011</v>
      </c>
      <c r="F32" s="1229">
        <v>2012</v>
      </c>
      <c r="G32" s="1229">
        <v>2013</v>
      </c>
      <c r="H32" s="1229">
        <v>2014</v>
      </c>
      <c r="I32" s="1229">
        <v>2015</v>
      </c>
      <c r="J32" s="1229">
        <v>2016</v>
      </c>
    </row>
    <row r="33" spans="2:10">
      <c r="B33" s="639" t="s">
        <v>1693</v>
      </c>
      <c r="D33" s="639" t="s">
        <v>1454</v>
      </c>
      <c r="E33" s="639">
        <f t="shared" ref="E33:J33" si="21">SUMIF($F$4:$BN$4,E$32,$F$9:$BN$9)</f>
        <v>0</v>
      </c>
      <c r="F33" s="639">
        <f t="shared" si="21"/>
        <v>0</v>
      </c>
      <c r="G33" s="639">
        <f t="shared" si="21"/>
        <v>100000</v>
      </c>
      <c r="H33" s="639">
        <f t="shared" si="21"/>
        <v>100000</v>
      </c>
      <c r="I33" s="639">
        <f t="shared" si="21"/>
        <v>150000</v>
      </c>
      <c r="J33" s="639">
        <f t="shared" si="21"/>
        <v>550000</v>
      </c>
    </row>
    <row r="34" spans="2:10">
      <c r="D34" s="813" t="s">
        <v>1580</v>
      </c>
      <c r="E34" s="813">
        <f t="shared" ref="E34:J34" si="22">SUMIF($F$4:$BN$4,E$32,$F$16:$BN$16)</f>
        <v>0</v>
      </c>
      <c r="F34" s="813">
        <f t="shared" si="22"/>
        <v>0</v>
      </c>
      <c r="G34" s="813">
        <f t="shared" si="22"/>
        <v>120000</v>
      </c>
      <c r="H34" s="813">
        <f t="shared" si="22"/>
        <v>10000</v>
      </c>
      <c r="I34" s="813">
        <f t="shared" si="22"/>
        <v>0</v>
      </c>
      <c r="J34" s="813">
        <f t="shared" si="22"/>
        <v>0</v>
      </c>
    </row>
    <row r="35" spans="2:10">
      <c r="B35" s="813"/>
      <c r="C35" s="813"/>
      <c r="D35" s="637" t="s">
        <v>1581</v>
      </c>
      <c r="E35" s="637">
        <f>SUM(E33:E34)</f>
        <v>0</v>
      </c>
      <c r="F35" s="637">
        <f t="shared" ref="F35:J35" si="23">SUM(F33:F34)</f>
        <v>0</v>
      </c>
      <c r="G35" s="637">
        <f t="shared" si="23"/>
        <v>220000</v>
      </c>
      <c r="H35" s="637">
        <f t="shared" si="23"/>
        <v>110000</v>
      </c>
      <c r="I35" s="637">
        <f t="shared" si="23"/>
        <v>150000</v>
      </c>
      <c r="J35" s="637">
        <f t="shared" si="23"/>
        <v>550000</v>
      </c>
    </row>
    <row r="36" spans="2:10">
      <c r="B36" s="639" t="s">
        <v>1531</v>
      </c>
      <c r="C36" s="828" t="s">
        <v>1692</v>
      </c>
      <c r="D36" s="361" t="s">
        <v>1437</v>
      </c>
      <c r="E36" s="639">
        <f t="shared" ref="E36:J36" si="24">SUMIF($F$4:$BN$4,E$32,$F$13:$BN$13)</f>
        <v>1923.6928992248011</v>
      </c>
      <c r="F36" s="639">
        <f t="shared" si="24"/>
        <v>3826.4760930232455</v>
      </c>
      <c r="G36" s="639">
        <f t="shared" si="24"/>
        <v>3584.8528303186813</v>
      </c>
      <c r="H36" s="639">
        <f t="shared" si="24"/>
        <v>3160.8504702842288</v>
      </c>
      <c r="I36" s="639">
        <f t="shared" si="24"/>
        <v>2621.2639052540835</v>
      </c>
      <c r="J36" s="639">
        <f t="shared" si="24"/>
        <v>1066.9758018949153</v>
      </c>
    </row>
    <row r="37" spans="2:10">
      <c r="C37" s="828"/>
      <c r="D37" s="637" t="s">
        <v>1576</v>
      </c>
      <c r="E37" s="813">
        <f t="shared" ref="E37:J37" si="25">SUMIF($F$4:$BN$4,E$32,$F$20:$BN$20)</f>
        <v>139.66400743122267</v>
      </c>
      <c r="F37" s="813">
        <f t="shared" si="25"/>
        <v>277.80992782514943</v>
      </c>
      <c r="G37" s="813">
        <f t="shared" si="25"/>
        <v>178.95034831755135</v>
      </c>
      <c r="H37" s="813">
        <f t="shared" si="25"/>
        <v>0.90501342608024737</v>
      </c>
      <c r="I37" s="813">
        <f t="shared" si="25"/>
        <v>0</v>
      </c>
      <c r="J37" s="813">
        <f t="shared" si="25"/>
        <v>0</v>
      </c>
    </row>
    <row r="38" spans="2:10">
      <c r="C38" s="813"/>
      <c r="D38" s="637" t="s">
        <v>1696</v>
      </c>
      <c r="E38" s="637">
        <f>SUM(E36:E37)</f>
        <v>2063.356906656024</v>
      </c>
      <c r="F38" s="637">
        <f t="shared" ref="F38:J38" si="26">SUM(F36:F37)</f>
        <v>4104.2860208483953</v>
      </c>
      <c r="G38" s="637">
        <f t="shared" si="26"/>
        <v>3763.8031786362326</v>
      </c>
      <c r="H38" s="637">
        <f t="shared" si="26"/>
        <v>3161.7554837103089</v>
      </c>
      <c r="I38" s="637">
        <f t="shared" si="26"/>
        <v>2621.2639052540835</v>
      </c>
      <c r="J38" s="637">
        <f t="shared" si="26"/>
        <v>1066.9758018949153</v>
      </c>
    </row>
    <row r="39" spans="2:10">
      <c r="C39" s="639" t="s">
        <v>1531</v>
      </c>
      <c r="D39" s="639" t="s">
        <v>1536</v>
      </c>
      <c r="E39" s="639">
        <f t="shared" ref="E39:J39" si="27">SUMIF($F$4:$BN$4,E$32,$F$12:$BN$12)</f>
        <v>28855.232876712333</v>
      </c>
      <c r="F39" s="639">
        <f t="shared" si="27"/>
        <v>57396.821917808214</v>
      </c>
      <c r="G39" s="639">
        <f t="shared" si="27"/>
        <v>53772.493150684939</v>
      </c>
      <c r="H39" s="639">
        <f t="shared" si="27"/>
        <v>47412.493150684924</v>
      </c>
      <c r="I39" s="639">
        <f t="shared" si="27"/>
        <v>39318.739726027401</v>
      </c>
      <c r="J39" s="639">
        <f t="shared" si="27"/>
        <v>16004.547945205477</v>
      </c>
    </row>
    <row r="40" spans="2:10">
      <c r="D40" s="813" t="s">
        <v>1537</v>
      </c>
      <c r="E40" s="813">
        <f t="shared" ref="E40:J40" si="28">SUMIF($F$4:$BN$4,E$32,$F$19:$BN$19)</f>
        <v>3083.3863013698628</v>
      </c>
      <c r="F40" s="813">
        <f t="shared" si="28"/>
        <v>6133.2575342465761</v>
      </c>
      <c r="G40" s="813">
        <f t="shared" si="28"/>
        <v>3950.7176027397263</v>
      </c>
      <c r="H40" s="813">
        <f t="shared" si="28"/>
        <v>19.980136986301371</v>
      </c>
      <c r="I40" s="813">
        <f t="shared" si="28"/>
        <v>0</v>
      </c>
      <c r="J40" s="813">
        <f t="shared" si="28"/>
        <v>0</v>
      </c>
    </row>
    <row r="41" spans="2:10">
      <c r="B41" s="828"/>
      <c r="C41" s="813"/>
      <c r="D41" s="637" t="s">
        <v>1581</v>
      </c>
      <c r="E41" s="637">
        <f>SUM(E39:E40)</f>
        <v>31938.619178082197</v>
      </c>
      <c r="F41" s="637">
        <f t="shared" ref="F41:J41" si="29">SUM(F39:F40)</f>
        <v>63530.079452054793</v>
      </c>
      <c r="G41" s="637">
        <f t="shared" si="29"/>
        <v>57723.210753424668</v>
      </c>
      <c r="H41" s="637">
        <f t="shared" si="29"/>
        <v>47432.473287671222</v>
      </c>
      <c r="I41" s="637">
        <f t="shared" si="29"/>
        <v>39318.739726027401</v>
      </c>
      <c r="J41" s="637">
        <f t="shared" si="29"/>
        <v>16004.547945205477</v>
      </c>
    </row>
    <row r="42" spans="2:10">
      <c r="B42" s="813"/>
      <c r="C42" s="637" t="s">
        <v>1581</v>
      </c>
      <c r="D42" s="637"/>
      <c r="E42" s="637">
        <f>E38+E41</f>
        <v>34001.97608473822</v>
      </c>
      <c r="F42" s="637">
        <f t="shared" ref="F42:J42" si="30">F38+F41</f>
        <v>67634.365472903184</v>
      </c>
      <c r="G42" s="637">
        <f t="shared" si="30"/>
        <v>61487.013932060901</v>
      </c>
      <c r="H42" s="637">
        <f t="shared" si="30"/>
        <v>50594.228771381531</v>
      </c>
      <c r="I42" s="637">
        <f t="shared" si="30"/>
        <v>41940.003631281485</v>
      </c>
      <c r="J42" s="637">
        <f t="shared" si="30"/>
        <v>17071.523747100393</v>
      </c>
    </row>
    <row r="43" spans="2:10">
      <c r="B43" s="639" t="s">
        <v>1425</v>
      </c>
      <c r="C43" s="639" t="s">
        <v>1454</v>
      </c>
      <c r="D43" s="639">
        <f>E25-E26</f>
        <v>883815.88800000004</v>
      </c>
      <c r="E43" s="639">
        <f>D43+E36-E33</f>
        <v>885739.58089922485</v>
      </c>
      <c r="F43" s="639">
        <f t="shared" ref="F43:J43" si="31">E43+F36-F33</f>
        <v>889566.05699224805</v>
      </c>
      <c r="G43" s="639">
        <f t="shared" si="31"/>
        <v>793150.90982256678</v>
      </c>
      <c r="H43" s="639">
        <f t="shared" si="31"/>
        <v>696311.76029285102</v>
      </c>
      <c r="I43" s="639">
        <f t="shared" si="31"/>
        <v>548933.02419810509</v>
      </c>
      <c r="J43" s="639">
        <f t="shared" si="31"/>
        <v>0</v>
      </c>
    </row>
    <row r="44" spans="2:10">
      <c r="B44" s="813"/>
      <c r="C44" s="813" t="s">
        <v>1580</v>
      </c>
      <c r="D44" s="813">
        <f>E28-E29</f>
        <v>129402.670703</v>
      </c>
      <c r="E44" s="813">
        <f>D44+E37-E34</f>
        <v>129542.33471043121</v>
      </c>
      <c r="F44" s="813">
        <f t="shared" ref="F44:J44" si="32">E44+F37-F34</f>
        <v>129820.14463825636</v>
      </c>
      <c r="G44" s="813">
        <f t="shared" si="32"/>
        <v>9999.0949865739094</v>
      </c>
      <c r="H44" s="813">
        <f t="shared" si="32"/>
        <v>0</v>
      </c>
      <c r="I44" s="813">
        <f t="shared" si="32"/>
        <v>0</v>
      </c>
      <c r="J44" s="813">
        <f t="shared" si="32"/>
        <v>0</v>
      </c>
    </row>
    <row r="53" spans="2:6">
      <c r="B53" s="813" t="s">
        <v>1578</v>
      </c>
      <c r="C53" s="813"/>
      <c r="D53" s="813" t="s">
        <v>1454</v>
      </c>
      <c r="E53" s="813" t="s">
        <v>1456</v>
      </c>
      <c r="F53" s="813" t="s">
        <v>22</v>
      </c>
    </row>
    <row r="54" spans="2:6">
      <c r="B54" s="639" t="s">
        <v>1539</v>
      </c>
      <c r="D54" s="639">
        <f t="shared" ref="D54:D66" si="33">SUMIF($F$5:$BN$5,B54,$F$9:$BN$9)</f>
        <v>100000</v>
      </c>
      <c r="E54" s="639">
        <f t="shared" ref="E54:E66" si="34">SUMIF($F$5:$BN$5,B54,$F$16:$BN$16)</f>
        <v>40000</v>
      </c>
      <c r="F54" s="639">
        <f t="shared" ref="F54:F66" si="35">SUM(D54:E54)</f>
        <v>140000</v>
      </c>
    </row>
    <row r="55" spans="2:6">
      <c r="B55" s="639" t="s">
        <v>1540</v>
      </c>
      <c r="D55" s="639">
        <f t="shared" si="33"/>
        <v>0</v>
      </c>
      <c r="E55" s="639">
        <f t="shared" si="34"/>
        <v>42000</v>
      </c>
      <c r="F55" s="639">
        <f t="shared" si="35"/>
        <v>42000</v>
      </c>
    </row>
    <row r="56" spans="2:6">
      <c r="B56" s="639" t="s">
        <v>1541</v>
      </c>
      <c r="D56" s="639">
        <f t="shared" si="33"/>
        <v>0</v>
      </c>
      <c r="E56" s="639">
        <f t="shared" si="34"/>
        <v>38000</v>
      </c>
      <c r="F56" s="639">
        <f t="shared" si="35"/>
        <v>38000</v>
      </c>
    </row>
    <row r="57" spans="2:6">
      <c r="B57" s="639" t="s">
        <v>1542</v>
      </c>
      <c r="D57" s="639">
        <f t="shared" si="33"/>
        <v>0</v>
      </c>
      <c r="E57" s="639">
        <f t="shared" si="34"/>
        <v>10000</v>
      </c>
      <c r="F57" s="639">
        <f t="shared" si="35"/>
        <v>10000</v>
      </c>
    </row>
    <row r="58" spans="2:6">
      <c r="B58" s="639" t="s">
        <v>1543</v>
      </c>
      <c r="D58" s="639">
        <f t="shared" si="33"/>
        <v>100000</v>
      </c>
      <c r="E58" s="639">
        <f t="shared" si="34"/>
        <v>0</v>
      </c>
      <c r="F58" s="639">
        <f t="shared" si="35"/>
        <v>100000</v>
      </c>
    </row>
    <row r="59" spans="2:6">
      <c r="B59" s="639" t="s">
        <v>1544</v>
      </c>
      <c r="D59" s="639">
        <f t="shared" si="33"/>
        <v>0</v>
      </c>
      <c r="E59" s="639">
        <f t="shared" si="34"/>
        <v>0</v>
      </c>
      <c r="F59" s="639">
        <f t="shared" si="35"/>
        <v>0</v>
      </c>
    </row>
    <row r="60" spans="2:6">
      <c r="B60" s="639" t="s">
        <v>1545</v>
      </c>
      <c r="D60" s="639">
        <f t="shared" si="33"/>
        <v>0</v>
      </c>
      <c r="E60" s="639">
        <f t="shared" si="34"/>
        <v>0</v>
      </c>
      <c r="F60" s="639">
        <f t="shared" si="35"/>
        <v>0</v>
      </c>
    </row>
    <row r="61" spans="2:6">
      <c r="B61" s="639" t="s">
        <v>1546</v>
      </c>
      <c r="D61" s="639">
        <f t="shared" si="33"/>
        <v>0</v>
      </c>
      <c r="E61" s="639">
        <f t="shared" si="34"/>
        <v>0</v>
      </c>
      <c r="F61" s="639">
        <f t="shared" si="35"/>
        <v>0</v>
      </c>
    </row>
    <row r="62" spans="2:6">
      <c r="B62" s="639" t="s">
        <v>1547</v>
      </c>
      <c r="D62" s="639">
        <f t="shared" si="33"/>
        <v>150000</v>
      </c>
      <c r="E62" s="639">
        <f t="shared" si="34"/>
        <v>0</v>
      </c>
      <c r="F62" s="639">
        <f t="shared" si="35"/>
        <v>150000</v>
      </c>
    </row>
    <row r="63" spans="2:6">
      <c r="B63" s="639" t="s">
        <v>1548</v>
      </c>
      <c r="D63" s="639">
        <f t="shared" si="33"/>
        <v>0</v>
      </c>
      <c r="E63" s="639">
        <f t="shared" si="34"/>
        <v>0</v>
      </c>
      <c r="F63" s="639">
        <f t="shared" si="35"/>
        <v>0</v>
      </c>
    </row>
    <row r="64" spans="2:6">
      <c r="B64" s="639" t="s">
        <v>1549</v>
      </c>
      <c r="D64" s="639">
        <f t="shared" si="33"/>
        <v>0</v>
      </c>
      <c r="E64" s="639">
        <f t="shared" si="34"/>
        <v>0</v>
      </c>
      <c r="F64" s="639">
        <f t="shared" si="35"/>
        <v>0</v>
      </c>
    </row>
    <row r="65" spans="2:8">
      <c r="B65" s="639" t="s">
        <v>1550</v>
      </c>
      <c r="D65" s="639">
        <f t="shared" si="33"/>
        <v>0</v>
      </c>
      <c r="E65" s="639">
        <f t="shared" si="34"/>
        <v>0</v>
      </c>
      <c r="F65" s="639">
        <f t="shared" si="35"/>
        <v>0</v>
      </c>
    </row>
    <row r="66" spans="2:8">
      <c r="B66" s="639" t="s">
        <v>1551</v>
      </c>
      <c r="D66" s="639">
        <f t="shared" si="33"/>
        <v>550000</v>
      </c>
      <c r="E66" s="639">
        <f t="shared" si="34"/>
        <v>0</v>
      </c>
      <c r="F66" s="639">
        <f t="shared" si="35"/>
        <v>550000</v>
      </c>
    </row>
    <row r="67" spans="2:8" ht="15" thickBot="1">
      <c r="B67" s="814"/>
      <c r="C67" s="814"/>
      <c r="D67" s="814">
        <f>SUM(D54:D66)</f>
        <v>900000</v>
      </c>
      <c r="E67" s="814">
        <f>SUM(E54:E66)</f>
        <v>130000</v>
      </c>
      <c r="F67" s="814">
        <f>SUM(F54:F66)</f>
        <v>1030000</v>
      </c>
    </row>
    <row r="75" spans="2:8" ht="15" thickBot="1">
      <c r="B75" s="632" t="s">
        <v>1333</v>
      </c>
      <c r="C75" s="632" t="s">
        <v>1433</v>
      </c>
      <c r="D75" s="632" t="s">
        <v>1431</v>
      </c>
      <c r="E75" s="632" t="s">
        <v>1447</v>
      </c>
      <c r="F75" s="632" t="s">
        <v>1448</v>
      </c>
      <c r="G75" s="632" t="s">
        <v>1449</v>
      </c>
      <c r="H75" s="632" t="s">
        <v>1450</v>
      </c>
    </row>
    <row r="76" spans="2:8">
      <c r="B76" s="633" t="s">
        <v>1437</v>
      </c>
      <c r="C76" s="633" t="s">
        <v>1438</v>
      </c>
      <c r="D76" s="640">
        <v>50000</v>
      </c>
      <c r="E76" s="641">
        <v>6.3600000000000004E-2</v>
      </c>
      <c r="F76" s="642">
        <v>40723</v>
      </c>
      <c r="G76" s="643">
        <v>42550</v>
      </c>
      <c r="H76" s="643">
        <f>EOMONTH(G76,0)</f>
        <v>42551</v>
      </c>
    </row>
    <row r="77" spans="2:8">
      <c r="B77" s="633" t="s">
        <v>1437</v>
      </c>
      <c r="C77" s="633" t="s">
        <v>1451</v>
      </c>
      <c r="D77" s="640">
        <v>100000</v>
      </c>
      <c r="E77" s="641">
        <v>6.3600000000000004E-2</v>
      </c>
      <c r="F77" s="642">
        <v>40723</v>
      </c>
      <c r="G77" s="643">
        <v>41454</v>
      </c>
      <c r="H77" s="643">
        <f>EOMONTH(G77,0)</f>
        <v>41455</v>
      </c>
    </row>
    <row r="78" spans="2:8">
      <c r="B78" s="633" t="s">
        <v>1437</v>
      </c>
      <c r="C78" s="633" t="s">
        <v>1451</v>
      </c>
      <c r="D78" s="640">
        <v>100000</v>
      </c>
      <c r="E78" s="641">
        <v>6.3600000000000004E-2</v>
      </c>
      <c r="F78" s="642">
        <v>40723</v>
      </c>
      <c r="G78" s="643">
        <v>41819</v>
      </c>
      <c r="H78" s="643">
        <f>EOMONTH(G78,0)</f>
        <v>41820</v>
      </c>
    </row>
    <row r="79" spans="2:8">
      <c r="B79" s="633" t="s">
        <v>1437</v>
      </c>
      <c r="C79" s="633" t="s">
        <v>1451</v>
      </c>
      <c r="D79" s="640">
        <v>150000</v>
      </c>
      <c r="E79" s="641">
        <v>6.3600000000000004E-2</v>
      </c>
      <c r="F79" s="642">
        <v>40723</v>
      </c>
      <c r="G79" s="643">
        <v>42184</v>
      </c>
      <c r="H79" s="643">
        <f>EOMONTH(G79,0)</f>
        <v>42185</v>
      </c>
    </row>
    <row r="80" spans="2:8">
      <c r="B80" s="633" t="s">
        <v>1437</v>
      </c>
      <c r="C80" s="633" t="s">
        <v>1451</v>
      </c>
      <c r="D80" s="640">
        <v>500000</v>
      </c>
      <c r="E80" s="641">
        <v>6.3600000000000004E-2</v>
      </c>
      <c r="F80" s="642">
        <v>40723</v>
      </c>
      <c r="G80" s="643">
        <v>42550</v>
      </c>
      <c r="H80" s="643">
        <f>EOMONTH(G80,0)</f>
        <v>42551</v>
      </c>
    </row>
    <row r="81" spans="2:9">
      <c r="B81" s="816" t="s">
        <v>1582</v>
      </c>
      <c r="C81" s="816"/>
      <c r="D81" s="817">
        <f>SUM(D76:D80)</f>
        <v>900000</v>
      </c>
      <c r="E81" s="818">
        <f>SUMPRODUCT(D76:D80,E76:E80)/D81</f>
        <v>6.3600000000000004E-2</v>
      </c>
      <c r="F81" s="819"/>
      <c r="G81" s="820"/>
      <c r="H81" s="820"/>
    </row>
    <row r="82" spans="2:9">
      <c r="B82" s="633" t="s">
        <v>1452</v>
      </c>
      <c r="C82" s="633" t="s">
        <v>1453</v>
      </c>
      <c r="D82" s="640">
        <v>13000</v>
      </c>
      <c r="E82" s="641">
        <v>4.5999999999999999E-2</v>
      </c>
      <c r="F82" s="642">
        <v>40574</v>
      </c>
      <c r="G82" s="643">
        <v>41394</v>
      </c>
      <c r="H82" s="643">
        <f t="shared" ref="H82:H91" si="36">EOMONTH(G82,0)</f>
        <v>41394</v>
      </c>
      <c r="I82" s="232"/>
    </row>
    <row r="83" spans="2:9">
      <c r="B83" s="633" t="s">
        <v>1452</v>
      </c>
      <c r="C83" s="633" t="s">
        <v>1453</v>
      </c>
      <c r="D83" s="640">
        <v>13000</v>
      </c>
      <c r="E83" s="641">
        <v>4.6300000000000001E-2</v>
      </c>
      <c r="F83" s="642">
        <v>40574</v>
      </c>
      <c r="G83" s="643">
        <v>41425</v>
      </c>
      <c r="H83" s="643">
        <f t="shared" si="36"/>
        <v>41425</v>
      </c>
    </row>
    <row r="84" spans="2:9">
      <c r="B84" s="633" t="s">
        <v>1452</v>
      </c>
      <c r="C84" s="633" t="s">
        <v>1453</v>
      </c>
      <c r="D84" s="640">
        <v>14000</v>
      </c>
      <c r="E84" s="641">
        <v>4.6699999999999998E-2</v>
      </c>
      <c r="F84" s="642">
        <v>40574</v>
      </c>
      <c r="G84" s="643">
        <v>41455</v>
      </c>
      <c r="H84" s="643">
        <f t="shared" si="36"/>
        <v>41455</v>
      </c>
    </row>
    <row r="85" spans="2:9">
      <c r="B85" s="633" t="s">
        <v>1452</v>
      </c>
      <c r="C85" s="633" t="s">
        <v>1453</v>
      </c>
      <c r="D85" s="640">
        <v>14000</v>
      </c>
      <c r="E85" s="641">
        <v>4.7E-2</v>
      </c>
      <c r="F85" s="642">
        <v>40574</v>
      </c>
      <c r="G85" s="643">
        <v>41486</v>
      </c>
      <c r="H85" s="643">
        <f t="shared" si="36"/>
        <v>41486</v>
      </c>
    </row>
    <row r="86" spans="2:9">
      <c r="B86" s="633" t="s">
        <v>1452</v>
      </c>
      <c r="C86" s="633" t="s">
        <v>1453</v>
      </c>
      <c r="D86" s="640">
        <v>14000</v>
      </c>
      <c r="E86" s="641">
        <v>4.7100000000000003E-2</v>
      </c>
      <c r="F86" s="642">
        <v>40574</v>
      </c>
      <c r="G86" s="643">
        <v>41517</v>
      </c>
      <c r="H86" s="643">
        <f t="shared" si="36"/>
        <v>41517</v>
      </c>
    </row>
    <row r="87" spans="2:9">
      <c r="B87" s="633" t="s">
        <v>1452</v>
      </c>
      <c r="C87" s="633" t="s">
        <v>1453</v>
      </c>
      <c r="D87" s="640">
        <v>14000</v>
      </c>
      <c r="E87" s="641">
        <v>4.7199999999999999E-2</v>
      </c>
      <c r="F87" s="642">
        <v>40574</v>
      </c>
      <c r="G87" s="643">
        <v>41547</v>
      </c>
      <c r="H87" s="643">
        <f t="shared" si="36"/>
        <v>41547</v>
      </c>
    </row>
    <row r="88" spans="2:9">
      <c r="B88" s="633" t="s">
        <v>1452</v>
      </c>
      <c r="C88" s="633" t="s">
        <v>1453</v>
      </c>
      <c r="D88" s="640">
        <v>14000</v>
      </c>
      <c r="E88" s="641">
        <v>4.7399999999999998E-2</v>
      </c>
      <c r="F88" s="642">
        <v>40574</v>
      </c>
      <c r="G88" s="643">
        <v>41578</v>
      </c>
      <c r="H88" s="643">
        <f t="shared" si="36"/>
        <v>41578</v>
      </c>
    </row>
    <row r="89" spans="2:9">
      <c r="B89" s="633" t="s">
        <v>1452</v>
      </c>
      <c r="C89" s="633" t="s">
        <v>1453</v>
      </c>
      <c r="D89" s="640">
        <v>14000</v>
      </c>
      <c r="E89" s="641">
        <v>4.7500000000000001E-2</v>
      </c>
      <c r="F89" s="642">
        <v>40574</v>
      </c>
      <c r="G89" s="643">
        <v>41608</v>
      </c>
      <c r="H89" s="643">
        <f t="shared" si="36"/>
        <v>41608</v>
      </c>
    </row>
    <row r="90" spans="2:9">
      <c r="B90" s="633" t="s">
        <v>1452</v>
      </c>
      <c r="C90" s="633" t="s">
        <v>1453</v>
      </c>
      <c r="D90" s="640">
        <v>10000</v>
      </c>
      <c r="E90" s="641">
        <v>4.7800000000000002E-2</v>
      </c>
      <c r="F90" s="642">
        <v>40574</v>
      </c>
      <c r="G90" s="643">
        <v>41639</v>
      </c>
      <c r="H90" s="643">
        <f t="shared" si="36"/>
        <v>41639</v>
      </c>
    </row>
    <row r="91" spans="2:9">
      <c r="B91" s="633" t="s">
        <v>1452</v>
      </c>
      <c r="C91" s="633" t="s">
        <v>1453</v>
      </c>
      <c r="D91" s="640">
        <v>10000</v>
      </c>
      <c r="E91" s="641">
        <v>4.7800000000000002E-2</v>
      </c>
      <c r="F91" s="642">
        <v>40574</v>
      </c>
      <c r="G91" s="643">
        <v>41670</v>
      </c>
      <c r="H91" s="643">
        <f t="shared" si="36"/>
        <v>41670</v>
      </c>
    </row>
    <row r="92" spans="2:9">
      <c r="B92" s="816" t="s">
        <v>1582</v>
      </c>
      <c r="C92" s="816"/>
      <c r="D92" s="817">
        <f>SUM(D82:D91)</f>
        <v>130000</v>
      </c>
      <c r="E92" s="821">
        <f>SUMPRODUCT(D82:D91,E82:E91)/D92</f>
        <v>4.7050000000000002E-2</v>
      </c>
      <c r="F92" s="819"/>
      <c r="G92" s="820"/>
      <c r="H92" s="820"/>
    </row>
    <row r="93" spans="2:9" ht="15" thickBot="1">
      <c r="B93" s="644" t="s">
        <v>869</v>
      </c>
      <c r="C93" s="644"/>
      <c r="D93" s="544">
        <f>D81+D92</f>
        <v>1030000</v>
      </c>
      <c r="E93" s="634">
        <v>6.1511165048543689E-2</v>
      </c>
      <c r="F93" s="644"/>
      <c r="G93" s="644"/>
      <c r="H93" s="645"/>
    </row>
    <row r="94" spans="2:9">
      <c r="I94" s="636"/>
    </row>
    <row r="95" spans="2:9">
      <c r="I95" s="636"/>
    </row>
    <row r="96" spans="2:9">
      <c r="I96" s="636"/>
    </row>
    <row r="97" spans="2:9">
      <c r="I97" s="636"/>
    </row>
    <row r="100" spans="2:9" ht="15" thickBot="1">
      <c r="B100" s="1344" t="s">
        <v>1428</v>
      </c>
      <c r="C100" s="646" t="s">
        <v>1429</v>
      </c>
      <c r="D100" s="1346" t="s">
        <v>1430</v>
      </c>
      <c r="E100" s="1346"/>
      <c r="F100" s="1346"/>
      <c r="G100" s="1346"/>
    </row>
    <row r="101" spans="2:9" ht="15" thickBot="1">
      <c r="B101" s="1345"/>
      <c r="C101" s="647" t="s">
        <v>1431</v>
      </c>
      <c r="D101" s="647" t="s">
        <v>1432</v>
      </c>
      <c r="E101" s="647" t="s">
        <v>1433</v>
      </c>
      <c r="F101" s="648" t="s">
        <v>1509</v>
      </c>
      <c r="G101" s="647" t="s">
        <v>1431</v>
      </c>
    </row>
    <row r="102" spans="2:9" ht="30" thickTop="1" thickBot="1">
      <c r="B102" s="649" t="s">
        <v>1434</v>
      </c>
      <c r="C102" s="650">
        <v>110000000</v>
      </c>
      <c r="D102" s="651" t="s">
        <v>1510</v>
      </c>
      <c r="E102" s="651" t="s">
        <v>1511</v>
      </c>
      <c r="F102" s="650" t="s">
        <v>1435</v>
      </c>
      <c r="G102" s="650"/>
    </row>
    <row r="103" spans="2:9" ht="29.5" thickBot="1">
      <c r="B103" s="649" t="s">
        <v>1434</v>
      </c>
      <c r="C103" s="650">
        <v>40000000</v>
      </c>
      <c r="D103" s="651" t="s">
        <v>1512</v>
      </c>
      <c r="E103" s="651" t="s">
        <v>1513</v>
      </c>
      <c r="F103" s="650" t="s">
        <v>1436</v>
      </c>
      <c r="G103" s="650"/>
    </row>
    <row r="104" spans="2:9" ht="29.5" thickBot="1">
      <c r="B104" s="649" t="s">
        <v>1437</v>
      </c>
      <c r="C104" s="650">
        <v>855500000</v>
      </c>
      <c r="D104" s="651" t="s">
        <v>1510</v>
      </c>
      <c r="E104" s="651" t="s">
        <v>1511</v>
      </c>
      <c r="F104" s="650" t="s">
        <v>1435</v>
      </c>
      <c r="G104" s="650"/>
    </row>
    <row r="105" spans="2:9" ht="29.5" thickBot="1">
      <c r="B105" s="649" t="s">
        <v>1437</v>
      </c>
      <c r="C105" s="650">
        <v>160000000</v>
      </c>
      <c r="D105" s="651" t="s">
        <v>1512</v>
      </c>
      <c r="E105" s="651" t="s">
        <v>1513</v>
      </c>
      <c r="F105" s="650" t="s">
        <v>1436</v>
      </c>
      <c r="G105" s="650"/>
    </row>
    <row r="106" spans="2:9" ht="29.5" thickBot="1">
      <c r="B106" s="649" t="s">
        <v>1437</v>
      </c>
      <c r="C106" s="650">
        <v>100000000</v>
      </c>
      <c r="D106" s="651" t="s">
        <v>1512</v>
      </c>
      <c r="E106" s="651" t="s">
        <v>1514</v>
      </c>
      <c r="F106" s="650">
        <v>10</v>
      </c>
      <c r="G106" s="650"/>
    </row>
    <row r="107" spans="2:9" ht="29.5" thickBot="1">
      <c r="B107" s="649" t="s">
        <v>1437</v>
      </c>
      <c r="C107" s="650" t="s">
        <v>756</v>
      </c>
      <c r="D107" s="651" t="s">
        <v>1512</v>
      </c>
      <c r="E107" s="651" t="s">
        <v>1515</v>
      </c>
      <c r="F107" s="650">
        <v>6.36</v>
      </c>
      <c r="G107" s="650">
        <v>850000000</v>
      </c>
    </row>
    <row r="108" spans="2:9" ht="15" thickBot="1">
      <c r="B108" s="649" t="s">
        <v>1437</v>
      </c>
      <c r="C108" s="650" t="s">
        <v>756</v>
      </c>
      <c r="D108" s="651" t="s">
        <v>1512</v>
      </c>
      <c r="E108" s="651" t="s">
        <v>1438</v>
      </c>
      <c r="F108" s="650">
        <v>6.36</v>
      </c>
      <c r="G108" s="650">
        <v>50000000</v>
      </c>
    </row>
    <row r="109" spans="2:9" ht="29.5" thickBot="1">
      <c r="B109" s="649" t="s">
        <v>1516</v>
      </c>
      <c r="C109" s="650">
        <v>1265500000</v>
      </c>
      <c r="D109" s="650"/>
      <c r="E109" s="650"/>
      <c r="F109" s="650"/>
      <c r="G109" s="650">
        <v>900000000</v>
      </c>
    </row>
    <row r="110" spans="2:9" ht="23.5" thickBot="1">
      <c r="B110" s="652" t="s">
        <v>1517</v>
      </c>
      <c r="C110" s="650">
        <v>-1358881</v>
      </c>
      <c r="D110" s="650"/>
      <c r="E110" s="650"/>
      <c r="F110" s="650"/>
      <c r="G110" s="650">
        <v>-16184112</v>
      </c>
    </row>
    <row r="111" spans="2:9" ht="29.5" thickBot="1">
      <c r="B111" s="653" t="s">
        <v>1518</v>
      </c>
      <c r="C111" s="654">
        <v>1264141119</v>
      </c>
      <c r="D111" s="654"/>
      <c r="E111" s="654"/>
      <c r="F111" s="654"/>
      <c r="G111" s="654">
        <v>883815888</v>
      </c>
    </row>
    <row r="115" spans="2:8" ht="29.5" thickBot="1">
      <c r="B115" s="647" t="s">
        <v>1439</v>
      </c>
      <c r="C115" s="647" t="s">
        <v>1440</v>
      </c>
      <c r="D115" s="647" t="s">
        <v>1441</v>
      </c>
      <c r="E115" s="647" t="s">
        <v>1442</v>
      </c>
      <c r="F115" s="647" t="s">
        <v>1443</v>
      </c>
      <c r="G115" s="647" t="s">
        <v>1444</v>
      </c>
    </row>
    <row r="116" spans="2:8" ht="15.5" thickTop="1" thickBot="1">
      <c r="B116" s="655" t="s">
        <v>743</v>
      </c>
      <c r="C116" s="650">
        <v>177597383</v>
      </c>
      <c r="D116" s="1347" t="s">
        <v>1445</v>
      </c>
      <c r="E116" s="1350">
        <v>900000000</v>
      </c>
      <c r="F116" s="1350">
        <v>1080000000</v>
      </c>
      <c r="G116" s="1353" t="s">
        <v>1519</v>
      </c>
    </row>
    <row r="117" spans="2:8" ht="15" thickBot="1">
      <c r="B117" s="655" t="s">
        <v>744</v>
      </c>
      <c r="C117" s="650">
        <v>80454726</v>
      </c>
      <c r="D117" s="1348"/>
      <c r="E117" s="1351"/>
      <c r="F117" s="1351"/>
      <c r="G117" s="1354"/>
    </row>
    <row r="118" spans="2:8" ht="29.5" thickBot="1">
      <c r="B118" s="655" t="s">
        <v>1520</v>
      </c>
      <c r="C118" s="650">
        <v>31056287</v>
      </c>
      <c r="D118" s="1348"/>
      <c r="E118" s="1351"/>
      <c r="F118" s="1351"/>
      <c r="G118" s="1354"/>
    </row>
    <row r="119" spans="2:8" ht="29.5" thickBot="1">
      <c r="B119" s="655" t="s">
        <v>1521</v>
      </c>
      <c r="C119" s="650">
        <v>10902856</v>
      </c>
      <c r="D119" s="1348"/>
      <c r="E119" s="1351"/>
      <c r="F119" s="1351"/>
      <c r="G119" s="1354"/>
    </row>
    <row r="120" spans="2:8" ht="29.5" thickBot="1">
      <c r="B120" s="655" t="s">
        <v>1522</v>
      </c>
      <c r="C120" s="650">
        <v>46510000</v>
      </c>
      <c r="D120" s="1349"/>
      <c r="E120" s="1352"/>
      <c r="F120" s="1352"/>
      <c r="G120" s="1355"/>
    </row>
    <row r="121" spans="2:8" ht="29.5" thickBot="1">
      <c r="B121" s="655" t="s">
        <v>1522</v>
      </c>
      <c r="C121" s="650">
        <v>14807000</v>
      </c>
      <c r="D121" s="656" t="s">
        <v>1523</v>
      </c>
      <c r="E121" s="650" t="s">
        <v>756</v>
      </c>
      <c r="F121" s="650">
        <v>14807000</v>
      </c>
      <c r="G121" s="656" t="s">
        <v>1446</v>
      </c>
    </row>
    <row r="122" spans="2:8" ht="15" thickBot="1">
      <c r="B122" s="657" t="s">
        <v>674</v>
      </c>
      <c r="C122" s="654">
        <v>361328252</v>
      </c>
      <c r="D122" s="654"/>
      <c r="E122" s="654">
        <v>900000000</v>
      </c>
      <c r="F122" s="654">
        <v>1094807000</v>
      </c>
      <c r="G122" s="654"/>
    </row>
    <row r="128" spans="2:8" ht="15" thickBot="1">
      <c r="B128" s="658" t="s">
        <v>1524</v>
      </c>
      <c r="C128" s="659" t="s">
        <v>1525</v>
      </c>
      <c r="D128" s="1343" t="s">
        <v>1526</v>
      </c>
      <c r="E128" s="1343"/>
      <c r="F128" s="1343"/>
      <c r="G128" s="1343"/>
      <c r="H128" s="1343"/>
    </row>
    <row r="129" spans="2:8" ht="15.5" thickTop="1" thickBot="1">
      <c r="B129" s="660"/>
      <c r="C129" s="659"/>
      <c r="D129" s="659">
        <v>2012</v>
      </c>
      <c r="E129" s="659">
        <v>2013</v>
      </c>
      <c r="F129" s="659">
        <v>2014</v>
      </c>
      <c r="G129" s="659">
        <v>2015</v>
      </c>
      <c r="H129" s="659">
        <v>2016</v>
      </c>
    </row>
    <row r="130" spans="2:8" ht="15.5" thickTop="1" thickBot="1">
      <c r="B130" s="661" t="s">
        <v>1504</v>
      </c>
      <c r="C130" s="662">
        <v>850000</v>
      </c>
      <c r="D130" s="662"/>
      <c r="E130" s="662">
        <v>100000</v>
      </c>
      <c r="F130" s="662">
        <v>100000</v>
      </c>
      <c r="G130" s="662">
        <v>150000</v>
      </c>
      <c r="H130" s="662">
        <v>500000</v>
      </c>
    </row>
    <row r="131" spans="2:8" ht="15" thickBot="1">
      <c r="B131" s="661" t="s">
        <v>1505</v>
      </c>
      <c r="C131" s="662">
        <v>50000</v>
      </c>
      <c r="D131" s="662"/>
      <c r="E131" s="662"/>
      <c r="F131" s="662"/>
      <c r="G131" s="662"/>
      <c r="H131" s="662">
        <v>50000</v>
      </c>
    </row>
    <row r="132" spans="2:8" ht="15" thickBot="1">
      <c r="B132" s="663" t="s">
        <v>1506</v>
      </c>
      <c r="C132" s="664">
        <v>130000</v>
      </c>
      <c r="D132" s="664"/>
      <c r="E132" s="664">
        <v>120000</v>
      </c>
      <c r="F132" s="664">
        <v>100000</v>
      </c>
      <c r="G132" s="664"/>
      <c r="H132" s="664"/>
    </row>
    <row r="133" spans="2:8" ht="30" thickTop="1" thickBot="1">
      <c r="B133" s="665" t="s">
        <v>1527</v>
      </c>
      <c r="C133" s="666">
        <v>1030000</v>
      </c>
      <c r="D133" s="666">
        <v>0</v>
      </c>
      <c r="E133" s="666">
        <v>220000</v>
      </c>
      <c r="F133" s="666">
        <v>110000</v>
      </c>
      <c r="G133" s="666">
        <v>150000</v>
      </c>
      <c r="H133" s="666">
        <v>550000</v>
      </c>
    </row>
    <row r="134" spans="2:8" ht="15" thickBot="1">
      <c r="B134" s="667" t="s">
        <v>1507</v>
      </c>
      <c r="C134" s="662">
        <v>1</v>
      </c>
      <c r="D134" s="662">
        <v>0</v>
      </c>
      <c r="E134" s="662">
        <v>0.214</v>
      </c>
      <c r="F134" s="662">
        <v>0.107</v>
      </c>
      <c r="G134" s="662">
        <v>0.14599999999999999</v>
      </c>
      <c r="H134" s="662">
        <v>0.53400000000000003</v>
      </c>
    </row>
  </sheetData>
  <mergeCells count="7">
    <mergeCell ref="D128:H128"/>
    <mergeCell ref="B100:B101"/>
    <mergeCell ref="D100:G100"/>
    <mergeCell ref="D116:D120"/>
    <mergeCell ref="E116:E120"/>
    <mergeCell ref="F116:F120"/>
    <mergeCell ref="G116:G120"/>
  </mergeCells>
  <phoneticPr fontId="2" type="noConversion"/>
  <pageMargins left="0.6" right="0.6" top="1" bottom="1" header="0.5" footer="0.5"/>
  <pageSetup scale="1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4"/>
  <sheetViews>
    <sheetView showGridLines="0" zoomScaleNormal="100" workbookViewId="0">
      <selection activeCell="K139" sqref="K139"/>
    </sheetView>
  </sheetViews>
  <sheetFormatPr defaultColWidth="9" defaultRowHeight="14.5"/>
  <cols>
    <col min="1" max="1" width="1.6640625" style="346" customWidth="1"/>
    <col min="2" max="2" width="12.58203125" style="346" customWidth="1"/>
    <col min="3" max="3" width="9.33203125" style="346" customWidth="1"/>
    <col min="4" max="4" width="8.6640625" style="346" customWidth="1"/>
    <col min="5" max="5" width="9.08203125" style="347" customWidth="1"/>
    <col min="6" max="6" width="8.6640625" style="346" customWidth="1"/>
    <col min="7" max="7" width="8" style="347" customWidth="1"/>
    <col min="8" max="8" width="8.6640625" style="346" customWidth="1"/>
    <col min="9" max="9" width="8.1640625" style="347" customWidth="1"/>
    <col min="10" max="10" width="8.6640625" style="346" customWidth="1"/>
    <col min="11" max="11" width="8" style="346" customWidth="1"/>
    <col min="12" max="12" width="8.6640625" style="346" customWidth="1"/>
    <col min="13" max="13" width="8" style="346" customWidth="1"/>
    <col min="14" max="17" width="8.6640625" style="346" customWidth="1"/>
    <col min="18" max="18" width="8.58203125" style="346" customWidth="1"/>
    <col min="19" max="16384" width="9" style="346"/>
  </cols>
  <sheetData>
    <row r="1" spans="2:20" ht="26">
      <c r="B1" s="345" t="s">
        <v>1032</v>
      </c>
    </row>
    <row r="2" spans="2:20">
      <c r="J2" s="354">
        <f>J8-I8</f>
        <v>18401137870.000275</v>
      </c>
      <c r="K2" s="354">
        <f>K8-J8</f>
        <v>16294373891.216125</v>
      </c>
      <c r="L2" s="354">
        <f t="shared" ref="L2:M2" si="0">L8-K8</f>
        <v>16501174257.320709</v>
      </c>
      <c r="M2" s="354">
        <f t="shared" si="0"/>
        <v>16509628099.662445</v>
      </c>
    </row>
    <row r="4" spans="2:20" ht="29.5" thickBot="1">
      <c r="B4" s="348" t="s">
        <v>857</v>
      </c>
      <c r="C4" s="349"/>
      <c r="D4" s="349" t="s">
        <v>868</v>
      </c>
      <c r="E4" s="349" t="s">
        <v>867</v>
      </c>
      <c r="F4" s="349" t="s">
        <v>866</v>
      </c>
      <c r="G4" s="349" t="s">
        <v>1033</v>
      </c>
      <c r="H4" s="349" t="s">
        <v>865</v>
      </c>
      <c r="I4" s="349" t="s">
        <v>864</v>
      </c>
      <c r="J4" s="349" t="s">
        <v>863</v>
      </c>
      <c r="K4" s="349" t="s">
        <v>862</v>
      </c>
      <c r="L4" s="349" t="s">
        <v>861</v>
      </c>
      <c r="M4" s="349" t="s">
        <v>860</v>
      </c>
    </row>
    <row r="5" spans="2:20" ht="16">
      <c r="B5" s="350" t="s">
        <v>1034</v>
      </c>
      <c r="D5" s="351">
        <f>IS!C4</f>
        <v>1491976221140</v>
      </c>
      <c r="E5" s="351">
        <f>IS!D4</f>
        <v>2663947866364</v>
      </c>
      <c r="F5" s="351">
        <f>IS!E4</f>
        <v>3046678675797</v>
      </c>
      <c r="G5" s="352">
        <f>IS!F4</f>
        <v>1606909618359</v>
      </c>
      <c r="H5" s="353">
        <f>매출추정!J11*1000000</f>
        <v>1826768998538.5461</v>
      </c>
      <c r="I5" s="353">
        <f>매출추정!L11*1000000</f>
        <v>3874341584091.9761</v>
      </c>
      <c r="J5" s="353">
        <f>매출추정!M11*1000000</f>
        <v>4226781263595.0103</v>
      </c>
      <c r="K5" s="353">
        <f>매출추정!N11*1000000</f>
        <v>4456133294008.6992</v>
      </c>
      <c r="L5" s="353">
        <f>매출추정!O11*1000000</f>
        <v>4697930338861.1387</v>
      </c>
      <c r="M5" s="353">
        <f>매출추정!P11*1000000</f>
        <v>4952847684889.9326</v>
      </c>
    </row>
    <row r="6" spans="2:20" ht="16">
      <c r="D6" s="351"/>
      <c r="E6" s="351"/>
      <c r="F6" s="351"/>
      <c r="G6" s="351"/>
      <c r="H6" s="351"/>
      <c r="I6" s="351"/>
      <c r="J6" s="351"/>
      <c r="K6" s="351"/>
      <c r="L6" s="351"/>
      <c r="M6" s="351"/>
    </row>
    <row r="7" spans="2:20">
      <c r="B7" s="350" t="s">
        <v>1035</v>
      </c>
      <c r="D7" s="354"/>
      <c r="E7" s="354"/>
      <c r="F7" s="354"/>
      <c r="G7" s="354"/>
      <c r="H7" s="354"/>
      <c r="I7" s="354"/>
      <c r="J7" s="354"/>
      <c r="K7" s="354"/>
      <c r="L7" s="354"/>
      <c r="M7" s="354"/>
    </row>
    <row r="8" spans="2:20" s="230" customFormat="1">
      <c r="B8" s="355" t="s">
        <v>155</v>
      </c>
      <c r="C8" s="356"/>
      <c r="D8" s="357">
        <f t="shared" ref="D8:M8" si="1">SUM(D9:D12)</f>
        <v>76537153913</v>
      </c>
      <c r="E8" s="357">
        <f t="shared" si="1"/>
        <v>137328650000</v>
      </c>
      <c r="F8" s="357">
        <f t="shared" si="1"/>
        <v>154101106000</v>
      </c>
      <c r="G8" s="357">
        <f t="shared" si="1"/>
        <v>77435806000</v>
      </c>
      <c r="H8" s="357">
        <f t="shared" si="1"/>
        <v>79041542865.133423</v>
      </c>
      <c r="I8" s="357">
        <f t="shared" si="1"/>
        <v>179487032833.84192</v>
      </c>
      <c r="J8" s="357">
        <f t="shared" si="1"/>
        <v>197888170703.84219</v>
      </c>
      <c r="K8" s="357">
        <f t="shared" si="1"/>
        <v>214182544595.05832</v>
      </c>
      <c r="L8" s="357">
        <f t="shared" si="1"/>
        <v>230683718852.37903</v>
      </c>
      <c r="M8" s="357">
        <f t="shared" si="1"/>
        <v>247193346952.04147</v>
      </c>
      <c r="O8" s="1248">
        <f t="shared" ref="O8:Q23" si="2">H8/H$5</f>
        <v>4.3268493678384257E-2</v>
      </c>
      <c r="P8" s="1248">
        <f t="shared" si="2"/>
        <v>4.6327105893505784E-2</v>
      </c>
      <c r="Q8" s="1248">
        <f t="shared" si="2"/>
        <v>4.6817698471468119E-2</v>
      </c>
      <c r="R8" s="1248">
        <f t="shared" ref="R8:R34" si="3">K8/K$5</f>
        <v>4.8064662895750489E-2</v>
      </c>
      <c r="S8" s="1248">
        <f t="shared" ref="S8:S34" si="4">L8/L$5</f>
        <v>4.9103265100414586E-2</v>
      </c>
      <c r="T8" s="1248">
        <f t="shared" ref="T8:T34" si="5">M8/M$5</f>
        <v>4.9909337552651763E-2</v>
      </c>
    </row>
    <row r="9" spans="2:20">
      <c r="B9" s="358" t="s">
        <v>853</v>
      </c>
      <c r="C9" s="358"/>
      <c r="D9" s="354">
        <f>SUMIF(IS!$B$9:$B$32,'SG&amp;A'!B9,IS!$C$9:$C$32)</f>
        <v>54912277470</v>
      </c>
      <c r="E9" s="354">
        <f>SUMIF(IS!$B$9:$B$32,'SG&amp;A'!B9,IS!$D$9:$D$32)</f>
        <v>100593190000</v>
      </c>
      <c r="F9" s="354">
        <f>SUMIF(IS!$B$9:$B$32,'SG&amp;A'!B9,IS!$E$9:$E$32)</f>
        <v>114125773000</v>
      </c>
      <c r="G9" s="354">
        <f>SUMIF(IS!$B$9:$B$32,'SG&amp;A'!B9,IS!$F$9:$F$32)</f>
        <v>56124112000</v>
      </c>
      <c r="H9" s="354">
        <f>H100</f>
        <v>58037010574.429947</v>
      </c>
      <c r="I9" s="354">
        <f t="shared" ref="I9:M9" si="6">I100</f>
        <v>131790074496.9619</v>
      </c>
      <c r="J9" s="354">
        <f t="shared" si="6"/>
        <v>145301286379.1105</v>
      </c>
      <c r="K9" s="354">
        <f t="shared" si="6"/>
        <v>157265586613.50507</v>
      </c>
      <c r="L9" s="354">
        <f t="shared" si="6"/>
        <v>169381731999.18787</v>
      </c>
      <c r="M9" s="354">
        <f t="shared" si="6"/>
        <v>181504084699.65216</v>
      </c>
      <c r="O9" s="1249">
        <f t="shared" si="2"/>
        <v>3.1770306273459198E-2</v>
      </c>
      <c r="P9" s="1249">
        <f t="shared" si="2"/>
        <v>3.4016121613564272E-2</v>
      </c>
      <c r="Q9" s="1249">
        <f t="shared" si="2"/>
        <v>3.4376343916961344E-2</v>
      </c>
      <c r="R9" s="1249">
        <f t="shared" si="3"/>
        <v>3.529193949941975E-2</v>
      </c>
      <c r="S9" s="1295">
        <f t="shared" si="4"/>
        <v>3.605454312467498E-2</v>
      </c>
      <c r="T9" s="1295">
        <f t="shared" si="5"/>
        <v>3.664640955008204E-2</v>
      </c>
    </row>
    <row r="10" spans="2:20">
      <c r="B10" s="358" t="s">
        <v>852</v>
      </c>
      <c r="C10" s="358"/>
      <c r="D10" s="354">
        <f>SUMIF(IS!$B$9:$B$32,'SG&amp;A'!B10,IS!$C$9:$C$32)</f>
        <v>5640032625</v>
      </c>
      <c r="E10" s="354">
        <f>SUMIF(IS!$B$9:$B$32,'SG&amp;A'!B10,IS!$D$9:$D$32)</f>
        <v>7924515000</v>
      </c>
      <c r="F10" s="354">
        <f>SUMIF(IS!$B$9:$B$32,'SG&amp;A'!B10,IS!$E$9:$E$32)</f>
        <v>8787278000</v>
      </c>
      <c r="G10" s="354">
        <f>SUMIF(IS!$B$9:$B$32,'SG&amp;A'!B10,IS!$F$9:$F$32)</f>
        <v>4879175000</v>
      </c>
      <c r="H10" s="354">
        <f t="shared" ref="H10:M10" si="7">+H9*$E$145</f>
        <v>4626572926.5117025</v>
      </c>
      <c r="I10" s="354">
        <f t="shared" si="7"/>
        <v>10505992376.51367</v>
      </c>
      <c r="J10" s="354">
        <f t="shared" si="7"/>
        <v>11583074164.145458</v>
      </c>
      <c r="K10" s="354">
        <f t="shared" si="7"/>
        <v>12536839821.632568</v>
      </c>
      <c r="L10" s="354">
        <f t="shared" si="7"/>
        <v>13502710214.684429</v>
      </c>
      <c r="M10" s="354">
        <f t="shared" si="7"/>
        <v>14469075440.1584</v>
      </c>
      <c r="O10" s="1249">
        <f t="shared" si="2"/>
        <v>2.5326535156952297E-3</v>
      </c>
      <c r="P10" s="1249">
        <f t="shared" si="2"/>
        <v>2.7116845916868079E-3</v>
      </c>
      <c r="Q10" s="1249">
        <f t="shared" si="2"/>
        <v>2.7404006599323501E-3</v>
      </c>
      <c r="R10" s="1249">
        <f t="shared" si="3"/>
        <v>2.813389769666099E-3</v>
      </c>
      <c r="S10" s="1295">
        <f t="shared" si="4"/>
        <v>2.8741827231856579E-3</v>
      </c>
      <c r="T10" s="1295">
        <f t="shared" si="5"/>
        <v>2.9213649118062768E-3</v>
      </c>
    </row>
    <row r="11" spans="2:20">
      <c r="B11" s="358" t="s">
        <v>851</v>
      </c>
      <c r="C11" s="358"/>
      <c r="D11" s="354">
        <f>SUMIF(IS!$B$9:$B$32,'SG&amp;A'!B11,IS!$C$9:$C$32)</f>
        <v>15084842895</v>
      </c>
      <c r="E11" s="354">
        <f>SUMIF(IS!$B$9:$B$32,'SG&amp;A'!B11,IS!$D$9:$D$32)</f>
        <v>27223743000</v>
      </c>
      <c r="F11" s="354">
        <f>SUMIF(IS!$B$9:$B$32,'SG&amp;A'!B11,IS!$E$9:$E$32)</f>
        <v>29431178000</v>
      </c>
      <c r="G11" s="354">
        <f>SUMIF(IS!$B$9:$B$32,'SG&amp;A'!B11,IS!$F$9:$F$32)</f>
        <v>15517392000</v>
      </c>
      <c r="H11" s="354">
        <f t="shared" ref="H11:M11" si="8">+H9*$E$146</f>
        <v>15465284806.569515</v>
      </c>
      <c r="I11" s="354">
        <f t="shared" si="8"/>
        <v>35118470379.528999</v>
      </c>
      <c r="J11" s="354">
        <f t="shared" si="8"/>
        <v>38718840863.314667</v>
      </c>
      <c r="K11" s="354">
        <f t="shared" si="8"/>
        <v>41907001466.434013</v>
      </c>
      <c r="L11" s="354">
        <f t="shared" si="8"/>
        <v>45135624672.432556</v>
      </c>
      <c r="M11" s="354">
        <f t="shared" si="8"/>
        <v>48365901958.991592</v>
      </c>
      <c r="O11" s="1249">
        <f t="shared" si="2"/>
        <v>8.4659225216445373E-3</v>
      </c>
      <c r="P11" s="1249">
        <f t="shared" si="2"/>
        <v>9.0643712272880719E-3</v>
      </c>
      <c r="Q11" s="1249">
        <f t="shared" si="2"/>
        <v>9.1603606736874472E-3</v>
      </c>
      <c r="R11" s="1249">
        <f t="shared" si="3"/>
        <v>9.4043419937142048E-3</v>
      </c>
      <c r="S11" s="1295">
        <f t="shared" si="4"/>
        <v>9.6075551182766648E-3</v>
      </c>
      <c r="T11" s="1295">
        <f t="shared" si="5"/>
        <v>9.7652714228514438E-3</v>
      </c>
    </row>
    <row r="12" spans="2:20">
      <c r="B12" s="359" t="s">
        <v>1036</v>
      </c>
      <c r="C12" s="359"/>
      <c r="D12" s="354">
        <f>SUMIF(IS!$B$9:$B$32,'SG&amp;A'!B12,IS!$C$9:$C$32)</f>
        <v>900000923</v>
      </c>
      <c r="E12" s="354">
        <f>SUMIF(IS!$B$9:$B$32,'SG&amp;A'!B12,IS!$D$9:$D$32)</f>
        <v>1587202000</v>
      </c>
      <c r="F12" s="354">
        <f>SUMIF(IS!$B$9:$B$32,'SG&amp;A'!B12,IS!$E$9:$E$32)</f>
        <v>1756877000</v>
      </c>
      <c r="G12" s="354">
        <f>SUMIF(IS!$B$9:$B$32,'SG&amp;A'!B12,IS!$F$9:$F$32)</f>
        <v>915127000</v>
      </c>
      <c r="H12" s="360">
        <f t="shared" ref="H12:M12" si="9">+H9*$E$147</f>
        <v>912674557.62225223</v>
      </c>
      <c r="I12" s="360">
        <f t="shared" si="9"/>
        <v>2072495580.8373799</v>
      </c>
      <c r="J12" s="360">
        <f t="shared" si="9"/>
        <v>2284969297.2715869</v>
      </c>
      <c r="K12" s="360">
        <f t="shared" si="9"/>
        <v>2473116693.4866638</v>
      </c>
      <c r="L12" s="360">
        <f t="shared" si="9"/>
        <v>2663651966.0742035</v>
      </c>
      <c r="M12" s="360">
        <f t="shared" si="9"/>
        <v>2854284853.2393403</v>
      </c>
      <c r="O12" s="1249">
        <f t="shared" si="2"/>
        <v>4.996113675852892E-4</v>
      </c>
      <c r="P12" s="1249">
        <f t="shared" si="2"/>
        <v>5.3492846096664132E-4</v>
      </c>
      <c r="Q12" s="1249">
        <f t="shared" si="2"/>
        <v>5.4059322088698494E-4</v>
      </c>
      <c r="R12" s="1249">
        <f t="shared" si="3"/>
        <v>5.5499163295042939E-4</v>
      </c>
      <c r="S12" s="1295">
        <f t="shared" si="4"/>
        <v>5.6698413427729109E-4</v>
      </c>
      <c r="T12" s="1295">
        <f t="shared" si="5"/>
        <v>5.7629166791200667E-4</v>
      </c>
    </row>
    <row r="13" spans="2:20" s="230" customFormat="1">
      <c r="B13" s="361" t="s">
        <v>1037</v>
      </c>
      <c r="C13" s="361"/>
      <c r="D13" s="357">
        <f t="shared" ref="D13:M13" si="10">SUM(D14:D17)</f>
        <v>90621078090</v>
      </c>
      <c r="E13" s="357">
        <f t="shared" si="10"/>
        <v>194237366000</v>
      </c>
      <c r="F13" s="357">
        <f t="shared" si="10"/>
        <v>234867114000</v>
      </c>
      <c r="G13" s="357">
        <f t="shared" si="10"/>
        <v>126651414000</v>
      </c>
      <c r="H13" s="357">
        <f t="shared" si="10"/>
        <v>135560163234.18425</v>
      </c>
      <c r="I13" s="357">
        <f t="shared" si="10"/>
        <v>286297186068.1145</v>
      </c>
      <c r="J13" s="357">
        <f t="shared" si="10"/>
        <v>310831714871.70862</v>
      </c>
      <c r="K13" s="357">
        <f t="shared" si="10"/>
        <v>327020800921.82587</v>
      </c>
      <c r="L13" s="357">
        <f t="shared" si="10"/>
        <v>344010523503.61206</v>
      </c>
      <c r="M13" s="357">
        <f t="shared" si="10"/>
        <v>361900997250.92139</v>
      </c>
      <c r="O13" s="1248">
        <f t="shared" si="2"/>
        <v>7.4207611002067173E-2</v>
      </c>
      <c r="P13" s="1248">
        <f t="shared" si="2"/>
        <v>7.3895700689802127E-2</v>
      </c>
      <c r="Q13" s="1248">
        <f t="shared" si="2"/>
        <v>7.3538632705903606E-2</v>
      </c>
      <c r="R13" s="1248">
        <f t="shared" si="3"/>
        <v>7.3386673904370744E-2</v>
      </c>
      <c r="S13" s="1248">
        <f t="shared" si="4"/>
        <v>7.3225973713992171E-2</v>
      </c>
      <c r="T13" s="1248">
        <f t="shared" si="5"/>
        <v>7.3069276560836519E-2</v>
      </c>
    </row>
    <row r="14" spans="2:20">
      <c r="B14" s="346" t="s">
        <v>1038</v>
      </c>
      <c r="D14" s="354">
        <f>SUMIF(IS!$B$9:$B$32,'SG&amp;A'!B14,IS!$C$9:$C$32)</f>
        <v>0</v>
      </c>
      <c r="E14" s="354">
        <f>SUMIF(IS!$B$9:$B$32,'SG&amp;A'!B14,IS!$D$9:$D$32)</f>
        <v>40084772000</v>
      </c>
      <c r="F14" s="354">
        <f>SUMIF(IS!$B$9:$B$32,'SG&amp;A'!B14,IS!$E$9:$E$32)</f>
        <v>56520802000</v>
      </c>
      <c r="G14" s="354">
        <f>SUMIF(IS!$B$9:$B$32,'SG&amp;A'!B14,IS!$F$9:$F$32)</f>
        <v>34959809000</v>
      </c>
      <c r="H14" s="354">
        <f t="shared" ref="H14:M14" si="11">+H5*$E$188</f>
        <v>32844328702.049244</v>
      </c>
      <c r="I14" s="354">
        <f t="shared" si="11"/>
        <v>69658587699.779144</v>
      </c>
      <c r="J14" s="354">
        <f t="shared" si="11"/>
        <v>75995264471.994614</v>
      </c>
      <c r="K14" s="354">
        <f t="shared" si="11"/>
        <v>80118891203.900009</v>
      </c>
      <c r="L14" s="354">
        <f t="shared" si="11"/>
        <v>84466272633.446472</v>
      </c>
      <c r="M14" s="354">
        <f t="shared" si="11"/>
        <v>89049550054.68692</v>
      </c>
      <c r="O14" s="1249">
        <f t="shared" si="2"/>
        <v>1.7979464687831577E-2</v>
      </c>
      <c r="P14" s="1249">
        <f t="shared" si="2"/>
        <v>1.7979464687831577E-2</v>
      </c>
      <c r="Q14" s="1249">
        <f t="shared" si="2"/>
        <v>1.7979464687831577E-2</v>
      </c>
      <c r="R14" s="1249">
        <f t="shared" si="3"/>
        <v>1.7979464687831577E-2</v>
      </c>
      <c r="S14" s="1249">
        <f t="shared" si="4"/>
        <v>1.7979464687831577E-2</v>
      </c>
      <c r="T14" s="1249">
        <f t="shared" si="5"/>
        <v>1.7979464687831577E-2</v>
      </c>
    </row>
    <row r="15" spans="2:20">
      <c r="B15" s="362" t="s">
        <v>1039</v>
      </c>
      <c r="D15" s="354">
        <f>SUMIF(IS!$B$9:$B$32,'SG&amp;A'!B15,IS!$C$9:$C$32)</f>
        <v>57932843664</v>
      </c>
      <c r="E15" s="354">
        <f>SUMIF(IS!$B$9:$B$32,'SG&amp;A'!B15,IS!$D$9:$D$32)</f>
        <v>71646224000</v>
      </c>
      <c r="F15" s="354">
        <f>SUMIF(IS!$B$9:$B$32,'SG&amp;A'!B15,IS!$E$9:$E$32)</f>
        <v>84048649000</v>
      </c>
      <c r="G15" s="354">
        <f>SUMIF(IS!$B$9:$B$32,'SG&amp;A'!B15,IS!$F$9:$F$32)</f>
        <v>41974209000</v>
      </c>
      <c r="H15" s="354">
        <f t="shared" ref="H15:M15" si="12">+H168</f>
        <v>46166428430.881828</v>
      </c>
      <c r="I15" s="354">
        <f t="shared" si="12"/>
        <v>96704596976.222992</v>
      </c>
      <c r="J15" s="354">
        <f t="shared" si="12"/>
        <v>103992336903.46745</v>
      </c>
      <c r="K15" s="354">
        <f t="shared" si="12"/>
        <v>108957981675.67659</v>
      </c>
      <c r="L15" s="354">
        <f t="shared" si="12"/>
        <v>114115260789.75905</v>
      </c>
      <c r="M15" s="354">
        <f t="shared" si="12"/>
        <v>119531243429.60458</v>
      </c>
      <c r="O15" s="1249">
        <f t="shared" si="2"/>
        <v>2.5272176431621048E-2</v>
      </c>
      <c r="P15" s="1249">
        <f t="shared" si="2"/>
        <v>2.4960266119355996E-2</v>
      </c>
      <c r="Q15" s="1249">
        <f t="shared" si="2"/>
        <v>2.4603198135457499E-2</v>
      </c>
      <c r="R15" s="1249">
        <f t="shared" si="3"/>
        <v>2.445123933392462E-2</v>
      </c>
      <c r="S15" s="1249">
        <f t="shared" si="4"/>
        <v>2.429053914354605E-2</v>
      </c>
      <c r="T15" s="1249">
        <f t="shared" si="5"/>
        <v>2.4133841990390408E-2</v>
      </c>
    </row>
    <row r="16" spans="2:20">
      <c r="B16" s="362" t="s">
        <v>1040</v>
      </c>
      <c r="D16" s="354">
        <f>SUMIF(IS!$B$9:$B$32,'SG&amp;A'!B16,IS!$C$9:$C$32)</f>
        <v>32688234426</v>
      </c>
      <c r="E16" s="354">
        <f>SUMIF(IS!$B$9:$B$32,'SG&amp;A'!B16,IS!$D$9:$D$32)</f>
        <v>54566105000</v>
      </c>
      <c r="F16" s="354">
        <f>SUMIF(IS!$B$9:$B$32,'SG&amp;A'!B16,IS!$E$9:$E$32)</f>
        <v>61330566000</v>
      </c>
      <c r="G16" s="354">
        <f>SUMIF(IS!$B$9:$B$32,'SG&amp;A'!B16,IS!$F$9:$F$32)</f>
        <v>29252153000</v>
      </c>
      <c r="H16" s="354">
        <f t="shared" ref="H16:M16" si="13">+H5*$E$189</f>
        <v>36235334686.570969</v>
      </c>
      <c r="I16" s="354">
        <f t="shared" si="13"/>
        <v>76850474308.457016</v>
      </c>
      <c r="J16" s="354">
        <f t="shared" si="13"/>
        <v>83841379975.148926</v>
      </c>
      <c r="K16" s="354">
        <f t="shared" si="13"/>
        <v>88390749703.742599</v>
      </c>
      <c r="L16" s="354">
        <f t="shared" si="13"/>
        <v>93186975637.870789</v>
      </c>
      <c r="M16" s="354">
        <f t="shared" si="13"/>
        <v>98243452597.002213</v>
      </c>
      <c r="O16" s="1249">
        <f t="shared" si="2"/>
        <v>1.9835750834155827E-2</v>
      </c>
      <c r="P16" s="1249">
        <f t="shared" si="2"/>
        <v>1.9835750834155827E-2</v>
      </c>
      <c r="Q16" s="1249">
        <f t="shared" si="2"/>
        <v>1.9835750834155823E-2</v>
      </c>
      <c r="R16" s="1249">
        <f t="shared" si="3"/>
        <v>1.9835750834155823E-2</v>
      </c>
      <c r="S16" s="1249">
        <f t="shared" si="4"/>
        <v>1.9835750834155823E-2</v>
      </c>
      <c r="T16" s="1249">
        <f t="shared" si="5"/>
        <v>1.9835750834155823E-2</v>
      </c>
    </row>
    <row r="17" spans="2:20">
      <c r="B17" s="362" t="s">
        <v>1041</v>
      </c>
      <c r="D17" s="354">
        <f>SUMIF(IS!$B$9:$B$32,'SG&amp;A'!B17,IS!$C$9:$C$32)</f>
        <v>0</v>
      </c>
      <c r="E17" s="354">
        <f>SUMIF(IS!$B$9:$B$32,'SG&amp;A'!B17,IS!$D$9:$D$32)</f>
        <v>27940265000</v>
      </c>
      <c r="F17" s="354">
        <f>SUMIF(IS!$B$9:$B$32,'SG&amp;A'!B17,IS!$E$9:$E$32)</f>
        <v>32967097000</v>
      </c>
      <c r="G17" s="354">
        <f>SUMIF(IS!$B$9:$B$32,'SG&amp;A'!B17,IS!$F$9:$F$32)</f>
        <v>20465243000</v>
      </c>
      <c r="H17" s="354">
        <f t="shared" ref="H17:M17" si="14">+H5*$E$190</f>
        <v>20314071414.682205</v>
      </c>
      <c r="I17" s="354">
        <f t="shared" si="14"/>
        <v>43083527083.655334</v>
      </c>
      <c r="J17" s="354">
        <f t="shared" si="14"/>
        <v>47002733521.097656</v>
      </c>
      <c r="K17" s="354">
        <f t="shared" si="14"/>
        <v>49553178338.506645</v>
      </c>
      <c r="L17" s="354">
        <f t="shared" si="14"/>
        <v>52242014442.535774</v>
      </c>
      <c r="M17" s="354">
        <f t="shared" si="14"/>
        <v>55076751169.627708</v>
      </c>
      <c r="O17" s="1249">
        <f t="shared" si="2"/>
        <v>1.1120219048458722E-2</v>
      </c>
      <c r="P17" s="1249">
        <f t="shared" si="2"/>
        <v>1.1120219048458722E-2</v>
      </c>
      <c r="Q17" s="1249">
        <f t="shared" si="2"/>
        <v>1.1120219048458722E-2</v>
      </c>
      <c r="R17" s="1249">
        <f t="shared" si="3"/>
        <v>1.1120219048458722E-2</v>
      </c>
      <c r="S17" s="1249">
        <f t="shared" si="4"/>
        <v>1.1120219048458722E-2</v>
      </c>
      <c r="T17" s="1249">
        <f t="shared" si="5"/>
        <v>1.1120219048458722E-2</v>
      </c>
    </row>
    <row r="18" spans="2:20" s="230" customFormat="1">
      <c r="B18" s="363" t="s">
        <v>1042</v>
      </c>
      <c r="C18" s="356"/>
      <c r="D18" s="357">
        <f t="shared" ref="D18:M18" si="15">SUM(D19:D31)</f>
        <v>91228073169</v>
      </c>
      <c r="E18" s="357">
        <f t="shared" si="15"/>
        <v>109655643000</v>
      </c>
      <c r="F18" s="357">
        <f t="shared" si="15"/>
        <v>120231305000</v>
      </c>
      <c r="G18" s="357">
        <f t="shared" si="15"/>
        <v>60801047000</v>
      </c>
      <c r="H18" s="357">
        <f t="shared" si="15"/>
        <v>68662773568.671188</v>
      </c>
      <c r="I18" s="357">
        <f t="shared" si="15"/>
        <v>140568533813.39029</v>
      </c>
      <c r="J18" s="357">
        <f t="shared" si="15"/>
        <v>148865481425.12778</v>
      </c>
      <c r="K18" s="357">
        <f t="shared" si="15"/>
        <v>156099891976.38831</v>
      </c>
      <c r="L18" s="357">
        <f t="shared" si="15"/>
        <v>163251914770.3519</v>
      </c>
      <c r="M18" s="357">
        <f t="shared" si="15"/>
        <v>170226408728.71045</v>
      </c>
      <c r="O18" s="1248">
        <f t="shared" si="2"/>
        <v>3.7587003952663345E-2</v>
      </c>
      <c r="P18" s="1248">
        <f t="shared" si="2"/>
        <v>3.6281915459019896E-2</v>
      </c>
      <c r="Q18" s="1248">
        <f t="shared" si="2"/>
        <v>3.5219584866455336E-2</v>
      </c>
      <c r="R18" s="1248">
        <f t="shared" si="3"/>
        <v>3.5030346194146758E-2</v>
      </c>
      <c r="S18" s="1248">
        <f t="shared" si="4"/>
        <v>3.4749752123810131E-2</v>
      </c>
      <c r="T18" s="1248">
        <f t="shared" si="5"/>
        <v>3.4369401112017722E-2</v>
      </c>
    </row>
    <row r="19" spans="2:20">
      <c r="B19" s="362" t="s">
        <v>1043</v>
      </c>
      <c r="D19" s="354">
        <f>SUMIF(IS!$B$9:$B$32,'SG&amp;A'!B19,IS!$C$9:$C$32)</f>
        <v>50418894717</v>
      </c>
      <c r="E19" s="354">
        <f>SUMIF(IS!$B$9:$B$32,'SG&amp;A'!B19,IS!$D$9:$D$32)</f>
        <v>38412051000</v>
      </c>
      <c r="F19" s="354">
        <f>SUMIF(IS!$B$9:$B$32,'SG&amp;A'!B19,IS!$E$9:$E$32)</f>
        <v>37613578000</v>
      </c>
      <c r="G19" s="354">
        <f>SUMIF(IS!$B$9:$B$32,'SG&amp;A'!B19,IS!$F$9:$F$32)</f>
        <v>18808381000</v>
      </c>
      <c r="H19" s="354">
        <f>+F19*(1+$E$261)-G19</f>
        <v>21024398102</v>
      </c>
      <c r="I19" s="354">
        <f>+(G19+H19)*(1+$F$261)</f>
        <v>40788765800.447998</v>
      </c>
      <c r="J19" s="354">
        <f t="shared" ref="J19" si="16">+I19*(1+$G$261)</f>
        <v>42216372603.463676</v>
      </c>
      <c r="K19" s="354">
        <f t="shared" ref="K19" si="17">+J19*(1+$G$261)</f>
        <v>43693945644.5849</v>
      </c>
      <c r="L19" s="354">
        <f t="shared" ref="L19" si="18">+K19*(1+$G$261)</f>
        <v>45223233742.14537</v>
      </c>
      <c r="M19" s="354">
        <f t="shared" ref="M19" si="19">+L19*(1+$G$261)</f>
        <v>46806046923.120453</v>
      </c>
      <c r="O19" s="1249">
        <f t="shared" si="2"/>
        <v>1.1509062239845302E-2</v>
      </c>
      <c r="P19" s="1249">
        <f t="shared" si="2"/>
        <v>1.0527921948835495E-2</v>
      </c>
      <c r="Q19" s="1249">
        <f t="shared" si="2"/>
        <v>9.987829975274691E-3</v>
      </c>
      <c r="R19" s="1249">
        <f t="shared" si="3"/>
        <v>9.8053497868503398E-3</v>
      </c>
      <c r="S19" s="1249">
        <f t="shared" si="4"/>
        <v>9.6262035577795047E-3</v>
      </c>
      <c r="T19" s="1249">
        <f t="shared" si="5"/>
        <v>9.4503303757786823E-3</v>
      </c>
    </row>
    <row r="20" spans="2:20">
      <c r="B20" s="362" t="s">
        <v>1044</v>
      </c>
      <c r="D20" s="354">
        <f>SUMIF(IS!$B$9:$B$32,'SG&amp;A'!B20,IS!$C$9:$C$32)</f>
        <v>24462190892</v>
      </c>
      <c r="E20" s="354">
        <f>SUMIF(IS!$B$9:$B$32,'SG&amp;A'!B20,IS!$D$9:$D$32)</f>
        <v>45413231000</v>
      </c>
      <c r="F20" s="354">
        <f>SUMIF(IS!$B$9:$B$32,'SG&amp;A'!B20,IS!$E$9:$E$32)</f>
        <v>53038998000</v>
      </c>
      <c r="G20" s="354">
        <f>SUMIF(IS!$B$9:$B$32,'SG&amp;A'!B20,IS!$F$9:$F$32)</f>
        <v>27737871000</v>
      </c>
      <c r="H20" s="364">
        <f t="shared" ref="H20:M20" si="20">G225</f>
        <v>30569296455.671185</v>
      </c>
      <c r="I20" s="364">
        <f t="shared" si="20"/>
        <v>67704121025.678314</v>
      </c>
      <c r="J20" s="364">
        <f t="shared" si="20"/>
        <v>73450814189.845825</v>
      </c>
      <c r="K20" s="364">
        <f t="shared" si="20"/>
        <v>78045711387.871521</v>
      </c>
      <c r="L20" s="364">
        <f t="shared" si="20"/>
        <v>82465837861.237</v>
      </c>
      <c r="M20" s="364">
        <f t="shared" si="20"/>
        <v>86612819127.776596</v>
      </c>
      <c r="O20" s="1249">
        <f t="shared" si="2"/>
        <v>1.6734078846382474E-2</v>
      </c>
      <c r="P20" s="1249">
        <f t="shared" si="2"/>
        <v>1.747500047586693E-2</v>
      </c>
      <c r="Q20" s="1249">
        <f t="shared" si="2"/>
        <v>1.7377481731187007E-2</v>
      </c>
      <c r="R20" s="1249">
        <f t="shared" si="3"/>
        <v>1.751422281124411E-2</v>
      </c>
      <c r="S20" s="1249">
        <f t="shared" si="4"/>
        <v>1.7553652760468171E-2</v>
      </c>
      <c r="T20" s="1249">
        <f t="shared" si="5"/>
        <v>1.7487478848181335E-2</v>
      </c>
    </row>
    <row r="21" spans="2:20">
      <c r="B21" s="362" t="s">
        <v>841</v>
      </c>
      <c r="D21" s="354">
        <f>SUMIF(IS!$B$9:$B$32,'SG&amp;A'!B21,IS!$C$9:$C$32)</f>
        <v>5302192336</v>
      </c>
      <c r="E21" s="354">
        <f>SUMIF(IS!$B$9:$B$32,'SG&amp;A'!B21,IS!$D$9:$D$32)</f>
        <v>10083249000</v>
      </c>
      <c r="F21" s="354">
        <f>SUMIF(IS!$B$9:$B$32,'SG&amp;A'!B21,IS!$E$9:$E$32)</f>
        <v>11030370000</v>
      </c>
      <c r="G21" s="354">
        <f>SUMIF(IS!$B$9:$B$32,'SG&amp;A'!B21,IS!$F$9:$F$32)</f>
        <v>5895208000</v>
      </c>
      <c r="H21" s="354">
        <f t="shared" ref="H21:H31" si="21">+F21*(1+$E$261)-G21</f>
        <v>5785953830</v>
      </c>
      <c r="I21" s="354">
        <f t="shared" ref="I21:I31" si="22">+(G21+H21)*(1+$F$261)</f>
        <v>11961509713.92</v>
      </c>
      <c r="J21" s="354">
        <f t="shared" ref="J21:J31" si="23">+I21*(1+$G$261)</f>
        <v>12380162553.9072</v>
      </c>
      <c r="K21" s="354">
        <f t="shared" ref="K21:K31" si="24">+J21*(1+$G$261)</f>
        <v>12813468243.293951</v>
      </c>
      <c r="L21" s="354">
        <f t="shared" ref="L21:L31" si="25">+K21*(1+$G$261)</f>
        <v>13261939631.809238</v>
      </c>
      <c r="M21" s="354">
        <f t="shared" ref="M21:M31" si="26">+L21*(1+$G$261)</f>
        <v>13726107518.922562</v>
      </c>
      <c r="O21" s="1249">
        <f t="shared" si="2"/>
        <v>3.1673155361345005E-3</v>
      </c>
      <c r="P21" s="1249">
        <f t="shared" si="2"/>
        <v>3.0873658024976138E-3</v>
      </c>
      <c r="Q21" s="1249">
        <f t="shared" si="2"/>
        <v>2.9289811281545909E-3</v>
      </c>
      <c r="R21" s="1249">
        <f t="shared" si="3"/>
        <v>2.8754678996074342E-3</v>
      </c>
      <c r="S21" s="1249">
        <f t="shared" si="4"/>
        <v>2.8229323713267673E-3</v>
      </c>
      <c r="T21" s="1249">
        <f t="shared" si="5"/>
        <v>2.7713566804805946E-3</v>
      </c>
    </row>
    <row r="22" spans="2:20">
      <c r="B22" s="362" t="s">
        <v>840</v>
      </c>
      <c r="D22" s="354">
        <f>SUMIF(IS!$B$9:$B$32,'SG&amp;A'!B22,IS!$C$9:$C$32)</f>
        <v>4428873774</v>
      </c>
      <c r="E22" s="354">
        <f>SUMIF(IS!$B$9:$B$32,'SG&amp;A'!B22,IS!$D$9:$D$32)</f>
        <v>2809111000</v>
      </c>
      <c r="F22" s="354">
        <f>SUMIF(IS!$B$9:$B$32,'SG&amp;A'!B22,IS!$E$9:$E$32)</f>
        <v>3180943000</v>
      </c>
      <c r="G22" s="354">
        <f>SUMIF(IS!$B$9:$B$32,'SG&amp;A'!B22,IS!$F$9:$F$32)</f>
        <v>806946000</v>
      </c>
      <c r="H22" s="354">
        <f t="shared" si="21"/>
        <v>2561672637</v>
      </c>
      <c r="I22" s="354">
        <f t="shared" si="22"/>
        <v>3449465484.2880001</v>
      </c>
      <c r="J22" s="354">
        <f t="shared" si="23"/>
        <v>3570196776.23808</v>
      </c>
      <c r="K22" s="354">
        <f t="shared" si="24"/>
        <v>3695153663.4064126</v>
      </c>
      <c r="L22" s="354">
        <f t="shared" si="25"/>
        <v>3824484041.6256366</v>
      </c>
      <c r="M22" s="354">
        <f t="shared" si="26"/>
        <v>3958340983.0825334</v>
      </c>
      <c r="O22" s="1249">
        <f t="shared" si="2"/>
        <v>1.4022969729885894E-3</v>
      </c>
      <c r="P22" s="1249">
        <f t="shared" si="2"/>
        <v>8.903359214508822E-4</v>
      </c>
      <c r="Q22" s="1249">
        <f t="shared" si="2"/>
        <v>8.4466087871353803E-4</v>
      </c>
      <c r="R22" s="1249">
        <f t="shared" si="3"/>
        <v>8.2922871009594157E-4</v>
      </c>
      <c r="S22" s="1249">
        <f t="shared" si="4"/>
        <v>8.1407849111546403E-4</v>
      </c>
      <c r="T22" s="1249">
        <f t="shared" si="5"/>
        <v>7.9920507048068042E-4</v>
      </c>
    </row>
    <row r="23" spans="2:20">
      <c r="B23" s="362" t="s">
        <v>839</v>
      </c>
      <c r="D23" s="354">
        <f>SUMIF(IS!$B$9:$B$32,'SG&amp;A'!B23,IS!$C$9:$C$32)</f>
        <v>1301576639</v>
      </c>
      <c r="E23" s="354">
        <f>SUMIF(IS!$B$9:$B$32,'SG&amp;A'!B23,IS!$D$9:$D$32)</f>
        <v>2054177000</v>
      </c>
      <c r="F23" s="354">
        <f>SUMIF(IS!$B$9:$B$32,'SG&amp;A'!B23,IS!$E$9:$E$32)</f>
        <v>2692756000</v>
      </c>
      <c r="G23" s="354">
        <f>SUMIF(IS!$B$9:$B$32,'SG&amp;A'!B23,IS!$F$9:$F$32)</f>
        <v>1533015000</v>
      </c>
      <c r="H23" s="354">
        <f t="shared" si="21"/>
        <v>1318613604</v>
      </c>
      <c r="I23" s="354">
        <f t="shared" si="22"/>
        <v>2920067690.4960003</v>
      </c>
      <c r="J23" s="354">
        <f t="shared" si="23"/>
        <v>3022270059.6633601</v>
      </c>
      <c r="K23" s="354">
        <f t="shared" si="24"/>
        <v>3128049511.7515774</v>
      </c>
      <c r="L23" s="354">
        <f t="shared" si="25"/>
        <v>3237531244.6628823</v>
      </c>
      <c r="M23" s="354">
        <f t="shared" si="26"/>
        <v>3350844838.2260828</v>
      </c>
      <c r="O23" s="1249">
        <f t="shared" si="2"/>
        <v>7.2182832369879215E-4</v>
      </c>
      <c r="P23" s="1249">
        <f t="shared" si="2"/>
        <v>7.5369391859658969E-4</v>
      </c>
      <c r="Q23" s="1249">
        <f t="shared" si="2"/>
        <v>7.1502873491324803E-4</v>
      </c>
      <c r="R23" s="1249">
        <f t="shared" si="3"/>
        <v>7.019649784617666E-4</v>
      </c>
      <c r="S23" s="1249">
        <f t="shared" si="4"/>
        <v>6.8913990015605827E-4</v>
      </c>
      <c r="T23" s="1249">
        <f t="shared" si="5"/>
        <v>6.7654913928582661E-4</v>
      </c>
    </row>
    <row r="24" spans="2:20">
      <c r="B24" s="362" t="s">
        <v>838</v>
      </c>
      <c r="D24" s="354">
        <f>SUMIF(IS!$B$9:$B$32,'SG&amp;A'!B24,IS!$C$9:$C$32)</f>
        <v>906045293</v>
      </c>
      <c r="E24" s="354">
        <f>SUMIF(IS!$B$9:$B$32,'SG&amp;A'!B24,IS!$D$9:$D$32)</f>
        <v>1592467000</v>
      </c>
      <c r="F24" s="354">
        <f>SUMIF(IS!$B$9:$B$32,'SG&amp;A'!B24,IS!$E$9:$E$32)</f>
        <v>1675418000</v>
      </c>
      <c r="G24" s="354">
        <f>SUMIF(IS!$B$9:$B$32,'SG&amp;A'!B24,IS!$F$9:$F$32)</f>
        <v>810961000</v>
      </c>
      <c r="H24" s="354">
        <f t="shared" si="21"/>
        <v>963306662</v>
      </c>
      <c r="I24" s="354">
        <f t="shared" si="22"/>
        <v>1816850085.888</v>
      </c>
      <c r="J24" s="354">
        <f t="shared" si="23"/>
        <v>1880439838.8940799</v>
      </c>
      <c r="K24" s="354">
        <f t="shared" si="24"/>
        <v>1946255233.2553725</v>
      </c>
      <c r="L24" s="354">
        <f t="shared" si="25"/>
        <v>2014374166.4193103</v>
      </c>
      <c r="M24" s="354">
        <f t="shared" si="26"/>
        <v>2084877262.2439861</v>
      </c>
      <c r="O24" s="1249">
        <f t="shared" ref="O24:Q34" si="27">H24/H$5</f>
        <v>5.2732812017866832E-4</v>
      </c>
      <c r="P24" s="1249">
        <f t="shared" si="27"/>
        <v>4.6894421837970505E-4</v>
      </c>
      <c r="Q24" s="1249">
        <f t="shared" si="27"/>
        <v>4.4488695336335118E-4</v>
      </c>
      <c r="R24" s="1249">
        <f t="shared" si="3"/>
        <v>4.3675875581911463E-4</v>
      </c>
      <c r="S24" s="1249">
        <f t="shared" si="4"/>
        <v>4.2877906250683788E-4</v>
      </c>
      <c r="T24" s="1249">
        <f t="shared" si="5"/>
        <v>4.2094516021651463E-4</v>
      </c>
    </row>
    <row r="25" spans="2:20">
      <c r="B25" s="362" t="s">
        <v>837</v>
      </c>
      <c r="D25" s="354">
        <f>SUMIF(IS!$B$9:$B$32,'SG&amp;A'!B25,IS!$C$9:$C$32)</f>
        <v>535488362</v>
      </c>
      <c r="E25" s="354">
        <f>SUMIF(IS!$B$9:$B$32,'SG&amp;A'!B25,IS!$D$9:$D$32)</f>
        <v>1589393000</v>
      </c>
      <c r="F25" s="354">
        <f>SUMIF(IS!$B$9:$B$32,'SG&amp;A'!B25,IS!$E$9:$E$32)</f>
        <v>1616406000</v>
      </c>
      <c r="G25" s="354">
        <f>SUMIF(IS!$B$9:$B$32,'SG&amp;A'!B25,IS!$F$9:$F$32)</f>
        <v>621261000</v>
      </c>
      <c r="H25" s="354">
        <f t="shared" si="21"/>
        <v>1090512954</v>
      </c>
      <c r="I25" s="354">
        <f t="shared" si="22"/>
        <v>1752856528.8960001</v>
      </c>
      <c r="J25" s="354">
        <f t="shared" si="23"/>
        <v>1814206507.4073601</v>
      </c>
      <c r="K25" s="354">
        <f t="shared" si="24"/>
        <v>1877703735.1666176</v>
      </c>
      <c r="L25" s="354">
        <f t="shared" si="25"/>
        <v>1943423365.897449</v>
      </c>
      <c r="M25" s="354">
        <f t="shared" si="26"/>
        <v>2011443183.7038596</v>
      </c>
      <c r="O25" s="1249">
        <f t="shared" si="27"/>
        <v>5.9696270019495262E-4</v>
      </c>
      <c r="P25" s="1249">
        <f t="shared" si="27"/>
        <v>4.5242694554688175E-4</v>
      </c>
      <c r="Q25" s="1249">
        <f t="shared" si="27"/>
        <v>4.2921703165314036E-4</v>
      </c>
      <c r="R25" s="1249">
        <f t="shared" si="3"/>
        <v>4.213751275553635E-4</v>
      </c>
      <c r="S25" s="1249">
        <f t="shared" si="4"/>
        <v>4.1367649703562211E-4</v>
      </c>
      <c r="T25" s="1249">
        <f t="shared" si="5"/>
        <v>4.0611852244928464E-4</v>
      </c>
    </row>
    <row r="26" spans="2:20">
      <c r="B26" s="362" t="s">
        <v>1045</v>
      </c>
      <c r="D26" s="354">
        <f>SUMIF(IS!$B$9:$B$32,'SG&amp;A'!B26,IS!$C$9:$C$32)</f>
        <v>1583124441</v>
      </c>
      <c r="E26" s="354">
        <f>SUMIF(IS!$B$9:$B$32,'SG&amp;A'!B26,IS!$D$9:$D$32)</f>
        <v>3290791000</v>
      </c>
      <c r="F26" s="354">
        <f>SUMIF(IS!$B$9:$B$32,'SG&amp;A'!B26,IS!$E$9:$E$32)</f>
        <v>4054120000</v>
      </c>
      <c r="G26" s="354">
        <f>SUMIF(IS!$B$9:$B$32,'SG&amp;A'!B26,IS!$F$9:$F$32)</f>
        <v>2055020000</v>
      </c>
      <c r="H26" s="354">
        <f t="shared" si="21"/>
        <v>2238293080</v>
      </c>
      <c r="I26" s="354">
        <f t="shared" si="22"/>
        <v>4396352593.9200001</v>
      </c>
      <c r="J26" s="354">
        <f t="shared" si="23"/>
        <v>4550224934.7072001</v>
      </c>
      <c r="K26" s="354">
        <f t="shared" si="24"/>
        <v>4709482807.4219513</v>
      </c>
      <c r="L26" s="354">
        <f t="shared" si="25"/>
        <v>4874314705.6817188</v>
      </c>
      <c r="M26" s="354">
        <f t="shared" si="26"/>
        <v>5044915720.380579</v>
      </c>
      <c r="O26" s="1249">
        <f t="shared" si="27"/>
        <v>1.2252742857967712E-3</v>
      </c>
      <c r="P26" s="1249">
        <f t="shared" si="27"/>
        <v>1.134735412068827E-3</v>
      </c>
      <c r="Q26" s="1249">
        <f t="shared" si="27"/>
        <v>1.07652245312479E-3</v>
      </c>
      <c r="R26" s="1249">
        <f t="shared" si="3"/>
        <v>1.0568541146993701E-3</v>
      </c>
      <c r="S26" s="1249">
        <f t="shared" si="4"/>
        <v>1.0375451218085406E-3</v>
      </c>
      <c r="T26" s="1249">
        <f t="shared" si="5"/>
        <v>1.0185889091181878E-3</v>
      </c>
    </row>
    <row r="27" spans="2:20">
      <c r="B27" s="362" t="s">
        <v>1046</v>
      </c>
      <c r="D27" s="354">
        <f>SUMIF(IS!$B$9:$B$32,'SG&amp;A'!B27,IS!$C$9:$C$32)</f>
        <v>361533410</v>
      </c>
      <c r="E27" s="354">
        <f>SUMIF(IS!$B$9:$B$32,'SG&amp;A'!B27,IS!$D$9:$D$32)</f>
        <v>927633000</v>
      </c>
      <c r="F27" s="354">
        <f>SUMIF(IS!$B$9:$B$32,'SG&amp;A'!B27,IS!$E$9:$E$32)</f>
        <v>687244000</v>
      </c>
      <c r="G27" s="354">
        <f>SUMIF(IS!$B$9:$B$32,'SG&amp;A'!B27,IS!$F$9:$F$32)</f>
        <v>291174000</v>
      </c>
      <c r="H27" s="354">
        <f t="shared" si="21"/>
        <v>436617396</v>
      </c>
      <c r="I27" s="354">
        <f t="shared" si="22"/>
        <v>745258389.50400007</v>
      </c>
      <c r="J27" s="354">
        <f t="shared" si="23"/>
        <v>771342433.13663995</v>
      </c>
      <c r="K27" s="354">
        <f t="shared" si="24"/>
        <v>798339418.29642224</v>
      </c>
      <c r="L27" s="354">
        <f t="shared" si="25"/>
        <v>826281297.9367969</v>
      </c>
      <c r="M27" s="354">
        <f t="shared" si="26"/>
        <v>855201143.36458468</v>
      </c>
      <c r="O27" s="1249">
        <f t="shared" si="27"/>
        <v>2.3901073225421668E-4</v>
      </c>
      <c r="P27" s="1249">
        <f t="shared" si="27"/>
        <v>1.9235742985699214E-4</v>
      </c>
      <c r="Q27" s="1249">
        <f t="shared" si="27"/>
        <v>1.824893187116546E-4</v>
      </c>
      <c r="R27" s="1249">
        <f t="shared" si="3"/>
        <v>1.7915519254547321E-4</v>
      </c>
      <c r="S27" s="1249">
        <f t="shared" si="4"/>
        <v>1.7588198171050406E-4</v>
      </c>
      <c r="T27" s="1249">
        <f t="shared" si="5"/>
        <v>1.726685732681864E-4</v>
      </c>
    </row>
    <row r="28" spans="2:20">
      <c r="B28" s="362" t="s">
        <v>834</v>
      </c>
      <c r="D28" s="354">
        <f>SUMIF(IS!$B$9:$B$32,'SG&amp;A'!B28,IS!$C$9:$C$32)</f>
        <v>806107754</v>
      </c>
      <c r="E28" s="354">
        <f>SUMIF(IS!$B$9:$B$32,'SG&amp;A'!B28,IS!$D$9:$D$32)</f>
        <v>1392467000</v>
      </c>
      <c r="F28" s="354">
        <f>SUMIF(IS!$B$9:$B$32,'SG&amp;A'!B28,IS!$E$9:$E$32)</f>
        <v>1437507000</v>
      </c>
      <c r="G28" s="354">
        <f>SUMIF(IS!$B$9:$B$32,'SG&amp;A'!B28,IS!$F$9:$F$32)</f>
        <v>739795000</v>
      </c>
      <c r="H28" s="354">
        <f t="shared" si="21"/>
        <v>782524913</v>
      </c>
      <c r="I28" s="354">
        <f t="shared" si="22"/>
        <v>1558855590.9119999</v>
      </c>
      <c r="J28" s="354">
        <f t="shared" si="23"/>
        <v>1613415536.5939198</v>
      </c>
      <c r="K28" s="354">
        <f t="shared" si="24"/>
        <v>1669885080.3747067</v>
      </c>
      <c r="L28" s="354">
        <f t="shared" si="25"/>
        <v>1728331058.1878214</v>
      </c>
      <c r="M28" s="354">
        <f t="shared" si="26"/>
        <v>1788822645.224395</v>
      </c>
      <c r="O28" s="1249">
        <f t="shared" si="27"/>
        <v>4.2836555340387128E-4</v>
      </c>
      <c r="P28" s="1249">
        <f t="shared" si="27"/>
        <v>4.0235367921936775E-4</v>
      </c>
      <c r="Q28" s="1249">
        <f t="shared" si="27"/>
        <v>3.8171256944147122E-4</v>
      </c>
      <c r="R28" s="1249">
        <f t="shared" si="3"/>
        <v>3.7473858392429114E-4</v>
      </c>
      <c r="S28" s="1249">
        <f t="shared" si="4"/>
        <v>3.6789201489241313E-4</v>
      </c>
      <c r="T28" s="1249">
        <f t="shared" si="5"/>
        <v>3.6117053441431403E-4</v>
      </c>
    </row>
    <row r="29" spans="2:20">
      <c r="B29" s="362" t="s">
        <v>833</v>
      </c>
      <c r="D29" s="354">
        <f>SUMIF(IS!$B$9:$B$32,'SG&amp;A'!B29,IS!$C$9:$C$32)</f>
        <v>262373891</v>
      </c>
      <c r="E29" s="354">
        <f>SUMIF(IS!$B$9:$B$32,'SG&amp;A'!B29,IS!$D$9:$D$32)</f>
        <v>366274000</v>
      </c>
      <c r="F29" s="354">
        <f>SUMIF(IS!$B$9:$B$32,'SG&amp;A'!B29,IS!$E$9:$E$32)</f>
        <v>366977000</v>
      </c>
      <c r="G29" s="354">
        <f>SUMIF(IS!$B$9:$B$32,'SG&amp;A'!B29,IS!$F$9:$F$32)</f>
        <v>150423000</v>
      </c>
      <c r="H29" s="354">
        <f t="shared" si="21"/>
        <v>238205643</v>
      </c>
      <c r="I29" s="354">
        <f t="shared" si="22"/>
        <v>397955730.43199998</v>
      </c>
      <c r="J29" s="354">
        <f t="shared" si="23"/>
        <v>411884180.99711996</v>
      </c>
      <c r="K29" s="354">
        <f t="shared" si="24"/>
        <v>426300127.33201915</v>
      </c>
      <c r="L29" s="354">
        <f t="shared" si="25"/>
        <v>441220631.78863978</v>
      </c>
      <c r="M29" s="354">
        <f t="shared" si="26"/>
        <v>456663353.90124214</v>
      </c>
      <c r="O29" s="1249">
        <f t="shared" si="27"/>
        <v>1.3039724409083444E-4</v>
      </c>
      <c r="P29" s="1249">
        <f t="shared" si="27"/>
        <v>1.0271570582883137E-4</v>
      </c>
      <c r="Q29" s="1249">
        <f t="shared" si="27"/>
        <v>9.7446296676066826E-5</v>
      </c>
      <c r="R29" s="1249">
        <f t="shared" si="3"/>
        <v>9.5665928105243727E-5</v>
      </c>
      <c r="S29" s="1249">
        <f t="shared" si="4"/>
        <v>9.3918087320043033E-5</v>
      </c>
      <c r="T29" s="1249">
        <f t="shared" si="5"/>
        <v>9.2202180029566283E-5</v>
      </c>
    </row>
    <row r="30" spans="2:20">
      <c r="B30" s="346" t="s">
        <v>832</v>
      </c>
      <c r="D30" s="354">
        <f>SUMIF(IS!$B$9:$B$32,'SG&amp;A'!B30,IS!$C$9:$C$32)</f>
        <v>226288523</v>
      </c>
      <c r="E30" s="354">
        <f>SUMIF(IS!$B$9:$B$32,'SG&amp;A'!B30,IS!$D$9:$D$32)</f>
        <v>314564000</v>
      </c>
      <c r="F30" s="354">
        <f>SUMIF(IS!$B$9:$B$32,'SG&amp;A'!B30,IS!$E$9:$E$32)</f>
        <v>439229000</v>
      </c>
      <c r="G30" s="354">
        <f>SUMIF(IS!$B$9:$B$32,'SG&amp;A'!B30,IS!$F$9:$F$32)</f>
        <v>177657000</v>
      </c>
      <c r="H30" s="354">
        <f t="shared" si="21"/>
        <v>287486511</v>
      </c>
      <c r="I30" s="354">
        <f t="shared" si="22"/>
        <v>476306955.264</v>
      </c>
      <c r="J30" s="354">
        <f t="shared" si="23"/>
        <v>492977698.69823998</v>
      </c>
      <c r="K30" s="354">
        <f t="shared" si="24"/>
        <v>510231918.15267837</v>
      </c>
      <c r="L30" s="354">
        <f t="shared" si="25"/>
        <v>528090035.2880221</v>
      </c>
      <c r="M30" s="354">
        <f t="shared" si="26"/>
        <v>546573186.52310288</v>
      </c>
      <c r="O30" s="1249">
        <f t="shared" si="27"/>
        <v>1.5737431017824108E-4</v>
      </c>
      <c r="P30" s="1249">
        <f t="shared" si="27"/>
        <v>1.2293881293784563E-4</v>
      </c>
      <c r="Q30" s="1249">
        <f t="shared" si="27"/>
        <v>1.1663193999278472E-4</v>
      </c>
      <c r="R30" s="1249">
        <f t="shared" si="3"/>
        <v>1.1450104484950855E-4</v>
      </c>
      <c r="S30" s="1249">
        <f t="shared" si="4"/>
        <v>1.1240908170129242E-4</v>
      </c>
      <c r="T30" s="1249">
        <f t="shared" si="5"/>
        <v>1.1035533925070611E-4</v>
      </c>
    </row>
    <row r="31" spans="2:20">
      <c r="B31" s="346" t="s">
        <v>831</v>
      </c>
      <c r="D31" s="354">
        <f>SUMIF(IS!$B$9:$B$32,'SG&amp;A'!B31,IS!$C$9:$C$32)</f>
        <v>633383137</v>
      </c>
      <c r="E31" s="354">
        <f>SUMIF(IS!$B$9:$B$32,'SG&amp;A'!B31,IS!$D$9:$D$32)</f>
        <v>1410235000</v>
      </c>
      <c r="F31" s="354">
        <f>SUMIF(IS!$B$9:$B$32,'SG&amp;A'!B31,IS!$E$9:$E$32)</f>
        <v>2397759000</v>
      </c>
      <c r="G31" s="354">
        <f>SUMIF(IS!$B$9:$B$32,'SG&amp;A'!B31,IS!$F$9:$F$32)</f>
        <v>1173335000</v>
      </c>
      <c r="H31" s="354">
        <f t="shared" si="21"/>
        <v>1365891781</v>
      </c>
      <c r="I31" s="354">
        <f t="shared" si="22"/>
        <v>2600168223.744</v>
      </c>
      <c r="J31" s="354">
        <f t="shared" si="23"/>
        <v>2691174111.5750399</v>
      </c>
      <c r="K31" s="354">
        <f t="shared" si="24"/>
        <v>2785365205.480166</v>
      </c>
      <c r="L31" s="354">
        <f t="shared" si="25"/>
        <v>2882852987.6719713</v>
      </c>
      <c r="M31" s="354">
        <f t="shared" si="26"/>
        <v>2983752842.24049</v>
      </c>
      <c r="O31" s="1249">
        <f t="shared" si="27"/>
        <v>7.4770908751612395E-4</v>
      </c>
      <c r="P31" s="1249">
        <f t="shared" si="27"/>
        <v>6.7112518793393833E-4</v>
      </c>
      <c r="Q31" s="1249">
        <f t="shared" si="27"/>
        <v>6.3669585524899191E-4</v>
      </c>
      <c r="R31" s="1249">
        <f t="shared" si="3"/>
        <v>6.2506326038880115E-4</v>
      </c>
      <c r="S31" s="1249">
        <f t="shared" si="4"/>
        <v>6.136431959889013E-4</v>
      </c>
      <c r="T31" s="1249">
        <f t="shared" si="5"/>
        <v>6.024317790638454E-4</v>
      </c>
    </row>
    <row r="32" spans="2:20" s="230" customFormat="1">
      <c r="B32" s="365" t="s">
        <v>1047</v>
      </c>
      <c r="C32" s="356"/>
      <c r="D32" s="357">
        <f t="shared" ref="D32:M32" si="28">SUM(D33:D34)</f>
        <v>71639902925</v>
      </c>
      <c r="E32" s="357">
        <f t="shared" si="28"/>
        <v>35570683000</v>
      </c>
      <c r="F32" s="357">
        <f t="shared" si="28"/>
        <v>36597596000</v>
      </c>
      <c r="G32" s="357">
        <f t="shared" si="28"/>
        <v>19756434000</v>
      </c>
      <c r="H32" s="357">
        <f t="shared" si="28"/>
        <v>20373754823.02494</v>
      </c>
      <c r="I32" s="357">
        <f t="shared" si="28"/>
        <v>41712567842.565323</v>
      </c>
      <c r="J32" s="357">
        <f t="shared" si="28"/>
        <v>42240075110.009781</v>
      </c>
      <c r="K32" s="357">
        <f t="shared" si="28"/>
        <v>42317200624.463837</v>
      </c>
      <c r="L32" s="357">
        <f t="shared" si="28"/>
        <v>43234606539.975533</v>
      </c>
      <c r="M32" s="357">
        <f t="shared" si="28"/>
        <v>43022552109.107697</v>
      </c>
      <c r="O32" s="1248">
        <f t="shared" si="27"/>
        <v>1.1152890616889368E-2</v>
      </c>
      <c r="P32" s="1248">
        <f t="shared" si="27"/>
        <v>1.0766362990252817E-2</v>
      </c>
      <c r="Q32" s="1248">
        <f t="shared" si="27"/>
        <v>9.9934376717860408E-3</v>
      </c>
      <c r="R32" s="1248">
        <f t="shared" si="3"/>
        <v>9.496394706450903E-3</v>
      </c>
      <c r="S32" s="1248">
        <f t="shared" si="4"/>
        <v>9.2029049861255211E-3</v>
      </c>
      <c r="T32" s="1248">
        <f t="shared" si="5"/>
        <v>8.6864274547267424E-3</v>
      </c>
    </row>
    <row r="33" spans="2:20">
      <c r="B33" s="346" t="s">
        <v>829</v>
      </c>
      <c r="D33" s="354">
        <f>SUMIF(IS!$B$9:$B$32,'SG&amp;A'!B33,IS!$C$9:$C$32)</f>
        <v>19307619867</v>
      </c>
      <c r="E33" s="354">
        <f>SUMIF(IS!$B$9:$B$32,'SG&amp;A'!B33,IS!$D$9:$D$32)</f>
        <v>35250284000</v>
      </c>
      <c r="F33" s="354">
        <f>SUMIF(IS!$B$9:$B$32,'SG&amp;A'!B33,IS!$E$9:$E$32)</f>
        <v>36189728000</v>
      </c>
      <c r="G33" s="354">
        <f>SUMIF(IS!$B$9:$B$32,'SG&amp;A'!B33,IS!$F$9:$F$32)</f>
        <v>19527250000</v>
      </c>
      <c r="H33" s="364">
        <f>CAPEX!I20*1000000</f>
        <v>19981129679.82494</v>
      </c>
      <c r="I33" s="364">
        <f>CAPEX!J20*1000000</f>
        <v>40901901556.165321</v>
      </c>
      <c r="J33" s="364">
        <f>CAPEX!K20*1000000</f>
        <v>41375188023.609779</v>
      </c>
      <c r="K33" s="364">
        <f>CAPEX!L20*1000000</f>
        <v>41416397680.143837</v>
      </c>
      <c r="L33" s="364">
        <f>CAPEX!M20*1000000</f>
        <v>42308370678.76593</v>
      </c>
      <c r="M33" s="364">
        <f>CAPEX!N20*1000000</f>
        <v>42465173174.223091</v>
      </c>
      <c r="O33" s="1249">
        <f t="shared" si="27"/>
        <v>1.0937961885608014E-2</v>
      </c>
      <c r="P33" s="1249">
        <f t="shared" si="27"/>
        <v>1.0557123234592502E-2</v>
      </c>
      <c r="Q33" s="1249">
        <f t="shared" si="27"/>
        <v>9.7888169373635588E-3</v>
      </c>
      <c r="R33" s="1249">
        <f t="shared" si="3"/>
        <v>9.2942456940927811E-3</v>
      </c>
      <c r="S33" s="1295">
        <f t="shared" si="4"/>
        <v>9.0057467069684614E-3</v>
      </c>
      <c r="T33" s="1295">
        <f t="shared" si="5"/>
        <v>8.5738903911329947E-3</v>
      </c>
    </row>
    <row r="34" spans="2:20">
      <c r="B34" s="346" t="s">
        <v>870</v>
      </c>
      <c r="D34" s="354">
        <f>SUMIF(IS!$B$9:$B$32,'SG&amp;A'!B34,IS!$C$9:$C$32)</f>
        <v>52332283058</v>
      </c>
      <c r="E34" s="354">
        <f>SUMIF(IS!$B$9:$B$32,'SG&amp;A'!B34,IS!$D$9:$D$32)</f>
        <v>320399000</v>
      </c>
      <c r="F34" s="354">
        <f>SUMIF(IS!$B$9:$B$32,'SG&amp;A'!B34,IS!$E$9:$E$32)</f>
        <v>407868000</v>
      </c>
      <c r="G34" s="354">
        <f>SUMIF(IS!$B$9:$B$32,'SG&amp;A'!B34,IS!$F$9:$F$32)</f>
        <v>229184000</v>
      </c>
      <c r="H34" s="364">
        <f>CAPEX!I21*1000000</f>
        <v>392625143.20000005</v>
      </c>
      <c r="I34" s="364">
        <f>CAPEX!J21*1000000</f>
        <v>810666286.4000001</v>
      </c>
      <c r="J34" s="364">
        <f>CAPEX!K21*1000000</f>
        <v>864887086.4000001</v>
      </c>
      <c r="K34" s="364">
        <f>CAPEX!L21*1000000</f>
        <v>900802944.32000005</v>
      </c>
      <c r="L34" s="364">
        <f>CAPEX!M21*1000000</f>
        <v>926235861.20959997</v>
      </c>
      <c r="M34" s="364">
        <f>CAPEX!N21*1000000</f>
        <v>557378934.88460791</v>
      </c>
      <c r="O34" s="1249">
        <f t="shared" si="27"/>
        <v>2.149287312813544E-4</v>
      </c>
      <c r="P34" s="1249">
        <f t="shared" si="27"/>
        <v>2.092397556603143E-4</v>
      </c>
      <c r="Q34" s="1249">
        <f t="shared" si="27"/>
        <v>2.0462073442248263E-4</v>
      </c>
      <c r="R34" s="1249">
        <f t="shared" si="3"/>
        <v>2.0214901235812125E-4</v>
      </c>
      <c r="S34" s="1249">
        <f t="shared" si="4"/>
        <v>1.9715827915705875E-4</v>
      </c>
      <c r="T34" s="1249">
        <f t="shared" si="5"/>
        <v>1.125370635937484E-4</v>
      </c>
    </row>
    <row r="35" spans="2:20" ht="15" thickBot="1">
      <c r="B35" s="366" t="s">
        <v>869</v>
      </c>
      <c r="C35" s="366"/>
      <c r="D35" s="367">
        <f t="shared" ref="D35:M35" si="29">+D8+D13+D18+D32</f>
        <v>330026208097</v>
      </c>
      <c r="E35" s="367">
        <f t="shared" si="29"/>
        <v>476792342000</v>
      </c>
      <c r="F35" s="367">
        <f t="shared" si="29"/>
        <v>545797121000</v>
      </c>
      <c r="G35" s="367">
        <f t="shared" si="29"/>
        <v>284644701000</v>
      </c>
      <c r="H35" s="367">
        <f t="shared" si="29"/>
        <v>303638234491.01385</v>
      </c>
      <c r="I35" s="367">
        <f t="shared" si="29"/>
        <v>648065320557.91199</v>
      </c>
      <c r="J35" s="367">
        <f t="shared" si="29"/>
        <v>699825442110.68835</v>
      </c>
      <c r="K35" s="367">
        <f t="shared" si="29"/>
        <v>739620438117.73633</v>
      </c>
      <c r="L35" s="367">
        <f t="shared" si="29"/>
        <v>781180763666.3186</v>
      </c>
      <c r="M35" s="367">
        <f t="shared" si="29"/>
        <v>822343305040.78101</v>
      </c>
    </row>
    <row r="36" spans="2:20">
      <c r="B36" s="368" t="s">
        <v>1048</v>
      </c>
      <c r="E36" s="346"/>
      <c r="G36" s="346"/>
      <c r="I36" s="346"/>
    </row>
    <row r="37" spans="2:20">
      <c r="B37" s="368"/>
      <c r="E37" s="346"/>
      <c r="G37" s="346"/>
      <c r="I37" s="346"/>
    </row>
    <row r="38" spans="2:20">
      <c r="B38" s="368"/>
      <c r="E38" s="346"/>
      <c r="G38" s="346"/>
      <c r="I38" s="346"/>
    </row>
    <row r="39" spans="2:20">
      <c r="B39" s="617" t="s">
        <v>1395</v>
      </c>
      <c r="C39" s="618"/>
      <c r="D39" s="628"/>
      <c r="E39" s="618"/>
      <c r="F39" s="618"/>
      <c r="G39" s="618"/>
      <c r="H39" s="618"/>
      <c r="I39" s="618"/>
      <c r="J39" s="618"/>
      <c r="K39" s="618"/>
      <c r="L39" s="618"/>
      <c r="M39" s="619"/>
    </row>
    <row r="40" spans="2:20">
      <c r="B40" s="620" t="s">
        <v>853</v>
      </c>
      <c r="C40" s="358"/>
      <c r="D40" s="629"/>
      <c r="E40" s="358"/>
      <c r="F40" s="358"/>
      <c r="G40" s="358"/>
      <c r="H40" s="358"/>
      <c r="I40" s="358"/>
      <c r="J40" s="358"/>
      <c r="K40" s="358"/>
      <c r="L40" s="358"/>
      <c r="M40" s="621"/>
    </row>
    <row r="41" spans="2:20">
      <c r="B41" s="620" t="s">
        <v>852</v>
      </c>
      <c r="C41" s="358"/>
      <c r="D41" s="622">
        <f t="shared" ref="D41:G41" si="30">D10/D$9</f>
        <v>0.10270986534989913</v>
      </c>
      <c r="E41" s="622">
        <f t="shared" si="30"/>
        <v>7.8777847685315483E-2</v>
      </c>
      <c r="F41" s="622">
        <f t="shared" si="30"/>
        <v>7.6996437956218702E-2</v>
      </c>
      <c r="G41" s="622">
        <f t="shared" si="30"/>
        <v>8.6935451201437267E-2</v>
      </c>
      <c r="H41" s="622">
        <f>H10/H$9</f>
        <v>7.9717629848944815E-2</v>
      </c>
      <c r="I41" s="622">
        <f t="shared" ref="I41:M41" si="31">I10/I$9</f>
        <v>7.9717629848944815E-2</v>
      </c>
      <c r="J41" s="622">
        <f t="shared" si="31"/>
        <v>7.9717629848944815E-2</v>
      </c>
      <c r="K41" s="622">
        <f t="shared" si="31"/>
        <v>7.9717629848944815E-2</v>
      </c>
      <c r="L41" s="622">
        <f t="shared" si="31"/>
        <v>7.9717629848944815E-2</v>
      </c>
      <c r="M41" s="622">
        <f t="shared" si="31"/>
        <v>7.9717629848944815E-2</v>
      </c>
    </row>
    <row r="42" spans="2:20">
      <c r="B42" s="620" t="s">
        <v>851</v>
      </c>
      <c r="C42" s="358"/>
      <c r="D42" s="622">
        <f t="shared" ref="D42:G42" si="32">D11/D$9</f>
        <v>0.27470801776963705</v>
      </c>
      <c r="E42" s="622">
        <f t="shared" si="32"/>
        <v>0.27063206763797826</v>
      </c>
      <c r="F42" s="622">
        <f t="shared" si="32"/>
        <v>0.25788371220933592</v>
      </c>
      <c r="G42" s="622">
        <f t="shared" si="32"/>
        <v>0.27648351924035786</v>
      </c>
      <c r="H42" s="622">
        <f>H11/H$9</f>
        <v>0.26647280163984255</v>
      </c>
      <c r="I42" s="622">
        <f t="shared" ref="I42:M42" si="33">I11/I$9</f>
        <v>0.26647280163984255</v>
      </c>
      <c r="J42" s="622">
        <f t="shared" si="33"/>
        <v>0.26647280163984255</v>
      </c>
      <c r="K42" s="622">
        <f t="shared" si="33"/>
        <v>0.26647280163984255</v>
      </c>
      <c r="L42" s="622">
        <f t="shared" si="33"/>
        <v>0.26647280163984255</v>
      </c>
      <c r="M42" s="622">
        <f t="shared" si="33"/>
        <v>0.26647280163984255</v>
      </c>
    </row>
    <row r="43" spans="2:20">
      <c r="B43" s="620" t="s">
        <v>1346</v>
      </c>
      <c r="C43" s="358"/>
      <c r="D43" s="622">
        <f t="shared" ref="D43:G43" si="34">D12/D$9</f>
        <v>1.6389794131042804E-2</v>
      </c>
      <c r="E43" s="622">
        <f t="shared" si="34"/>
        <v>1.577842396687092E-2</v>
      </c>
      <c r="F43" s="622">
        <f t="shared" si="34"/>
        <v>1.5394217746065125E-2</v>
      </c>
      <c r="G43" s="622">
        <f t="shared" si="34"/>
        <v>1.6305416110637082E-2</v>
      </c>
      <c r="H43" s="622">
        <f>H12/H$9</f>
        <v>1.572573343438816E-2</v>
      </c>
      <c r="I43" s="622">
        <f t="shared" ref="I43:M43" si="35">I12/I$9</f>
        <v>1.572573343438816E-2</v>
      </c>
      <c r="J43" s="622">
        <f t="shared" si="35"/>
        <v>1.572573343438816E-2</v>
      </c>
      <c r="K43" s="622">
        <f t="shared" si="35"/>
        <v>1.572573343438816E-2</v>
      </c>
      <c r="L43" s="622">
        <f t="shared" si="35"/>
        <v>1.572573343438816E-2</v>
      </c>
      <c r="M43" s="622">
        <f t="shared" si="35"/>
        <v>1.572573343438816E-2</v>
      </c>
    </row>
    <row r="44" spans="2:20">
      <c r="B44" s="620" t="s">
        <v>1355</v>
      </c>
      <c r="C44" s="358"/>
      <c r="D44" s="629"/>
      <c r="E44" s="358"/>
      <c r="F44" s="358"/>
      <c r="G44" s="358"/>
      <c r="H44" s="358"/>
      <c r="I44" s="358"/>
      <c r="J44" s="358"/>
      <c r="K44" s="358"/>
      <c r="L44" s="358"/>
      <c r="M44" s="621"/>
    </row>
    <row r="45" spans="2:20">
      <c r="B45" s="620" t="s">
        <v>1347</v>
      </c>
      <c r="C45" s="358"/>
      <c r="D45" s="630">
        <f>D14/D$5</f>
        <v>0</v>
      </c>
      <c r="E45" s="626">
        <f t="shared" ref="E45:M45" si="36">E14/E$5</f>
        <v>1.5047130803918986E-2</v>
      </c>
      <c r="F45" s="626">
        <f t="shared" si="36"/>
        <v>1.8551612432582628E-2</v>
      </c>
      <c r="G45" s="626">
        <f t="shared" si="36"/>
        <v>2.1755927402875016E-2</v>
      </c>
      <c r="H45" s="1262">
        <f t="shared" si="36"/>
        <v>1.7979464687831577E-2</v>
      </c>
      <c r="I45" s="1262">
        <f t="shared" si="36"/>
        <v>1.7979464687831577E-2</v>
      </c>
      <c r="J45" s="1262">
        <f t="shared" si="36"/>
        <v>1.7979464687831577E-2</v>
      </c>
      <c r="K45" s="1262">
        <f t="shared" si="36"/>
        <v>1.7979464687831577E-2</v>
      </c>
      <c r="L45" s="1262">
        <f t="shared" si="36"/>
        <v>1.7979464687831577E-2</v>
      </c>
      <c r="M45" s="1263">
        <f t="shared" si="36"/>
        <v>1.7979464687831577E-2</v>
      </c>
    </row>
    <row r="46" spans="2:20">
      <c r="B46" s="620" t="s">
        <v>1348</v>
      </c>
      <c r="C46" s="358"/>
      <c r="D46" s="630">
        <f t="shared" ref="D46:M46" si="37">D15/D$5</f>
        <v>3.8829602538661273E-2</v>
      </c>
      <c r="E46" s="630">
        <f t="shared" si="37"/>
        <v>2.6894754550054061E-2</v>
      </c>
      <c r="F46" s="630">
        <f t="shared" si="37"/>
        <v>2.7586975176505341E-2</v>
      </c>
      <c r="G46" s="622">
        <f t="shared" si="37"/>
        <v>2.6121076456599151E-2</v>
      </c>
      <c r="H46" s="1262">
        <f t="shared" si="37"/>
        <v>2.5272176431621048E-2</v>
      </c>
      <c r="I46" s="1262">
        <f t="shared" si="37"/>
        <v>2.4960266119355996E-2</v>
      </c>
      <c r="J46" s="1262">
        <f t="shared" si="37"/>
        <v>2.4603198135457499E-2</v>
      </c>
      <c r="K46" s="1262">
        <f t="shared" si="37"/>
        <v>2.445123933392462E-2</v>
      </c>
      <c r="L46" s="1262">
        <f t="shared" si="37"/>
        <v>2.429053914354605E-2</v>
      </c>
      <c r="M46" s="1263">
        <f t="shared" si="37"/>
        <v>2.4133841990390408E-2</v>
      </c>
    </row>
    <row r="47" spans="2:20">
      <c r="B47" s="620" t="s">
        <v>846</v>
      </c>
      <c r="C47" s="358"/>
      <c r="D47" s="630">
        <f t="shared" ref="D47:M47" si="38">D16/D$5</f>
        <v>2.1909353488907039E-2</v>
      </c>
      <c r="E47" s="626">
        <f t="shared" si="38"/>
        <v>2.0483172996353272E-2</v>
      </c>
      <c r="F47" s="626">
        <f t="shared" si="38"/>
        <v>2.0130303365173928E-2</v>
      </c>
      <c r="G47" s="626">
        <f t="shared" si="38"/>
        <v>1.8203981521918284E-2</v>
      </c>
      <c r="H47" s="1262">
        <f t="shared" si="38"/>
        <v>1.9835750834155827E-2</v>
      </c>
      <c r="I47" s="1262">
        <f t="shared" si="38"/>
        <v>1.9835750834155827E-2</v>
      </c>
      <c r="J47" s="1262">
        <f t="shared" si="38"/>
        <v>1.9835750834155823E-2</v>
      </c>
      <c r="K47" s="1262">
        <f t="shared" si="38"/>
        <v>1.9835750834155823E-2</v>
      </c>
      <c r="L47" s="1262">
        <f t="shared" si="38"/>
        <v>1.9835750834155823E-2</v>
      </c>
      <c r="M47" s="1263">
        <f t="shared" si="38"/>
        <v>1.9835750834155823E-2</v>
      </c>
    </row>
    <row r="48" spans="2:20">
      <c r="B48" s="624" t="s">
        <v>1349</v>
      </c>
      <c r="C48" s="575"/>
      <c r="D48" s="631">
        <f t="shared" ref="D48:M48" si="39">D17/D$5</f>
        <v>0</v>
      </c>
      <c r="E48" s="627">
        <f t="shared" si="39"/>
        <v>1.0488292715028028E-2</v>
      </c>
      <c r="F48" s="627">
        <f t="shared" si="39"/>
        <v>1.0820667522930007E-2</v>
      </c>
      <c r="G48" s="627">
        <f t="shared" si="39"/>
        <v>1.2735777274704105E-2</v>
      </c>
      <c r="H48" s="1264">
        <f t="shared" si="39"/>
        <v>1.1120219048458722E-2</v>
      </c>
      <c r="I48" s="1264">
        <f t="shared" si="39"/>
        <v>1.1120219048458722E-2</v>
      </c>
      <c r="J48" s="1264">
        <f t="shared" si="39"/>
        <v>1.1120219048458722E-2</v>
      </c>
      <c r="K48" s="1264">
        <f t="shared" si="39"/>
        <v>1.1120219048458722E-2</v>
      </c>
      <c r="L48" s="1264">
        <f t="shared" si="39"/>
        <v>1.1120219048458722E-2</v>
      </c>
      <c r="M48" s="1265">
        <f t="shared" si="39"/>
        <v>1.1120219048458722E-2</v>
      </c>
    </row>
    <row r="49" spans="2:19">
      <c r="B49" s="358"/>
      <c r="E49" s="346"/>
      <c r="G49" s="346"/>
      <c r="I49" s="346"/>
    </row>
    <row r="50" spans="2:19">
      <c r="E50" s="346"/>
      <c r="G50" s="346"/>
      <c r="I50" s="346"/>
    </row>
    <row r="51" spans="2:19" ht="16">
      <c r="B51" s="371" t="s">
        <v>1049</v>
      </c>
      <c r="E51" s="346"/>
      <c r="F51" s="372"/>
      <c r="G51" s="346"/>
      <c r="I51" s="346"/>
    </row>
    <row r="52" spans="2:19">
      <c r="E52" s="346"/>
      <c r="G52" s="346"/>
      <c r="I52" s="346"/>
    </row>
    <row r="53" spans="2:19" ht="16">
      <c r="B53" s="371" t="s">
        <v>1050</v>
      </c>
      <c r="E53" s="346"/>
      <c r="G53" s="346"/>
      <c r="I53" s="346"/>
    </row>
    <row r="54" spans="2:19">
      <c r="B54" s="230"/>
      <c r="E54" s="346"/>
      <c r="G54" s="346"/>
      <c r="I54" s="346"/>
    </row>
    <row r="55" spans="2:19" ht="29.5" hidden="1" thickBot="1">
      <c r="B55" s="348" t="s">
        <v>857</v>
      </c>
      <c r="C55" s="349"/>
      <c r="D55" s="349" t="s">
        <v>1051</v>
      </c>
      <c r="E55" s="349" t="s">
        <v>1052</v>
      </c>
      <c r="F55" s="349" t="s">
        <v>1053</v>
      </c>
      <c r="G55" s="349" t="s">
        <v>1054</v>
      </c>
      <c r="H55" s="349" t="s">
        <v>865</v>
      </c>
      <c r="I55" s="349" t="s">
        <v>1055</v>
      </c>
      <c r="J55" s="349" t="s">
        <v>1056</v>
      </c>
      <c r="K55" s="349" t="s">
        <v>1057</v>
      </c>
      <c r="L55" s="349" t="s">
        <v>1058</v>
      </c>
      <c r="M55" s="349" t="s">
        <v>1059</v>
      </c>
    </row>
    <row r="56" spans="2:19" s="230" customFormat="1" ht="15" hidden="1" thickBot="1">
      <c r="B56" s="373" t="s">
        <v>1060</v>
      </c>
      <c r="C56" s="374"/>
      <c r="D56" s="375">
        <f>+D9</f>
        <v>54912277470</v>
      </c>
      <c r="E56" s="375">
        <f>+E9</f>
        <v>100593190000</v>
      </c>
      <c r="F56" s="375">
        <f>+F9</f>
        <v>114125773000</v>
      </c>
      <c r="G56" s="375">
        <f>G9</f>
        <v>56124112000</v>
      </c>
      <c r="H56" s="375">
        <f t="shared" ref="H56:M56" si="40">H68*H72</f>
        <v>69189976609.646759</v>
      </c>
      <c r="I56" s="375">
        <f t="shared" si="40"/>
        <v>143066623790.33978</v>
      </c>
      <c r="J56" s="375">
        <f t="shared" si="40"/>
        <v>155530123991.8436</v>
      </c>
      <c r="K56" s="375">
        <f t="shared" si="40"/>
        <v>166420224762.16757</v>
      </c>
      <c r="L56" s="375">
        <f t="shared" si="40"/>
        <v>177429037623.32202</v>
      </c>
      <c r="M56" s="375">
        <f t="shared" si="40"/>
        <v>188036042921.53668</v>
      </c>
      <c r="S56" s="346"/>
    </row>
    <row r="57" spans="2:19" s="379" customFormat="1" hidden="1">
      <c r="B57" s="376" t="s">
        <v>1061</v>
      </c>
      <c r="C57" s="377"/>
      <c r="D57" s="378"/>
      <c r="E57" s="378"/>
      <c r="F57" s="369">
        <f>F56/E56-1</f>
        <v>0.1345278243984509</v>
      </c>
      <c r="G57" s="369"/>
      <c r="H57" s="369">
        <f>(G56+H56)/F56-1</f>
        <v>9.8034960163176699E-2</v>
      </c>
      <c r="I57" s="369">
        <f>I56/(G56+H56)-1</f>
        <v>0.14166432025047193</v>
      </c>
      <c r="J57" s="369">
        <f>J56/I56-1</f>
        <v>8.711675631465754E-2</v>
      </c>
      <c r="K57" s="369">
        <f>K56/J56-1</f>
        <v>7.0019238015235352E-2</v>
      </c>
      <c r="L57" s="369">
        <f>L56/K56-1</f>
        <v>6.6150690980541826E-2</v>
      </c>
      <c r="M57" s="369">
        <f>M56/L56-1</f>
        <v>5.9781676327034461E-2</v>
      </c>
    </row>
    <row r="58" spans="2:19" hidden="1">
      <c r="E58" s="346"/>
      <c r="G58" s="346"/>
      <c r="I58" s="346"/>
    </row>
    <row r="59" spans="2:19" hidden="1">
      <c r="E59" s="346"/>
      <c r="G59" s="346"/>
      <c r="I59" s="346"/>
    </row>
    <row r="60" spans="2:19" hidden="1">
      <c r="B60" s="346" t="s">
        <v>1062</v>
      </c>
      <c r="C60" s="358"/>
      <c r="D60" s="358"/>
      <c r="E60" s="358"/>
      <c r="F60" s="354"/>
      <c r="G60" s="346"/>
      <c r="I60" s="346"/>
      <c r="J60" s="358"/>
      <c r="K60" s="358"/>
      <c r="L60" s="354"/>
    </row>
    <row r="61" spans="2:19" ht="15" hidden="1" thickBot="1">
      <c r="B61" s="348"/>
      <c r="C61" s="349"/>
      <c r="D61" s="349"/>
      <c r="E61" s="380">
        <v>2009</v>
      </c>
      <c r="F61" s="380">
        <v>2010</v>
      </c>
      <c r="G61" s="380" t="s">
        <v>1063</v>
      </c>
      <c r="H61" s="380" t="s">
        <v>1064</v>
      </c>
      <c r="I61" s="380">
        <v>2012</v>
      </c>
      <c r="J61" s="380">
        <v>2013</v>
      </c>
      <c r="K61" s="380">
        <v>2014</v>
      </c>
      <c r="L61" s="380">
        <v>2015</v>
      </c>
      <c r="M61" s="380">
        <v>2016</v>
      </c>
    </row>
    <row r="62" spans="2:19" hidden="1">
      <c r="B62" s="1356" t="s">
        <v>1065</v>
      </c>
      <c r="C62" s="381" t="s">
        <v>1066</v>
      </c>
      <c r="D62" s="382"/>
      <c r="E62" s="383">
        <v>190</v>
      </c>
      <c r="F62" s="384">
        <v>173</v>
      </c>
      <c r="G62" s="384">
        <v>183</v>
      </c>
      <c r="H62" s="384"/>
      <c r="I62" s="384"/>
      <c r="J62" s="384"/>
      <c r="K62" s="384"/>
      <c r="L62" s="384"/>
      <c r="M62" s="384"/>
    </row>
    <row r="63" spans="2:19" hidden="1">
      <c r="B63" s="1357"/>
      <c r="C63" s="381" t="s">
        <v>1067</v>
      </c>
      <c r="D63" s="385"/>
      <c r="E63" s="386">
        <v>152</v>
      </c>
      <c r="F63" s="386">
        <v>164</v>
      </c>
      <c r="G63" s="386">
        <v>159</v>
      </c>
      <c r="H63" s="386"/>
      <c r="I63" s="386"/>
      <c r="J63" s="386"/>
      <c r="K63" s="386"/>
      <c r="L63" s="386"/>
      <c r="M63" s="386"/>
    </row>
    <row r="64" spans="2:19" hidden="1">
      <c r="B64" s="1357"/>
      <c r="C64" s="381" t="s">
        <v>1068</v>
      </c>
      <c r="D64" s="354"/>
      <c r="E64" s="386">
        <v>2102</v>
      </c>
      <c r="F64" s="386">
        <v>2254</v>
      </c>
      <c r="G64" s="386">
        <v>2372</v>
      </c>
      <c r="H64" s="386"/>
      <c r="I64" s="386"/>
      <c r="J64" s="386"/>
      <c r="K64" s="386"/>
      <c r="L64" s="386"/>
      <c r="M64" s="386"/>
    </row>
    <row r="65" spans="2:19" hidden="1">
      <c r="B65" s="1357"/>
      <c r="C65" s="381" t="s">
        <v>1069</v>
      </c>
      <c r="D65" s="370"/>
      <c r="E65" s="386">
        <v>60</v>
      </c>
      <c r="F65" s="386">
        <v>60</v>
      </c>
      <c r="G65" s="386">
        <v>37</v>
      </c>
      <c r="H65" s="386"/>
      <c r="I65" s="386"/>
      <c r="J65" s="386"/>
      <c r="K65" s="386"/>
      <c r="L65" s="386"/>
      <c r="M65" s="386"/>
    </row>
    <row r="66" spans="2:19" hidden="1">
      <c r="B66" s="387" t="s">
        <v>1070</v>
      </c>
      <c r="C66" s="388"/>
      <c r="D66" s="389"/>
      <c r="E66" s="390">
        <f>SUM(E62:E65)</f>
        <v>2504</v>
      </c>
      <c r="F66" s="390">
        <f>SUM(F62:F65)</f>
        <v>2651</v>
      </c>
      <c r="G66" s="390">
        <f>SUM(G62:G65)</f>
        <v>2751</v>
      </c>
      <c r="H66" s="390"/>
      <c r="I66" s="390"/>
      <c r="J66" s="390"/>
      <c r="K66" s="390"/>
      <c r="L66" s="390"/>
      <c r="M66" s="390"/>
    </row>
    <row r="67" spans="2:19" hidden="1">
      <c r="B67" s="391" t="s">
        <v>1071</v>
      </c>
      <c r="C67" s="358"/>
      <c r="D67" s="354"/>
      <c r="E67" s="386">
        <v>40</v>
      </c>
      <c r="F67" s="386">
        <v>63</v>
      </c>
      <c r="G67" s="386">
        <v>60</v>
      </c>
      <c r="H67" s="386"/>
      <c r="I67" s="386"/>
      <c r="J67" s="386"/>
      <c r="K67" s="386"/>
      <c r="L67" s="386"/>
      <c r="M67" s="386"/>
    </row>
    <row r="68" spans="2:19" s="230" customFormat="1" ht="15" hidden="1" thickBot="1">
      <c r="B68" s="392" t="s">
        <v>1072</v>
      </c>
      <c r="C68" s="393"/>
      <c r="D68" s="393"/>
      <c r="E68" s="394">
        <f>E66+E67</f>
        <v>2544</v>
      </c>
      <c r="F68" s="394">
        <f>F66+F67</f>
        <v>2714</v>
      </c>
      <c r="G68" s="394">
        <f>G66+G67</f>
        <v>2811</v>
      </c>
      <c r="H68" s="394">
        <f>G68+F132*F138</f>
        <v>2924.6143643969435</v>
      </c>
      <c r="I68" s="394">
        <f>H68+G132*$F$138</f>
        <v>3161.3109568905761</v>
      </c>
      <c r="J68" s="394">
        <f>I68+H132*$F$138</f>
        <v>3312.7967760865008</v>
      </c>
      <c r="K68" s="394">
        <f>J68+I132*$F$138</f>
        <v>3416.9432767836993</v>
      </c>
      <c r="L68" s="394">
        <f>K68+J132*$F$138</f>
        <v>3511.6219137811522</v>
      </c>
      <c r="M68" s="394">
        <f>L68+K132*$F$138</f>
        <v>3587.3648233791146</v>
      </c>
      <c r="S68" s="346"/>
    </row>
    <row r="69" spans="2:19" s="230" customFormat="1" hidden="1">
      <c r="B69" s="395" t="s">
        <v>1073</v>
      </c>
      <c r="C69" s="374"/>
      <c r="D69" s="374"/>
      <c r="E69" s="396"/>
      <c r="F69" s="397">
        <f>F68/E68-1</f>
        <v>6.6823899371069251E-2</v>
      </c>
      <c r="G69" s="397"/>
      <c r="H69" s="397">
        <f>H68/F68-1</f>
        <v>7.7602934560406567E-2</v>
      </c>
      <c r="I69" s="397">
        <f>I68/H68-1</f>
        <v>8.0932582214968241E-2</v>
      </c>
      <c r="J69" s="397">
        <f>J68/I68-1</f>
        <v>4.7918670849426359E-2</v>
      </c>
      <c r="K69" s="397">
        <f>K68/J68-1</f>
        <v>3.1437636455390994E-2</v>
      </c>
      <c r="L69" s="397">
        <f>L68/K68-1</f>
        <v>2.7708577324283779E-2</v>
      </c>
      <c r="M69" s="397">
        <f>M68/L68-1</f>
        <v>2.1569209743427686E-2</v>
      </c>
      <c r="S69" s="346"/>
    </row>
    <row r="70" spans="2:19" hidden="1">
      <c r="C70" s="358"/>
      <c r="D70" s="358"/>
      <c r="E70" s="358"/>
      <c r="F70" s="354"/>
      <c r="G70" s="346"/>
      <c r="I70" s="346"/>
      <c r="J70" s="358"/>
      <c r="K70" s="358"/>
      <c r="L70" s="354"/>
    </row>
    <row r="71" spans="2:19" hidden="1">
      <c r="C71" s="358"/>
      <c r="D71" s="358"/>
      <c r="E71" s="358"/>
      <c r="F71" s="354"/>
      <c r="G71" s="346"/>
      <c r="I71" s="346"/>
      <c r="J71" s="358"/>
      <c r="K71" s="358"/>
      <c r="L71" s="354"/>
    </row>
    <row r="72" spans="2:19" s="230" customFormat="1" hidden="1">
      <c r="B72" s="398" t="s">
        <v>1074</v>
      </c>
      <c r="C72" s="399"/>
      <c r="D72" s="400"/>
      <c r="E72" s="400">
        <f>E56/E68</f>
        <v>39541348.270440251</v>
      </c>
      <c r="F72" s="400">
        <f>F56/F68</f>
        <v>42050763.817243919</v>
      </c>
      <c r="G72" s="400">
        <f>G56/G68</f>
        <v>19965888.295980077</v>
      </c>
      <c r="H72" s="400">
        <f>F72*(1+E125)-G72</f>
        <v>23657811.933066178</v>
      </c>
      <c r="I72" s="400">
        <f>(G72+H72)*(1+E125)</f>
        <v>45255473.359399684</v>
      </c>
      <c r="J72" s="400">
        <f>I72*(1+$E$125)</f>
        <v>46948284.034366779</v>
      </c>
      <c r="K72" s="400">
        <f>J72*(1+$E$125)</f>
        <v>48704415.403353028</v>
      </c>
      <c r="L72" s="400">
        <f>K72*(1+$E$125)</f>
        <v>50526236.018465504</v>
      </c>
      <c r="M72" s="400">
        <f>L72*(1+$E$125)</f>
        <v>52416203.029056944</v>
      </c>
      <c r="S72" s="346"/>
    </row>
    <row r="73" spans="2:19" hidden="1">
      <c r="C73" s="358"/>
      <c r="D73" s="358"/>
      <c r="E73" s="346"/>
      <c r="F73" s="358"/>
      <c r="G73" s="354"/>
      <c r="H73" s="354"/>
      <c r="I73" s="346"/>
      <c r="O73" s="358"/>
      <c r="P73" s="358"/>
      <c r="Q73" s="354"/>
    </row>
    <row r="74" spans="2:19" hidden="1">
      <c r="G74" s="354"/>
      <c r="H74" s="354"/>
      <c r="I74" s="346"/>
      <c r="O74" s="358"/>
      <c r="P74" s="358"/>
      <c r="Q74" s="354"/>
    </row>
    <row r="75" spans="2:19" hidden="1">
      <c r="B75" s="381"/>
      <c r="F75" s="404"/>
      <c r="G75" s="354"/>
      <c r="H75" s="354"/>
      <c r="I75" s="346"/>
      <c r="O75" s="358"/>
      <c r="P75" s="358"/>
      <c r="Q75" s="354"/>
    </row>
    <row r="76" spans="2:19">
      <c r="B76" s="381"/>
      <c r="F76" s="404"/>
      <c r="G76" s="354"/>
      <c r="H76" s="354"/>
      <c r="I76" s="346"/>
      <c r="O76" s="358"/>
      <c r="P76" s="358"/>
      <c r="Q76" s="354"/>
    </row>
    <row r="77" spans="2:19" ht="15" thickBot="1">
      <c r="B77" s="348"/>
      <c r="C77" s="349"/>
      <c r="D77" s="349"/>
      <c r="E77" s="1230">
        <v>2009</v>
      </c>
      <c r="F77" s="1230">
        <v>2010</v>
      </c>
      <c r="G77" s="1230" t="s">
        <v>856</v>
      </c>
      <c r="H77" s="1230" t="s">
        <v>855</v>
      </c>
      <c r="I77" s="1230">
        <v>2012</v>
      </c>
      <c r="J77" s="1230">
        <v>2013</v>
      </c>
      <c r="K77" s="1230">
        <v>2014</v>
      </c>
      <c r="L77" s="1230">
        <v>2015</v>
      </c>
      <c r="M77" s="1230">
        <v>2016</v>
      </c>
      <c r="O77" s="358"/>
      <c r="P77" s="358"/>
      <c r="Q77" s="354"/>
    </row>
    <row r="78" spans="2:19">
      <c r="B78" s="346" t="s">
        <v>1224</v>
      </c>
      <c r="C78" s="346" t="s">
        <v>1219</v>
      </c>
      <c r="F78" s="404"/>
      <c r="G78" s="577">
        <f>D117</f>
        <v>31</v>
      </c>
      <c r="H78" s="577">
        <f>G78+H84</f>
        <v>31</v>
      </c>
      <c r="I78" s="577">
        <f t="shared" ref="I78:J78" si="41">H78+I84</f>
        <v>32</v>
      </c>
      <c r="J78" s="577">
        <f t="shared" si="41"/>
        <v>33</v>
      </c>
      <c r="K78" s="577">
        <f t="shared" ref="K78:M79" si="42">J78</f>
        <v>33</v>
      </c>
      <c r="L78" s="577">
        <f t="shared" si="42"/>
        <v>33</v>
      </c>
      <c r="M78" s="577">
        <f t="shared" si="42"/>
        <v>33</v>
      </c>
      <c r="O78" s="358"/>
      <c r="P78" s="358"/>
      <c r="Q78" s="354"/>
    </row>
    <row r="79" spans="2:19">
      <c r="C79" s="346" t="s">
        <v>1231</v>
      </c>
      <c r="F79" s="404"/>
      <c r="G79" s="577">
        <f>D118</f>
        <v>152</v>
      </c>
      <c r="H79" s="577">
        <f t="shared" ref="H79:M81" si="43">G79+H85</f>
        <v>152</v>
      </c>
      <c r="I79" s="577">
        <f t="shared" si="43"/>
        <v>157</v>
      </c>
      <c r="J79" s="577">
        <f t="shared" si="43"/>
        <v>162</v>
      </c>
      <c r="K79" s="577">
        <f t="shared" si="42"/>
        <v>162</v>
      </c>
      <c r="L79" s="577">
        <f t="shared" si="42"/>
        <v>162</v>
      </c>
      <c r="M79" s="577">
        <f t="shared" si="42"/>
        <v>162</v>
      </c>
      <c r="O79" s="358"/>
      <c r="P79" s="358"/>
      <c r="Q79" s="354"/>
    </row>
    <row r="80" spans="2:19">
      <c r="C80" s="346" t="s">
        <v>1227</v>
      </c>
      <c r="F80" s="404"/>
      <c r="G80" s="577">
        <f>D119</f>
        <v>221</v>
      </c>
      <c r="H80" s="577">
        <f t="shared" si="43"/>
        <v>233</v>
      </c>
      <c r="I80" s="577">
        <f t="shared" si="43"/>
        <v>258</v>
      </c>
      <c r="J80" s="577">
        <f t="shared" si="43"/>
        <v>274</v>
      </c>
      <c r="K80" s="577">
        <f t="shared" si="43"/>
        <v>285</v>
      </c>
      <c r="L80" s="577">
        <f t="shared" si="43"/>
        <v>295</v>
      </c>
      <c r="M80" s="577">
        <f t="shared" si="43"/>
        <v>303</v>
      </c>
      <c r="O80" s="358"/>
      <c r="P80" s="358"/>
      <c r="Q80" s="354"/>
    </row>
    <row r="81" spans="2:17">
      <c r="C81" s="346" t="s">
        <v>1229</v>
      </c>
      <c r="F81" s="404"/>
      <c r="G81" s="577">
        <f>D121</f>
        <v>2412</v>
      </c>
      <c r="H81" s="577">
        <f t="shared" si="43"/>
        <v>2508</v>
      </c>
      <c r="I81" s="577">
        <f t="shared" si="43"/>
        <v>2708</v>
      </c>
      <c r="J81" s="577">
        <f t="shared" si="43"/>
        <v>2836</v>
      </c>
      <c r="K81" s="577">
        <f t="shared" si="43"/>
        <v>2924</v>
      </c>
      <c r="L81" s="577">
        <f t="shared" si="43"/>
        <v>3004</v>
      </c>
      <c r="M81" s="577">
        <f t="shared" si="43"/>
        <v>3068</v>
      </c>
      <c r="O81" s="358"/>
      <c r="P81" s="358"/>
      <c r="Q81" s="354"/>
    </row>
    <row r="82" spans="2:17">
      <c r="B82" s="575"/>
      <c r="C82" s="575"/>
      <c r="D82" s="575"/>
      <c r="E82" s="578"/>
      <c r="F82" s="579"/>
      <c r="G82" s="580"/>
      <c r="H82" s="580"/>
      <c r="I82" s="575"/>
      <c r="J82" s="575"/>
      <c r="K82" s="575"/>
      <c r="L82" s="575"/>
      <c r="M82" s="575"/>
      <c r="O82" s="358"/>
      <c r="P82" s="358"/>
      <c r="Q82" s="354"/>
    </row>
    <row r="83" spans="2:17">
      <c r="B83" s="581" t="s">
        <v>1234</v>
      </c>
      <c r="C83" s="581" t="s">
        <v>1235</v>
      </c>
      <c r="D83" s="581"/>
      <c r="E83" s="582"/>
      <c r="F83" s="583"/>
      <c r="G83" s="584"/>
      <c r="H83" s="584">
        <f>F132</f>
        <v>12</v>
      </c>
      <c r="I83" s="584">
        <f t="shared" ref="I83:M83" si="44">G132</f>
        <v>25</v>
      </c>
      <c r="J83" s="584">
        <f t="shared" si="44"/>
        <v>16</v>
      </c>
      <c r="K83" s="584">
        <f t="shared" si="44"/>
        <v>11</v>
      </c>
      <c r="L83" s="584">
        <f t="shared" si="44"/>
        <v>10</v>
      </c>
      <c r="M83" s="584">
        <f t="shared" si="44"/>
        <v>8</v>
      </c>
      <c r="O83" s="358"/>
      <c r="P83" s="358"/>
      <c r="Q83" s="354"/>
    </row>
    <row r="84" spans="2:17">
      <c r="B84" s="581"/>
      <c r="C84" s="581" t="s">
        <v>1218</v>
      </c>
      <c r="D84" s="581"/>
      <c r="E84" s="582"/>
      <c r="F84" s="583"/>
      <c r="G84" s="584"/>
      <c r="H84" s="584"/>
      <c r="I84" s="584">
        <f>D105</f>
        <v>1</v>
      </c>
      <c r="J84" s="584">
        <f t="shared" ref="J84:M84" si="45">I84</f>
        <v>1</v>
      </c>
      <c r="K84" s="584">
        <f t="shared" si="45"/>
        <v>1</v>
      </c>
      <c r="L84" s="584">
        <f t="shared" si="45"/>
        <v>1</v>
      </c>
      <c r="M84" s="584">
        <f t="shared" si="45"/>
        <v>1</v>
      </c>
      <c r="O84" s="358"/>
      <c r="P84" s="358"/>
      <c r="Q84" s="354"/>
    </row>
    <row r="85" spans="2:17">
      <c r="B85" s="581"/>
      <c r="C85" s="581" t="s">
        <v>1230</v>
      </c>
      <c r="D85" s="581"/>
      <c r="E85" s="582"/>
      <c r="F85" s="583"/>
      <c r="G85" s="584"/>
      <c r="H85" s="584"/>
      <c r="I85" s="584">
        <f>D106</f>
        <v>5</v>
      </c>
      <c r="J85" s="584">
        <f t="shared" ref="J85:M85" si="46">I85</f>
        <v>5</v>
      </c>
      <c r="K85" s="584">
        <f t="shared" si="46"/>
        <v>5</v>
      </c>
      <c r="L85" s="584">
        <f t="shared" si="46"/>
        <v>5</v>
      </c>
      <c r="M85" s="584">
        <f t="shared" si="46"/>
        <v>5</v>
      </c>
      <c r="O85" s="358"/>
      <c r="P85" s="358"/>
      <c r="Q85" s="354"/>
    </row>
    <row r="86" spans="2:17">
      <c r="B86" s="581"/>
      <c r="C86" s="585" t="s">
        <v>1236</v>
      </c>
      <c r="D86" s="581"/>
      <c r="E86" s="582"/>
      <c r="F86" s="583"/>
      <c r="G86" s="584"/>
      <c r="H86" s="584">
        <f>H$83*$D107</f>
        <v>12</v>
      </c>
      <c r="I86" s="584">
        <f t="shared" ref="I86:M86" si="47">I$83*$D107</f>
        <v>25</v>
      </c>
      <c r="J86" s="584">
        <f t="shared" si="47"/>
        <v>16</v>
      </c>
      <c r="K86" s="584">
        <f t="shared" si="47"/>
        <v>11</v>
      </c>
      <c r="L86" s="584">
        <f t="shared" si="47"/>
        <v>10</v>
      </c>
      <c r="M86" s="584">
        <f t="shared" si="47"/>
        <v>8</v>
      </c>
      <c r="O86" s="358"/>
      <c r="P86" s="358"/>
      <c r="Q86" s="354"/>
    </row>
    <row r="87" spans="2:17">
      <c r="B87" s="581"/>
      <c r="C87" s="585" t="s">
        <v>1237</v>
      </c>
      <c r="D87" s="581"/>
      <c r="E87" s="582"/>
      <c r="F87" s="583"/>
      <c r="G87" s="584"/>
      <c r="H87" s="584">
        <f>H$83*$D108</f>
        <v>96</v>
      </c>
      <c r="I87" s="584">
        <f t="shared" ref="I87:M87" si="48">I$83*$D108</f>
        <v>200</v>
      </c>
      <c r="J87" s="584">
        <f t="shared" si="48"/>
        <v>128</v>
      </c>
      <c r="K87" s="584">
        <f t="shared" si="48"/>
        <v>88</v>
      </c>
      <c r="L87" s="584">
        <f t="shared" si="48"/>
        <v>80</v>
      </c>
      <c r="M87" s="584">
        <f t="shared" si="48"/>
        <v>64</v>
      </c>
      <c r="O87" s="358"/>
      <c r="P87" s="358"/>
      <c r="Q87" s="354"/>
    </row>
    <row r="88" spans="2:17">
      <c r="B88" s="586"/>
      <c r="C88" s="587"/>
      <c r="D88" s="587"/>
      <c r="E88" s="588"/>
      <c r="F88" s="589"/>
      <c r="G88" s="590"/>
      <c r="H88" s="590"/>
      <c r="I88" s="587"/>
      <c r="J88" s="587"/>
      <c r="K88" s="587"/>
      <c r="L88" s="587"/>
      <c r="M88" s="587"/>
      <c r="O88" s="358"/>
      <c r="P88" s="358"/>
      <c r="Q88" s="354"/>
    </row>
    <row r="89" spans="2:17">
      <c r="B89" s="381" t="s">
        <v>1238</v>
      </c>
      <c r="C89" s="346" t="s">
        <v>1218</v>
      </c>
      <c r="F89" s="404"/>
      <c r="G89" s="354">
        <f>G117</f>
        <v>418658988.44807851</v>
      </c>
      <c r="H89" s="354">
        <f>G89</f>
        <v>418658988.44807851</v>
      </c>
      <c r="I89" s="354">
        <f>H89*(1+I$94)</f>
        <v>442522550.78961897</v>
      </c>
      <c r="J89" s="354">
        <f t="shared" ref="J89:M89" si="49">I89*(1+J$94)</f>
        <v>466418768.53225839</v>
      </c>
      <c r="K89" s="354">
        <f t="shared" si="49"/>
        <v>491605382.03300035</v>
      </c>
      <c r="L89" s="354">
        <f t="shared" si="49"/>
        <v>517168861.89871639</v>
      </c>
      <c r="M89" s="354">
        <f t="shared" si="49"/>
        <v>544061642.71744967</v>
      </c>
      <c r="O89" s="358"/>
      <c r="P89" s="358"/>
      <c r="Q89" s="354"/>
    </row>
    <row r="90" spans="2:17">
      <c r="B90" s="381"/>
      <c r="C90" s="346" t="s">
        <v>1230</v>
      </c>
      <c r="F90" s="404"/>
      <c r="G90" s="354">
        <f t="shared" ref="G90:G91" si="50">G118</f>
        <v>44008978.923144162</v>
      </c>
      <c r="H90" s="354">
        <f t="shared" ref="H90:H92" si="51">G90</f>
        <v>44008978.923144162</v>
      </c>
      <c r="I90" s="354">
        <f t="shared" ref="I90:M90" si="52">H90*(1+I$94)</f>
        <v>46517490.72176338</v>
      </c>
      <c r="J90" s="354">
        <f t="shared" si="52"/>
        <v>49029435.220738605</v>
      </c>
      <c r="K90" s="354">
        <f t="shared" si="52"/>
        <v>51677024.722658493</v>
      </c>
      <c r="L90" s="354">
        <f t="shared" si="52"/>
        <v>54364230.008236736</v>
      </c>
      <c r="M90" s="354">
        <f t="shared" si="52"/>
        <v>57191169.968665048</v>
      </c>
      <c r="O90" s="358"/>
      <c r="P90" s="358"/>
      <c r="Q90" s="354"/>
    </row>
    <row r="91" spans="2:17">
      <c r="B91" s="381"/>
      <c r="C91" s="346" t="s">
        <v>1226</v>
      </c>
      <c r="F91" s="404"/>
      <c r="G91" s="354">
        <f t="shared" si="50"/>
        <v>44008978.923144154</v>
      </c>
      <c r="H91" s="354">
        <f t="shared" si="51"/>
        <v>44008978.923144154</v>
      </c>
      <c r="I91" s="354">
        <f t="shared" ref="I91:M91" si="53">H91*(1+I$94)</f>
        <v>46517490.721763365</v>
      </c>
      <c r="J91" s="354">
        <f t="shared" si="53"/>
        <v>49029435.22073859</v>
      </c>
      <c r="K91" s="354">
        <f t="shared" si="53"/>
        <v>51677024.722658478</v>
      </c>
      <c r="L91" s="354">
        <f t="shared" si="53"/>
        <v>54364230.008236721</v>
      </c>
      <c r="M91" s="354">
        <f t="shared" si="53"/>
        <v>57191169.968665034</v>
      </c>
      <c r="O91" s="358"/>
      <c r="P91" s="358"/>
      <c r="Q91" s="354"/>
    </row>
    <row r="92" spans="2:17">
      <c r="B92" s="381"/>
      <c r="C92" s="346" t="s">
        <v>1228</v>
      </c>
      <c r="F92" s="404"/>
      <c r="G92" s="354">
        <f>G121</f>
        <v>34350931.26856418</v>
      </c>
      <c r="H92" s="354">
        <f t="shared" si="51"/>
        <v>34350931.26856418</v>
      </c>
      <c r="I92" s="354">
        <f t="shared" ref="I92:M92" si="54">H92*(1+I$94)</f>
        <v>36308934.350872338</v>
      </c>
      <c r="J92" s="354">
        <f t="shared" si="54"/>
        <v>38269616.805819444</v>
      </c>
      <c r="K92" s="354">
        <f t="shared" si="54"/>
        <v>40336176.113333695</v>
      </c>
      <c r="L92" s="354">
        <f t="shared" si="54"/>
        <v>42433657.271227047</v>
      </c>
      <c r="M92" s="354">
        <f t="shared" si="54"/>
        <v>44640207.449330859</v>
      </c>
      <c r="O92" s="358"/>
      <c r="P92" s="358"/>
      <c r="Q92" s="354"/>
    </row>
    <row r="93" spans="2:17">
      <c r="B93" s="381"/>
      <c r="F93" s="404"/>
      <c r="G93" s="577"/>
      <c r="H93" s="577"/>
      <c r="I93" s="4"/>
      <c r="J93" s="4"/>
      <c r="K93" s="4"/>
      <c r="L93" s="4"/>
      <c r="M93" s="4"/>
      <c r="O93" s="358"/>
      <c r="P93" s="358"/>
      <c r="Q93" s="354"/>
    </row>
    <row r="94" spans="2:17">
      <c r="B94" s="381"/>
      <c r="C94" s="358" t="s">
        <v>1239</v>
      </c>
      <c r="D94" s="358"/>
      <c r="E94" s="418"/>
      <c r="F94" s="431"/>
      <c r="G94" s="591"/>
      <c r="H94" s="1085"/>
      <c r="I94" s="622">
        <f>매출추정!H167</f>
        <v>5.7000000000000002E-2</v>
      </c>
      <c r="J94" s="622">
        <f>매출추정!I167</f>
        <v>5.4000000000000006E-2</v>
      </c>
      <c r="K94" s="622">
        <f>매출추정!J167</f>
        <v>5.4000000000000006E-2</v>
      </c>
      <c r="L94" s="622">
        <f>매출추정!K167</f>
        <v>5.2000000000000005E-2</v>
      </c>
      <c r="M94" s="622">
        <f>L94</f>
        <v>5.2000000000000005E-2</v>
      </c>
      <c r="O94" s="358"/>
      <c r="P94" s="358"/>
      <c r="Q94" s="354"/>
    </row>
    <row r="95" spans="2:17">
      <c r="B95" s="574"/>
      <c r="C95" s="575"/>
      <c r="D95" s="575"/>
      <c r="E95" s="578"/>
      <c r="F95" s="579"/>
      <c r="G95" s="592"/>
      <c r="H95" s="592"/>
      <c r="I95" s="576"/>
      <c r="J95" s="576"/>
      <c r="K95" s="576"/>
      <c r="L95" s="576"/>
      <c r="M95" s="576"/>
      <c r="O95" s="358"/>
      <c r="P95" s="358"/>
      <c r="Q95" s="354"/>
    </row>
    <row r="96" spans="2:17">
      <c r="B96" s="381" t="s">
        <v>1240</v>
      </c>
      <c r="C96" s="346" t="s">
        <v>1218</v>
      </c>
      <c r="F96" s="404"/>
      <c r="G96" s="577"/>
      <c r="H96" s="354">
        <f>H78*H89/2</f>
        <v>6489214320.9452171</v>
      </c>
      <c r="I96" s="354">
        <f t="shared" ref="I96:M96" si="55">I78*I89</f>
        <v>14160721625.267807</v>
      </c>
      <c r="J96" s="354">
        <f t="shared" si="55"/>
        <v>15391819361.564528</v>
      </c>
      <c r="K96" s="354">
        <f t="shared" si="55"/>
        <v>16222977607.089012</v>
      </c>
      <c r="L96" s="354">
        <f t="shared" si="55"/>
        <v>17066572442.65764</v>
      </c>
      <c r="M96" s="354">
        <f t="shared" si="55"/>
        <v>17954034209.675838</v>
      </c>
      <c r="N96" s="354"/>
      <c r="O96" s="358"/>
      <c r="P96" s="358"/>
      <c r="Q96" s="354"/>
    </row>
    <row r="97" spans="2:17">
      <c r="B97" s="381"/>
      <c r="C97" s="346" t="s">
        <v>1230</v>
      </c>
      <c r="F97" s="404"/>
      <c r="G97" s="577"/>
      <c r="H97" s="354">
        <f>H79*H90/2</f>
        <v>3344682398.1589565</v>
      </c>
      <c r="I97" s="354">
        <f t="shared" ref="I97:M99" si="56">I79*I90</f>
        <v>7303246043.3168507</v>
      </c>
      <c r="J97" s="354">
        <f t="shared" si="56"/>
        <v>7942768505.759654</v>
      </c>
      <c r="K97" s="354">
        <f t="shared" si="56"/>
        <v>8371678005.0706758</v>
      </c>
      <c r="L97" s="354">
        <f t="shared" si="56"/>
        <v>8807005261.3343506</v>
      </c>
      <c r="M97" s="354">
        <f t="shared" si="56"/>
        <v>9264969534.9237385</v>
      </c>
      <c r="N97" s="354"/>
      <c r="O97" s="358"/>
      <c r="P97" s="358"/>
      <c r="Q97" s="354"/>
    </row>
    <row r="98" spans="2:17">
      <c r="B98" s="381"/>
      <c r="C98" s="346" t="s">
        <v>1226</v>
      </c>
      <c r="F98" s="404"/>
      <c r="G98" s="577"/>
      <c r="H98" s="354">
        <f>H80*H91/2</f>
        <v>5127046044.5462942</v>
      </c>
      <c r="I98" s="354">
        <f t="shared" si="56"/>
        <v>12001512606.214949</v>
      </c>
      <c r="J98" s="354">
        <f t="shared" si="56"/>
        <v>13434065250.482374</v>
      </c>
      <c r="K98" s="354">
        <f t="shared" si="56"/>
        <v>14727952045.957666</v>
      </c>
      <c r="L98" s="354">
        <f t="shared" si="56"/>
        <v>16037447852.429832</v>
      </c>
      <c r="M98" s="354">
        <f t="shared" si="56"/>
        <v>17328924500.505505</v>
      </c>
      <c r="N98" s="354"/>
      <c r="O98" s="358"/>
      <c r="P98" s="358"/>
      <c r="Q98" s="354"/>
    </row>
    <row r="99" spans="2:17">
      <c r="B99" s="381"/>
      <c r="C99" s="575" t="s">
        <v>1228</v>
      </c>
      <c r="D99" s="575"/>
      <c r="E99" s="578"/>
      <c r="F99" s="579"/>
      <c r="G99" s="592"/>
      <c r="H99" s="580">
        <f>H81*H92/2</f>
        <v>43076067810.77948</v>
      </c>
      <c r="I99" s="580">
        <f t="shared" si="56"/>
        <v>98324594222.162292</v>
      </c>
      <c r="J99" s="580">
        <f t="shared" si="56"/>
        <v>108532633261.30394</v>
      </c>
      <c r="K99" s="580">
        <f t="shared" si="56"/>
        <v>117942978955.38773</v>
      </c>
      <c r="L99" s="580">
        <f t="shared" si="56"/>
        <v>127470706442.76605</v>
      </c>
      <c r="M99" s="580">
        <f t="shared" si="56"/>
        <v>136956156454.54707</v>
      </c>
      <c r="N99" s="354"/>
      <c r="O99" s="358"/>
      <c r="P99" s="358"/>
      <c r="Q99" s="354"/>
    </row>
    <row r="100" spans="2:17">
      <c r="B100" s="574"/>
      <c r="C100" s="575" t="s">
        <v>1244</v>
      </c>
      <c r="D100" s="575"/>
      <c r="E100" s="578"/>
      <c r="F100" s="579"/>
      <c r="G100" s="592"/>
      <c r="H100" s="580">
        <f>SUM(H96:H99)</f>
        <v>58037010574.429947</v>
      </c>
      <c r="I100" s="580">
        <f t="shared" ref="I100:M100" si="57">SUM(I96:I99)</f>
        <v>131790074496.9619</v>
      </c>
      <c r="J100" s="580">
        <f t="shared" si="57"/>
        <v>145301286379.1105</v>
      </c>
      <c r="K100" s="580">
        <f t="shared" si="57"/>
        <v>157265586613.50507</v>
      </c>
      <c r="L100" s="580">
        <f t="shared" si="57"/>
        <v>169381731999.18787</v>
      </c>
      <c r="M100" s="580">
        <f t="shared" si="57"/>
        <v>181504084699.65216</v>
      </c>
      <c r="O100" s="358"/>
      <c r="P100" s="358"/>
      <c r="Q100" s="354"/>
    </row>
    <row r="101" spans="2:17">
      <c r="B101" s="381"/>
      <c r="F101" s="404"/>
      <c r="G101" s="577"/>
      <c r="H101" s="577"/>
      <c r="I101" s="4"/>
      <c r="J101" s="4"/>
      <c r="K101" s="4"/>
      <c r="L101" s="4"/>
      <c r="M101" s="4"/>
      <c r="O101" s="358"/>
      <c r="P101" s="358"/>
      <c r="Q101" s="354"/>
    </row>
    <row r="102" spans="2:17">
      <c r="B102" s="381"/>
      <c r="F102" s="404"/>
      <c r="G102" s="354"/>
      <c r="H102" s="354"/>
      <c r="I102" s="346"/>
      <c r="O102" s="358"/>
      <c r="P102" s="358"/>
      <c r="Q102" s="354"/>
    </row>
    <row r="103" spans="2:17">
      <c r="B103" s="381" t="s">
        <v>2155</v>
      </c>
      <c r="F103" s="404"/>
      <c r="G103" s="354"/>
      <c r="H103" s="354"/>
      <c r="I103" s="346"/>
      <c r="O103" s="358"/>
      <c r="P103" s="358"/>
      <c r="Q103" s="354"/>
    </row>
    <row r="104" spans="2:17">
      <c r="B104" s="381"/>
      <c r="F104" s="404"/>
      <c r="G104" s="354"/>
      <c r="H104" s="354"/>
      <c r="I104" s="346"/>
      <c r="O104" s="358"/>
      <c r="P104" s="358"/>
      <c r="Q104" s="354"/>
    </row>
    <row r="105" spans="2:17">
      <c r="B105" s="381" t="s">
        <v>2156</v>
      </c>
      <c r="C105" s="346" t="s">
        <v>2157</v>
      </c>
      <c r="D105" s="1117">
        <v>1</v>
      </c>
      <c r="F105" s="404"/>
      <c r="G105" s="354"/>
      <c r="H105" s="354"/>
      <c r="I105" s="346"/>
      <c r="O105" s="358"/>
      <c r="P105" s="358"/>
      <c r="Q105" s="354"/>
    </row>
    <row r="106" spans="2:17">
      <c r="B106" s="381" t="s">
        <v>1230</v>
      </c>
      <c r="C106" s="346" t="s">
        <v>2157</v>
      </c>
      <c r="D106" s="1117">
        <v>5</v>
      </c>
      <c r="F106" s="404"/>
      <c r="G106" s="354"/>
      <c r="H106" s="354"/>
      <c r="I106" s="346"/>
      <c r="O106" s="358"/>
      <c r="P106" s="358"/>
      <c r="Q106" s="354"/>
    </row>
    <row r="107" spans="2:17">
      <c r="B107" s="381" t="s">
        <v>1226</v>
      </c>
      <c r="C107" s="346" t="s">
        <v>2158</v>
      </c>
      <c r="D107" s="1117">
        <v>1</v>
      </c>
      <c r="F107" s="404"/>
      <c r="G107" s="354"/>
      <c r="H107" s="354"/>
      <c r="I107" s="346"/>
      <c r="O107" s="358"/>
      <c r="P107" s="358"/>
      <c r="Q107" s="354"/>
    </row>
    <row r="108" spans="2:17">
      <c r="B108" s="381" t="s">
        <v>1228</v>
      </c>
      <c r="C108" s="346" t="s">
        <v>2158</v>
      </c>
      <c r="D108" s="1117">
        <v>8</v>
      </c>
      <c r="F108" s="404"/>
      <c r="G108" s="354"/>
      <c r="H108" s="354"/>
      <c r="I108" s="346"/>
      <c r="O108" s="358"/>
      <c r="P108" s="358"/>
      <c r="Q108" s="354"/>
    </row>
    <row r="109" spans="2:17">
      <c r="B109" s="381"/>
      <c r="F109" s="404"/>
      <c r="G109" s="354"/>
      <c r="H109" s="354"/>
      <c r="I109" s="346"/>
      <c r="O109" s="358"/>
      <c r="P109" s="358"/>
      <c r="Q109" s="354"/>
    </row>
    <row r="110" spans="2:17">
      <c r="B110" s="381"/>
      <c r="F110" s="404"/>
      <c r="G110" s="354"/>
      <c r="H110" s="354"/>
      <c r="I110" s="346"/>
      <c r="O110" s="358"/>
      <c r="P110" s="358"/>
      <c r="Q110" s="354"/>
    </row>
    <row r="111" spans="2:17">
      <c r="B111" s="381"/>
      <c r="F111" s="404"/>
      <c r="G111" s="354"/>
      <c r="H111" s="354"/>
      <c r="I111" s="346"/>
      <c r="O111" s="358"/>
      <c r="P111" s="358"/>
      <c r="Q111" s="354"/>
    </row>
    <row r="112" spans="2:17">
      <c r="B112" s="381"/>
      <c r="F112" s="404"/>
      <c r="G112" s="354"/>
      <c r="H112" s="354"/>
      <c r="I112" s="346"/>
      <c r="O112" s="358"/>
      <c r="P112" s="358"/>
      <c r="Q112" s="354"/>
    </row>
    <row r="113" spans="2:17">
      <c r="B113" s="381" t="s">
        <v>1217</v>
      </c>
      <c r="F113" s="404"/>
      <c r="G113" s="354"/>
      <c r="H113" s="354"/>
      <c r="I113" s="346"/>
      <c r="O113" s="358"/>
      <c r="P113" s="358"/>
      <c r="Q113" s="354"/>
    </row>
    <row r="114" spans="2:17">
      <c r="B114" s="381"/>
      <c r="F114" s="404"/>
      <c r="G114" s="354"/>
      <c r="H114" s="354"/>
      <c r="I114" s="346"/>
      <c r="O114" s="358"/>
      <c r="P114" s="358"/>
      <c r="Q114" s="354"/>
    </row>
    <row r="115" spans="2:17">
      <c r="B115" s="571" t="s">
        <v>1225</v>
      </c>
      <c r="F115" s="404"/>
      <c r="G115" s="354"/>
      <c r="H115" s="354"/>
      <c r="I115" s="346"/>
      <c r="O115" s="358"/>
      <c r="P115" s="358"/>
      <c r="Q115" s="354"/>
    </row>
    <row r="116" spans="2:17">
      <c r="B116" s="572" t="s">
        <v>1185</v>
      </c>
      <c r="C116" s="573"/>
      <c r="D116" s="573" t="s">
        <v>1224</v>
      </c>
      <c r="E116" s="573" t="s">
        <v>1233</v>
      </c>
      <c r="F116" s="573" t="s">
        <v>1245</v>
      </c>
      <c r="G116" s="573" t="s">
        <v>1242</v>
      </c>
      <c r="H116" s="354"/>
      <c r="I116" s="573" t="s">
        <v>1241</v>
      </c>
      <c r="J116" s="573" t="s">
        <v>1243</v>
      </c>
      <c r="O116" s="358"/>
      <c r="P116" s="358"/>
      <c r="Q116" s="354"/>
    </row>
    <row r="117" spans="2:17">
      <c r="B117" s="381" t="s">
        <v>1218</v>
      </c>
      <c r="D117" s="346">
        <v>31</v>
      </c>
      <c r="E117" s="346"/>
      <c r="F117" s="354">
        <v>375580516.12903219</v>
      </c>
      <c r="G117" s="354">
        <f>J117/D117*2</f>
        <v>418658988.44807851</v>
      </c>
      <c r="H117" s="354"/>
      <c r="I117" s="354">
        <f>D117*F117/2</f>
        <v>5821497999.999999</v>
      </c>
      <c r="J117" s="354">
        <f>$J$122*I117/$I$122</f>
        <v>6489214320.9452171</v>
      </c>
      <c r="O117" s="358"/>
      <c r="P117" s="358"/>
      <c r="Q117" s="354"/>
    </row>
    <row r="118" spans="2:17">
      <c r="B118" s="381" t="s">
        <v>1220</v>
      </c>
      <c r="C118" s="346" t="s">
        <v>1222</v>
      </c>
      <c r="D118" s="346">
        <v>152</v>
      </c>
      <c r="E118" s="346"/>
      <c r="F118" s="354">
        <v>39480616.621983916</v>
      </c>
      <c r="G118" s="354">
        <f t="shared" ref="G118:G121" si="58">J118/D118*2</f>
        <v>44008978.923144162</v>
      </c>
      <c r="H118" s="354"/>
      <c r="I118" s="354">
        <f>D118*F118/2</f>
        <v>3000526863.2707777</v>
      </c>
      <c r="J118" s="354">
        <f t="shared" ref="J118:J119" si="59">$J$122*I118/$I$122</f>
        <v>3344682398.1589561</v>
      </c>
      <c r="O118" s="358"/>
      <c r="P118" s="358"/>
      <c r="Q118" s="354"/>
    </row>
    <row r="119" spans="2:17">
      <c r="B119" s="381"/>
      <c r="C119" s="346" t="s">
        <v>1223</v>
      </c>
      <c r="D119" s="346">
        <v>221</v>
      </c>
      <c r="E119" s="1054">
        <f>D119/E134</f>
        <v>0.74915254237288131</v>
      </c>
      <c r="F119" s="354">
        <v>39480616.621983916</v>
      </c>
      <c r="G119" s="354">
        <f t="shared" si="58"/>
        <v>44008978.923144154</v>
      </c>
      <c r="H119" s="354"/>
      <c r="I119" s="354">
        <f>D119*F119/2</f>
        <v>4362608136.7292223</v>
      </c>
      <c r="J119" s="354">
        <f t="shared" si="59"/>
        <v>4862992171.0074291</v>
      </c>
      <c r="O119" s="358"/>
      <c r="P119" s="358"/>
      <c r="Q119" s="354"/>
    </row>
    <row r="120" spans="2:17">
      <c r="B120" s="381"/>
      <c r="D120" s="346">
        <v>373</v>
      </c>
      <c r="E120" s="1054"/>
      <c r="F120" s="354"/>
      <c r="G120" s="354"/>
      <c r="H120" s="354"/>
      <c r="I120" s="354"/>
      <c r="J120" s="354"/>
      <c r="O120" s="358"/>
      <c r="P120" s="358"/>
      <c r="Q120" s="354"/>
    </row>
    <row r="121" spans="2:17">
      <c r="B121" s="574" t="s">
        <v>1221</v>
      </c>
      <c r="C121" s="575"/>
      <c r="D121" s="575">
        <v>2412</v>
      </c>
      <c r="E121" s="1055">
        <f>D121/E134</f>
        <v>8.1762711864406779</v>
      </c>
      <c r="F121" s="580">
        <v>30816346.600331675</v>
      </c>
      <c r="G121" s="580">
        <f t="shared" si="58"/>
        <v>34350931.26856418</v>
      </c>
      <c r="H121" s="354"/>
      <c r="I121" s="354">
        <f>D121*F121/2</f>
        <v>37164514000</v>
      </c>
      <c r="J121" s="354">
        <f>$J$122*I121/$I$122</f>
        <v>41427223109.888397</v>
      </c>
      <c r="O121" s="358"/>
      <c r="P121" s="358"/>
      <c r="Q121" s="354"/>
    </row>
    <row r="122" spans="2:17">
      <c r="B122" s="381" t="s">
        <v>1248</v>
      </c>
      <c r="F122" s="404"/>
      <c r="G122" s="354"/>
      <c r="H122" s="354"/>
      <c r="I122" s="593">
        <f>SUM(I117:I121)</f>
        <v>50349147000</v>
      </c>
      <c r="J122" s="593">
        <f>G9</f>
        <v>56124112000</v>
      </c>
      <c r="O122" s="358"/>
      <c r="P122" s="358"/>
      <c r="Q122" s="354"/>
    </row>
    <row r="123" spans="2:17">
      <c r="B123" s="381"/>
      <c r="F123" s="404"/>
      <c r="G123" s="354"/>
      <c r="H123" s="354"/>
      <c r="I123" s="346"/>
      <c r="O123" s="358"/>
      <c r="P123" s="358"/>
      <c r="Q123" s="354"/>
    </row>
    <row r="124" spans="2:17">
      <c r="B124" s="381"/>
      <c r="F124" s="404"/>
      <c r="G124" s="354"/>
      <c r="H124" s="354"/>
      <c r="I124" s="346"/>
      <c r="O124" s="358"/>
      <c r="P124" s="358"/>
      <c r="Q124" s="354"/>
    </row>
    <row r="125" spans="2:17">
      <c r="B125" s="401" t="s">
        <v>1075</v>
      </c>
      <c r="C125" s="402"/>
      <c r="D125" s="402"/>
      <c r="E125" s="403">
        <v>3.7405656140717301E-2</v>
      </c>
      <c r="F125" s="404"/>
      <c r="G125" s="1053">
        <v>3.7405656140717301E-2</v>
      </c>
      <c r="H125" s="354"/>
      <c r="I125" s="346"/>
      <c r="O125" s="358"/>
      <c r="P125" s="358"/>
      <c r="Q125" s="354"/>
    </row>
    <row r="126" spans="2:17">
      <c r="B126" s="381"/>
      <c r="F126" s="404"/>
      <c r="G126" s="354"/>
      <c r="H126" s="354"/>
      <c r="I126" s="346"/>
      <c r="O126" s="358"/>
      <c r="P126" s="358"/>
      <c r="Q126" s="354"/>
    </row>
    <row r="127" spans="2:17">
      <c r="B127" s="381"/>
      <c r="F127" s="404"/>
      <c r="G127" s="354"/>
      <c r="H127" s="354"/>
      <c r="I127" s="346"/>
      <c r="O127" s="358"/>
      <c r="P127" s="358"/>
      <c r="Q127" s="354"/>
    </row>
    <row r="128" spans="2:17">
      <c r="B128" s="381"/>
      <c r="F128" s="404"/>
      <c r="G128" s="354"/>
      <c r="H128" s="354"/>
      <c r="I128" s="346"/>
      <c r="O128" s="358"/>
      <c r="P128" s="358"/>
      <c r="Q128" s="354"/>
    </row>
    <row r="129" spans="2:17">
      <c r="B129" s="346" t="s">
        <v>1076</v>
      </c>
      <c r="C129" s="358"/>
      <c r="D129" s="358"/>
      <c r="E129" s="346"/>
      <c r="F129" s="358"/>
      <c r="G129" s="354"/>
      <c r="H129" s="354"/>
      <c r="I129" s="346"/>
      <c r="O129" s="358"/>
      <c r="P129" s="358"/>
      <c r="Q129" s="354"/>
    </row>
    <row r="130" spans="2:17" ht="15" thickBot="1">
      <c r="B130" s="348"/>
      <c r="C130" s="1230">
        <v>2009</v>
      </c>
      <c r="D130" s="1230">
        <v>2010</v>
      </c>
      <c r="E130" s="1230" t="s">
        <v>1063</v>
      </c>
      <c r="F130" s="1230" t="s">
        <v>1064</v>
      </c>
      <c r="G130" s="1230">
        <v>2012</v>
      </c>
      <c r="H130" s="1230">
        <v>2013</v>
      </c>
      <c r="I130" s="1230">
        <v>2014</v>
      </c>
      <c r="J130" s="1230">
        <v>2015</v>
      </c>
      <c r="K130" s="1230">
        <v>2016</v>
      </c>
      <c r="O130" s="358"/>
      <c r="P130" s="358"/>
      <c r="Q130" s="354"/>
    </row>
    <row r="131" spans="2:17">
      <c r="B131" s="405" t="s">
        <v>1077</v>
      </c>
      <c r="C131" s="383">
        <f>매출추정!G143</f>
        <v>258</v>
      </c>
      <c r="D131" s="383">
        <f t="shared" ref="D131:K131" si="60">C134</f>
        <v>274</v>
      </c>
      <c r="E131" s="406">
        <f t="shared" si="60"/>
        <v>283</v>
      </c>
      <c r="F131" s="383">
        <f t="shared" si="60"/>
        <v>295</v>
      </c>
      <c r="G131" s="383">
        <f t="shared" si="60"/>
        <v>307</v>
      </c>
      <c r="H131" s="383">
        <f t="shared" si="60"/>
        <v>332</v>
      </c>
      <c r="I131" s="383">
        <f t="shared" si="60"/>
        <v>348</v>
      </c>
      <c r="J131" s="383">
        <f t="shared" si="60"/>
        <v>359</v>
      </c>
      <c r="K131" s="383">
        <f t="shared" si="60"/>
        <v>369</v>
      </c>
      <c r="O131" s="358"/>
      <c r="P131" s="358"/>
      <c r="Q131" s="354"/>
    </row>
    <row r="132" spans="2:17">
      <c r="B132" s="381" t="s">
        <v>1078</v>
      </c>
      <c r="C132" s="386">
        <v>16</v>
      </c>
      <c r="D132" s="386">
        <v>13</v>
      </c>
      <c r="E132" s="407">
        <v>12</v>
      </c>
      <c r="F132" s="386">
        <f>CAPEX!G59</f>
        <v>12</v>
      </c>
      <c r="G132" s="386">
        <f>CAPEX!H59</f>
        <v>25</v>
      </c>
      <c r="H132" s="386">
        <f>CAPEX!I59</f>
        <v>16</v>
      </c>
      <c r="I132" s="386">
        <f>CAPEX!J59</f>
        <v>11</v>
      </c>
      <c r="J132" s="386">
        <f>CAPEX!K59</f>
        <v>10</v>
      </c>
      <c r="K132" s="386">
        <f>CAPEX!L59</f>
        <v>8</v>
      </c>
      <c r="O132" s="358"/>
      <c r="P132" s="358"/>
      <c r="Q132" s="354"/>
    </row>
    <row r="133" spans="2:17">
      <c r="B133" s="381" t="s">
        <v>1079</v>
      </c>
      <c r="C133" s="408">
        <v>0</v>
      </c>
      <c r="D133" s="408">
        <v>4</v>
      </c>
      <c r="E133" s="409">
        <v>0</v>
      </c>
      <c r="F133" s="408">
        <v>0</v>
      </c>
      <c r="G133" s="408">
        <v>0</v>
      </c>
      <c r="H133" s="408">
        <v>0</v>
      </c>
      <c r="I133" s="408">
        <v>0</v>
      </c>
      <c r="J133" s="408">
        <v>0</v>
      </c>
      <c r="K133" s="408">
        <v>0</v>
      </c>
      <c r="O133" s="358"/>
      <c r="P133" s="358"/>
      <c r="Q133" s="354"/>
    </row>
    <row r="134" spans="2:17" ht="15" thickBot="1">
      <c r="B134" s="410" t="s">
        <v>1080</v>
      </c>
      <c r="C134" s="411">
        <f t="shared" ref="C134:K134" si="61">C131+C132-C133</f>
        <v>274</v>
      </c>
      <c r="D134" s="411">
        <f t="shared" si="61"/>
        <v>283</v>
      </c>
      <c r="E134" s="412">
        <f t="shared" si="61"/>
        <v>295</v>
      </c>
      <c r="F134" s="411">
        <f t="shared" si="61"/>
        <v>307</v>
      </c>
      <c r="G134" s="411">
        <f t="shared" si="61"/>
        <v>332</v>
      </c>
      <c r="H134" s="411">
        <f t="shared" si="61"/>
        <v>348</v>
      </c>
      <c r="I134" s="411">
        <f t="shared" si="61"/>
        <v>359</v>
      </c>
      <c r="J134" s="411">
        <f t="shared" si="61"/>
        <v>369</v>
      </c>
      <c r="K134" s="411">
        <f t="shared" si="61"/>
        <v>377</v>
      </c>
      <c r="O134" s="358"/>
      <c r="P134" s="358"/>
      <c r="Q134" s="354"/>
    </row>
    <row r="135" spans="2:17">
      <c r="C135" s="358"/>
      <c r="D135" s="358"/>
      <c r="E135" s="346"/>
      <c r="F135" s="358"/>
      <c r="G135" s="354"/>
      <c r="H135" s="354"/>
      <c r="I135" s="346"/>
      <c r="O135" s="358"/>
      <c r="P135" s="358"/>
      <c r="Q135" s="354"/>
    </row>
    <row r="136" spans="2:17" hidden="1">
      <c r="E136" s="346"/>
      <c r="F136" s="358"/>
      <c r="G136" s="354"/>
      <c r="H136" s="354"/>
      <c r="I136" s="346"/>
      <c r="O136" s="358"/>
      <c r="P136" s="358"/>
      <c r="Q136" s="354"/>
    </row>
    <row r="137" spans="2:17" ht="15" hidden="1" thickBot="1">
      <c r="B137" s="348"/>
      <c r="C137" s="380">
        <v>2009</v>
      </c>
      <c r="D137" s="380">
        <v>2010</v>
      </c>
      <c r="E137" s="380" t="s">
        <v>1063</v>
      </c>
      <c r="F137" s="413" t="s">
        <v>1081</v>
      </c>
      <c r="G137" s="354"/>
      <c r="H137" s="354"/>
      <c r="I137" s="346"/>
      <c r="O137" s="358"/>
      <c r="P137" s="358"/>
      <c r="Q137" s="354"/>
    </row>
    <row r="138" spans="2:17" ht="15" hidden="1" thickBot="1">
      <c r="B138" s="414" t="s">
        <v>1082</v>
      </c>
      <c r="C138" s="414">
        <f>E68/C134</f>
        <v>9.2846715328467155</v>
      </c>
      <c r="D138" s="414">
        <f>F68/D134</f>
        <v>9.5901060070671384</v>
      </c>
      <c r="E138" s="414">
        <f>G68/E134</f>
        <v>9.5288135593220336</v>
      </c>
      <c r="F138" s="415">
        <f>AVERAGE(C138:E138)</f>
        <v>9.4678636997452958</v>
      </c>
      <c r="G138" s="354"/>
      <c r="H138" s="416" t="s">
        <v>1083</v>
      </c>
      <c r="I138" s="346"/>
      <c r="O138" s="358"/>
      <c r="P138" s="358"/>
      <c r="Q138" s="354"/>
    </row>
    <row r="139" spans="2:17">
      <c r="C139" s="358"/>
      <c r="D139" s="358"/>
      <c r="E139" s="358"/>
      <c r="F139" s="358"/>
      <c r="G139" s="354"/>
      <c r="H139" s="354"/>
      <c r="I139" s="346"/>
      <c r="O139" s="358"/>
      <c r="P139" s="358"/>
      <c r="Q139" s="354"/>
    </row>
    <row r="140" spans="2:17">
      <c r="F140" s="404"/>
    </row>
    <row r="141" spans="2:17">
      <c r="B141" s="230"/>
    </row>
    <row r="142" spans="2:17" ht="16">
      <c r="B142" s="371" t="s">
        <v>1084</v>
      </c>
      <c r="E142" s="347" t="s">
        <v>1247</v>
      </c>
    </row>
    <row r="143" spans="2:17">
      <c r="L143" s="4"/>
      <c r="M143" s="4"/>
      <c r="N143" s="4"/>
      <c r="O143" s="4"/>
    </row>
    <row r="144" spans="2:17" ht="15" thickBot="1">
      <c r="B144" s="348" t="s">
        <v>857</v>
      </c>
      <c r="C144" s="380" t="s">
        <v>1085</v>
      </c>
      <c r="D144" s="380" t="s">
        <v>1086</v>
      </c>
      <c r="E144" s="413" t="s">
        <v>1087</v>
      </c>
      <c r="G144" s="417" t="s">
        <v>1088</v>
      </c>
      <c r="H144" s="358"/>
      <c r="I144" s="418"/>
      <c r="J144" s="358"/>
      <c r="L144" s="4"/>
      <c r="M144" s="4"/>
      <c r="N144" s="4"/>
      <c r="O144" s="4"/>
    </row>
    <row r="145" spans="2:15">
      <c r="B145" s="419" t="s">
        <v>1089</v>
      </c>
      <c r="C145" s="420">
        <f>SUM(E9:G9)</f>
        <v>270843075000</v>
      </c>
      <c r="D145" s="420">
        <f>SUM(E10:G10)</f>
        <v>21590968000</v>
      </c>
      <c r="E145" s="421">
        <f>+D145/C145</f>
        <v>7.9717629848944815E-2</v>
      </c>
      <c r="G145" s="418">
        <v>8.2897759124788556E-2</v>
      </c>
      <c r="H145" s="358"/>
      <c r="I145" s="418"/>
      <c r="J145" s="358"/>
      <c r="L145" s="4"/>
      <c r="M145" s="4"/>
      <c r="N145" s="4"/>
      <c r="O145" s="4"/>
    </row>
    <row r="146" spans="2:15">
      <c r="B146" s="358" t="s">
        <v>1090</v>
      </c>
      <c r="C146" s="354">
        <f>+C145</f>
        <v>270843075000</v>
      </c>
      <c r="D146" s="354">
        <f>SUM(E11:G11)</f>
        <v>72172313000</v>
      </c>
      <c r="E146" s="422">
        <f>+D146/C146</f>
        <v>0.26647280163984255</v>
      </c>
      <c r="G146" s="418">
        <v>0.26606621610295927</v>
      </c>
      <c r="H146" s="358"/>
      <c r="I146" s="418"/>
      <c r="J146" s="358"/>
      <c r="L146" s="4"/>
      <c r="M146" s="4"/>
      <c r="N146" s="4"/>
      <c r="O146" s="4"/>
    </row>
    <row r="147" spans="2:15" ht="15" thickBot="1">
      <c r="B147" s="423" t="s">
        <v>1091</v>
      </c>
      <c r="C147" s="424">
        <f>+C146</f>
        <v>270843075000</v>
      </c>
      <c r="D147" s="424">
        <f>SUM(E12:G12)</f>
        <v>4259206000</v>
      </c>
      <c r="E147" s="425">
        <f>+D147/C147</f>
        <v>1.572573343438816E-2</v>
      </c>
      <c r="G147" s="418">
        <v>1.5740312270944766E-2</v>
      </c>
      <c r="H147" s="358"/>
      <c r="I147" s="418"/>
      <c r="J147" s="358"/>
    </row>
    <row r="148" spans="2:15">
      <c r="L148" s="594"/>
    </row>
    <row r="149" spans="2:15">
      <c r="L149" s="594"/>
    </row>
    <row r="150" spans="2:15" ht="15" thickBot="1">
      <c r="B150" s="1260"/>
      <c r="C150" s="1260">
        <v>2008</v>
      </c>
      <c r="D150" s="1260">
        <v>2009</v>
      </c>
      <c r="E150" s="1260">
        <v>2010</v>
      </c>
      <c r="F150" s="1260" t="s">
        <v>2929</v>
      </c>
      <c r="L150" s="594"/>
    </row>
    <row r="151" spans="2:15">
      <c r="B151" s="346" t="s">
        <v>1060</v>
      </c>
      <c r="C151" s="354">
        <f>D9</f>
        <v>54912277470</v>
      </c>
      <c r="D151" s="354">
        <f t="shared" ref="D151:F151" si="62">E9</f>
        <v>100593190000</v>
      </c>
      <c r="E151" s="354">
        <f t="shared" si="62"/>
        <v>114125773000</v>
      </c>
      <c r="F151" s="354">
        <f t="shared" si="62"/>
        <v>56124112000</v>
      </c>
      <c r="L151" s="594"/>
    </row>
    <row r="152" spans="2:15">
      <c r="B152" s="346" t="s">
        <v>2927</v>
      </c>
      <c r="C152" s="354">
        <f t="shared" ref="C152:F152" si="63">D10</f>
        <v>5640032625</v>
      </c>
      <c r="D152" s="354">
        <f t="shared" si="63"/>
        <v>7924515000</v>
      </c>
      <c r="E152" s="354">
        <f t="shared" si="63"/>
        <v>8787278000</v>
      </c>
      <c r="F152" s="354">
        <f t="shared" si="63"/>
        <v>4879175000</v>
      </c>
      <c r="L152" s="594"/>
    </row>
    <row r="153" spans="2:15">
      <c r="B153" s="346" t="s">
        <v>2928</v>
      </c>
      <c r="C153" s="354">
        <f t="shared" ref="C153:F153" si="64">D11</f>
        <v>15084842895</v>
      </c>
      <c r="D153" s="354">
        <f t="shared" si="64"/>
        <v>27223743000</v>
      </c>
      <c r="E153" s="354">
        <f t="shared" si="64"/>
        <v>29431178000</v>
      </c>
      <c r="F153" s="354">
        <f t="shared" si="64"/>
        <v>15517392000</v>
      </c>
      <c r="L153" s="594"/>
    </row>
    <row r="154" spans="2:15">
      <c r="B154" s="346" t="s">
        <v>1091</v>
      </c>
      <c r="C154" s="354">
        <f t="shared" ref="C154:F154" si="65">D12</f>
        <v>900000923</v>
      </c>
      <c r="D154" s="354">
        <f t="shared" si="65"/>
        <v>1587202000</v>
      </c>
      <c r="E154" s="354">
        <f t="shared" si="65"/>
        <v>1756877000</v>
      </c>
      <c r="F154" s="354">
        <f t="shared" si="65"/>
        <v>915127000</v>
      </c>
      <c r="L154" s="594"/>
    </row>
    <row r="155" spans="2:15">
      <c r="L155" s="5"/>
      <c r="M155" s="5"/>
      <c r="N155" s="5"/>
      <c r="O155" s="5"/>
    </row>
    <row r="156" spans="2:15">
      <c r="L156" s="5"/>
      <c r="M156" s="5"/>
      <c r="N156" s="5"/>
      <c r="O156" s="5"/>
    </row>
    <row r="157" spans="2:15">
      <c r="L157" s="5"/>
      <c r="M157" s="5"/>
      <c r="N157" s="5"/>
      <c r="O157" s="5"/>
    </row>
    <row r="158" spans="2:15">
      <c r="L158" s="5"/>
      <c r="M158" s="5"/>
      <c r="N158" s="5"/>
      <c r="O158" s="5"/>
    </row>
    <row r="159" spans="2:15">
      <c r="L159" s="5"/>
      <c r="M159" s="5"/>
      <c r="N159" s="5"/>
      <c r="O159" s="5"/>
    </row>
    <row r="160" spans="2:15">
      <c r="L160" s="5"/>
      <c r="M160" s="5"/>
      <c r="N160" s="5"/>
      <c r="O160" s="5"/>
    </row>
    <row r="161" spans="2:19">
      <c r="L161" s="5"/>
      <c r="M161" s="5"/>
      <c r="N161" s="5"/>
      <c r="O161" s="5"/>
    </row>
    <row r="162" spans="2:19">
      <c r="L162" s="5"/>
      <c r="M162" s="5"/>
      <c r="N162" s="5"/>
      <c r="O162" s="5"/>
    </row>
    <row r="163" spans="2:19" ht="16">
      <c r="B163" s="371" t="s">
        <v>1092</v>
      </c>
      <c r="D163" s="362"/>
      <c r="E163" s="426"/>
      <c r="F163" s="362"/>
      <c r="G163" s="426"/>
      <c r="L163" s="5"/>
      <c r="M163" s="5"/>
      <c r="N163" s="5"/>
      <c r="O163" s="5"/>
    </row>
    <row r="165" spans="2:19" ht="16">
      <c r="B165" s="371" t="s">
        <v>1093</v>
      </c>
      <c r="D165" s="427" t="s">
        <v>1094</v>
      </c>
      <c r="E165" s="428"/>
      <c r="F165" s="427"/>
    </row>
    <row r="167" spans="2:19" ht="29.5" thickBot="1">
      <c r="B167" s="348" t="s">
        <v>857</v>
      </c>
      <c r="C167" s="349"/>
      <c r="D167" s="349" t="s">
        <v>868</v>
      </c>
      <c r="E167" s="349" t="s">
        <v>867</v>
      </c>
      <c r="F167" s="349" t="s">
        <v>866</v>
      </c>
      <c r="G167" s="349" t="s">
        <v>1054</v>
      </c>
      <c r="H167" s="349" t="s">
        <v>865</v>
      </c>
      <c r="I167" s="349" t="s">
        <v>864</v>
      </c>
      <c r="J167" s="349" t="s">
        <v>863</v>
      </c>
      <c r="K167" s="349" t="s">
        <v>862</v>
      </c>
      <c r="L167" s="349" t="s">
        <v>861</v>
      </c>
      <c r="M167" s="349" t="s">
        <v>860</v>
      </c>
    </row>
    <row r="168" spans="2:19" s="230" customFormat="1">
      <c r="B168" s="373" t="s">
        <v>1095</v>
      </c>
      <c r="C168" s="374"/>
      <c r="D168" s="375">
        <f>+D15</f>
        <v>57932843664</v>
      </c>
      <c r="E168" s="375">
        <f>+E15</f>
        <v>71646224000</v>
      </c>
      <c r="F168" s="375">
        <f>+F15</f>
        <v>84048649000</v>
      </c>
      <c r="G168" s="375">
        <f>+G15</f>
        <v>41974209000</v>
      </c>
      <c r="H168" s="375">
        <f t="shared" ref="H168:M168" si="66">SUM(H169:H170)</f>
        <v>46166428430.881828</v>
      </c>
      <c r="I168" s="375">
        <f t="shared" si="66"/>
        <v>96704596976.222992</v>
      </c>
      <c r="J168" s="375">
        <f t="shared" si="66"/>
        <v>103992336903.46745</v>
      </c>
      <c r="K168" s="375">
        <f t="shared" si="66"/>
        <v>108957981675.67659</v>
      </c>
      <c r="L168" s="375">
        <f t="shared" si="66"/>
        <v>114115260789.75905</v>
      </c>
      <c r="M168" s="375">
        <f t="shared" si="66"/>
        <v>119531243429.60458</v>
      </c>
      <c r="S168" s="346"/>
    </row>
    <row r="169" spans="2:19">
      <c r="B169" s="358" t="s">
        <v>1096</v>
      </c>
      <c r="C169" s="358"/>
      <c r="D169" s="354"/>
      <c r="E169" s="354">
        <f t="shared" ref="E169:M169" si="67">E5*$C$175</f>
        <v>47951061594.551994</v>
      </c>
      <c r="F169" s="354">
        <f t="shared" si="67"/>
        <v>54840216164.345993</v>
      </c>
      <c r="G169" s="354">
        <f t="shared" si="67"/>
        <v>28924373130.461998</v>
      </c>
      <c r="H169" s="354">
        <f t="shared" si="67"/>
        <v>32881841973.693829</v>
      </c>
      <c r="I169" s="354">
        <f t="shared" si="67"/>
        <v>69738148513.655563</v>
      </c>
      <c r="J169" s="354">
        <f t="shared" si="67"/>
        <v>76082062744.710175</v>
      </c>
      <c r="K169" s="354">
        <f t="shared" si="67"/>
        <v>80210399292.156586</v>
      </c>
      <c r="L169" s="354">
        <f t="shared" si="67"/>
        <v>84562746099.500488</v>
      </c>
      <c r="M169" s="354">
        <f t="shared" si="67"/>
        <v>89151258328.018784</v>
      </c>
    </row>
    <row r="170" spans="2:19" ht="15" thickBot="1">
      <c r="B170" s="429" t="s">
        <v>1097</v>
      </c>
      <c r="C170" s="423"/>
      <c r="D170" s="424"/>
      <c r="E170" s="424">
        <f>E168-E169</f>
        <v>23695162405.448006</v>
      </c>
      <c r="F170" s="424">
        <f>F168-F169</f>
        <v>29208432835.654007</v>
      </c>
      <c r="G170" s="424">
        <f>G168-G169</f>
        <v>13049835869.538002</v>
      </c>
      <c r="H170" s="424">
        <f>F181-G170</f>
        <v>13284586457.188</v>
      </c>
      <c r="I170" s="424">
        <f>F181*(1+F261)</f>
        <v>26966448462.567425</v>
      </c>
      <c r="J170" s="424">
        <f>I170*(1+G261)</f>
        <v>27910274158.757282</v>
      </c>
      <c r="K170" s="424">
        <f>J170*(1+H261)</f>
        <v>28747582383.52</v>
      </c>
      <c r="L170" s="424">
        <f>K170*(1+I261)</f>
        <v>29552514690.25856</v>
      </c>
      <c r="M170" s="424">
        <f>L170*(1+J261)</f>
        <v>30379985101.5858</v>
      </c>
    </row>
    <row r="173" spans="2:19">
      <c r="B173" s="346" t="s">
        <v>1098</v>
      </c>
    </row>
    <row r="175" spans="2:19">
      <c r="B175" s="430" t="s">
        <v>1099</v>
      </c>
      <c r="C175" s="403">
        <v>1.7999999999999999E-2</v>
      </c>
      <c r="D175" s="346" t="s">
        <v>1100</v>
      </c>
    </row>
    <row r="176" spans="2:19">
      <c r="B176" s="358"/>
      <c r="C176" s="431"/>
    </row>
    <row r="178" spans="2:15">
      <c r="B178" s="346" t="s">
        <v>1101</v>
      </c>
    </row>
    <row r="180" spans="2:15" ht="15" thickBot="1">
      <c r="B180" s="432" t="s">
        <v>857</v>
      </c>
      <c r="C180" s="1230">
        <v>2009</v>
      </c>
      <c r="D180" s="1230">
        <v>2010</v>
      </c>
      <c r="E180" s="433" t="s">
        <v>1063</v>
      </c>
      <c r="F180" s="413" t="s">
        <v>1081</v>
      </c>
    </row>
    <row r="181" spans="2:15" ht="15" thickBot="1">
      <c r="B181" s="414" t="s">
        <v>1102</v>
      </c>
      <c r="C181" s="434">
        <f>E170</f>
        <v>23695162405.448006</v>
      </c>
      <c r="D181" s="434">
        <f>F170</f>
        <v>29208432835.654007</v>
      </c>
      <c r="E181" s="434">
        <f>G170</f>
        <v>13049835869.538002</v>
      </c>
      <c r="F181" s="435">
        <f>AVERAGE(C181,D181,E181*2)</f>
        <v>26334422326.726002</v>
      </c>
    </row>
    <row r="185" spans="2:15" ht="16">
      <c r="B185" s="371" t="s">
        <v>1103</v>
      </c>
      <c r="E185" s="347" t="s">
        <v>2930</v>
      </c>
    </row>
    <row r="187" spans="2:15" ht="15" thickBot="1">
      <c r="B187" s="348" t="s">
        <v>857</v>
      </c>
      <c r="C187" s="380" t="s">
        <v>1104</v>
      </c>
      <c r="D187" s="380" t="s">
        <v>1086</v>
      </c>
      <c r="E187" s="413" t="s">
        <v>1087</v>
      </c>
      <c r="G187" s="418"/>
      <c r="H187" s="358"/>
      <c r="I187" s="418"/>
      <c r="J187" s="358"/>
      <c r="M187" s="354"/>
      <c r="N187" s="354"/>
      <c r="O187" s="354"/>
    </row>
    <row r="188" spans="2:15">
      <c r="B188" s="436" t="s">
        <v>1105</v>
      </c>
      <c r="C188" s="420">
        <f>SUM(E5:G5)</f>
        <v>7317536160520</v>
      </c>
      <c r="D188" s="354">
        <f>SUM(E14:G14)</f>
        <v>131565383000</v>
      </c>
      <c r="E188" s="1266">
        <f>D188/C188</f>
        <v>1.7979464687831577E-2</v>
      </c>
      <c r="G188" s="437" t="s">
        <v>1106</v>
      </c>
      <c r="H188" s="438"/>
      <c r="I188" s="437"/>
      <c r="J188" s="358"/>
      <c r="M188" s="354"/>
      <c r="N188" s="354"/>
      <c r="O188" s="354"/>
    </row>
    <row r="189" spans="2:15">
      <c r="B189" s="358" t="s">
        <v>1107</v>
      </c>
      <c r="C189" s="354">
        <f>C188</f>
        <v>7317536160520</v>
      </c>
      <c r="D189" s="354">
        <f>SUM(E16:G16)</f>
        <v>145148824000</v>
      </c>
      <c r="E189" s="1267">
        <f>D189/C189</f>
        <v>1.9835750834155823E-2</v>
      </c>
      <c r="G189" s="418"/>
      <c r="H189" s="358"/>
      <c r="I189" s="418"/>
      <c r="J189" s="358"/>
      <c r="M189" s="354"/>
      <c r="N189" s="354"/>
      <c r="O189" s="354"/>
    </row>
    <row r="190" spans="2:15" ht="15" thickBot="1">
      <c r="B190" s="423" t="s">
        <v>1108</v>
      </c>
      <c r="C190" s="424">
        <f>+C189</f>
        <v>7317536160520</v>
      </c>
      <c r="D190" s="424">
        <f>SUM(E17:G17)</f>
        <v>81372605000</v>
      </c>
      <c r="E190" s="1268">
        <f>D190/C190</f>
        <v>1.1120219048458722E-2</v>
      </c>
      <c r="G190" s="418"/>
      <c r="H190" s="358"/>
      <c r="I190" s="418"/>
      <c r="J190" s="358"/>
      <c r="M190" s="354"/>
      <c r="N190" s="354"/>
      <c r="O190" s="354"/>
    </row>
    <row r="191" spans="2:15">
      <c r="B191" s="358"/>
      <c r="C191" s="358"/>
      <c r="D191" s="354"/>
      <c r="E191" s="354"/>
      <c r="F191" s="431"/>
      <c r="G191" s="418"/>
      <c r="H191" s="358"/>
      <c r="I191" s="418"/>
      <c r="J191" s="358"/>
      <c r="M191" s="354"/>
      <c r="N191" s="354"/>
      <c r="O191" s="354"/>
    </row>
    <row r="192" spans="2:15">
      <c r="B192" s="358"/>
      <c r="C192" s="358"/>
      <c r="D192" s="354"/>
      <c r="E192" s="354"/>
      <c r="F192" s="431"/>
      <c r="G192" s="418"/>
      <c r="H192" s="358"/>
      <c r="I192" s="418"/>
      <c r="J192" s="358"/>
      <c r="M192" s="354"/>
      <c r="N192" s="354"/>
      <c r="O192" s="354"/>
    </row>
    <row r="193" spans="2:16" ht="15" thickBot="1">
      <c r="B193" s="1260"/>
      <c r="C193" s="1260">
        <v>2008</v>
      </c>
      <c r="D193" s="1260">
        <v>2009</v>
      </c>
      <c r="E193" s="1260">
        <v>2010</v>
      </c>
      <c r="F193" s="1260" t="s">
        <v>2924</v>
      </c>
      <c r="G193" s="418"/>
      <c r="H193" s="358"/>
      <c r="I193" s="418"/>
      <c r="J193" s="358"/>
      <c r="M193" s="354"/>
      <c r="N193" s="354"/>
      <c r="O193" s="354"/>
    </row>
    <row r="194" spans="2:16">
      <c r="B194" s="346" t="s">
        <v>2925</v>
      </c>
      <c r="C194" s="420">
        <f>D5</f>
        <v>1491976221140</v>
      </c>
      <c r="D194" s="420">
        <f t="shared" ref="D194:F194" si="68">E5</f>
        <v>2663947866364</v>
      </c>
      <c r="E194" s="420">
        <f t="shared" si="68"/>
        <v>3046678675797</v>
      </c>
      <c r="F194" s="420">
        <f t="shared" si="68"/>
        <v>1606909618359</v>
      </c>
      <c r="G194" s="418"/>
      <c r="H194" s="358"/>
      <c r="I194" s="418"/>
      <c r="J194" s="358"/>
      <c r="M194" s="354"/>
      <c r="N194" s="354"/>
      <c r="O194" s="354"/>
    </row>
    <row r="195" spans="2:16">
      <c r="B195" s="358" t="s">
        <v>1356</v>
      </c>
      <c r="C195" s="354">
        <f>D14</f>
        <v>0</v>
      </c>
      <c r="D195" s="354">
        <f t="shared" ref="D195:F195" si="69">E14</f>
        <v>40084772000</v>
      </c>
      <c r="E195" s="354">
        <f t="shared" si="69"/>
        <v>56520802000</v>
      </c>
      <c r="F195" s="354">
        <f t="shared" si="69"/>
        <v>34959809000</v>
      </c>
      <c r="G195" s="418"/>
      <c r="H195" s="358"/>
      <c r="I195" s="418"/>
      <c r="J195" s="358"/>
      <c r="M195" s="354"/>
      <c r="N195" s="354"/>
      <c r="O195" s="354"/>
    </row>
    <row r="196" spans="2:16">
      <c r="B196" s="358" t="s">
        <v>1357</v>
      </c>
      <c r="C196" s="354">
        <f>D16</f>
        <v>32688234426</v>
      </c>
      <c r="D196" s="354">
        <f t="shared" ref="D196:F196" si="70">E16</f>
        <v>54566105000</v>
      </c>
      <c r="E196" s="354">
        <f t="shared" si="70"/>
        <v>61330566000</v>
      </c>
      <c r="F196" s="354">
        <f t="shared" si="70"/>
        <v>29252153000</v>
      </c>
      <c r="G196" s="418"/>
      <c r="H196" s="358"/>
      <c r="I196" s="418"/>
      <c r="J196" s="358"/>
      <c r="M196" s="354"/>
      <c r="N196" s="354"/>
      <c r="O196" s="354"/>
    </row>
    <row r="197" spans="2:16">
      <c r="B197" s="358" t="s">
        <v>1358</v>
      </c>
      <c r="C197" s="354">
        <f>D17</f>
        <v>0</v>
      </c>
      <c r="D197" s="354">
        <f t="shared" ref="D197:F197" si="71">E17</f>
        <v>27940265000</v>
      </c>
      <c r="E197" s="354">
        <f t="shared" si="71"/>
        <v>32967097000</v>
      </c>
      <c r="F197" s="354">
        <f t="shared" si="71"/>
        <v>20465243000</v>
      </c>
      <c r="G197" s="418"/>
      <c r="H197" s="358"/>
      <c r="I197" s="418"/>
      <c r="J197" s="358"/>
      <c r="M197" s="354"/>
      <c r="N197" s="354"/>
      <c r="O197" s="354"/>
    </row>
    <row r="198" spans="2:16">
      <c r="B198" s="358" t="s">
        <v>2926</v>
      </c>
      <c r="C198" s="354"/>
      <c r="D198" s="354"/>
      <c r="E198" s="354"/>
      <c r="F198" s="354"/>
      <c r="G198" s="418"/>
      <c r="H198" s="358"/>
      <c r="I198" s="418"/>
      <c r="J198" s="358"/>
      <c r="M198" s="354"/>
      <c r="N198" s="354"/>
      <c r="O198" s="354"/>
    </row>
    <row r="199" spans="2:16">
      <c r="B199" s="358" t="s">
        <v>1356</v>
      </c>
      <c r="C199" s="1261">
        <f>C195/C$194</f>
        <v>0</v>
      </c>
      <c r="D199" s="1261">
        <f t="shared" ref="D199:F199" si="72">D195/D$194</f>
        <v>1.5047130803918986E-2</v>
      </c>
      <c r="E199" s="1261">
        <f t="shared" si="72"/>
        <v>1.8551612432582628E-2</v>
      </c>
      <c r="F199" s="1261">
        <f t="shared" si="72"/>
        <v>2.1755927402875016E-2</v>
      </c>
      <c r="G199" s="1269">
        <f>AVERAGE(D199:F199)</f>
        <v>1.8451556879792209E-2</v>
      </c>
      <c r="H199" s="418">
        <f>AVERAGE(E199:F199)</f>
        <v>2.0153769917728822E-2</v>
      </c>
      <c r="I199" s="418"/>
      <c r="J199" s="358"/>
      <c r="M199" s="354"/>
      <c r="N199" s="354"/>
      <c r="O199" s="354"/>
    </row>
    <row r="200" spans="2:16">
      <c r="B200" s="358" t="s">
        <v>1357</v>
      </c>
      <c r="C200" s="1261">
        <f t="shared" ref="C200:F200" si="73">C196/C$194</f>
        <v>2.1909353488907039E-2</v>
      </c>
      <c r="D200" s="1261">
        <f t="shared" si="73"/>
        <v>2.0483172996353272E-2</v>
      </c>
      <c r="E200" s="1261">
        <f t="shared" si="73"/>
        <v>2.0130303365173928E-2</v>
      </c>
      <c r="F200" s="1261">
        <f t="shared" si="73"/>
        <v>1.8203981521918284E-2</v>
      </c>
      <c r="G200" s="1269">
        <f t="shared" ref="G200:G201" si="74">AVERAGE(D200:F200)</f>
        <v>1.9605819294481828E-2</v>
      </c>
      <c r="H200" s="418">
        <f t="shared" ref="H200:H201" si="75">AVERAGE(E200:F200)</f>
        <v>1.9167142443546108E-2</v>
      </c>
      <c r="I200" s="418"/>
      <c r="J200" s="358"/>
      <c r="M200" s="354"/>
      <c r="N200" s="354"/>
      <c r="O200" s="354"/>
    </row>
    <row r="201" spans="2:16" ht="15" thickBot="1">
      <c r="B201" s="423" t="s">
        <v>1358</v>
      </c>
      <c r="C201" s="1270">
        <f t="shared" ref="C201:F201" si="76">C197/C$194</f>
        <v>0</v>
      </c>
      <c r="D201" s="1270">
        <f t="shared" si="76"/>
        <v>1.0488292715028028E-2</v>
      </c>
      <c r="E201" s="1270">
        <f t="shared" si="76"/>
        <v>1.0820667522930007E-2</v>
      </c>
      <c r="F201" s="1270">
        <f t="shared" si="76"/>
        <v>1.2735777274704105E-2</v>
      </c>
      <c r="G201" s="1269">
        <f t="shared" si="74"/>
        <v>1.1348245837554047E-2</v>
      </c>
      <c r="H201" s="418">
        <f t="shared" si="75"/>
        <v>1.1778222398817057E-2</v>
      </c>
      <c r="I201" s="418"/>
      <c r="J201" s="358"/>
      <c r="M201" s="354"/>
      <c r="N201" s="354"/>
      <c r="O201" s="354"/>
    </row>
    <row r="202" spans="2:16">
      <c r="B202" s="358"/>
      <c r="C202" s="354"/>
      <c r="D202" s="354"/>
      <c r="E202" s="354"/>
      <c r="F202" s="354"/>
      <c r="G202" s="418"/>
      <c r="H202" s="358"/>
      <c r="I202" s="418"/>
      <c r="J202" s="358"/>
      <c r="M202" s="354"/>
      <c r="N202" s="354"/>
      <c r="O202" s="354"/>
    </row>
    <row r="203" spans="2:16">
      <c r="B203" s="358"/>
      <c r="C203" s="358"/>
      <c r="D203" s="354"/>
      <c r="E203" s="354"/>
      <c r="F203" s="431"/>
      <c r="G203" s="418"/>
      <c r="H203" s="358"/>
      <c r="I203" s="418"/>
      <c r="J203" s="358"/>
      <c r="M203" s="354"/>
      <c r="N203" s="354"/>
      <c r="O203" s="354"/>
    </row>
    <row r="204" spans="2:16">
      <c r="B204" s="358"/>
      <c r="C204" s="358"/>
      <c r="D204" s="354"/>
      <c r="E204" s="354"/>
      <c r="F204" s="431"/>
      <c r="G204" s="418"/>
      <c r="H204" s="358"/>
      <c r="I204" s="418"/>
      <c r="J204" s="358"/>
    </row>
    <row r="205" spans="2:16">
      <c r="M205" s="5"/>
      <c r="N205" s="5"/>
      <c r="O205" s="5"/>
      <c r="P205" s="595"/>
    </row>
    <row r="206" spans="2:16" ht="16">
      <c r="B206" s="371" t="s">
        <v>1109</v>
      </c>
      <c r="M206" s="5"/>
      <c r="N206" s="5"/>
      <c r="O206" s="5"/>
      <c r="P206" s="595"/>
    </row>
    <row r="207" spans="2:16">
      <c r="M207" s="5"/>
      <c r="N207" s="5"/>
      <c r="O207" s="5"/>
      <c r="P207" s="595"/>
    </row>
    <row r="208" spans="2:16" ht="16">
      <c r="B208" s="371" t="s">
        <v>1110</v>
      </c>
      <c r="M208" s="5"/>
      <c r="N208" s="5"/>
      <c r="O208" s="5"/>
    </row>
    <row r="210" spans="2:12" ht="15" thickBot="1">
      <c r="B210" s="348" t="s">
        <v>857</v>
      </c>
      <c r="C210" s="1230">
        <v>2009</v>
      </c>
      <c r="D210" s="1230">
        <v>2010</v>
      </c>
      <c r="E210" s="380" t="s">
        <v>1063</v>
      </c>
      <c r="F210" s="413" t="s">
        <v>1081</v>
      </c>
      <c r="G210" s="346"/>
    </row>
    <row r="211" spans="2:12">
      <c r="B211" s="419" t="s">
        <v>1111</v>
      </c>
      <c r="C211" s="420">
        <f>E5</f>
        <v>2663947866364</v>
      </c>
      <c r="D211" s="420">
        <f>F5</f>
        <v>3046678675797</v>
      </c>
      <c r="E211" s="420">
        <f>G5</f>
        <v>1606909618359</v>
      </c>
      <c r="F211" s="439"/>
      <c r="G211" s="346"/>
      <c r="H211" s="346" t="s">
        <v>1112</v>
      </c>
    </row>
    <row r="212" spans="2:12">
      <c r="B212" s="358" t="s">
        <v>1113</v>
      </c>
      <c r="C212" s="354">
        <f>E19</f>
        <v>38412051000</v>
      </c>
      <c r="D212" s="354">
        <f>F19</f>
        <v>37613578000</v>
      </c>
      <c r="E212" s="354">
        <f>G19</f>
        <v>18808381000</v>
      </c>
      <c r="F212" s="440">
        <f>AVERAGE(C212,D212,E212*2)</f>
        <v>37880797000</v>
      </c>
      <c r="G212" s="346"/>
      <c r="H212" s="346" t="s">
        <v>1114</v>
      </c>
    </row>
    <row r="213" spans="2:12" ht="15" thickBot="1">
      <c r="B213" s="441" t="s">
        <v>1115</v>
      </c>
      <c r="C213" s="442">
        <f>C212/C211</f>
        <v>1.4419220242634961E-2</v>
      </c>
      <c r="D213" s="442">
        <f>D212/D211</f>
        <v>1.2345764684278832E-2</v>
      </c>
      <c r="E213" s="442">
        <f>E212/E211</f>
        <v>1.1704691281397268E-2</v>
      </c>
      <c r="F213" s="443"/>
      <c r="G213" s="346"/>
      <c r="H213" s="346" t="s">
        <v>1116</v>
      </c>
    </row>
    <row r="217" spans="2:12" ht="16">
      <c r="B217" s="371" t="s">
        <v>1117</v>
      </c>
    </row>
    <row r="218" spans="2:12" ht="16">
      <c r="B218" s="371"/>
    </row>
    <row r="219" spans="2:12" ht="15" thickBot="1">
      <c r="B219" s="348" t="s">
        <v>857</v>
      </c>
      <c r="C219" s="348"/>
      <c r="D219" s="348"/>
      <c r="E219" s="1230">
        <v>2010</v>
      </c>
      <c r="F219" s="1230" t="s">
        <v>2147</v>
      </c>
      <c r="G219" s="1230" t="s">
        <v>815</v>
      </c>
      <c r="H219" s="1230">
        <v>2012</v>
      </c>
      <c r="I219" s="1230">
        <v>2013</v>
      </c>
      <c r="J219" s="1230">
        <v>2014</v>
      </c>
      <c r="K219" s="1230">
        <v>2015</v>
      </c>
      <c r="L219" s="1230">
        <v>2016</v>
      </c>
    </row>
    <row r="220" spans="2:12">
      <c r="B220" s="461" t="s">
        <v>2148</v>
      </c>
      <c r="E220" s="4">
        <f>CAPEX!E57</f>
        <v>283</v>
      </c>
      <c r="F220" s="4">
        <f>CAPEX!F57</f>
        <v>295</v>
      </c>
      <c r="G220" s="4">
        <f>CAPEX!G57</f>
        <v>307</v>
      </c>
      <c r="H220" s="4">
        <f>CAPEX!H57</f>
        <v>332</v>
      </c>
      <c r="I220" s="4">
        <f>CAPEX!I57</f>
        <v>348</v>
      </c>
      <c r="J220" s="4">
        <f>CAPEX!J57</f>
        <v>359</v>
      </c>
      <c r="K220" s="4">
        <f>CAPEX!K57</f>
        <v>369</v>
      </c>
      <c r="L220" s="4">
        <f>CAPEX!L57</f>
        <v>377</v>
      </c>
    </row>
    <row r="221" spans="2:12">
      <c r="B221" s="1114" t="s">
        <v>2149</v>
      </c>
      <c r="C221" s="575"/>
      <c r="D221" s="575"/>
      <c r="E221" s="578"/>
      <c r="F221" s="576">
        <f>F220-E220</f>
        <v>12</v>
      </c>
      <c r="G221" s="576">
        <f>G220-F220</f>
        <v>12</v>
      </c>
      <c r="H221" s="576">
        <f t="shared" ref="H221:L221" si="77">H220-G220</f>
        <v>25</v>
      </c>
      <c r="I221" s="576">
        <f t="shared" si="77"/>
        <v>16</v>
      </c>
      <c r="J221" s="576">
        <f t="shared" si="77"/>
        <v>11</v>
      </c>
      <c r="K221" s="576">
        <f t="shared" si="77"/>
        <v>10</v>
      </c>
      <c r="L221" s="576">
        <f t="shared" si="77"/>
        <v>8</v>
      </c>
    </row>
    <row r="222" spans="2:12">
      <c r="B222" s="461" t="s">
        <v>2153</v>
      </c>
      <c r="F222" s="4">
        <f>C228</f>
        <v>258</v>
      </c>
      <c r="G222" s="4">
        <f>F222+G221*$D$228</f>
        <v>268.4949152542373</v>
      </c>
      <c r="H222" s="4">
        <f t="shared" ref="H222:L222" si="78">G222+H221*$D$228</f>
        <v>290.35932203389831</v>
      </c>
      <c r="I222" s="4">
        <f t="shared" si="78"/>
        <v>304.35254237288137</v>
      </c>
      <c r="J222" s="4">
        <f t="shared" si="78"/>
        <v>313.9728813559322</v>
      </c>
      <c r="K222" s="4">
        <f t="shared" si="78"/>
        <v>322.71864406779662</v>
      </c>
      <c r="L222" s="4">
        <f t="shared" si="78"/>
        <v>329.71525423728815</v>
      </c>
    </row>
    <row r="223" spans="2:12">
      <c r="B223" s="346" t="s">
        <v>1139</v>
      </c>
      <c r="E223" s="1056">
        <f>D232</f>
        <v>215022255.81395349</v>
      </c>
      <c r="F223" s="1056"/>
      <c r="G223" s="1057">
        <f>E223*(1+G$224)</f>
        <v>227708568.90697673</v>
      </c>
      <c r="H223" s="1057">
        <f>G223*(1+H$224)</f>
        <v>233173574.56074417</v>
      </c>
      <c r="I223" s="1057">
        <f>H223*(1+I$224)</f>
        <v>241334649.67037019</v>
      </c>
      <c r="J223" s="1057">
        <f>I223*(1+J$224)</f>
        <v>248574689.1604813</v>
      </c>
      <c r="K223" s="1057">
        <f>J223*(1+K$224)</f>
        <v>255534780.45697477</v>
      </c>
      <c r="L223" s="1057">
        <f>K223*(1+L$224)</f>
        <v>262689754.30977008</v>
      </c>
    </row>
    <row r="224" spans="2:12">
      <c r="B224" s="346" t="s">
        <v>514</v>
      </c>
      <c r="E224" s="5">
        <v>3.8339999999999999E-2</v>
      </c>
      <c r="F224" s="5"/>
      <c r="G224" s="5">
        <v>5.9000000000000004E-2</v>
      </c>
      <c r="H224" s="5">
        <v>2.4E-2</v>
      </c>
      <c r="I224" s="5">
        <v>3.5000000000000003E-2</v>
      </c>
      <c r="J224" s="5">
        <v>0.03</v>
      </c>
      <c r="K224" s="5">
        <v>2.7999999999999997E-2</v>
      </c>
      <c r="L224" s="5">
        <v>2.7999999999999997E-2</v>
      </c>
    </row>
    <row r="225" spans="2:12" ht="15" thickBot="1">
      <c r="B225" s="446" t="s">
        <v>1140</v>
      </c>
      <c r="C225" s="446"/>
      <c r="D225" s="446"/>
      <c r="E225" s="1058"/>
      <c r="F225" s="1058"/>
      <c r="G225" s="1058">
        <f t="shared" ref="G225" si="79">G222*G223/2</f>
        <v>30569296455.671185</v>
      </c>
      <c r="H225" s="1058">
        <f>H222*H223</f>
        <v>67704121025.678314</v>
      </c>
      <c r="I225" s="1058">
        <f t="shared" ref="I225:L225" si="80">I222*I223</f>
        <v>73450814189.845825</v>
      </c>
      <c r="J225" s="1058">
        <f t="shared" si="80"/>
        <v>78045711387.871521</v>
      </c>
      <c r="K225" s="1058">
        <f t="shared" si="80"/>
        <v>82465837861.237</v>
      </c>
      <c r="L225" s="1058">
        <f t="shared" si="80"/>
        <v>86612819127.776596</v>
      </c>
    </row>
    <row r="227" spans="2:12">
      <c r="B227" s="346" t="s">
        <v>2150</v>
      </c>
    </row>
    <row r="228" spans="2:12">
      <c r="B228" s="1110" t="s">
        <v>2151</v>
      </c>
      <c r="C228" s="618">
        <v>258</v>
      </c>
      <c r="D228" s="1111">
        <f>C228/$C$230</f>
        <v>0.87457627118644066</v>
      </c>
    </row>
    <row r="229" spans="2:12">
      <c r="B229" s="1112" t="s">
        <v>2152</v>
      </c>
      <c r="C229" s="358">
        <v>37</v>
      </c>
      <c r="D229" s="623">
        <f>C229/$C$230</f>
        <v>0.12542372881355932</v>
      </c>
    </row>
    <row r="230" spans="2:12">
      <c r="B230" s="1113" t="s">
        <v>2021</v>
      </c>
      <c r="C230" s="575">
        <f>SUM(C228:C229)</f>
        <v>295</v>
      </c>
      <c r="D230" s="625">
        <f>SUM(D228:D229)</f>
        <v>1</v>
      </c>
    </row>
    <row r="232" spans="2:12">
      <c r="B232" s="1115" t="s">
        <v>2154</v>
      </c>
      <c r="C232" s="573"/>
      <c r="D232" s="1116">
        <f>E237*2/C228</f>
        <v>215022255.81395349</v>
      </c>
    </row>
    <row r="236" spans="2:12" ht="15" thickBot="1">
      <c r="B236" s="348" t="s">
        <v>857</v>
      </c>
      <c r="C236" s="1230">
        <v>2009</v>
      </c>
      <c r="D236" s="1230">
        <v>2010</v>
      </c>
      <c r="E236" s="380" t="s">
        <v>1063</v>
      </c>
      <c r="F236" s="413" t="s">
        <v>1081</v>
      </c>
    </row>
    <row r="237" spans="2:12">
      <c r="B237" s="419" t="s">
        <v>1118</v>
      </c>
      <c r="C237" s="420">
        <f>E20</f>
        <v>45413231000</v>
      </c>
      <c r="D237" s="420">
        <f>F20</f>
        <v>53038998000</v>
      </c>
      <c r="E237" s="420">
        <f>G20</f>
        <v>27737871000</v>
      </c>
      <c r="F237" s="439">
        <f>AVERAGE(C237,D237,E237*2)</f>
        <v>51309323666.666664</v>
      </c>
    </row>
    <row r="238" spans="2:12">
      <c r="B238" s="358" t="s">
        <v>1119</v>
      </c>
      <c r="C238" s="444">
        <f>(C131+C134)/2</f>
        <v>266</v>
      </c>
      <c r="D238" s="444">
        <f>(D131+D134)/2</f>
        <v>278.5</v>
      </c>
      <c r="E238" s="444">
        <f>(E131+F134)/2</f>
        <v>295</v>
      </c>
      <c r="F238" s="445">
        <f>AVERAGE(C238,D238,E238)</f>
        <v>279.83333333333331</v>
      </c>
      <c r="H238" s="416" t="s">
        <v>1120</v>
      </c>
    </row>
    <row r="239" spans="2:12" ht="15" thickBot="1">
      <c r="B239" s="446" t="s">
        <v>1121</v>
      </c>
      <c r="C239" s="447">
        <f>C237/C238</f>
        <v>170726432.33082706</v>
      </c>
      <c r="D239" s="447">
        <f>D237/D238</f>
        <v>190445235.18850988</v>
      </c>
      <c r="E239" s="447">
        <f>E237/E238</f>
        <v>94026681.355932206</v>
      </c>
      <c r="F239" s="448">
        <f>F237/F238</f>
        <v>183356725.43180466</v>
      </c>
      <c r="H239" s="416" t="s">
        <v>1122</v>
      </c>
    </row>
    <row r="240" spans="2:12">
      <c r="B240" s="358"/>
      <c r="C240" s="354"/>
      <c r="D240" s="354"/>
      <c r="E240" s="354"/>
      <c r="F240" s="449"/>
      <c r="H240" s="416"/>
    </row>
    <row r="242" spans="2:19" ht="15" thickBot="1">
      <c r="B242" s="348" t="s">
        <v>857</v>
      </c>
      <c r="C242" s="1230">
        <v>2009</v>
      </c>
      <c r="D242" s="1230">
        <v>2010</v>
      </c>
      <c r="E242" s="380" t="s">
        <v>1063</v>
      </c>
      <c r="F242" s="413" t="s">
        <v>1081</v>
      </c>
    </row>
    <row r="243" spans="2:19">
      <c r="B243" s="419" t="s">
        <v>1118</v>
      </c>
      <c r="C243" s="420">
        <f>E20</f>
        <v>45413231000</v>
      </c>
      <c r="D243" s="420">
        <f>F20</f>
        <v>53038998000</v>
      </c>
      <c r="E243" s="420">
        <f>G20</f>
        <v>27737871000</v>
      </c>
      <c r="F243" s="439">
        <f>AVERAGE(C243,D243,E243*2)</f>
        <v>51309323666.666664</v>
      </c>
    </row>
    <row r="244" spans="2:19">
      <c r="B244" s="358" t="s">
        <v>1123</v>
      </c>
      <c r="C244" s="444">
        <f>(C131-C251+C252+C253)/2</f>
        <v>229</v>
      </c>
      <c r="D244" s="444">
        <f>(C252+C253+D252+D253)/2</f>
        <v>242</v>
      </c>
      <c r="E244" s="444">
        <f>(D252+D253+E252+E253)/2</f>
        <v>253</v>
      </c>
      <c r="F244" s="445">
        <f>AVERAGE(C244,D244,E244)</f>
        <v>241.33333333333334</v>
      </c>
      <c r="H244" s="416" t="s">
        <v>1124</v>
      </c>
    </row>
    <row r="245" spans="2:19" ht="15" thickBot="1">
      <c r="B245" s="446" t="s">
        <v>1121</v>
      </c>
      <c r="C245" s="447">
        <f>C243/C244</f>
        <v>198311052.40174672</v>
      </c>
      <c r="D245" s="447">
        <f>D243/D244</f>
        <v>219169413.22314051</v>
      </c>
      <c r="E245" s="447">
        <f>E243/E244</f>
        <v>109635853.75494072</v>
      </c>
      <c r="F245" s="448">
        <f>F243/F244</f>
        <v>212607694.75138119</v>
      </c>
      <c r="H245" s="416" t="s">
        <v>1125</v>
      </c>
    </row>
    <row r="250" spans="2:19" ht="15" thickBot="1">
      <c r="B250" s="348" t="s">
        <v>857</v>
      </c>
      <c r="C250" s="1230">
        <v>2009</v>
      </c>
      <c r="D250" s="1230">
        <v>2010</v>
      </c>
      <c r="E250" s="1230" t="s">
        <v>1063</v>
      </c>
      <c r="F250" s="1230" t="s">
        <v>1064</v>
      </c>
      <c r="G250" s="1230">
        <v>2012</v>
      </c>
      <c r="H250" s="1230">
        <v>2013</v>
      </c>
      <c r="I250" s="1230">
        <v>2014</v>
      </c>
      <c r="J250" s="1230">
        <v>2015</v>
      </c>
      <c r="K250" s="1230">
        <v>2016</v>
      </c>
    </row>
    <row r="251" spans="2:19">
      <c r="B251" s="419" t="s">
        <v>1126</v>
      </c>
      <c r="C251" s="450">
        <v>37</v>
      </c>
      <c r="D251" s="450">
        <v>36</v>
      </c>
      <c r="E251" s="451">
        <v>36</v>
      </c>
      <c r="F251" s="383">
        <f t="shared" ref="F251:K251" si="81">E251</f>
        <v>36</v>
      </c>
      <c r="G251" s="383">
        <f t="shared" si="81"/>
        <v>36</v>
      </c>
      <c r="H251" s="383">
        <f t="shared" si="81"/>
        <v>36</v>
      </c>
      <c r="I251" s="383">
        <f t="shared" si="81"/>
        <v>36</v>
      </c>
      <c r="J251" s="383">
        <f t="shared" si="81"/>
        <v>36</v>
      </c>
      <c r="K251" s="383">
        <f t="shared" si="81"/>
        <v>36</v>
      </c>
      <c r="M251" s="347" t="s">
        <v>1127</v>
      </c>
    </row>
    <row r="252" spans="2:19">
      <c r="B252" s="358" t="s">
        <v>1128</v>
      </c>
      <c r="C252" s="444">
        <v>187</v>
      </c>
      <c r="D252" s="444">
        <v>199</v>
      </c>
      <c r="E252" s="452">
        <v>208</v>
      </c>
      <c r="F252" s="386">
        <f t="shared" ref="F252:K252" si="82">F254-F251-F253</f>
        <v>220</v>
      </c>
      <c r="G252" s="386">
        <f t="shared" si="82"/>
        <v>245</v>
      </c>
      <c r="H252" s="386">
        <f t="shared" si="82"/>
        <v>261</v>
      </c>
      <c r="I252" s="386">
        <f t="shared" si="82"/>
        <v>272</v>
      </c>
      <c r="J252" s="386">
        <f t="shared" si="82"/>
        <v>282</v>
      </c>
      <c r="K252" s="386">
        <f t="shared" si="82"/>
        <v>290</v>
      </c>
      <c r="M252" s="347" t="s">
        <v>1129</v>
      </c>
    </row>
    <row r="253" spans="2:19">
      <c r="B253" s="358" t="s">
        <v>1130</v>
      </c>
      <c r="C253" s="444">
        <v>50</v>
      </c>
      <c r="D253" s="444">
        <v>48</v>
      </c>
      <c r="E253" s="452">
        <v>51</v>
      </c>
      <c r="F253" s="408">
        <f t="shared" ref="F253:K253" si="83">E253</f>
        <v>51</v>
      </c>
      <c r="G253" s="408">
        <f t="shared" si="83"/>
        <v>51</v>
      </c>
      <c r="H253" s="408">
        <f t="shared" si="83"/>
        <v>51</v>
      </c>
      <c r="I253" s="408">
        <f t="shared" si="83"/>
        <v>51</v>
      </c>
      <c r="J253" s="408">
        <f t="shared" si="83"/>
        <v>51</v>
      </c>
      <c r="K253" s="408">
        <f t="shared" si="83"/>
        <v>51</v>
      </c>
      <c r="M253" s="347" t="s">
        <v>1127</v>
      </c>
    </row>
    <row r="254" spans="2:19" s="230" customFormat="1" ht="15" thickBot="1">
      <c r="B254" s="366" t="s">
        <v>1072</v>
      </c>
      <c r="C254" s="453">
        <f>SUM(C251:C253)</f>
        <v>274</v>
      </c>
      <c r="D254" s="453">
        <f>SUM(D251:D253)</f>
        <v>283</v>
      </c>
      <c r="E254" s="454">
        <f>SUM(E251:E253)</f>
        <v>295</v>
      </c>
      <c r="F254" s="455">
        <f t="shared" ref="F254:K254" si="84">F134</f>
        <v>307</v>
      </c>
      <c r="G254" s="455">
        <f t="shared" si="84"/>
        <v>332</v>
      </c>
      <c r="H254" s="455">
        <f t="shared" si="84"/>
        <v>348</v>
      </c>
      <c r="I254" s="455">
        <f t="shared" si="84"/>
        <v>359</v>
      </c>
      <c r="J254" s="455">
        <f t="shared" si="84"/>
        <v>369</v>
      </c>
      <c r="K254" s="455">
        <f t="shared" si="84"/>
        <v>377</v>
      </c>
      <c r="S254" s="346"/>
    </row>
    <row r="258" spans="2:11" ht="16">
      <c r="B258" s="371" t="s">
        <v>1131</v>
      </c>
      <c r="E258" s="347" t="s">
        <v>1132</v>
      </c>
    </row>
    <row r="260" spans="2:11">
      <c r="B260" s="1358" t="s">
        <v>1133</v>
      </c>
      <c r="C260" s="1359"/>
      <c r="D260" s="1359"/>
      <c r="E260" s="1231">
        <v>2011</v>
      </c>
      <c r="F260" s="1231">
        <v>2012</v>
      </c>
      <c r="G260" s="1231">
        <v>2013</v>
      </c>
      <c r="H260" s="1231">
        <v>2014</v>
      </c>
      <c r="I260" s="1231">
        <v>2015</v>
      </c>
      <c r="J260" s="1231">
        <v>2016</v>
      </c>
      <c r="K260" s="456"/>
    </row>
    <row r="261" spans="2:11">
      <c r="B261" s="457" t="s">
        <v>859</v>
      </c>
      <c r="C261" s="359"/>
      <c r="D261" s="458"/>
      <c r="E261" s="459">
        <v>5.9000000000000004E-2</v>
      </c>
      <c r="F261" s="459">
        <v>2.4E-2</v>
      </c>
      <c r="G261" s="459">
        <v>3.5000000000000003E-2</v>
      </c>
      <c r="H261" s="459">
        <v>0.03</v>
      </c>
      <c r="I261" s="459">
        <v>2.7999999999999997E-2</v>
      </c>
      <c r="J261" s="459">
        <f>I261</f>
        <v>2.7999999999999997E-2</v>
      </c>
      <c r="K261" s="460"/>
    </row>
    <row r="262" spans="2:11">
      <c r="B262" s="346" t="s">
        <v>1134</v>
      </c>
    </row>
    <row r="266" spans="2:11" ht="16">
      <c r="B266" s="371" t="s">
        <v>1135</v>
      </c>
    </row>
    <row r="268" spans="2:11" ht="16">
      <c r="B268" s="371" t="s">
        <v>1136</v>
      </c>
      <c r="D268" s="346" t="s">
        <v>1137</v>
      </c>
      <c r="K268" s="228"/>
    </row>
    <row r="270" spans="2:11" ht="16">
      <c r="B270" s="371" t="s">
        <v>1138</v>
      </c>
      <c r="D270" s="346" t="s">
        <v>1137</v>
      </c>
    </row>
    <row r="274" spans="2:9" ht="16">
      <c r="B274" s="371"/>
    </row>
    <row r="276" spans="2:9">
      <c r="H276" s="354"/>
      <c r="I276" s="354"/>
    </row>
    <row r="277" spans="2:9">
      <c r="H277" s="354"/>
      <c r="I277" s="354"/>
    </row>
    <row r="278" spans="2:9">
      <c r="H278" s="354"/>
      <c r="I278" s="354"/>
    </row>
    <row r="279" spans="2:9">
      <c r="H279" s="354"/>
      <c r="I279" s="354"/>
    </row>
    <row r="280" spans="2:9">
      <c r="H280" s="354"/>
      <c r="I280" s="354"/>
    </row>
    <row r="281" spans="2:9">
      <c r="H281" s="354"/>
      <c r="I281" s="354"/>
    </row>
    <row r="282" spans="2:9">
      <c r="H282" s="354"/>
      <c r="I282" s="354"/>
    </row>
    <row r="283" spans="2:9">
      <c r="H283" s="354"/>
      <c r="I283" s="354"/>
    </row>
    <row r="284" spans="2:9">
      <c r="H284" s="354"/>
      <c r="I284" s="354"/>
    </row>
  </sheetData>
  <mergeCells count="2">
    <mergeCell ref="B62:B65"/>
    <mergeCell ref="B260:D260"/>
  </mergeCells>
  <phoneticPr fontId="28" type="noConversion"/>
  <pageMargins left="0.6" right="0.6" top="1" bottom="1" header="0.5" footer="0.5"/>
  <pageSetup paperSize="9" orientation="landscape" r:id="rId1"/>
  <headerFooter scaleWithDoc="0">
    <oddHeader>&amp;R&amp;8Draft - Work in Progress</oddHeader>
    <oddFooter>&amp;L&amp;8&amp;F
&amp;D, &amp;T&amp;C&amp;8Page &amp;P of &amp;N&amp;R&amp;8&amp;A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I72"/>
  <sheetViews>
    <sheetView showGridLines="0" zoomScaleNormal="100" workbookViewId="0">
      <selection activeCell="A23" sqref="A23"/>
    </sheetView>
  </sheetViews>
  <sheetFormatPr defaultColWidth="9" defaultRowHeight="14.5" outlineLevelRow="1"/>
  <cols>
    <col min="1" max="1" width="1.6640625" style="2" customWidth="1"/>
    <col min="2" max="2" width="23.33203125" style="2" customWidth="1"/>
    <col min="3" max="9" width="12" style="2" customWidth="1"/>
    <col min="10" max="16384" width="9" style="2"/>
  </cols>
  <sheetData>
    <row r="1" spans="2:9" ht="23">
      <c r="B1" s="869" t="s">
        <v>1714</v>
      </c>
      <c r="C1" s="2" t="s">
        <v>2129</v>
      </c>
    </row>
    <row r="4" spans="2:9">
      <c r="B4" s="850" t="s">
        <v>2075</v>
      </c>
      <c r="C4" s="841" t="s">
        <v>2076</v>
      </c>
      <c r="D4" s="868">
        <f>I15</f>
        <v>0.56501333736077552</v>
      </c>
    </row>
    <row r="5" spans="2:9" outlineLevel="1">
      <c r="B5" s="839"/>
    </row>
    <row r="6" spans="2:9" ht="15" outlineLevel="1" thickBot="1">
      <c r="B6" s="867" t="s">
        <v>2077</v>
      </c>
      <c r="C6" s="867" t="s">
        <v>1723</v>
      </c>
      <c r="D6" s="867" t="s">
        <v>1722</v>
      </c>
      <c r="E6" s="867" t="s">
        <v>1721</v>
      </c>
      <c r="F6" s="867" t="s">
        <v>2078</v>
      </c>
      <c r="G6" s="867" t="s">
        <v>2079</v>
      </c>
      <c r="H6" s="867" t="s">
        <v>1720</v>
      </c>
      <c r="I6" s="867" t="s">
        <v>1719</v>
      </c>
    </row>
    <row r="7" spans="2:9" ht="17" outlineLevel="1">
      <c r="B7" s="866" t="s">
        <v>1718</v>
      </c>
      <c r="C7" s="864">
        <v>0.65</v>
      </c>
      <c r="D7" s="864">
        <v>0.76700000000000002</v>
      </c>
      <c r="E7" s="846">
        <v>4250110100000</v>
      </c>
      <c r="F7" s="846">
        <v>1681391990000</v>
      </c>
      <c r="G7" s="865">
        <v>0.26029999999999998</v>
      </c>
      <c r="H7" s="864">
        <f>D7/(1+(1-G7)*(F7/E7))</f>
        <v>0.59336219575392457</v>
      </c>
      <c r="I7" s="846">
        <f>E7*H7</f>
        <v>2521854661131.9321</v>
      </c>
    </row>
    <row r="8" spans="2:9" ht="17" outlineLevel="1">
      <c r="B8" s="866" t="s">
        <v>1717</v>
      </c>
      <c r="C8" s="864">
        <v>0.51700000000000002</v>
      </c>
      <c r="D8" s="864">
        <v>0.67800000000000005</v>
      </c>
      <c r="E8" s="846">
        <v>18916982200000</v>
      </c>
      <c r="F8" s="846">
        <v>7981215230000</v>
      </c>
      <c r="G8" s="865">
        <v>0.2447</v>
      </c>
      <c r="H8" s="864">
        <f>D8/(1+(1-G8)*(F8/E8))</f>
        <v>0.51415570867460847</v>
      </c>
      <c r="I8" s="846">
        <f>E8*H8</f>
        <v>9726274389025.9531</v>
      </c>
    </row>
    <row r="9" spans="2:9" ht="17" outlineLevel="1">
      <c r="B9" s="866" t="s">
        <v>1716</v>
      </c>
      <c r="C9" s="864">
        <v>0.84199999999999997</v>
      </c>
      <c r="D9" s="864">
        <v>0.89500000000000002</v>
      </c>
      <c r="E9" s="846">
        <v>4406386650000</v>
      </c>
      <c r="F9" s="846">
        <v>1041295950000</v>
      </c>
      <c r="G9" s="865">
        <v>0.222</v>
      </c>
      <c r="H9" s="864">
        <f>D9/(1+(1-G9)*(F9/E9))</f>
        <v>0.75600590203056939</v>
      </c>
      <c r="I9" s="846">
        <f>E9*H9</f>
        <v>3331254314028.709</v>
      </c>
    </row>
    <row r="10" spans="2:9" s="1064" customFormat="1" outlineLevel="1">
      <c r="B10" s="1059" t="s">
        <v>2080</v>
      </c>
      <c r="C10" s="1060"/>
      <c r="D10" s="1060"/>
      <c r="E10" s="1061">
        <f>SUM(E7:E9)</f>
        <v>27573478950000</v>
      </c>
      <c r="F10" s="1061">
        <f>SUM(F7:F9)</f>
        <v>10703903170000</v>
      </c>
      <c r="G10" s="1062"/>
      <c r="H10" s="1060"/>
      <c r="I10" s="1063">
        <f>SUM(I7:I9)/E10</f>
        <v>0.56501333736077552</v>
      </c>
    </row>
    <row r="11" spans="2:9" ht="17" outlineLevel="1">
      <c r="B11" s="1065"/>
      <c r="C11" s="1066"/>
      <c r="D11" s="1066"/>
      <c r="E11" s="1067"/>
      <c r="F11" s="1067"/>
      <c r="G11" s="1068"/>
      <c r="H11" s="1066"/>
      <c r="I11" s="1067"/>
    </row>
    <row r="12" spans="2:9" ht="17" outlineLevel="1">
      <c r="B12" s="1065" t="s">
        <v>2081</v>
      </c>
      <c r="C12" s="1066">
        <v>1.0569999999999999</v>
      </c>
      <c r="D12" s="1066">
        <v>1.038</v>
      </c>
      <c r="E12" s="1067">
        <v>121669256000000</v>
      </c>
      <c r="F12" s="1067">
        <v>22860530000000</v>
      </c>
      <c r="G12" s="1068">
        <v>0.111439</v>
      </c>
      <c r="H12" s="864">
        <f>D12/(1+(1-G12)*(F12/E12))</f>
        <v>0.88949642842685284</v>
      </c>
      <c r="I12" s="846">
        <f>E12*H12</f>
        <v>108224368661352.44</v>
      </c>
    </row>
    <row r="13" spans="2:9" ht="17" outlineLevel="1">
      <c r="B13" s="1065" t="s">
        <v>2082</v>
      </c>
      <c r="C13" s="1066">
        <v>1.125</v>
      </c>
      <c r="D13" s="1066">
        <v>1.0840000000000001</v>
      </c>
      <c r="E13" s="1067">
        <v>11991304000000</v>
      </c>
      <c r="F13" s="1067">
        <v>14278342000000</v>
      </c>
      <c r="G13" s="1068">
        <v>0</v>
      </c>
      <c r="H13" s="864">
        <f>D13/(1+(1-G13)*(F13/E13))</f>
        <v>0.49481342595937533</v>
      </c>
      <c r="I13" s="846">
        <f>E13*H13</f>
        <v>5933458213960.3613</v>
      </c>
    </row>
    <row r="14" spans="2:9" outlineLevel="1">
      <c r="B14" s="1059" t="s">
        <v>2080</v>
      </c>
      <c r="C14" s="1060"/>
      <c r="D14" s="1060"/>
      <c r="E14" s="1061">
        <f>SUM(E12:E13)</f>
        <v>133660560000000</v>
      </c>
      <c r="F14" s="1061">
        <f>SUM(F12:F13)</f>
        <v>37138872000000</v>
      </c>
      <c r="G14" s="1062"/>
      <c r="H14" s="1060"/>
      <c r="I14" s="1063"/>
    </row>
    <row r="15" spans="2:9" ht="15" outlineLevel="1" thickBot="1">
      <c r="B15" s="835"/>
      <c r="C15" s="835"/>
      <c r="D15" s="835"/>
      <c r="E15" s="845">
        <f>E10+E14</f>
        <v>161234038950000</v>
      </c>
      <c r="F15" s="845">
        <f>F10+F14</f>
        <v>47842775170000</v>
      </c>
      <c r="G15" s="835"/>
      <c r="H15" s="835"/>
      <c r="I15" s="863">
        <f>AVERAGE(I10,I14)</f>
        <v>0.56501333736077552</v>
      </c>
    </row>
    <row r="16" spans="2:9" outlineLevel="1">
      <c r="B16" s="862" t="s">
        <v>2083</v>
      </c>
    </row>
    <row r="19" spans="2:8">
      <c r="B19" s="850" t="s">
        <v>2084</v>
      </c>
      <c r="C19" s="841" t="s">
        <v>2085</v>
      </c>
      <c r="D19" s="840">
        <f>H24</f>
        <v>0.35127799212365557</v>
      </c>
    </row>
    <row r="20" spans="2:8" outlineLevel="1"/>
    <row r="21" spans="2:8" ht="15" outlineLevel="1" thickBot="1">
      <c r="C21" s="861" t="s">
        <v>2086</v>
      </c>
      <c r="D21" s="860" t="s">
        <v>2087</v>
      </c>
      <c r="E21" s="860" t="s">
        <v>2088</v>
      </c>
      <c r="F21" s="860" t="s">
        <v>2089</v>
      </c>
      <c r="G21" s="860" t="s">
        <v>2090</v>
      </c>
      <c r="H21" s="860" t="s">
        <v>2091</v>
      </c>
    </row>
    <row r="22" spans="2:8" s="639" customFormat="1" ht="17" outlineLevel="1">
      <c r="C22" s="859" t="s">
        <v>2092</v>
      </c>
      <c r="D22" s="846">
        <f>F7</f>
        <v>1681391990000</v>
      </c>
      <c r="E22" s="846">
        <f>F8</f>
        <v>7981215230000</v>
      </c>
      <c r="F22" s="846">
        <f>F9</f>
        <v>1041295950000</v>
      </c>
      <c r="G22" s="846"/>
      <c r="H22" s="846"/>
    </row>
    <row r="23" spans="2:8" s="639" customFormat="1" ht="17" outlineLevel="1">
      <c r="C23" s="858" t="s">
        <v>2093</v>
      </c>
      <c r="D23" s="846">
        <f>E7</f>
        <v>4250110100000</v>
      </c>
      <c r="E23" s="846">
        <f>E8</f>
        <v>18916982200000</v>
      </c>
      <c r="F23" s="846">
        <f>E9</f>
        <v>4406386650000</v>
      </c>
      <c r="G23" s="846"/>
      <c r="H23" s="846"/>
    </row>
    <row r="24" spans="2:8" s="855" customFormat="1" ht="15" outlineLevel="1" thickBot="1">
      <c r="C24" s="857" t="s">
        <v>2094</v>
      </c>
      <c r="D24" s="856">
        <f>D22/D23</f>
        <v>0.39561139604359896</v>
      </c>
      <c r="E24" s="856">
        <f t="shared" ref="E24:F24" si="0">E22/E23</f>
        <v>0.42190742400761999</v>
      </c>
      <c r="F24" s="856">
        <f t="shared" si="0"/>
        <v>0.23631515631974784</v>
      </c>
      <c r="G24" s="856"/>
      <c r="H24" s="1205">
        <f>AVERAGE(D24:G24)</f>
        <v>0.35127799212365557</v>
      </c>
    </row>
    <row r="26" spans="2:8">
      <c r="D26" s="346"/>
      <c r="E26" s="346"/>
      <c r="F26" s="346"/>
    </row>
    <row r="27" spans="2:8">
      <c r="B27" s="850" t="s">
        <v>2095</v>
      </c>
      <c r="C27" s="841" t="s">
        <v>2096</v>
      </c>
      <c r="D27" s="854">
        <f>D4*(1+(1-22%)*D19)</f>
        <v>0.71982520288429508</v>
      </c>
    </row>
    <row r="28" spans="2:8" outlineLevel="1">
      <c r="C28" s="843"/>
    </row>
    <row r="29" spans="2:8" outlineLevel="1">
      <c r="C29" s="843"/>
      <c r="D29" s="853" t="s">
        <v>2097</v>
      </c>
    </row>
    <row r="30" spans="2:8">
      <c r="C30" s="843"/>
      <c r="D30" s="853"/>
    </row>
    <row r="31" spans="2:8">
      <c r="C31" s="843"/>
      <c r="D31" s="853"/>
    </row>
    <row r="32" spans="2:8">
      <c r="B32" s="839" t="s">
        <v>2098</v>
      </c>
      <c r="C32" s="841" t="s">
        <v>2099</v>
      </c>
      <c r="D32" s="840">
        <v>0.13270999999999999</v>
      </c>
    </row>
    <row r="33" spans="2:9">
      <c r="B33" s="852" t="s">
        <v>2100</v>
      </c>
      <c r="C33" s="841" t="s">
        <v>2101</v>
      </c>
      <c r="D33" s="840">
        <v>3.9199999999999999E-2</v>
      </c>
      <c r="F33" s="832"/>
    </row>
    <row r="35" spans="2:9">
      <c r="C35" s="843"/>
    </row>
    <row r="36" spans="2:9">
      <c r="B36" s="850" t="s">
        <v>2102</v>
      </c>
      <c r="C36" s="841" t="s">
        <v>2103</v>
      </c>
      <c r="D36" s="840">
        <f>D33+(D32-D33)*D27</f>
        <v>0.10651085472171043</v>
      </c>
    </row>
    <row r="37" spans="2:9" outlineLevel="1">
      <c r="C37" s="843"/>
    </row>
    <row r="38" spans="2:9" outlineLevel="1">
      <c r="D38" s="851" t="s">
        <v>2104</v>
      </c>
    </row>
    <row r="39" spans="2:9">
      <c r="D39" s="851"/>
    </row>
    <row r="40" spans="2:9">
      <c r="D40" s="851"/>
    </row>
    <row r="41" spans="2:9">
      <c r="B41" s="850" t="s">
        <v>2105</v>
      </c>
      <c r="C41" s="841" t="s">
        <v>2106</v>
      </c>
      <c r="D41" s="840">
        <f>F59</f>
        <v>6.1511165048543689E-2</v>
      </c>
    </row>
    <row r="42" spans="2:9" outlineLevel="1">
      <c r="C42" s="843"/>
    </row>
    <row r="43" spans="2:9" ht="15" outlineLevel="1" thickBot="1">
      <c r="C43" s="632" t="s">
        <v>2107</v>
      </c>
      <c r="D43" s="632" t="s">
        <v>2108</v>
      </c>
      <c r="E43" s="632" t="s">
        <v>2109</v>
      </c>
      <c r="F43" s="632" t="s">
        <v>2110</v>
      </c>
      <c r="G43" s="632" t="s">
        <v>2111</v>
      </c>
      <c r="H43" s="632" t="s">
        <v>2112</v>
      </c>
      <c r="I43" s="632" t="s">
        <v>2113</v>
      </c>
    </row>
    <row r="44" spans="2:9" ht="17" outlineLevel="1">
      <c r="C44" s="633" t="s">
        <v>2114</v>
      </c>
      <c r="D44" s="633" t="s">
        <v>2115</v>
      </c>
      <c r="E44" s="846">
        <v>50000000000</v>
      </c>
      <c r="F44" s="849">
        <v>6.3600000000000004E-2</v>
      </c>
      <c r="G44" s="848">
        <v>40723</v>
      </c>
      <c r="H44" s="847">
        <v>42550</v>
      </c>
      <c r="I44" s="846"/>
    </row>
    <row r="45" spans="2:9" ht="17" outlineLevel="1">
      <c r="C45" s="633" t="s">
        <v>2114</v>
      </c>
      <c r="D45" s="633" t="s">
        <v>2116</v>
      </c>
      <c r="E45" s="846">
        <v>100000000000</v>
      </c>
      <c r="F45" s="849">
        <v>6.3600000000000004E-2</v>
      </c>
      <c r="G45" s="848">
        <v>40723</v>
      </c>
      <c r="H45" s="847">
        <v>41454</v>
      </c>
      <c r="I45" s="846"/>
    </row>
    <row r="46" spans="2:9" ht="17" outlineLevel="1">
      <c r="C46" s="633" t="s">
        <v>2114</v>
      </c>
      <c r="D46" s="633" t="s">
        <v>2116</v>
      </c>
      <c r="E46" s="846">
        <v>100000000000</v>
      </c>
      <c r="F46" s="849">
        <v>6.3600000000000004E-2</v>
      </c>
      <c r="G46" s="848">
        <v>40723</v>
      </c>
      <c r="H46" s="847">
        <v>41819</v>
      </c>
      <c r="I46" s="846"/>
    </row>
    <row r="47" spans="2:9" ht="17" outlineLevel="1">
      <c r="C47" s="633" t="s">
        <v>2114</v>
      </c>
      <c r="D47" s="633" t="s">
        <v>2116</v>
      </c>
      <c r="E47" s="846">
        <v>150000000000</v>
      </c>
      <c r="F47" s="849">
        <v>6.3600000000000004E-2</v>
      </c>
      <c r="G47" s="848">
        <v>40723</v>
      </c>
      <c r="H47" s="847">
        <v>42184</v>
      </c>
      <c r="I47" s="846"/>
    </row>
    <row r="48" spans="2:9" ht="17" outlineLevel="1">
      <c r="C48" s="633" t="s">
        <v>2114</v>
      </c>
      <c r="D48" s="633" t="s">
        <v>2116</v>
      </c>
      <c r="E48" s="846">
        <v>500000000000</v>
      </c>
      <c r="F48" s="849">
        <v>6.3600000000000004E-2</v>
      </c>
      <c r="G48" s="848">
        <v>40723</v>
      </c>
      <c r="H48" s="847">
        <v>42550</v>
      </c>
      <c r="I48" s="846"/>
    </row>
    <row r="49" spans="2:9" ht="17" outlineLevel="1">
      <c r="C49" s="633" t="s">
        <v>2117</v>
      </c>
      <c r="D49" s="633" t="s">
        <v>2118</v>
      </c>
      <c r="E49" s="846">
        <v>13000000000</v>
      </c>
      <c r="F49" s="849">
        <v>4.5999999999999999E-2</v>
      </c>
      <c r="G49" s="848">
        <v>40574</v>
      </c>
      <c r="H49" s="847">
        <v>41394</v>
      </c>
      <c r="I49" s="846"/>
    </row>
    <row r="50" spans="2:9" ht="17" outlineLevel="1">
      <c r="C50" s="633" t="s">
        <v>2117</v>
      </c>
      <c r="D50" s="633" t="s">
        <v>2118</v>
      </c>
      <c r="E50" s="846">
        <v>13000000000</v>
      </c>
      <c r="F50" s="849">
        <v>4.6300000000000001E-2</v>
      </c>
      <c r="G50" s="848">
        <v>40574</v>
      </c>
      <c r="H50" s="847">
        <v>41425</v>
      </c>
      <c r="I50" s="846"/>
    </row>
    <row r="51" spans="2:9" ht="17" outlineLevel="1">
      <c r="C51" s="633" t="s">
        <v>2117</v>
      </c>
      <c r="D51" s="633" t="s">
        <v>2118</v>
      </c>
      <c r="E51" s="846">
        <v>14000000000</v>
      </c>
      <c r="F51" s="849">
        <v>4.6699999999999998E-2</v>
      </c>
      <c r="G51" s="848">
        <v>40574</v>
      </c>
      <c r="H51" s="847">
        <v>41455</v>
      </c>
      <c r="I51" s="846"/>
    </row>
    <row r="52" spans="2:9" ht="17" outlineLevel="1">
      <c r="C52" s="633" t="s">
        <v>2117</v>
      </c>
      <c r="D52" s="633" t="s">
        <v>2118</v>
      </c>
      <c r="E52" s="846">
        <v>14000000000</v>
      </c>
      <c r="F52" s="849">
        <v>4.7E-2</v>
      </c>
      <c r="G52" s="848">
        <v>40574</v>
      </c>
      <c r="H52" s="847">
        <v>41486</v>
      </c>
      <c r="I52" s="846"/>
    </row>
    <row r="53" spans="2:9" ht="17" outlineLevel="1">
      <c r="C53" s="633" t="s">
        <v>2117</v>
      </c>
      <c r="D53" s="633" t="s">
        <v>2118</v>
      </c>
      <c r="E53" s="846">
        <v>14000000000</v>
      </c>
      <c r="F53" s="849">
        <v>4.7100000000000003E-2</v>
      </c>
      <c r="G53" s="848">
        <v>40574</v>
      </c>
      <c r="H53" s="847">
        <v>41517</v>
      </c>
      <c r="I53" s="846"/>
    </row>
    <row r="54" spans="2:9" ht="17" outlineLevel="1">
      <c r="C54" s="633" t="s">
        <v>2117</v>
      </c>
      <c r="D54" s="633" t="s">
        <v>2118</v>
      </c>
      <c r="E54" s="846">
        <v>14000000000</v>
      </c>
      <c r="F54" s="849">
        <v>4.7199999999999999E-2</v>
      </c>
      <c r="G54" s="848">
        <v>40574</v>
      </c>
      <c r="H54" s="847">
        <v>41547</v>
      </c>
      <c r="I54" s="846"/>
    </row>
    <row r="55" spans="2:9" ht="17" outlineLevel="1">
      <c r="C55" s="633" t="s">
        <v>2117</v>
      </c>
      <c r="D55" s="633" t="s">
        <v>2118</v>
      </c>
      <c r="E55" s="846">
        <v>14000000000</v>
      </c>
      <c r="F55" s="849">
        <v>4.7399999999999998E-2</v>
      </c>
      <c r="G55" s="848">
        <v>40574</v>
      </c>
      <c r="H55" s="847">
        <v>41578</v>
      </c>
      <c r="I55" s="846"/>
    </row>
    <row r="56" spans="2:9" ht="17" outlineLevel="1">
      <c r="C56" s="633" t="s">
        <v>2117</v>
      </c>
      <c r="D56" s="633" t="s">
        <v>2118</v>
      </c>
      <c r="E56" s="846">
        <v>14000000000</v>
      </c>
      <c r="F56" s="849">
        <v>4.7500000000000001E-2</v>
      </c>
      <c r="G56" s="848">
        <v>40574</v>
      </c>
      <c r="H56" s="847">
        <v>41608</v>
      </c>
      <c r="I56" s="846"/>
    </row>
    <row r="57" spans="2:9" ht="17" outlineLevel="1">
      <c r="C57" s="633" t="s">
        <v>2117</v>
      </c>
      <c r="D57" s="633" t="s">
        <v>2118</v>
      </c>
      <c r="E57" s="846">
        <v>10000000000</v>
      </c>
      <c r="F57" s="849">
        <v>4.7800000000000002E-2</v>
      </c>
      <c r="G57" s="848">
        <v>40574</v>
      </c>
      <c r="H57" s="847">
        <v>41639</v>
      </c>
      <c r="I57" s="846"/>
    </row>
    <row r="58" spans="2:9" ht="17" outlineLevel="1">
      <c r="C58" s="633" t="s">
        <v>2117</v>
      </c>
      <c r="D58" s="633" t="s">
        <v>2118</v>
      </c>
      <c r="E58" s="846">
        <v>10000000000</v>
      </c>
      <c r="F58" s="849">
        <v>4.7800000000000002E-2</v>
      </c>
      <c r="G58" s="848">
        <v>40574</v>
      </c>
      <c r="H58" s="847">
        <v>41670</v>
      </c>
      <c r="I58" s="846"/>
    </row>
    <row r="59" spans="2:9" ht="15" outlineLevel="1" thickBot="1">
      <c r="C59" s="835" t="s">
        <v>2119</v>
      </c>
      <c r="D59" s="835"/>
      <c r="E59" s="845">
        <f>SUM(E44:E58)</f>
        <v>1030000000000</v>
      </c>
      <c r="F59" s="634">
        <f>SUMPRODUCT(E44:E58,F44:F58)/E59</f>
        <v>6.1511165048543689E-2</v>
      </c>
      <c r="G59" s="835"/>
      <c r="H59" s="835"/>
      <c r="I59" s="844"/>
    </row>
    <row r="60" spans="2:9">
      <c r="C60" s="843"/>
    </row>
    <row r="61" spans="2:9">
      <c r="B61" s="842"/>
    </row>
    <row r="62" spans="2:9">
      <c r="B62" s="839" t="s">
        <v>2120</v>
      </c>
      <c r="C62" s="841" t="s">
        <v>2121</v>
      </c>
      <c r="D62" s="840">
        <f>G67</f>
        <v>9.1294848218429286E-2</v>
      </c>
    </row>
    <row r="63" spans="2:9" outlineLevel="1">
      <c r="B63" s="839"/>
    </row>
    <row r="64" spans="2:9" ht="15" outlineLevel="1" thickBot="1">
      <c r="C64" s="838"/>
      <c r="D64" s="838" t="s">
        <v>2122</v>
      </c>
      <c r="E64" s="838" t="s">
        <v>2123</v>
      </c>
      <c r="F64" s="838" t="s">
        <v>2124</v>
      </c>
      <c r="G64" s="838" t="s">
        <v>2125</v>
      </c>
    </row>
    <row r="65" spans="3:7" outlineLevel="1">
      <c r="C65" s="837" t="s">
        <v>2126</v>
      </c>
      <c r="D65" s="832">
        <f>D36</f>
        <v>0.10651085472171043</v>
      </c>
      <c r="E65" s="832">
        <f>D65</f>
        <v>0.10651085472171043</v>
      </c>
      <c r="F65" s="836">
        <f>1/(1+D19)</f>
        <v>0.74004017369394848</v>
      </c>
      <c r="G65" s="832">
        <f>E65*F65</f>
        <v>7.8822311428545497E-2</v>
      </c>
    </row>
    <row r="66" spans="3:7" outlineLevel="1">
      <c r="C66" s="837" t="s">
        <v>2127</v>
      </c>
      <c r="D66" s="832">
        <f>D41</f>
        <v>6.1511165048543689E-2</v>
      </c>
      <c r="E66" s="832">
        <f>D66*(1-22%)</f>
        <v>4.7978708737864077E-2</v>
      </c>
      <c r="F66" s="832">
        <f>1-F65</f>
        <v>0.25995982630605152</v>
      </c>
      <c r="G66" s="832">
        <f>E66*F66</f>
        <v>1.2472536789883783E-2</v>
      </c>
    </row>
    <row r="67" spans="3:7" ht="15" outlineLevel="1" thickBot="1">
      <c r="C67" s="835" t="s">
        <v>2128</v>
      </c>
      <c r="D67" s="835"/>
      <c r="E67" s="835"/>
      <c r="F67" s="835"/>
      <c r="G67" s="834">
        <f>SUM(G65:G66)</f>
        <v>9.1294848218429286E-2</v>
      </c>
    </row>
    <row r="69" spans="3:7">
      <c r="C69" s="832"/>
    </row>
    <row r="70" spans="3:7">
      <c r="C70" s="833"/>
    </row>
    <row r="71" spans="3:7">
      <c r="C71" s="832"/>
    </row>
    <row r="72" spans="3:7">
      <c r="C72" s="832"/>
    </row>
  </sheetData>
  <phoneticPr fontId="2" type="noConversion"/>
  <pageMargins left="0.6" right="0.6" top="1" bottom="1" header="0.5" footer="0.5"/>
  <pageSetup paperSize="9" fitToHeight="0" orientation="landscape" r:id="rId1"/>
  <headerFooter scaleWithDoc="0">
    <oddHeader>&amp;R&amp;8Draft - Work in Progress</oddHeader>
    <oddFooter>&amp;L&amp;8&amp;F
&amp;D, &amp;T&amp;C&amp;8Page &amp;P of &amp;N&amp;R&amp;8&amp;A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Q3450"/>
  <sheetViews>
    <sheetView showGridLines="0" zoomScaleNormal="100" workbookViewId="0">
      <selection activeCell="K139" sqref="K139"/>
    </sheetView>
  </sheetViews>
  <sheetFormatPr defaultColWidth="9" defaultRowHeight="14.5" outlineLevelRow="1"/>
  <cols>
    <col min="1" max="1" width="1.6640625" style="957" customWidth="1"/>
    <col min="2" max="2" width="10.33203125" style="957" customWidth="1"/>
    <col min="3" max="3" width="11.08203125" style="957" customWidth="1"/>
    <col min="4" max="4" width="11.83203125" style="958" customWidth="1"/>
    <col min="5" max="5" width="12.6640625" style="957" customWidth="1"/>
    <col min="6" max="6" width="14.5" style="957" customWidth="1"/>
    <col min="7" max="9" width="12" style="957" customWidth="1"/>
    <col min="10" max="10" width="10.33203125" style="957" bestFit="1" customWidth="1"/>
    <col min="11" max="11" width="11.08203125" style="957" customWidth="1"/>
    <col min="12" max="12" width="3.33203125" style="957" customWidth="1"/>
    <col min="13" max="17" width="12.08203125" style="957" customWidth="1"/>
    <col min="18" max="16384" width="9" style="957"/>
  </cols>
  <sheetData>
    <row r="1" spans="2:17" ht="17">
      <c r="B1" s="1009" t="s">
        <v>2922</v>
      </c>
    </row>
    <row r="3" spans="2:17">
      <c r="B3" s="1008" t="s">
        <v>2921</v>
      </c>
      <c r="C3" s="991"/>
      <c r="D3" s="992"/>
      <c r="E3" s="1007">
        <v>1</v>
      </c>
    </row>
    <row r="4" spans="2:17">
      <c r="B4" s="1008" t="s">
        <v>2920</v>
      </c>
      <c r="C4" s="991"/>
      <c r="D4" s="992"/>
      <c r="E4" s="1007">
        <v>1</v>
      </c>
    </row>
    <row r="5" spans="2:17">
      <c r="B5" s="1006" t="s">
        <v>2919</v>
      </c>
      <c r="C5" s="978"/>
      <c r="D5" s="981"/>
      <c r="E5" s="1005">
        <v>2</v>
      </c>
    </row>
    <row r="7" spans="2:17" ht="15" thickBot="1">
      <c r="B7" s="1001"/>
      <c r="C7" s="1001"/>
      <c r="D7" s="1025"/>
      <c r="E7" s="1026"/>
      <c r="F7" s="787" t="s">
        <v>1868</v>
      </c>
      <c r="M7" s="1002" t="s">
        <v>2841</v>
      </c>
      <c r="N7" s="1044" t="s">
        <v>2918</v>
      </c>
      <c r="O7" s="1044" t="s">
        <v>2917</v>
      </c>
      <c r="P7" s="1044" t="s">
        <v>2916</v>
      </c>
      <c r="Q7" s="1044" t="s">
        <v>2915</v>
      </c>
    </row>
    <row r="8" spans="2:17">
      <c r="B8" s="957" t="s">
        <v>2914</v>
      </c>
      <c r="C8" s="957" t="s">
        <v>2913</v>
      </c>
      <c r="D8" s="1027"/>
      <c r="E8" s="670"/>
      <c r="F8" s="792">
        <f>K56</f>
        <v>9.2157035357001735</v>
      </c>
      <c r="M8" s="1244" t="s">
        <v>2735</v>
      </c>
      <c r="N8" s="718">
        <f>F917</f>
        <v>727120.97711219511</v>
      </c>
      <c r="O8" s="1234">
        <f>F1715</f>
        <v>321728.33799999999</v>
      </c>
      <c r="P8" s="718">
        <f>F2027</f>
        <v>112208.86267853396</v>
      </c>
      <c r="Q8" s="1242">
        <f>F3302</f>
        <v>1328719.0476190478</v>
      </c>
    </row>
    <row r="9" spans="2:17">
      <c r="C9" s="957" t="s">
        <v>2912</v>
      </c>
      <c r="D9" s="1027"/>
      <c r="E9" s="670"/>
      <c r="F9" s="792">
        <f>K57</f>
        <v>9.1374373273317602</v>
      </c>
      <c r="M9" s="979" t="s">
        <v>2911</v>
      </c>
      <c r="N9" s="671">
        <f>F918</f>
        <v>0</v>
      </c>
      <c r="O9" s="1036">
        <f>F1716</f>
        <v>1219021.1870000002</v>
      </c>
      <c r="P9" s="671">
        <f>F2028</f>
        <v>36532.060586991873</v>
      </c>
      <c r="Q9" s="1232">
        <f>F3303</f>
        <v>265507.25142857141</v>
      </c>
    </row>
    <row r="10" spans="2:17">
      <c r="C10" s="957" t="s">
        <v>2910</v>
      </c>
      <c r="D10" s="1027"/>
      <c r="E10" s="670"/>
      <c r="F10" s="792">
        <f>K58</f>
        <v>11.81909240638133</v>
      </c>
      <c r="M10" s="979" t="s">
        <v>2872</v>
      </c>
      <c r="N10" s="671">
        <f>F919</f>
        <v>65475</v>
      </c>
      <c r="O10" s="1036">
        <f>F1717</f>
        <v>450810.86725399998</v>
      </c>
      <c r="P10" s="671">
        <f>F2029</f>
        <v>13264.455</v>
      </c>
      <c r="Q10" s="1232">
        <f>F3304</f>
        <v>197021</v>
      </c>
    </row>
    <row r="11" spans="2:17" ht="15" thickBot="1">
      <c r="B11" s="978"/>
      <c r="C11" s="978"/>
      <c r="D11" s="1028"/>
      <c r="E11" s="672"/>
      <c r="F11" s="1029"/>
      <c r="M11" s="998" t="s">
        <v>2847</v>
      </c>
      <c r="N11" s="713">
        <f>SUM(N8:N10)</f>
        <v>792595.97711219511</v>
      </c>
      <c r="O11" s="713">
        <f>SUM(O8:O10)</f>
        <v>1991560.3922540001</v>
      </c>
      <c r="P11" s="713">
        <f>SUM(P8:P10)</f>
        <v>162005.37826552583</v>
      </c>
      <c r="Q11" s="713">
        <f>SUM(Q8:Q10)</f>
        <v>1791247.2990476191</v>
      </c>
    </row>
    <row r="12" spans="2:17" ht="15" thickBot="1">
      <c r="B12" s="1004" t="s">
        <v>2909</v>
      </c>
      <c r="C12" s="1004"/>
      <c r="D12" s="1030"/>
      <c r="E12" s="767"/>
      <c r="F12" s="1031">
        <f>K61</f>
        <v>10.05741108980442</v>
      </c>
    </row>
    <row r="13" spans="2:17" ht="15" thickBot="1">
      <c r="B13" s="1003" t="s">
        <v>2908</v>
      </c>
      <c r="C13" s="1003"/>
      <c r="D13" s="1032"/>
      <c r="E13" s="1033"/>
      <c r="F13" s="1032" t="s">
        <v>2923</v>
      </c>
    </row>
    <row r="14" spans="2:17">
      <c r="D14" s="1027"/>
      <c r="E14" s="670"/>
      <c r="F14" s="670"/>
    </row>
    <row r="15" spans="2:17" ht="15" thickBot="1">
      <c r="D15" s="1027"/>
      <c r="E15" s="670"/>
      <c r="F15" s="670"/>
      <c r="M15" s="1002" t="s">
        <v>2841</v>
      </c>
      <c r="N15" s="1044" t="s">
        <v>2883</v>
      </c>
      <c r="O15" s="1044"/>
      <c r="P15" s="1044" t="s">
        <v>2739</v>
      </c>
      <c r="Q15" s="1044" t="s">
        <v>2682</v>
      </c>
    </row>
    <row r="16" spans="2:17" ht="15" thickBot="1">
      <c r="B16" s="1002" t="s">
        <v>2841</v>
      </c>
      <c r="C16" s="1001"/>
      <c r="D16" s="687" t="s">
        <v>2856</v>
      </c>
      <c r="E16" s="687" t="s">
        <v>2907</v>
      </c>
      <c r="F16" s="687" t="s">
        <v>2858</v>
      </c>
      <c r="M16" s="1233" t="s">
        <v>2881</v>
      </c>
      <c r="N16" s="1243" t="s">
        <v>2906</v>
      </c>
      <c r="O16" s="1234"/>
      <c r="P16" s="718">
        <f>J928+J929</f>
        <v>717980</v>
      </c>
      <c r="Q16" s="718">
        <f>K928+K929</f>
        <v>696616.97711219511</v>
      </c>
    </row>
    <row r="17" spans="2:17">
      <c r="B17" s="1000" t="s">
        <v>1868</v>
      </c>
      <c r="C17" s="1000"/>
      <c r="D17" s="1034">
        <f>K62</f>
        <v>9.1374373273317602</v>
      </c>
      <c r="E17" s="1035">
        <f>K61</f>
        <v>10.05741108980442</v>
      </c>
      <c r="F17" s="1035">
        <f>K60</f>
        <v>11.81909240638133</v>
      </c>
      <c r="M17" s="1233" t="s">
        <v>2878</v>
      </c>
      <c r="N17" s="1194" t="s">
        <v>2905</v>
      </c>
      <c r="O17" s="1036"/>
      <c r="P17" s="671">
        <f>SUM(J930:J934)</f>
        <v>30504</v>
      </c>
      <c r="Q17" s="671">
        <f>SUM(K930:K934)</f>
        <v>30504</v>
      </c>
    </row>
    <row r="18" spans="2:17">
      <c r="B18" s="978" t="s">
        <v>2904</v>
      </c>
      <c r="C18" s="978"/>
      <c r="D18" s="1028">
        <f>($E$3=1)*$F$43+($E$3=2)*$F$45</f>
        <v>332626.09410360287</v>
      </c>
      <c r="E18" s="672">
        <f>$D$18</f>
        <v>332626.09410360287</v>
      </c>
      <c r="F18" s="672">
        <f>$D$18</f>
        <v>332626.09410360287</v>
      </c>
      <c r="M18" s="1233" t="s">
        <v>2872</v>
      </c>
      <c r="N18" s="1194" t="s">
        <v>2903</v>
      </c>
      <c r="O18" s="1036"/>
      <c r="P18" s="671">
        <f>N10</f>
        <v>65475</v>
      </c>
      <c r="Q18" s="671">
        <f>P18</f>
        <v>65475</v>
      </c>
    </row>
    <row r="19" spans="2:17" ht="15" thickBot="1">
      <c r="B19" s="979" t="s">
        <v>2902</v>
      </c>
      <c r="C19" s="979"/>
      <c r="D19" s="1036">
        <f>$H$31</f>
        <v>47600.788291000004</v>
      </c>
      <c r="E19" s="1036">
        <f>$H$31</f>
        <v>47600.788291000004</v>
      </c>
      <c r="F19" s="1036">
        <f>$H$31</f>
        <v>47600.788291000004</v>
      </c>
      <c r="M19" s="998" t="s">
        <v>2847</v>
      </c>
      <c r="N19" s="713"/>
      <c r="O19" s="713"/>
      <c r="P19" s="713">
        <f>SUM(P16:P18)</f>
        <v>813959</v>
      </c>
      <c r="Q19" s="713">
        <f>SUM(Q16:Q18)</f>
        <v>792595.97711219511</v>
      </c>
    </row>
    <row r="20" spans="2:17">
      <c r="B20" s="978" t="s">
        <v>2855</v>
      </c>
      <c r="C20" s="978"/>
      <c r="D20" s="1028">
        <f>D17*D18+D19</f>
        <v>3086950.8765978273</v>
      </c>
      <c r="E20" s="1028">
        <f>E17*E18+E19</f>
        <v>3392958.1558869039</v>
      </c>
      <c r="F20" s="1028">
        <f>F17*F18+F19</f>
        <v>3978939.3312751739</v>
      </c>
      <c r="M20" s="979"/>
      <c r="N20" s="671"/>
      <c r="O20" s="1036"/>
      <c r="P20" s="671"/>
      <c r="Q20" s="1232" t="b">
        <f>Q19=N11</f>
        <v>1</v>
      </c>
    </row>
    <row r="21" spans="2:17">
      <c r="B21" s="957" t="s">
        <v>2901</v>
      </c>
      <c r="D21" s="1027">
        <f>$G$31</f>
        <v>1013741.075</v>
      </c>
      <c r="E21" s="670">
        <f>D21</f>
        <v>1013741.075</v>
      </c>
      <c r="F21" s="670">
        <f>E21</f>
        <v>1013741.075</v>
      </c>
      <c r="M21" s="979"/>
      <c r="N21" s="671"/>
      <c r="O21" s="1036"/>
      <c r="P21" s="671"/>
      <c r="Q21" s="1232"/>
    </row>
    <row r="22" spans="2:17">
      <c r="B22" s="999" t="s">
        <v>2900</v>
      </c>
      <c r="C22" s="999"/>
      <c r="D22" s="1037">
        <f>D20-D21</f>
        <v>2073209.8015978273</v>
      </c>
      <c r="E22" s="1037">
        <f>E20-E21</f>
        <v>2379217.0808869042</v>
      </c>
      <c r="F22" s="1037">
        <f>F20-F21</f>
        <v>2965198.2562751742</v>
      </c>
      <c r="M22" s="979"/>
      <c r="N22" s="671"/>
      <c r="O22" s="1036"/>
      <c r="P22" s="671"/>
      <c r="Q22" s="1232"/>
    </row>
    <row r="23" spans="2:17" ht="15" thickBot="1">
      <c r="B23" s="998" t="s">
        <v>2899</v>
      </c>
      <c r="C23" s="998"/>
      <c r="D23" s="1038">
        <f>D22/$D$25*1000000</f>
        <v>87819.175428683098</v>
      </c>
      <c r="E23" s="1038">
        <f>E22/$D$25*1000000</f>
        <v>100781.34979310592</v>
      </c>
      <c r="F23" s="1038">
        <f>F22/$D$25*1000000</f>
        <v>125602.94942073058</v>
      </c>
      <c r="M23" s="1002" t="s">
        <v>2841</v>
      </c>
      <c r="N23" s="1044" t="s">
        <v>2883</v>
      </c>
      <c r="O23" s="1044"/>
      <c r="P23" s="1044" t="s">
        <v>2739</v>
      </c>
      <c r="Q23" s="1044" t="s">
        <v>2682</v>
      </c>
    </row>
    <row r="24" spans="2:17">
      <c r="M24" s="1233" t="s">
        <v>2749</v>
      </c>
      <c r="N24" s="1235"/>
      <c r="O24" s="1234"/>
      <c r="P24" s="718">
        <f>E1715</f>
        <v>321728.33799999999</v>
      </c>
      <c r="Q24" s="1242">
        <f>P24</f>
        <v>321728.33799999999</v>
      </c>
    </row>
    <row r="25" spans="2:17">
      <c r="B25" s="997" t="s">
        <v>2893</v>
      </c>
      <c r="C25" s="996"/>
      <c r="D25" s="995">
        <f>DCF!K73</f>
        <v>23607712</v>
      </c>
      <c r="M25" s="1233" t="s">
        <v>2874</v>
      </c>
      <c r="N25" s="1194" t="s">
        <v>2898</v>
      </c>
      <c r="O25" s="1036"/>
      <c r="P25" s="671">
        <f>SUM(J1747:J1766)</f>
        <v>1219021.1870000002</v>
      </c>
      <c r="Q25" s="671">
        <f>SUM(K1747:K1766)</f>
        <v>1219021.1870000002</v>
      </c>
    </row>
    <row r="26" spans="2:17">
      <c r="M26" s="1233" t="s">
        <v>2872</v>
      </c>
      <c r="N26" s="1194" t="s">
        <v>2871</v>
      </c>
      <c r="O26" s="1036"/>
      <c r="P26" s="671">
        <f>E1717</f>
        <v>450810.86725399998</v>
      </c>
      <c r="Q26" s="1232">
        <f>P26</f>
        <v>450810.86725399998</v>
      </c>
    </row>
    <row r="27" spans="2:17" ht="15" thickBot="1">
      <c r="M27" s="998" t="s">
        <v>2847</v>
      </c>
      <c r="N27" s="713"/>
      <c r="O27" s="713"/>
      <c r="P27" s="713">
        <f>SUM(P24:P26)</f>
        <v>1991560.3922540001</v>
      </c>
      <c r="Q27" s="713">
        <f>SUM(Q24:Q26)</f>
        <v>1991560.3922540001</v>
      </c>
    </row>
    <row r="28" spans="2:17">
      <c r="B28" s="980" t="s">
        <v>2897</v>
      </c>
      <c r="M28" s="1241"/>
      <c r="N28" s="1241"/>
      <c r="O28" s="1241"/>
      <c r="P28" s="1241"/>
      <c r="Q28" s="1241" t="b">
        <f>Q27=O11</f>
        <v>1</v>
      </c>
    </row>
    <row r="29" spans="2:17">
      <c r="M29" s="1241"/>
      <c r="N29" s="1241"/>
      <c r="O29" s="1241"/>
      <c r="P29" s="1241"/>
      <c r="Q29" s="1241"/>
    </row>
    <row r="30" spans="2:17">
      <c r="B30" s="993" t="s">
        <v>2869</v>
      </c>
      <c r="C30" s="993"/>
      <c r="D30" s="994"/>
      <c r="E30" s="993"/>
      <c r="F30" s="993" t="s">
        <v>2896</v>
      </c>
      <c r="G30" s="993" t="s">
        <v>2848</v>
      </c>
      <c r="H30" s="993" t="s">
        <v>2895</v>
      </c>
      <c r="I30" s="993" t="s">
        <v>2894</v>
      </c>
      <c r="J30" s="993" t="s">
        <v>2893</v>
      </c>
      <c r="K30" s="993" t="s">
        <v>2892</v>
      </c>
      <c r="M30" s="1241"/>
      <c r="N30" s="1241"/>
      <c r="O30" s="1241"/>
      <c r="P30" s="1241"/>
      <c r="Q30" s="1241"/>
    </row>
    <row r="31" spans="2:17">
      <c r="B31" s="957" t="s">
        <v>2891</v>
      </c>
      <c r="D31" s="958" t="s">
        <v>1867</v>
      </c>
      <c r="F31" s="957">
        <f>$F$43*F47</f>
        <v>3931338.5429841741</v>
      </c>
      <c r="G31" s="957">
        <f>DCF!F64</f>
        <v>1013741.075</v>
      </c>
      <c r="H31" s="957">
        <f>DCF!E52</f>
        <v>47600.788291000004</v>
      </c>
      <c r="I31" s="957">
        <f>F31-G31+H31</f>
        <v>2965198.2562751742</v>
      </c>
      <c r="J31" s="957">
        <f>D25</f>
        <v>23607712</v>
      </c>
      <c r="K31" s="957">
        <f>(I31/J31)*1000000</f>
        <v>125602.94942073058</v>
      </c>
      <c r="M31" s="1240"/>
      <c r="N31" s="1239"/>
      <c r="O31" s="1239"/>
      <c r="P31" s="1239"/>
      <c r="Q31" s="1239"/>
    </row>
    <row r="32" spans="2:17" ht="15" thickBot="1">
      <c r="D32" s="958" t="s">
        <v>1866</v>
      </c>
      <c r="F32" s="957">
        <f>$F$43*F48</f>
        <v>3345357.367595904</v>
      </c>
      <c r="G32" s="957">
        <f>G$31</f>
        <v>1013741.075</v>
      </c>
      <c r="H32" s="957">
        <f>H$31</f>
        <v>47600.788291000004</v>
      </c>
      <c r="I32" s="957">
        <f>F32-G32+H32</f>
        <v>2379217.0808869042</v>
      </c>
      <c r="J32" s="957">
        <f>J$31</f>
        <v>23607712</v>
      </c>
      <c r="K32" s="957">
        <f>(I32/J32)*1000000</f>
        <v>100781.34979310592</v>
      </c>
      <c r="M32" s="1002" t="s">
        <v>2841</v>
      </c>
      <c r="N32" s="1044" t="s">
        <v>2883</v>
      </c>
      <c r="O32" s="1044"/>
      <c r="P32" s="1044" t="s">
        <v>2739</v>
      </c>
      <c r="Q32" s="1044" t="s">
        <v>2682</v>
      </c>
    </row>
    <row r="33" spans="2:17">
      <c r="D33" s="958" t="s">
        <v>1865</v>
      </c>
      <c r="F33" s="957">
        <f>$F$43*F49</f>
        <v>3039350.0883068275</v>
      </c>
      <c r="G33" s="957">
        <f>G$31</f>
        <v>1013741.075</v>
      </c>
      <c r="H33" s="957">
        <f>H$31</f>
        <v>47600.788291000004</v>
      </c>
      <c r="I33" s="957">
        <f>F33-G33+H33</f>
        <v>2073209.8015978276</v>
      </c>
      <c r="J33" s="957">
        <f>J$31</f>
        <v>23607712</v>
      </c>
      <c r="K33" s="957">
        <f>(I33/J33)*1000000</f>
        <v>87819.175428683113</v>
      </c>
      <c r="M33" s="1233" t="s">
        <v>2881</v>
      </c>
      <c r="N33" s="1235" t="s">
        <v>2890</v>
      </c>
      <c r="O33" s="1234"/>
      <c r="P33" s="718">
        <f>SUM(J2037:J2039)</f>
        <v>95472.622000000003</v>
      </c>
      <c r="Q33" s="718">
        <f>SUM(K2037:K2039)</f>
        <v>87624.246678533964</v>
      </c>
    </row>
    <row r="34" spans="2:17">
      <c r="B34" s="978"/>
      <c r="C34" s="978"/>
      <c r="D34" s="981"/>
      <c r="E34" s="978"/>
      <c r="F34" s="978"/>
      <c r="G34" s="979"/>
      <c r="H34" s="979"/>
      <c r="I34" s="979"/>
      <c r="M34" s="1233" t="s">
        <v>2878</v>
      </c>
      <c r="N34" s="1194" t="s">
        <v>2889</v>
      </c>
      <c r="O34" s="1036"/>
      <c r="P34" s="671">
        <f>SUM(J2040:J2043,J2045:J2051)</f>
        <v>24584.616000000002</v>
      </c>
      <c r="Q34" s="671">
        <f>SUM(K2040:K2043,K2045:K2051)</f>
        <v>24584.616000000002</v>
      </c>
    </row>
    <row r="35" spans="2:17">
      <c r="B35" s="957" t="s">
        <v>2888</v>
      </c>
      <c r="D35" s="958" t="s">
        <v>1867</v>
      </c>
      <c r="F35" s="957">
        <f>$F$45*F47</f>
        <v>4337774.6601866744</v>
      </c>
      <c r="G35" s="991">
        <f t="shared" ref="G35:H37" si="0">G$31</f>
        <v>1013741.075</v>
      </c>
      <c r="H35" s="991">
        <f t="shared" si="0"/>
        <v>47600.788291000004</v>
      </c>
      <c r="I35" s="991">
        <f>F35-G35+H35</f>
        <v>3371634.3734776741</v>
      </c>
      <c r="J35" s="991">
        <f>J$31</f>
        <v>23607712</v>
      </c>
      <c r="K35" s="991">
        <f>(I35/J35)*1000000</f>
        <v>142819.19287551774</v>
      </c>
      <c r="M35" s="1233" t="s">
        <v>2876</v>
      </c>
      <c r="N35" s="1194" t="s">
        <v>2887</v>
      </c>
      <c r="O35" s="1036"/>
      <c r="P35" s="671">
        <f>H2824</f>
        <v>17953</v>
      </c>
      <c r="Q35" s="671">
        <f>I2824</f>
        <v>35832.060586991873</v>
      </c>
    </row>
    <row r="36" spans="2:17">
      <c r="D36" s="958" t="s">
        <v>1866</v>
      </c>
      <c r="F36" s="957">
        <f>$F$45*F48</f>
        <v>3691212.6136588301</v>
      </c>
      <c r="G36" s="979">
        <f t="shared" si="0"/>
        <v>1013741.075</v>
      </c>
      <c r="H36" s="979">
        <f t="shared" si="0"/>
        <v>47600.788291000004</v>
      </c>
      <c r="I36" s="979">
        <f>F36-G36+H36</f>
        <v>2725072.3269498302</v>
      </c>
      <c r="J36" s="979">
        <f>J$31</f>
        <v>23607712</v>
      </c>
      <c r="K36" s="979">
        <f>(I36/J36)*1000000</f>
        <v>115431.44574746719</v>
      </c>
      <c r="M36" s="1233" t="s">
        <v>2874</v>
      </c>
      <c r="N36" s="1194" t="s">
        <v>2886</v>
      </c>
      <c r="O36" s="1036"/>
      <c r="P36" s="671">
        <f>SUM(H2821,H2825)</f>
        <v>700</v>
      </c>
      <c r="Q36" s="671">
        <f>SUM(I2821,I2825)</f>
        <v>700</v>
      </c>
    </row>
    <row r="37" spans="2:17">
      <c r="D37" s="958" t="s">
        <v>1865</v>
      </c>
      <c r="F37" s="957">
        <f>$F$45*F49</f>
        <v>3353569.1857475732</v>
      </c>
      <c r="G37" s="979">
        <f t="shared" si="0"/>
        <v>1013741.075</v>
      </c>
      <c r="H37" s="979">
        <f t="shared" si="0"/>
        <v>47600.788291000004</v>
      </c>
      <c r="I37" s="979">
        <f>F37-G37+H37</f>
        <v>2387428.8990385728</v>
      </c>
      <c r="J37" s="979">
        <f>J$31</f>
        <v>23607712</v>
      </c>
      <c r="K37" s="979">
        <f>(I37/J37)*1000000</f>
        <v>101129.19452078087</v>
      </c>
      <c r="M37" s="1233" t="s">
        <v>2872</v>
      </c>
      <c r="N37" s="1194" t="s">
        <v>2871</v>
      </c>
      <c r="O37" s="1036"/>
      <c r="P37" s="671">
        <f>E2029</f>
        <v>13264.455</v>
      </c>
      <c r="Q37" s="1232">
        <f>P37</f>
        <v>13264.455</v>
      </c>
    </row>
    <row r="38" spans="2:17" ht="15" thickBot="1">
      <c r="B38" s="978"/>
      <c r="C38" s="978"/>
      <c r="D38" s="981"/>
      <c r="E38" s="978"/>
      <c r="F38" s="978"/>
      <c r="G38" s="978"/>
      <c r="H38" s="978"/>
      <c r="I38" s="978"/>
      <c r="J38" s="978"/>
      <c r="K38" s="978"/>
      <c r="M38" s="998" t="s">
        <v>2847</v>
      </c>
      <c r="N38" s="713"/>
      <c r="O38" s="713"/>
      <c r="P38" s="713">
        <f>SUM(P33:P37)</f>
        <v>151974.693</v>
      </c>
      <c r="Q38" s="713">
        <f>SUM(Q33:Q37)</f>
        <v>162005.37826552583</v>
      </c>
    </row>
    <row r="39" spans="2:17">
      <c r="B39" s="979"/>
      <c r="C39" s="979"/>
      <c r="D39" s="990"/>
      <c r="E39" s="979"/>
      <c r="F39" s="979"/>
      <c r="G39" s="979"/>
      <c r="H39" s="979"/>
      <c r="I39" s="979"/>
      <c r="J39" s="979"/>
      <c r="K39" s="979"/>
      <c r="M39" s="1241"/>
      <c r="N39" s="1241"/>
      <c r="O39" s="1241"/>
      <c r="P39" s="1241"/>
      <c r="Q39" s="1241" t="b">
        <f>Q38=P11</f>
        <v>1</v>
      </c>
    </row>
    <row r="40" spans="2:17">
      <c r="B40" s="979"/>
      <c r="C40" s="979"/>
      <c r="D40" s="990"/>
      <c r="E40" s="979"/>
      <c r="F40" s="979"/>
      <c r="G40" s="979"/>
      <c r="H40" s="979"/>
      <c r="I40" s="979"/>
      <c r="J40" s="979"/>
      <c r="K40" s="979"/>
      <c r="M40" s="1241"/>
      <c r="N40" s="1241"/>
      <c r="O40" s="1241"/>
      <c r="P40" s="1241"/>
      <c r="Q40" s="1241"/>
    </row>
    <row r="41" spans="2:17">
      <c r="B41" s="980" t="s">
        <v>2885</v>
      </c>
      <c r="M41" s="1240"/>
      <c r="N41" s="1239"/>
      <c r="O41" s="1239"/>
      <c r="P41" s="1239"/>
      <c r="Q41" s="1239"/>
    </row>
    <row r="42" spans="2:17">
      <c r="M42" s="1238"/>
      <c r="N42" s="776"/>
      <c r="O42" s="1237"/>
      <c r="P42" s="776"/>
      <c r="Q42" s="1236"/>
    </row>
    <row r="43" spans="2:17" ht="15" thickBot="1">
      <c r="B43" s="991" t="s">
        <v>2835</v>
      </c>
      <c r="C43" s="991" t="s">
        <v>2884</v>
      </c>
      <c r="D43" s="992"/>
      <c r="E43" s="991"/>
      <c r="F43" s="991">
        <f>보고서용!Q14</f>
        <v>332626.09410360287</v>
      </c>
      <c r="M43" s="1002" t="s">
        <v>2841</v>
      </c>
      <c r="N43" s="1044" t="s">
        <v>2883</v>
      </c>
      <c r="O43" s="1044"/>
      <c r="P43" s="1044" t="s">
        <v>2739</v>
      </c>
      <c r="Q43" s="1044" t="s">
        <v>2682</v>
      </c>
    </row>
    <row r="44" spans="2:17">
      <c r="B44" s="979"/>
      <c r="C44" s="979" t="s">
        <v>2882</v>
      </c>
      <c r="D44" s="990"/>
      <c r="E44" s="979"/>
      <c r="F44" s="979">
        <f>보고서용!R14</f>
        <v>401402.29167069501</v>
      </c>
      <c r="M44" s="1233" t="s">
        <v>2881</v>
      </c>
      <c r="N44" s="1235" t="s">
        <v>2880</v>
      </c>
      <c r="O44" s="1234"/>
      <c r="P44" s="718">
        <f>I3312</f>
        <v>1402453</v>
      </c>
      <c r="Q44" s="718">
        <f>J3312</f>
        <v>1309659.0476190478</v>
      </c>
    </row>
    <row r="45" spans="2:17">
      <c r="B45" s="979"/>
      <c r="C45" s="979" t="s">
        <v>2879</v>
      </c>
      <c r="D45" s="990"/>
      <c r="E45" s="979"/>
      <c r="F45" s="979">
        <f>AVERAGE(F43:F44)</f>
        <v>367014.19288714894</v>
      </c>
      <c r="M45" s="1233" t="s">
        <v>2878</v>
      </c>
      <c r="N45" s="1194" t="s">
        <v>2877</v>
      </c>
      <c r="O45" s="1036"/>
      <c r="P45" s="671">
        <f>SUM(I3313:I3315)</f>
        <v>19060</v>
      </c>
      <c r="Q45" s="671">
        <f>SUM(J3313:J3315)</f>
        <v>19060</v>
      </c>
    </row>
    <row r="46" spans="2:17">
      <c r="B46" s="978"/>
      <c r="C46" s="978"/>
      <c r="D46" s="981"/>
      <c r="E46" s="978"/>
      <c r="F46" s="978"/>
      <c r="M46" s="1233" t="s">
        <v>2876</v>
      </c>
      <c r="N46" s="1194" t="s">
        <v>2875</v>
      </c>
      <c r="O46" s="1036"/>
      <c r="P46" s="671">
        <f>SUM(H3364:H3365)</f>
        <v>27021</v>
      </c>
      <c r="Q46" s="671">
        <f>SUM(I3364:I3365)</f>
        <v>42065.251428571428</v>
      </c>
    </row>
    <row r="47" spans="2:17">
      <c r="B47" s="991" t="s">
        <v>1868</v>
      </c>
      <c r="C47" s="991"/>
      <c r="D47" s="992" t="s">
        <v>1867</v>
      </c>
      <c r="E47" s="991"/>
      <c r="F47" s="991">
        <f>K60</f>
        <v>11.81909240638133</v>
      </c>
      <c r="M47" s="1233" t="s">
        <v>2874</v>
      </c>
      <c r="N47" s="1194" t="s">
        <v>2873</v>
      </c>
      <c r="O47" s="1036"/>
      <c r="P47" s="671">
        <f>H3350</f>
        <v>223442</v>
      </c>
      <c r="Q47" s="671">
        <f>I3350</f>
        <v>223442</v>
      </c>
    </row>
    <row r="48" spans="2:17">
      <c r="B48" s="979"/>
      <c r="C48" s="979"/>
      <c r="D48" s="990" t="s">
        <v>1866</v>
      </c>
      <c r="E48" s="979"/>
      <c r="F48" s="979">
        <f>K61</f>
        <v>10.05741108980442</v>
      </c>
      <c r="M48" s="1233" t="s">
        <v>2872</v>
      </c>
      <c r="N48" s="1194" t="s">
        <v>2871</v>
      </c>
      <c r="O48" s="1036"/>
      <c r="P48" s="671">
        <f>E3304</f>
        <v>197021</v>
      </c>
      <c r="Q48" s="1232">
        <f>P48</f>
        <v>197021</v>
      </c>
    </row>
    <row r="49" spans="2:17" ht="15" thickBot="1">
      <c r="B49" s="979"/>
      <c r="C49" s="979"/>
      <c r="D49" s="990" t="s">
        <v>1865</v>
      </c>
      <c r="E49" s="979"/>
      <c r="F49" s="979">
        <f>K62</f>
        <v>9.1374373273317602</v>
      </c>
      <c r="M49" s="998" t="s">
        <v>2847</v>
      </c>
      <c r="N49" s="713"/>
      <c r="O49" s="713"/>
      <c r="P49" s="713">
        <f>SUM(P44:P48)</f>
        <v>1868997</v>
      </c>
      <c r="Q49" s="713">
        <f>SUM(Q44:Q48)</f>
        <v>1791247.2990476193</v>
      </c>
    </row>
    <row r="50" spans="2:17">
      <c r="B50" s="978"/>
      <c r="C50" s="978"/>
      <c r="D50" s="981"/>
      <c r="E50" s="978"/>
      <c r="F50" s="978"/>
      <c r="Q50" s="957" t="b">
        <f>Q49=Q11</f>
        <v>1</v>
      </c>
    </row>
    <row r="51" spans="2:17">
      <c r="B51" s="979"/>
      <c r="C51" s="979"/>
      <c r="D51" s="990"/>
      <c r="E51" s="979"/>
      <c r="F51" s="979"/>
    </row>
    <row r="52" spans="2:17">
      <c r="B52" s="980" t="s">
        <v>2870</v>
      </c>
    </row>
    <row r="54" spans="2:17">
      <c r="B54" s="957" t="s">
        <v>2869</v>
      </c>
      <c r="D54" s="957"/>
      <c r="E54" s="989" t="s">
        <v>2868</v>
      </c>
      <c r="H54" s="979" t="s">
        <v>2835</v>
      </c>
      <c r="J54" s="957" t="s">
        <v>2867</v>
      </c>
      <c r="K54" s="957" t="s">
        <v>2866</v>
      </c>
    </row>
    <row r="55" spans="2:17" ht="15" thickBot="1">
      <c r="B55" s="983"/>
      <c r="C55" s="983"/>
      <c r="D55" s="983" t="s">
        <v>2865</v>
      </c>
      <c r="E55" s="988" t="s">
        <v>2848</v>
      </c>
      <c r="F55" s="983" t="s">
        <v>2736</v>
      </c>
      <c r="G55" s="983" t="s">
        <v>2864</v>
      </c>
      <c r="H55" s="983" t="s">
        <v>2863</v>
      </c>
      <c r="I55" s="983" t="s">
        <v>2834</v>
      </c>
      <c r="J55" s="983" t="s">
        <v>2835</v>
      </c>
      <c r="K55" s="983" t="s">
        <v>2862</v>
      </c>
    </row>
    <row r="56" spans="2:17">
      <c r="B56" s="957" t="s">
        <v>2861</v>
      </c>
      <c r="D56" s="958">
        <f>J375</f>
        <v>3100420.0412371135</v>
      </c>
      <c r="E56" s="957">
        <f>E88</f>
        <v>654421</v>
      </c>
      <c r="F56" s="957">
        <f>F921</f>
        <v>792595.97711219511</v>
      </c>
      <c r="G56" s="957">
        <f>D56+E56-F56</f>
        <v>2962245.0641249185</v>
      </c>
      <c r="H56" s="957">
        <f>E107</f>
        <v>166104.211863</v>
      </c>
      <c r="I56" s="987">
        <f>1/E121</f>
        <v>1.9351375684193186</v>
      </c>
      <c r="J56" s="957">
        <f>H56*I56</f>
        <v>321434.50064877316</v>
      </c>
      <c r="K56" s="985">
        <f>G56/J56</f>
        <v>9.2157035357001735</v>
      </c>
    </row>
    <row r="57" spans="2:17">
      <c r="B57" s="957" t="s">
        <v>2860</v>
      </c>
      <c r="D57" s="958">
        <f>J628</f>
        <v>13277780.512195121</v>
      </c>
      <c r="E57" s="957">
        <f>F88</f>
        <v>3364803.5897820001</v>
      </c>
      <c r="F57" s="957">
        <f>F1719</f>
        <v>2246434.156254</v>
      </c>
      <c r="G57" s="957">
        <f>D57+E57-F57</f>
        <v>14396149.94572312</v>
      </c>
      <c r="H57" s="957">
        <f>F107</f>
        <v>805423.339423</v>
      </c>
      <c r="I57" s="987">
        <f>1/F121</f>
        <v>1.9561301183125475</v>
      </c>
      <c r="J57" s="957">
        <f t="shared" ref="J57:J58" si="1">H57*I57</f>
        <v>1575512.8522372001</v>
      </c>
      <c r="K57" s="985">
        <f>G57/J57</f>
        <v>9.1374373273317602</v>
      </c>
    </row>
    <row r="58" spans="2:17">
      <c r="B58" s="957" t="s">
        <v>2859</v>
      </c>
      <c r="D58" s="958">
        <f>J881</f>
        <v>4051688.2032520324</v>
      </c>
      <c r="E58" s="957">
        <f>G88</f>
        <v>337865.62400000001</v>
      </c>
      <c r="F58" s="957">
        <f>F2031</f>
        <v>162005.37826552583</v>
      </c>
      <c r="G58" s="957">
        <f>D58+E58-F58</f>
        <v>4227548.4489865061</v>
      </c>
      <c r="H58" s="957">
        <f>G107</f>
        <v>162893.03099999999</v>
      </c>
      <c r="I58" s="987">
        <f>1/G121</f>
        <v>2.1958464153493957</v>
      </c>
      <c r="J58" s="957">
        <f t="shared" si="1"/>
        <v>357688.07820674794</v>
      </c>
      <c r="K58" s="985">
        <f>G58/J58</f>
        <v>11.81909240638133</v>
      </c>
    </row>
    <row r="59" spans="2:17" ht="15" thickBot="1">
      <c r="B59" s="983"/>
      <c r="C59" s="983"/>
      <c r="D59" s="984"/>
      <c r="E59" s="983"/>
      <c r="F59" s="983"/>
      <c r="G59" s="983"/>
      <c r="H59" s="983"/>
      <c r="I59" s="986"/>
      <c r="J59" s="983"/>
      <c r="K59" s="982"/>
    </row>
    <row r="60" spans="2:17">
      <c r="B60" s="957" t="s">
        <v>2858</v>
      </c>
      <c r="K60" s="985">
        <f>MAX($K$56:$K$59)</f>
        <v>11.81909240638133</v>
      </c>
    </row>
    <row r="61" spans="2:17">
      <c r="B61" s="957" t="s">
        <v>2857</v>
      </c>
      <c r="K61" s="985">
        <f>AVERAGE($K$56:$K$59)</f>
        <v>10.05741108980442</v>
      </c>
    </row>
    <row r="62" spans="2:17" ht="15" thickBot="1">
      <c r="B62" s="983" t="s">
        <v>2856</v>
      </c>
      <c r="C62" s="983"/>
      <c r="D62" s="984"/>
      <c r="E62" s="983"/>
      <c r="F62" s="983"/>
      <c r="G62" s="983"/>
      <c r="H62" s="983"/>
      <c r="I62" s="983"/>
      <c r="J62" s="983"/>
      <c r="K62" s="982">
        <f>MIN($K$56:$K$59)</f>
        <v>9.1374373273317602</v>
      </c>
    </row>
    <row r="64" spans="2:17">
      <c r="B64" s="979"/>
      <c r="C64" s="979"/>
      <c r="D64" s="990"/>
      <c r="E64" s="979"/>
      <c r="F64" s="979"/>
    </row>
    <row r="65" spans="2:7">
      <c r="B65" s="979"/>
      <c r="C65" s="979"/>
      <c r="D65" s="990"/>
      <c r="E65" s="979"/>
      <c r="F65" s="979"/>
    </row>
    <row r="66" spans="2:7">
      <c r="B66" s="979"/>
      <c r="C66" s="979"/>
      <c r="D66" s="990"/>
      <c r="E66" s="979"/>
      <c r="F66" s="979"/>
    </row>
    <row r="67" spans="2:7">
      <c r="B67" s="979"/>
      <c r="C67" s="979"/>
      <c r="D67" s="990" t="s">
        <v>1908</v>
      </c>
      <c r="E67" s="979" t="s">
        <v>1909</v>
      </c>
      <c r="F67" s="979" t="s">
        <v>1910</v>
      </c>
      <c r="G67" s="957" t="s">
        <v>1911</v>
      </c>
    </row>
    <row r="68" spans="2:7">
      <c r="B68" s="979" t="s">
        <v>2855</v>
      </c>
      <c r="C68" s="979"/>
      <c r="D68" s="979">
        <f>G56</f>
        <v>2962245.0641249185</v>
      </c>
      <c r="E68" s="979">
        <f>G57</f>
        <v>14396149.94572312</v>
      </c>
      <c r="F68" s="957">
        <f>G58</f>
        <v>4227548.4489865061</v>
      </c>
      <c r="G68" s="957">
        <f>G59</f>
        <v>0</v>
      </c>
    </row>
    <row r="69" spans="2:7">
      <c r="B69" s="979" t="s">
        <v>2854</v>
      </c>
      <c r="C69" s="979"/>
      <c r="D69" s="979">
        <f>D56</f>
        <v>3100420.0412371135</v>
      </c>
      <c r="E69" s="979">
        <f>D57</f>
        <v>13277780.512195121</v>
      </c>
      <c r="F69" s="957">
        <f>D58</f>
        <v>4051688.2032520324</v>
      </c>
      <c r="G69" s="957">
        <f>D59</f>
        <v>0</v>
      </c>
    </row>
    <row r="70" spans="2:7">
      <c r="B70" s="979" t="s">
        <v>2853</v>
      </c>
      <c r="C70" s="979"/>
      <c r="D70" s="979">
        <f>E56</f>
        <v>654421</v>
      </c>
      <c r="E70" s="979">
        <f>E57</f>
        <v>3364803.5897820001</v>
      </c>
      <c r="F70" s="957">
        <f>E58</f>
        <v>337865.62400000001</v>
      </c>
      <c r="G70" s="957">
        <f>E59</f>
        <v>0</v>
      </c>
    </row>
    <row r="71" spans="2:7">
      <c r="B71" s="979" t="s">
        <v>2751</v>
      </c>
      <c r="C71" s="979"/>
      <c r="D71" s="979">
        <f>F56</f>
        <v>792595.97711219511</v>
      </c>
      <c r="E71" s="979">
        <f>F57</f>
        <v>2246434.156254</v>
      </c>
      <c r="F71" s="957">
        <f>F58</f>
        <v>162005.37826552583</v>
      </c>
      <c r="G71" s="957">
        <f>F59</f>
        <v>0</v>
      </c>
    </row>
    <row r="72" spans="2:7">
      <c r="B72" s="979"/>
      <c r="C72" s="979"/>
      <c r="D72" s="957"/>
    </row>
    <row r="73" spans="2:7">
      <c r="B73" s="979"/>
      <c r="C73" s="979"/>
      <c r="D73" s="979"/>
      <c r="E73" s="979"/>
    </row>
    <row r="74" spans="2:7">
      <c r="B74" s="979" t="s">
        <v>2852</v>
      </c>
      <c r="C74" s="979"/>
      <c r="D74" s="957">
        <f>J56</f>
        <v>321434.50064877316</v>
      </c>
      <c r="E74" s="957">
        <f>J57</f>
        <v>1575512.8522372001</v>
      </c>
      <c r="F74" s="957">
        <f>J58</f>
        <v>357688.07820674794</v>
      </c>
      <c r="G74" s="957">
        <f>J59</f>
        <v>0</v>
      </c>
    </row>
    <row r="75" spans="2:7">
      <c r="B75" s="979" t="s">
        <v>2851</v>
      </c>
      <c r="C75" s="979"/>
      <c r="D75" s="979">
        <f>H56</f>
        <v>166104.211863</v>
      </c>
      <c r="E75" s="979">
        <f>H57</f>
        <v>805423.339423</v>
      </c>
      <c r="F75" s="979">
        <f>H58</f>
        <v>162893.03099999999</v>
      </c>
      <c r="G75" s="979">
        <f>H59</f>
        <v>0</v>
      </c>
    </row>
    <row r="76" spans="2:7">
      <c r="B76" s="979" t="s">
        <v>2850</v>
      </c>
      <c r="C76" s="979"/>
      <c r="D76" s="1043">
        <f>I56</f>
        <v>1.9351375684193186</v>
      </c>
      <c r="E76" s="1043">
        <f>I57</f>
        <v>1.9561301183125475</v>
      </c>
      <c r="F76" s="1043">
        <f>I58</f>
        <v>2.1958464153493957</v>
      </c>
      <c r="G76" s="1043">
        <f>I59</f>
        <v>0</v>
      </c>
    </row>
    <row r="77" spans="2:7">
      <c r="B77" s="979"/>
      <c r="C77" s="979"/>
      <c r="D77" s="990"/>
    </row>
    <row r="78" spans="2:7">
      <c r="B78" s="979"/>
      <c r="C78" s="979"/>
      <c r="D78" s="990"/>
    </row>
    <row r="79" spans="2:7">
      <c r="B79" s="979"/>
      <c r="C79" s="979"/>
      <c r="D79" s="990"/>
    </row>
    <row r="80" spans="2:7">
      <c r="B80" s="979"/>
      <c r="C80" s="979"/>
      <c r="D80" s="990"/>
    </row>
    <row r="81" spans="2:8">
      <c r="B81" s="979"/>
      <c r="C81" s="979"/>
      <c r="D81" s="990"/>
      <c r="F81" s="979"/>
    </row>
    <row r="82" spans="2:8">
      <c r="B82" s="979"/>
      <c r="C82" s="979"/>
      <c r="D82" s="990"/>
      <c r="E82" s="979"/>
      <c r="F82" s="979"/>
    </row>
    <row r="85" spans="2:8">
      <c r="B85" s="980" t="s">
        <v>2849</v>
      </c>
    </row>
    <row r="87" spans="2:8">
      <c r="B87" s="978" t="s">
        <v>2841</v>
      </c>
      <c r="C87" s="978"/>
      <c r="D87" s="978"/>
      <c r="E87" s="978" t="s">
        <v>1787</v>
      </c>
      <c r="F87" s="978" t="s">
        <v>1783</v>
      </c>
      <c r="G87" s="978" t="s">
        <v>1784</v>
      </c>
      <c r="H87" s="978" t="s">
        <v>1788</v>
      </c>
    </row>
    <row r="88" spans="2:8">
      <c r="B88" s="977" t="s">
        <v>2848</v>
      </c>
      <c r="C88" s="977"/>
      <c r="D88" s="976"/>
      <c r="E88" s="976">
        <f>'Multiple_대용기업 정리'!F33/1000000</f>
        <v>654421</v>
      </c>
      <c r="F88" s="977">
        <f>'Multiple_대용기업 정리'!L33/1000000</f>
        <v>3364803.5897820001</v>
      </c>
      <c r="G88" s="977">
        <f>'Multiple_대용기업 정리'!O33/1000000</f>
        <v>337865.62400000001</v>
      </c>
      <c r="H88" s="977">
        <f>'Multiple_대용기업 정리'!I33/1000000</f>
        <v>2740489</v>
      </c>
    </row>
    <row r="89" spans="2:8">
      <c r="B89" s="957" t="s">
        <v>2736</v>
      </c>
      <c r="C89" s="957" t="s">
        <v>1786</v>
      </c>
      <c r="E89" s="958">
        <f>'Multiple_대용기업 정리'!F34/1000000</f>
        <v>750289</v>
      </c>
      <c r="F89" s="957">
        <f>'Multiple_대용기업 정리'!L34/1000000</f>
        <v>321728.33799999999</v>
      </c>
      <c r="G89" s="957">
        <f>'Multiple_대용기업 정리'!O34/1000000</f>
        <v>6414.3149999999996</v>
      </c>
      <c r="H89" s="957">
        <f>'Multiple_대용기업 정리'!I34/1000000</f>
        <v>1421513</v>
      </c>
    </row>
    <row r="90" spans="2:8">
      <c r="C90" s="957" t="s">
        <v>2734</v>
      </c>
      <c r="E90" s="958">
        <f>'Multiple_대용기업 정리'!F35/1000000</f>
        <v>154040</v>
      </c>
      <c r="F90" s="957">
        <f>'Multiple_대용기업 정리'!L35/1000000</f>
        <v>4860750.6785490001</v>
      </c>
      <c r="G90" s="957">
        <f>'Multiple_대용기업 정리'!O35/1000000</f>
        <v>869069.12</v>
      </c>
      <c r="H90" s="957">
        <f>'Multiple_대용기업 정리'!I35/1000000</f>
        <v>631771.23936999997</v>
      </c>
    </row>
    <row r="91" spans="2:8">
      <c r="C91" s="957" t="s">
        <v>1209</v>
      </c>
      <c r="E91" s="958">
        <f>'Multiple_대용기업 정리'!F36/1000000</f>
        <v>65475</v>
      </c>
      <c r="F91" s="957">
        <f>'Multiple_대용기업 정리'!L36/1000000</f>
        <v>450810.86725399998</v>
      </c>
      <c r="G91" s="957">
        <f>'Multiple_대용기업 정리'!O36/1000000</f>
        <v>13264.455</v>
      </c>
      <c r="H91" s="957">
        <f>'Multiple_대용기업 정리'!I36/1000000</f>
        <v>197021</v>
      </c>
    </row>
    <row r="92" spans="2:8">
      <c r="B92" s="979"/>
      <c r="C92" s="978" t="s">
        <v>192</v>
      </c>
      <c r="D92" s="981"/>
      <c r="E92" s="981">
        <f>'Multiple_대용기업 정리'!F37/1000000</f>
        <v>0</v>
      </c>
      <c r="F92" s="978">
        <f>'Multiple_대용기업 정리'!L37/1000000</f>
        <v>254873.764</v>
      </c>
      <c r="G92" s="978">
        <f>'Multiple_대용기업 정리'!O37/1000000</f>
        <v>0</v>
      </c>
      <c r="H92" s="978">
        <f>'Multiple_대용기업 정리'!I37/1000000</f>
        <v>39823</v>
      </c>
    </row>
    <row r="93" spans="2:8">
      <c r="B93" s="978"/>
      <c r="C93" s="978" t="s">
        <v>2847</v>
      </c>
      <c r="D93" s="981"/>
      <c r="E93" s="981">
        <f>SUM(E89:E92)</f>
        <v>969804</v>
      </c>
      <c r="F93" s="981">
        <f>SUM(F89:F92)</f>
        <v>5888163.6478030011</v>
      </c>
      <c r="G93" s="981">
        <f>SUM(G89:G92)</f>
        <v>888747.8899999999</v>
      </c>
      <c r="H93" s="981">
        <f>SUM(H89:H92)</f>
        <v>2290128.2393700001</v>
      </c>
    </row>
    <row r="94" spans="2:8">
      <c r="E94" s="958"/>
    </row>
    <row r="95" spans="2:8">
      <c r="E95" s="958"/>
    </row>
    <row r="96" spans="2:8">
      <c r="E96" s="958"/>
    </row>
    <row r="97" spans="2:8">
      <c r="E97" s="958"/>
    </row>
    <row r="98" spans="2:8">
      <c r="B98" s="980" t="s">
        <v>2846</v>
      </c>
      <c r="E98" s="958"/>
    </row>
    <row r="99" spans="2:8">
      <c r="E99" s="958"/>
    </row>
    <row r="100" spans="2:8">
      <c r="B100" s="978" t="s">
        <v>2841</v>
      </c>
      <c r="C100" s="978"/>
      <c r="D100" s="978"/>
      <c r="E100" s="978" t="s">
        <v>1787</v>
      </c>
      <c r="F100" s="978" t="s">
        <v>1783</v>
      </c>
      <c r="G100" s="978" t="s">
        <v>1784</v>
      </c>
      <c r="H100" s="978" t="s">
        <v>1788</v>
      </c>
    </row>
    <row r="101" spans="2:8">
      <c r="B101" s="979" t="s">
        <v>2845</v>
      </c>
      <c r="C101" s="979"/>
      <c r="D101" s="979"/>
      <c r="E101" s="979">
        <f>'Multiple_대용기업 정리'!F18/1000000</f>
        <v>732983.68812399998</v>
      </c>
      <c r="F101" s="979">
        <f>'Multiple_대용기업 정리'!L18/1000000</f>
        <v>7464433.5090349996</v>
      </c>
      <c r="G101" s="979">
        <f>'Multiple_대용기업 정리'!O18/1000000</f>
        <v>435243.53100000002</v>
      </c>
      <c r="H101" s="979">
        <f>'Multiple_대용기업 정리'!I18/1000000</f>
        <v>5185906.394502</v>
      </c>
    </row>
    <row r="102" spans="2:8">
      <c r="B102" s="979" t="s">
        <v>2844</v>
      </c>
      <c r="C102" s="979"/>
      <c r="D102" s="979"/>
      <c r="E102" s="979">
        <f>'Multiple_대용기업 정리'!F19/1000000</f>
        <v>181567.12783799999</v>
      </c>
      <c r="F102" s="979">
        <f>'Multiple_대용기업 정리'!L19/1000000</f>
        <v>5248853.4781520003</v>
      </c>
      <c r="G102" s="979">
        <f>'Multiple_대용기업 정리'!O19/1000000</f>
        <v>88105.524000000005</v>
      </c>
      <c r="H102" s="979">
        <f>'Multiple_대용기업 정리'!I19/1000000</f>
        <v>3749109.3657689998</v>
      </c>
    </row>
    <row r="103" spans="2:8">
      <c r="B103" s="979" t="s">
        <v>2843</v>
      </c>
      <c r="C103" s="979"/>
      <c r="D103" s="979"/>
      <c r="E103" s="979">
        <f>'Multiple_대용기업 정리'!F20/1000000</f>
        <v>442178.589033</v>
      </c>
      <c r="F103" s="979">
        <f>'Multiple_대용기업 정리'!L20/1000000</f>
        <v>1569442.5794009999</v>
      </c>
      <c r="G103" s="979">
        <f>'Multiple_대용기업 정리'!O20/1000000</f>
        <v>207026.50899999999</v>
      </c>
      <c r="H103" s="979">
        <f>'Multiple_대용기업 정리'!I20/1000000</f>
        <v>1023560.195063</v>
      </c>
    </row>
    <row r="104" spans="2:8">
      <c r="B104" s="979" t="s">
        <v>2838</v>
      </c>
      <c r="C104" s="979"/>
      <c r="D104" s="979"/>
      <c r="E104" s="979">
        <f>'Multiple_대용기업 정리'!F21/1000000</f>
        <v>111828.211863</v>
      </c>
      <c r="F104" s="979">
        <f>'Multiple_대용기업 정리'!L21/1000000</f>
        <v>629094.38358799997</v>
      </c>
      <c r="G104" s="979">
        <f>'Multiple_대용기업 정리'!O21/1000000</f>
        <v>145315.408</v>
      </c>
      <c r="H104" s="979">
        <f>'Multiple_대용기업 정리'!I21/1000000</f>
        <v>415116.199448</v>
      </c>
    </row>
    <row r="105" spans="2:8">
      <c r="B105" s="979" t="s">
        <v>2837</v>
      </c>
      <c r="C105" s="979"/>
      <c r="D105" s="979"/>
      <c r="E105" s="979">
        <f>'Multiple_대용기업 정리'!F22/1000000</f>
        <v>53426</v>
      </c>
      <c r="F105" s="979">
        <f>'Multiple_대용기업 정리'!L22/1000000</f>
        <v>148158.61600000001</v>
      </c>
      <c r="G105" s="979">
        <f>'Multiple_대용기업 정리'!O22/1000000</f>
        <v>17562.827000000001</v>
      </c>
      <c r="H105" s="979">
        <f>'Multiple_대용기업 정리'!I22/1000000</f>
        <v>121487</v>
      </c>
    </row>
    <row r="106" spans="2:8">
      <c r="B106" s="979" t="s">
        <v>2836</v>
      </c>
      <c r="C106" s="979"/>
      <c r="D106" s="979"/>
      <c r="E106" s="979">
        <f>'Multiple_대용기업 정리'!F23/1000000</f>
        <v>850</v>
      </c>
      <c r="F106" s="979">
        <f>'Multiple_대용기업 정리'!L23/1000000</f>
        <v>28170.339834999999</v>
      </c>
      <c r="G106" s="979">
        <f>'Multiple_대용기업 정리'!O23/1000000</f>
        <v>14.795999999999999</v>
      </c>
      <c r="H106" s="979">
        <f>'Multiple_대용기업 정리'!I23/1000000</f>
        <v>2617</v>
      </c>
    </row>
    <row r="107" spans="2:8">
      <c r="B107" s="977" t="s">
        <v>2835</v>
      </c>
      <c r="C107" s="977"/>
      <c r="D107" s="977"/>
      <c r="E107" s="977">
        <f>E104+E105+E106</f>
        <v>166104.211863</v>
      </c>
      <c r="F107" s="977">
        <f>F104+F105+F106</f>
        <v>805423.339423</v>
      </c>
      <c r="G107" s="977">
        <f>G104+G105+G106</f>
        <v>162893.03099999999</v>
      </c>
      <c r="H107" s="977">
        <f>H104+H105+H106</f>
        <v>539220.19944799994</v>
      </c>
    </row>
    <row r="108" spans="2:8">
      <c r="B108" s="979"/>
      <c r="C108" s="979"/>
      <c r="D108" s="979"/>
      <c r="E108" s="979"/>
      <c r="F108" s="979"/>
      <c r="G108" s="979"/>
      <c r="H108" s="979"/>
    </row>
    <row r="109" spans="2:8">
      <c r="B109" s="979"/>
      <c r="C109" s="979"/>
      <c r="D109" s="979"/>
      <c r="E109" s="979"/>
      <c r="F109" s="979"/>
      <c r="G109" s="979"/>
      <c r="H109" s="979"/>
    </row>
    <row r="110" spans="2:8">
      <c r="B110" s="980" t="s">
        <v>2842</v>
      </c>
      <c r="C110" s="979"/>
      <c r="D110" s="979"/>
      <c r="E110" s="979"/>
      <c r="F110" s="979"/>
      <c r="G110" s="979"/>
      <c r="H110" s="979"/>
    </row>
    <row r="111" spans="2:8">
      <c r="B111" s="979"/>
      <c r="C111" s="979"/>
      <c r="D111" s="979"/>
      <c r="E111" s="979"/>
      <c r="F111" s="979"/>
      <c r="G111" s="979"/>
      <c r="H111" s="979"/>
    </row>
    <row r="112" spans="2:8">
      <c r="B112" s="978" t="s">
        <v>2841</v>
      </c>
      <c r="C112" s="978"/>
      <c r="D112" s="978"/>
      <c r="E112" s="978" t="s">
        <v>1787</v>
      </c>
      <c r="F112" s="978" t="s">
        <v>1783</v>
      </c>
      <c r="G112" s="978" t="s">
        <v>1784</v>
      </c>
      <c r="H112" s="978" t="s">
        <v>1788</v>
      </c>
    </row>
    <row r="113" spans="2:11">
      <c r="B113" s="979" t="s">
        <v>2840</v>
      </c>
      <c r="C113" s="979" t="s">
        <v>2838</v>
      </c>
      <c r="D113" s="979"/>
      <c r="E113" s="979">
        <f>'Multiple_대용기업 정리'!E21/1000000</f>
        <v>202554.34</v>
      </c>
      <c r="F113" s="979">
        <f>'Multiple_대용기업 정리'!K21/1000000</f>
        <v>1148382.400193</v>
      </c>
      <c r="G113" s="979">
        <f>'Multiple_대용기업 정리'!N21/1000000</f>
        <v>217465.04500000001</v>
      </c>
      <c r="H113" s="979">
        <f>'Multiple_대용기업 정리'!H21/1000000</f>
        <v>791554.69200000004</v>
      </c>
    </row>
    <row r="114" spans="2:11">
      <c r="B114" s="979"/>
      <c r="C114" s="979" t="s">
        <v>2837</v>
      </c>
      <c r="D114" s="979"/>
      <c r="E114" s="979">
        <f>'Multiple_대용기업 정리'!E22/1000000</f>
        <v>101538.503</v>
      </c>
      <c r="F114" s="979">
        <f>'Multiple_대용기업 정리'!K22/1000000</f>
        <v>296065.99265799997</v>
      </c>
      <c r="G114" s="979">
        <f>'Multiple_대용기업 정리'!N22/1000000</f>
        <v>34502.241999999998</v>
      </c>
      <c r="H114" s="979">
        <f>'Multiple_대용기업 정리'!H22/1000000</f>
        <v>222601.30300000001</v>
      </c>
    </row>
    <row r="115" spans="2:11">
      <c r="B115" s="979"/>
      <c r="C115" s="979" t="s">
        <v>2836</v>
      </c>
      <c r="D115" s="979"/>
      <c r="E115" s="979"/>
      <c r="F115" s="979">
        <f>'Multiple_대용기업 정리'!K23/1000000</f>
        <v>62171.041499999999</v>
      </c>
      <c r="G115" s="979">
        <f>'Multiple_대용기업 정리'!N23/1000000</f>
        <v>329.399</v>
      </c>
      <c r="H115" s="979">
        <f>'Multiple_대용기업 정리'!H23/1000000</f>
        <v>0</v>
      </c>
    </row>
    <row r="116" spans="2:11">
      <c r="B116" s="978"/>
      <c r="C116" s="977" t="s">
        <v>2835</v>
      </c>
      <c r="D116" s="977"/>
      <c r="E116" s="977">
        <f>E113+E114+E115</f>
        <v>304092.84299999999</v>
      </c>
      <c r="F116" s="977">
        <f>F113+F114+F115</f>
        <v>1506619.434351</v>
      </c>
      <c r="G116" s="977">
        <f>G113+G114+G115</f>
        <v>252296.68600000002</v>
      </c>
      <c r="H116" s="977">
        <f>H113+H114+H115</f>
        <v>1014155.9950000001</v>
      </c>
    </row>
    <row r="117" spans="2:11">
      <c r="B117" s="979" t="s">
        <v>2839</v>
      </c>
      <c r="C117" s="979" t="s">
        <v>2838</v>
      </c>
      <c r="D117" s="979"/>
      <c r="E117" s="979">
        <f>'Multiple_대용기업 정리'!D21/1000000</f>
        <v>96391.028999999995</v>
      </c>
      <c r="F117" s="979">
        <f>'Multiple_대용기업 정리'!J21/1000000</f>
        <v>590278.21473899996</v>
      </c>
      <c r="G117" s="979">
        <f>'Multiple_대용기업 정리'!M21/1000000</f>
        <v>120697.792</v>
      </c>
      <c r="H117" s="979">
        <f>'Multiple_대용기업 정리'!G21/1000000</f>
        <v>402063.603</v>
      </c>
    </row>
    <row r="118" spans="2:11">
      <c r="B118" s="979"/>
      <c r="C118" s="979" t="s">
        <v>2837</v>
      </c>
      <c r="D118" s="979"/>
      <c r="E118" s="979">
        <f>'Multiple_대용기업 정리'!D22/1000000</f>
        <v>50559.061999999998</v>
      </c>
      <c r="F118" s="979">
        <f>'Multiple_대용기업 정리'!J22/1000000</f>
        <v>124442.397977</v>
      </c>
      <c r="G118" s="979">
        <f>'Multiple_대용기업 정리'!M22/1000000</f>
        <v>16509.936000000002</v>
      </c>
      <c r="H118" s="979">
        <f>'Multiple_대용기업 정리'!G22/1000000</f>
        <v>108722.291</v>
      </c>
    </row>
    <row r="119" spans="2:11">
      <c r="B119" s="979"/>
      <c r="C119" s="979" t="s">
        <v>2836</v>
      </c>
      <c r="D119" s="979"/>
      <c r="E119" s="979">
        <f>'Multiple_대용기업 정리'!D23/1000000</f>
        <v>0</v>
      </c>
      <c r="F119" s="979">
        <f>'Multiple_대용기업 정리'!J23/1000000</f>
        <v>21694.723120999999</v>
      </c>
      <c r="G119" s="979">
        <f>'Multiple_대용기업 정리'!M23/1000000</f>
        <v>191.721</v>
      </c>
      <c r="H119" s="979">
        <f>'Multiple_대용기업 정리'!G23/1000000</f>
        <v>0</v>
      </c>
    </row>
    <row r="120" spans="2:11">
      <c r="B120" s="978"/>
      <c r="C120" s="977" t="s">
        <v>2835</v>
      </c>
      <c r="D120" s="977"/>
      <c r="E120" s="977">
        <f>E117+E118+E119</f>
        <v>146950.09099999999</v>
      </c>
      <c r="F120" s="977">
        <f>F117+F118+F119</f>
        <v>736415.33583699993</v>
      </c>
      <c r="G120" s="977">
        <f>G117+G118+G119</f>
        <v>137399.44899999999</v>
      </c>
      <c r="H120" s="977">
        <f>H117+H118+H119</f>
        <v>510785.89399999997</v>
      </c>
    </row>
    <row r="121" spans="2:11">
      <c r="B121" s="977" t="s">
        <v>2834</v>
      </c>
      <c r="C121" s="977"/>
      <c r="D121" s="976"/>
      <c r="E121" s="975">
        <f>(E116-E120)/E116</f>
        <v>0.51675912675129942</v>
      </c>
      <c r="F121" s="975">
        <f>(F116-F120)/F116</f>
        <v>0.51121343648787965</v>
      </c>
      <c r="G121" s="975">
        <f>(G116-G120)/G116</f>
        <v>0.45540525649235047</v>
      </c>
      <c r="H121" s="975">
        <f>(H116-H120)/H116</f>
        <v>0.49634385980235723</v>
      </c>
    </row>
    <row r="124" spans="2:11">
      <c r="B124" s="971" t="s">
        <v>2833</v>
      </c>
    </row>
    <row r="125" spans="2:11" hidden="1" outlineLevel="1"/>
    <row r="126" spans="2:11" ht="16" hidden="1" outlineLevel="1">
      <c r="B126" s="969" t="s">
        <v>1839</v>
      </c>
      <c r="C126" s="969" t="s">
        <v>1838</v>
      </c>
      <c r="D126" s="970" t="s">
        <v>1837</v>
      </c>
      <c r="E126" s="969" t="s">
        <v>1836</v>
      </c>
      <c r="F126" s="969" t="s">
        <v>1835</v>
      </c>
      <c r="G126" s="969" t="s">
        <v>1834</v>
      </c>
      <c r="H126" s="969" t="s">
        <v>1833</v>
      </c>
      <c r="I126" s="969" t="s">
        <v>1832</v>
      </c>
      <c r="J126" s="969" t="s">
        <v>1785</v>
      </c>
      <c r="K126" s="969" t="s">
        <v>1831</v>
      </c>
    </row>
    <row r="127" spans="2:11" ht="16" hidden="1" outlineLevel="1">
      <c r="B127" s="968" t="s">
        <v>1830</v>
      </c>
      <c r="C127" s="967">
        <v>290500</v>
      </c>
      <c r="D127" s="967" t="s">
        <v>1846</v>
      </c>
      <c r="E127" s="974">
        <v>36360</v>
      </c>
      <c r="F127" s="974">
        <v>10605427000</v>
      </c>
      <c r="G127" s="974">
        <v>291000</v>
      </c>
      <c r="H127" s="974">
        <v>293500</v>
      </c>
      <c r="I127" s="974">
        <v>286500</v>
      </c>
      <c r="J127" s="974">
        <v>2860025</v>
      </c>
      <c r="K127" s="974">
        <v>9845181</v>
      </c>
    </row>
    <row r="128" spans="2:11" ht="16" hidden="1" outlineLevel="1">
      <c r="B128" s="968" t="s">
        <v>1828</v>
      </c>
      <c r="C128" s="967">
        <v>288000</v>
      </c>
      <c r="D128" s="967" t="s">
        <v>1840</v>
      </c>
      <c r="E128" s="974">
        <v>24327</v>
      </c>
      <c r="F128" s="974">
        <v>7048937000</v>
      </c>
      <c r="G128" s="974">
        <v>290000</v>
      </c>
      <c r="H128" s="974">
        <v>293500</v>
      </c>
      <c r="I128" s="974">
        <v>286500</v>
      </c>
      <c r="J128" s="974">
        <v>2835412</v>
      </c>
      <c r="K128" s="974">
        <v>9845181</v>
      </c>
    </row>
    <row r="129" spans="2:11" ht="16" hidden="1" outlineLevel="1">
      <c r="B129" s="968" t="s">
        <v>1827</v>
      </c>
      <c r="C129" s="967">
        <v>289500</v>
      </c>
      <c r="D129" s="967" t="s">
        <v>1790</v>
      </c>
      <c r="E129" s="974">
        <v>26066</v>
      </c>
      <c r="F129" s="974">
        <v>7472341000</v>
      </c>
      <c r="G129" s="974">
        <v>283000</v>
      </c>
      <c r="H129" s="974">
        <v>293500</v>
      </c>
      <c r="I129" s="974">
        <v>281000</v>
      </c>
      <c r="J129" s="974">
        <v>2850180</v>
      </c>
      <c r="K129" s="974">
        <v>9845181</v>
      </c>
    </row>
    <row r="130" spans="2:11" ht="16" hidden="1" outlineLevel="1">
      <c r="B130" s="968" t="s">
        <v>1825</v>
      </c>
      <c r="C130" s="967">
        <v>282000</v>
      </c>
      <c r="D130" s="967" t="s">
        <v>1862</v>
      </c>
      <c r="E130" s="974">
        <v>26892</v>
      </c>
      <c r="F130" s="974">
        <v>7589263500</v>
      </c>
      <c r="G130" s="974">
        <v>286000</v>
      </c>
      <c r="H130" s="974">
        <v>286000</v>
      </c>
      <c r="I130" s="974">
        <v>280500</v>
      </c>
      <c r="J130" s="974">
        <v>2776341</v>
      </c>
      <c r="K130" s="974">
        <v>9845181</v>
      </c>
    </row>
    <row r="131" spans="2:11" ht="16" hidden="1" outlineLevel="1">
      <c r="B131" s="968" t="s">
        <v>1823</v>
      </c>
      <c r="C131" s="967">
        <v>288500</v>
      </c>
      <c r="D131" s="967" t="s">
        <v>1851</v>
      </c>
      <c r="E131" s="974">
        <v>29051</v>
      </c>
      <c r="F131" s="974">
        <v>8278590500</v>
      </c>
      <c r="G131" s="974">
        <v>278000</v>
      </c>
      <c r="H131" s="974">
        <v>289500</v>
      </c>
      <c r="I131" s="974">
        <v>277000</v>
      </c>
      <c r="J131" s="974">
        <v>2840335</v>
      </c>
      <c r="K131" s="974">
        <v>9845181</v>
      </c>
    </row>
    <row r="132" spans="2:11" ht="16" hidden="1" outlineLevel="1">
      <c r="B132" s="968" t="s">
        <v>1821</v>
      </c>
      <c r="C132" s="967">
        <v>274500</v>
      </c>
      <c r="D132" s="967" t="s">
        <v>1862</v>
      </c>
      <c r="E132" s="974">
        <v>37853</v>
      </c>
      <c r="F132" s="974">
        <v>10495943000</v>
      </c>
      <c r="G132" s="974">
        <v>283500</v>
      </c>
      <c r="H132" s="974">
        <v>283500</v>
      </c>
      <c r="I132" s="974">
        <v>271500</v>
      </c>
      <c r="J132" s="974">
        <v>2702502</v>
      </c>
      <c r="K132" s="974">
        <v>9845181</v>
      </c>
    </row>
    <row r="133" spans="2:11" ht="16" hidden="1" outlineLevel="1">
      <c r="B133" s="968" t="s">
        <v>1819</v>
      </c>
      <c r="C133" s="967">
        <v>281000</v>
      </c>
      <c r="D133" s="967" t="s">
        <v>1858</v>
      </c>
      <c r="E133" s="974">
        <v>30345</v>
      </c>
      <c r="F133" s="974">
        <v>8567385500</v>
      </c>
      <c r="G133" s="974">
        <v>284500</v>
      </c>
      <c r="H133" s="974">
        <v>286500</v>
      </c>
      <c r="I133" s="974">
        <v>279500</v>
      </c>
      <c r="J133" s="974">
        <v>2766496</v>
      </c>
      <c r="K133" s="974">
        <v>9845181</v>
      </c>
    </row>
    <row r="134" spans="2:11" ht="16" hidden="1" outlineLevel="1">
      <c r="B134" s="968" t="s">
        <v>1817</v>
      </c>
      <c r="C134" s="967">
        <v>286000</v>
      </c>
      <c r="D134" s="967" t="s">
        <v>1804</v>
      </c>
      <c r="E134" s="974">
        <v>24552</v>
      </c>
      <c r="F134" s="974">
        <v>6955586480</v>
      </c>
      <c r="G134" s="974">
        <v>282000</v>
      </c>
      <c r="H134" s="974">
        <v>286000</v>
      </c>
      <c r="I134" s="974">
        <v>279000</v>
      </c>
      <c r="J134" s="974">
        <v>2815722</v>
      </c>
      <c r="K134" s="974">
        <v>9845181</v>
      </c>
    </row>
    <row r="135" spans="2:11" ht="16" hidden="1" outlineLevel="1">
      <c r="B135" s="968" t="s">
        <v>1815</v>
      </c>
      <c r="C135" s="967">
        <v>280500</v>
      </c>
      <c r="D135" s="967" t="s">
        <v>1844</v>
      </c>
      <c r="E135" s="974">
        <v>19124</v>
      </c>
      <c r="F135" s="974">
        <v>5367027000</v>
      </c>
      <c r="G135" s="974">
        <v>282500</v>
      </c>
      <c r="H135" s="974">
        <v>283500</v>
      </c>
      <c r="I135" s="974">
        <v>277500</v>
      </c>
      <c r="J135" s="974">
        <v>2761573</v>
      </c>
      <c r="K135" s="974">
        <v>9845181</v>
      </c>
    </row>
    <row r="136" spans="2:11" ht="16" hidden="1" outlineLevel="1">
      <c r="B136" s="968" t="s">
        <v>1813</v>
      </c>
      <c r="C136" s="967">
        <v>284000</v>
      </c>
      <c r="D136" s="967">
        <v>0</v>
      </c>
      <c r="E136" s="974">
        <v>29506</v>
      </c>
      <c r="F136" s="974">
        <v>8371839900</v>
      </c>
      <c r="G136" s="974">
        <v>281000</v>
      </c>
      <c r="H136" s="974">
        <v>286500</v>
      </c>
      <c r="I136" s="974">
        <v>281000</v>
      </c>
      <c r="J136" s="974">
        <v>2796031</v>
      </c>
      <c r="K136" s="974">
        <v>9845181</v>
      </c>
    </row>
    <row r="137" spans="2:11" ht="16" hidden="1" outlineLevel="1">
      <c r="B137" s="968" t="s">
        <v>1812</v>
      </c>
      <c r="C137" s="967">
        <v>284000</v>
      </c>
      <c r="D137" s="967" t="s">
        <v>1816</v>
      </c>
      <c r="E137" s="974">
        <v>44655</v>
      </c>
      <c r="F137" s="974">
        <v>12679370500</v>
      </c>
      <c r="G137" s="974">
        <v>289000</v>
      </c>
      <c r="H137" s="974">
        <v>290000</v>
      </c>
      <c r="I137" s="974">
        <v>281000</v>
      </c>
      <c r="J137" s="974">
        <v>2796031</v>
      </c>
      <c r="K137" s="974">
        <v>9845181</v>
      </c>
    </row>
    <row r="138" spans="2:11" ht="16" hidden="1" outlineLevel="1">
      <c r="B138" s="968" t="s">
        <v>1810</v>
      </c>
      <c r="C138" s="967">
        <v>286500</v>
      </c>
      <c r="D138" s="967" t="s">
        <v>1814</v>
      </c>
      <c r="E138" s="974">
        <v>43410</v>
      </c>
      <c r="F138" s="974">
        <v>12455383000</v>
      </c>
      <c r="G138" s="974">
        <v>287000</v>
      </c>
      <c r="H138" s="974">
        <v>291000</v>
      </c>
      <c r="I138" s="974">
        <v>284500</v>
      </c>
      <c r="J138" s="974">
        <v>2820644</v>
      </c>
      <c r="K138" s="974">
        <v>9845181</v>
      </c>
    </row>
    <row r="139" spans="2:11" ht="16" hidden="1" outlineLevel="1">
      <c r="B139" s="968" t="s">
        <v>1809</v>
      </c>
      <c r="C139" s="967">
        <v>287000</v>
      </c>
      <c r="D139" s="967" t="s">
        <v>1804</v>
      </c>
      <c r="E139" s="974">
        <v>46033</v>
      </c>
      <c r="F139" s="974">
        <v>12796566000</v>
      </c>
      <c r="G139" s="974">
        <v>277500</v>
      </c>
      <c r="H139" s="974">
        <v>287000</v>
      </c>
      <c r="I139" s="974">
        <v>274500</v>
      </c>
      <c r="J139" s="974">
        <v>2825567</v>
      </c>
      <c r="K139" s="974">
        <v>9845181</v>
      </c>
    </row>
    <row r="140" spans="2:11" ht="16" hidden="1" outlineLevel="1">
      <c r="B140" s="968" t="s">
        <v>1807</v>
      </c>
      <c r="C140" s="967">
        <v>281500</v>
      </c>
      <c r="D140" s="967" t="s">
        <v>1861</v>
      </c>
      <c r="E140" s="974">
        <v>63409</v>
      </c>
      <c r="F140" s="974">
        <v>17711521000</v>
      </c>
      <c r="G140" s="974">
        <v>272000</v>
      </c>
      <c r="H140" s="974">
        <v>282000</v>
      </c>
      <c r="I140" s="974">
        <v>271500</v>
      </c>
      <c r="J140" s="974">
        <v>2771418</v>
      </c>
      <c r="K140" s="974">
        <v>9845181</v>
      </c>
    </row>
    <row r="141" spans="2:11" ht="16" hidden="1" outlineLevel="1">
      <c r="B141" s="968" t="s">
        <v>1805</v>
      </c>
      <c r="C141" s="967">
        <v>268000</v>
      </c>
      <c r="D141" s="967" t="s">
        <v>1824</v>
      </c>
      <c r="E141" s="974">
        <v>47775</v>
      </c>
      <c r="F141" s="974">
        <v>12915868500</v>
      </c>
      <c r="G141" s="974">
        <v>266000</v>
      </c>
      <c r="H141" s="974">
        <v>272500</v>
      </c>
      <c r="I141" s="974">
        <v>266000</v>
      </c>
      <c r="J141" s="974">
        <v>2638509</v>
      </c>
      <c r="K141" s="974">
        <v>9845181</v>
      </c>
    </row>
    <row r="142" spans="2:11" ht="16" hidden="1" outlineLevel="1">
      <c r="B142" s="968" t="s">
        <v>1803</v>
      </c>
      <c r="C142" s="967">
        <v>270000</v>
      </c>
      <c r="D142" s="967" t="s">
        <v>1855</v>
      </c>
      <c r="E142" s="974">
        <v>38986</v>
      </c>
      <c r="F142" s="974">
        <v>10471500500</v>
      </c>
      <c r="G142" s="974">
        <v>263000</v>
      </c>
      <c r="H142" s="974">
        <v>271500</v>
      </c>
      <c r="I142" s="974">
        <v>263000</v>
      </c>
      <c r="J142" s="974">
        <v>2658199</v>
      </c>
      <c r="K142" s="974">
        <v>9845181</v>
      </c>
    </row>
    <row r="143" spans="2:11" ht="16" hidden="1" outlineLevel="1">
      <c r="B143" s="968" t="s">
        <v>1801</v>
      </c>
      <c r="C143" s="967">
        <v>260500</v>
      </c>
      <c r="D143" s="967" t="s">
        <v>1826</v>
      </c>
      <c r="E143" s="974">
        <v>60725</v>
      </c>
      <c r="F143" s="974">
        <v>15854567500</v>
      </c>
      <c r="G143" s="974">
        <v>265000</v>
      </c>
      <c r="H143" s="974">
        <v>265500</v>
      </c>
      <c r="I143" s="974">
        <v>258000</v>
      </c>
      <c r="J143" s="974">
        <v>2564670</v>
      </c>
      <c r="K143" s="974">
        <v>9845181</v>
      </c>
    </row>
    <row r="144" spans="2:11" ht="16" hidden="1" outlineLevel="1">
      <c r="B144" s="968" t="s">
        <v>1799</v>
      </c>
      <c r="C144" s="967">
        <v>260000</v>
      </c>
      <c r="D144" s="967" t="s">
        <v>1860</v>
      </c>
      <c r="E144" s="974">
        <v>40684</v>
      </c>
      <c r="F144" s="974">
        <v>10790359000</v>
      </c>
      <c r="G144" s="974">
        <v>280000</v>
      </c>
      <c r="H144" s="974">
        <v>280000</v>
      </c>
      <c r="I144" s="974">
        <v>260000</v>
      </c>
      <c r="J144" s="974">
        <v>2559747</v>
      </c>
      <c r="K144" s="974">
        <v>9845181</v>
      </c>
    </row>
    <row r="145" spans="2:11" ht="16" hidden="1" outlineLevel="1">
      <c r="B145" s="968" t="s">
        <v>1797</v>
      </c>
      <c r="C145" s="967">
        <v>279500</v>
      </c>
      <c r="D145" s="967" t="s">
        <v>1859</v>
      </c>
      <c r="E145" s="974">
        <v>53106</v>
      </c>
      <c r="F145" s="974">
        <v>14568476000</v>
      </c>
      <c r="G145" s="974">
        <v>265000</v>
      </c>
      <c r="H145" s="974">
        <v>280000</v>
      </c>
      <c r="I145" s="974">
        <v>260000</v>
      </c>
      <c r="J145" s="974">
        <v>2751728</v>
      </c>
      <c r="K145" s="974">
        <v>9845181</v>
      </c>
    </row>
    <row r="146" spans="2:11" ht="16" hidden="1" outlineLevel="1">
      <c r="B146" s="968" t="s">
        <v>1795</v>
      </c>
      <c r="C146" s="967">
        <v>275000</v>
      </c>
      <c r="D146" s="967" t="s">
        <v>1858</v>
      </c>
      <c r="E146" s="974">
        <v>50902</v>
      </c>
      <c r="F146" s="974">
        <v>14117144000</v>
      </c>
      <c r="G146" s="974">
        <v>282000</v>
      </c>
      <c r="H146" s="974">
        <v>283500</v>
      </c>
      <c r="I146" s="974">
        <v>275000</v>
      </c>
      <c r="J146" s="974">
        <v>2707425</v>
      </c>
      <c r="K146" s="974">
        <v>9845181</v>
      </c>
    </row>
    <row r="147" spans="2:11" ht="16" hidden="1" outlineLevel="1">
      <c r="B147" s="968" t="s">
        <v>1793</v>
      </c>
      <c r="C147" s="967">
        <v>280000</v>
      </c>
      <c r="D147" s="967" t="s">
        <v>1853</v>
      </c>
      <c r="E147" s="974">
        <v>43690</v>
      </c>
      <c r="F147" s="974">
        <v>12209219500</v>
      </c>
      <c r="G147" s="974">
        <v>275500</v>
      </c>
      <c r="H147" s="974">
        <v>283000</v>
      </c>
      <c r="I147" s="974">
        <v>275000</v>
      </c>
      <c r="J147" s="974">
        <v>2756651</v>
      </c>
      <c r="K147" s="974">
        <v>9845181</v>
      </c>
    </row>
    <row r="148" spans="2:11" ht="16" hidden="1" outlineLevel="1">
      <c r="B148" s="968" t="s">
        <v>1791</v>
      </c>
      <c r="C148" s="967">
        <v>279000</v>
      </c>
      <c r="D148" s="967" t="s">
        <v>1847</v>
      </c>
      <c r="E148" s="974">
        <v>32656</v>
      </c>
      <c r="F148" s="974">
        <v>9256729500</v>
      </c>
      <c r="G148" s="974">
        <v>285000</v>
      </c>
      <c r="H148" s="974">
        <v>289500</v>
      </c>
      <c r="I148" s="974">
        <v>279000</v>
      </c>
      <c r="J148" s="974">
        <v>2746805</v>
      </c>
      <c r="K148" s="974">
        <v>9845181</v>
      </c>
    </row>
    <row r="149" spans="2:11" s="1259" customFormat="1" ht="13.5" hidden="1" customHeight="1" outlineLevel="1">
      <c r="B149" s="968" t="s">
        <v>2607</v>
      </c>
      <c r="C149" s="967">
        <v>285000</v>
      </c>
      <c r="D149" s="967" t="s">
        <v>2666</v>
      </c>
      <c r="E149" s="967">
        <v>59289</v>
      </c>
      <c r="F149" s="967">
        <v>16964932000</v>
      </c>
      <c r="G149" s="967">
        <v>283500</v>
      </c>
      <c r="H149" s="967">
        <v>292000</v>
      </c>
      <c r="I149" s="967">
        <v>281500</v>
      </c>
      <c r="J149" s="967">
        <v>2805877</v>
      </c>
      <c r="K149" s="967">
        <v>9845181</v>
      </c>
    </row>
    <row r="150" spans="2:11" s="1259" customFormat="1" ht="13.5" hidden="1" customHeight="1" outlineLevel="1">
      <c r="B150" s="968" t="s">
        <v>2605</v>
      </c>
      <c r="C150" s="967">
        <v>281000</v>
      </c>
      <c r="D150" s="967" t="s">
        <v>2675</v>
      </c>
      <c r="E150" s="967">
        <v>53115</v>
      </c>
      <c r="F150" s="967">
        <v>14768313000</v>
      </c>
      <c r="G150" s="967">
        <v>273500</v>
      </c>
      <c r="H150" s="967">
        <v>282500</v>
      </c>
      <c r="I150" s="967">
        <v>273000</v>
      </c>
      <c r="J150" s="967">
        <v>2766496</v>
      </c>
      <c r="K150" s="967">
        <v>9845181</v>
      </c>
    </row>
    <row r="151" spans="2:11" s="1259" customFormat="1" ht="13.5" hidden="1" customHeight="1" outlineLevel="1">
      <c r="B151" s="968" t="s">
        <v>2603</v>
      </c>
      <c r="C151" s="967">
        <v>273000</v>
      </c>
      <c r="D151" s="967" t="s">
        <v>2800</v>
      </c>
      <c r="E151" s="967">
        <v>75197</v>
      </c>
      <c r="F151" s="967">
        <v>20787048448</v>
      </c>
      <c r="G151" s="967">
        <v>279500</v>
      </c>
      <c r="H151" s="967">
        <v>283500</v>
      </c>
      <c r="I151" s="967">
        <v>273000</v>
      </c>
      <c r="J151" s="967">
        <v>2687734</v>
      </c>
      <c r="K151" s="967">
        <v>9845181</v>
      </c>
    </row>
    <row r="152" spans="2:11" s="1259" customFormat="1" ht="13.5" hidden="1" customHeight="1" outlineLevel="1">
      <c r="B152" s="968" t="s">
        <v>2601</v>
      </c>
      <c r="C152" s="967">
        <v>291000</v>
      </c>
      <c r="D152" s="967" t="s">
        <v>2832</v>
      </c>
      <c r="E152" s="967">
        <v>70364</v>
      </c>
      <c r="F152" s="967">
        <v>20785918000</v>
      </c>
      <c r="G152" s="967">
        <v>301000</v>
      </c>
      <c r="H152" s="967">
        <v>303500</v>
      </c>
      <c r="I152" s="967">
        <v>291000</v>
      </c>
      <c r="J152" s="967">
        <v>2864948</v>
      </c>
      <c r="K152" s="967">
        <v>9845181</v>
      </c>
    </row>
    <row r="153" spans="2:11" s="1259" customFormat="1" ht="13.5" hidden="1" customHeight="1" outlineLevel="1">
      <c r="B153" s="968" t="s">
        <v>2599</v>
      </c>
      <c r="C153" s="967">
        <v>311500</v>
      </c>
      <c r="D153" s="967" t="s">
        <v>2245</v>
      </c>
      <c r="E153" s="967">
        <v>59809</v>
      </c>
      <c r="F153" s="967">
        <v>18283969500</v>
      </c>
      <c r="G153" s="967">
        <v>308000</v>
      </c>
      <c r="H153" s="967">
        <v>311500</v>
      </c>
      <c r="I153" s="967">
        <v>300000</v>
      </c>
      <c r="J153" s="967">
        <v>3066774</v>
      </c>
      <c r="K153" s="967">
        <v>9845181</v>
      </c>
    </row>
    <row r="154" spans="2:11" s="1259" customFormat="1" ht="13.5" hidden="1" customHeight="1" outlineLevel="1">
      <c r="B154" s="968" t="s">
        <v>2598</v>
      </c>
      <c r="C154" s="967">
        <v>310000</v>
      </c>
      <c r="D154" s="967" t="s">
        <v>2820</v>
      </c>
      <c r="E154" s="967">
        <v>34649</v>
      </c>
      <c r="F154" s="967">
        <v>10825164500</v>
      </c>
      <c r="G154" s="967">
        <v>324000</v>
      </c>
      <c r="H154" s="967">
        <v>327000</v>
      </c>
      <c r="I154" s="967">
        <v>306000</v>
      </c>
      <c r="J154" s="967">
        <v>3052006</v>
      </c>
      <c r="K154" s="967">
        <v>9845181</v>
      </c>
    </row>
    <row r="155" spans="2:11" s="1259" customFormat="1" ht="13.5" hidden="1" customHeight="1" outlineLevel="1">
      <c r="B155" s="968" t="s">
        <v>2597</v>
      </c>
      <c r="C155" s="967">
        <v>321500</v>
      </c>
      <c r="D155" s="967" t="s">
        <v>2248</v>
      </c>
      <c r="E155" s="967">
        <v>45272</v>
      </c>
      <c r="F155" s="967">
        <v>14501681500</v>
      </c>
      <c r="G155" s="967">
        <v>325000</v>
      </c>
      <c r="H155" s="967">
        <v>325000</v>
      </c>
      <c r="I155" s="967">
        <v>315500</v>
      </c>
      <c r="J155" s="967">
        <v>3165226</v>
      </c>
      <c r="K155" s="967">
        <v>9845181</v>
      </c>
    </row>
    <row r="156" spans="2:11" s="1259" customFormat="1" ht="13.5" hidden="1" customHeight="1" outlineLevel="1">
      <c r="B156" s="968" t="s">
        <v>2596</v>
      </c>
      <c r="C156" s="967">
        <v>322500</v>
      </c>
      <c r="D156" s="967" t="s">
        <v>2669</v>
      </c>
      <c r="E156" s="967">
        <v>93446</v>
      </c>
      <c r="F156" s="967">
        <v>30036297000</v>
      </c>
      <c r="G156" s="967">
        <v>316500</v>
      </c>
      <c r="H156" s="967">
        <v>328500</v>
      </c>
      <c r="I156" s="967">
        <v>311500</v>
      </c>
      <c r="J156" s="967">
        <v>3175071</v>
      </c>
      <c r="K156" s="967">
        <v>9845181</v>
      </c>
    </row>
    <row r="157" spans="2:11" s="1259" customFormat="1" ht="13.5" hidden="1" customHeight="1" outlineLevel="1">
      <c r="B157" s="968" t="s">
        <v>2595</v>
      </c>
      <c r="C157" s="967">
        <v>316500</v>
      </c>
      <c r="D157" s="967" t="s">
        <v>2804</v>
      </c>
      <c r="E157" s="967">
        <v>98753</v>
      </c>
      <c r="F157" s="967">
        <v>30560905300</v>
      </c>
      <c r="G157" s="967">
        <v>297500</v>
      </c>
      <c r="H157" s="967">
        <v>316500</v>
      </c>
      <c r="I157" s="967">
        <v>297500</v>
      </c>
      <c r="J157" s="967">
        <v>3116000</v>
      </c>
      <c r="K157" s="967">
        <v>9845181</v>
      </c>
    </row>
    <row r="158" spans="2:11" s="1259" customFormat="1" ht="13.5" hidden="1" customHeight="1" outlineLevel="1">
      <c r="B158" s="968" t="s">
        <v>2594</v>
      </c>
      <c r="C158" s="967">
        <v>297000</v>
      </c>
      <c r="D158" s="967" t="s">
        <v>2277</v>
      </c>
      <c r="E158" s="967">
        <v>32010</v>
      </c>
      <c r="F158" s="967">
        <v>9331935000</v>
      </c>
      <c r="G158" s="967">
        <v>291000</v>
      </c>
      <c r="H158" s="967">
        <v>297000</v>
      </c>
      <c r="I158" s="967">
        <v>286000</v>
      </c>
      <c r="J158" s="967">
        <v>2924019</v>
      </c>
      <c r="K158" s="967">
        <v>9845181</v>
      </c>
    </row>
    <row r="159" spans="2:11" s="1259" customFormat="1" ht="13.5" hidden="1" customHeight="1" outlineLevel="1">
      <c r="B159" s="968" t="s">
        <v>2592</v>
      </c>
      <c r="C159" s="967">
        <v>294000</v>
      </c>
      <c r="D159" s="967" t="s">
        <v>2278</v>
      </c>
      <c r="E159" s="967">
        <v>51290</v>
      </c>
      <c r="F159" s="967">
        <v>15069941000</v>
      </c>
      <c r="G159" s="967">
        <v>296500</v>
      </c>
      <c r="H159" s="967">
        <v>298500</v>
      </c>
      <c r="I159" s="967">
        <v>285500</v>
      </c>
      <c r="J159" s="967">
        <v>2894483</v>
      </c>
      <c r="K159" s="967">
        <v>9845181</v>
      </c>
    </row>
    <row r="160" spans="2:11" s="1259" customFormat="1" ht="13.5" hidden="1" customHeight="1" outlineLevel="1">
      <c r="B160" s="968" t="s">
        <v>2591</v>
      </c>
      <c r="C160" s="967">
        <v>297000</v>
      </c>
      <c r="D160" s="967" t="s">
        <v>1826</v>
      </c>
      <c r="E160" s="967">
        <v>87485</v>
      </c>
      <c r="F160" s="967">
        <v>26448789000</v>
      </c>
      <c r="G160" s="967">
        <v>297500</v>
      </c>
      <c r="H160" s="967">
        <v>308000</v>
      </c>
      <c r="I160" s="967">
        <v>294000</v>
      </c>
      <c r="J160" s="967">
        <v>2924019</v>
      </c>
      <c r="K160" s="967">
        <v>9845181</v>
      </c>
    </row>
    <row r="161" spans="2:11" s="1259" customFormat="1" ht="13.5" hidden="1" customHeight="1" outlineLevel="1">
      <c r="B161" s="968" t="s">
        <v>2590</v>
      </c>
      <c r="C161" s="967">
        <v>296500</v>
      </c>
      <c r="D161" s="967" t="s">
        <v>2779</v>
      </c>
      <c r="E161" s="967">
        <v>51501</v>
      </c>
      <c r="F161" s="967">
        <v>15151712396</v>
      </c>
      <c r="G161" s="967">
        <v>292000</v>
      </c>
      <c r="H161" s="967">
        <v>298000</v>
      </c>
      <c r="I161" s="967">
        <v>289000</v>
      </c>
      <c r="J161" s="967">
        <v>2919096</v>
      </c>
      <c r="K161" s="967">
        <v>9845181</v>
      </c>
    </row>
    <row r="162" spans="2:11" s="1259" customFormat="1" ht="13.5" hidden="1" customHeight="1" outlineLevel="1">
      <c r="B162" s="968" t="s">
        <v>2589</v>
      </c>
      <c r="C162" s="967">
        <v>288000</v>
      </c>
      <c r="D162" s="967" t="s">
        <v>2805</v>
      </c>
      <c r="E162" s="967">
        <v>73264</v>
      </c>
      <c r="F162" s="967">
        <v>21187340500</v>
      </c>
      <c r="G162" s="967">
        <v>292000</v>
      </c>
      <c r="H162" s="967">
        <v>293500</v>
      </c>
      <c r="I162" s="967">
        <v>285000</v>
      </c>
      <c r="J162" s="967">
        <v>2835412</v>
      </c>
      <c r="K162" s="967">
        <v>9845181</v>
      </c>
    </row>
    <row r="163" spans="2:11" s="1259" customFormat="1" ht="13.5" hidden="1" customHeight="1" outlineLevel="1">
      <c r="B163" s="968" t="s">
        <v>2588</v>
      </c>
      <c r="C163" s="967">
        <v>299000</v>
      </c>
      <c r="D163" s="967" t="s">
        <v>2674</v>
      </c>
      <c r="E163" s="967">
        <v>43901</v>
      </c>
      <c r="F163" s="967">
        <v>13131140000</v>
      </c>
      <c r="G163" s="967">
        <v>303000</v>
      </c>
      <c r="H163" s="967">
        <v>303000</v>
      </c>
      <c r="I163" s="967">
        <v>297500</v>
      </c>
      <c r="J163" s="967">
        <v>2943709</v>
      </c>
      <c r="K163" s="967">
        <v>9845181</v>
      </c>
    </row>
    <row r="164" spans="2:11" s="1259" customFormat="1" ht="13.5" hidden="1" customHeight="1" outlineLevel="1">
      <c r="B164" s="968" t="s">
        <v>2587</v>
      </c>
      <c r="C164" s="967">
        <v>306000</v>
      </c>
      <c r="D164" s="967" t="s">
        <v>2674</v>
      </c>
      <c r="E164" s="967">
        <v>48340</v>
      </c>
      <c r="F164" s="967">
        <v>14963126000</v>
      </c>
      <c r="G164" s="967">
        <v>310500</v>
      </c>
      <c r="H164" s="967">
        <v>313000</v>
      </c>
      <c r="I164" s="967">
        <v>306000</v>
      </c>
      <c r="J164" s="967">
        <v>3012625</v>
      </c>
      <c r="K164" s="967">
        <v>9845181</v>
      </c>
    </row>
    <row r="165" spans="2:11" s="1259" customFormat="1" ht="13.5" hidden="1" customHeight="1" outlineLevel="1">
      <c r="B165" s="968" t="s">
        <v>2586</v>
      </c>
      <c r="C165" s="967">
        <v>313000</v>
      </c>
      <c r="D165" s="967" t="s">
        <v>2671</v>
      </c>
      <c r="E165" s="967">
        <v>53264</v>
      </c>
      <c r="F165" s="967">
        <v>17163433500</v>
      </c>
      <c r="G165" s="967">
        <v>320000</v>
      </c>
      <c r="H165" s="967">
        <v>327000</v>
      </c>
      <c r="I165" s="967">
        <v>313000</v>
      </c>
      <c r="J165" s="967">
        <v>3081542</v>
      </c>
      <c r="K165" s="967">
        <v>9845181</v>
      </c>
    </row>
    <row r="166" spans="2:11" s="1259" customFormat="1" ht="13.5" hidden="1" customHeight="1" outlineLevel="1">
      <c r="B166" s="968" t="s">
        <v>2584</v>
      </c>
      <c r="C166" s="967">
        <v>319500</v>
      </c>
      <c r="D166" s="967" t="s">
        <v>1814</v>
      </c>
      <c r="E166" s="967">
        <v>58070</v>
      </c>
      <c r="F166" s="967">
        <v>18450864000</v>
      </c>
      <c r="G166" s="967">
        <v>320000</v>
      </c>
      <c r="H166" s="967">
        <v>320000</v>
      </c>
      <c r="I166" s="967">
        <v>310500</v>
      </c>
      <c r="J166" s="967">
        <v>3145535</v>
      </c>
      <c r="K166" s="967">
        <v>9845181</v>
      </c>
    </row>
    <row r="167" spans="2:11" s="1259" customFormat="1" ht="13.5" hidden="1" customHeight="1" outlineLevel="1">
      <c r="B167" s="968" t="s">
        <v>2583</v>
      </c>
      <c r="C167" s="967">
        <v>320000</v>
      </c>
      <c r="D167" s="967" t="s">
        <v>2786</v>
      </c>
      <c r="E167" s="967">
        <v>49274</v>
      </c>
      <c r="F167" s="967">
        <v>15656171000</v>
      </c>
      <c r="G167" s="967">
        <v>313000</v>
      </c>
      <c r="H167" s="967">
        <v>321500</v>
      </c>
      <c r="I167" s="967">
        <v>311000</v>
      </c>
      <c r="J167" s="967">
        <v>3150458</v>
      </c>
      <c r="K167" s="967">
        <v>9845181</v>
      </c>
    </row>
    <row r="168" spans="2:11" s="1259" customFormat="1" ht="13.5" hidden="1" customHeight="1" outlineLevel="1">
      <c r="B168" s="968" t="s">
        <v>2582</v>
      </c>
      <c r="C168" s="967">
        <v>310000</v>
      </c>
      <c r="D168" s="967" t="s">
        <v>2248</v>
      </c>
      <c r="E168" s="967">
        <v>24011</v>
      </c>
      <c r="F168" s="967">
        <v>7488301500</v>
      </c>
      <c r="G168" s="967">
        <v>314000</v>
      </c>
      <c r="H168" s="967">
        <v>317500</v>
      </c>
      <c r="I168" s="967">
        <v>307500</v>
      </c>
      <c r="J168" s="967">
        <v>3052006</v>
      </c>
      <c r="K168" s="967">
        <v>9845181</v>
      </c>
    </row>
    <row r="169" spans="2:11" s="1259" customFormat="1" ht="13.5" hidden="1" customHeight="1" outlineLevel="1">
      <c r="B169" s="968" t="s">
        <v>2581</v>
      </c>
      <c r="C169" s="967">
        <v>311000</v>
      </c>
      <c r="D169" s="967" t="s">
        <v>2831</v>
      </c>
      <c r="E169" s="967">
        <v>48323</v>
      </c>
      <c r="F169" s="967">
        <v>15399658500</v>
      </c>
      <c r="G169" s="967">
        <v>328000</v>
      </c>
      <c r="H169" s="967">
        <v>339000</v>
      </c>
      <c r="I169" s="967">
        <v>311000</v>
      </c>
      <c r="J169" s="967">
        <v>3061851</v>
      </c>
      <c r="K169" s="967">
        <v>9845181</v>
      </c>
    </row>
    <row r="170" spans="2:11" s="1259" customFormat="1" ht="13.5" hidden="1" customHeight="1" outlineLevel="1">
      <c r="B170" s="968" t="s">
        <v>2580</v>
      </c>
      <c r="C170" s="967">
        <v>333000</v>
      </c>
      <c r="D170" s="967" t="s">
        <v>2674</v>
      </c>
      <c r="E170" s="967">
        <v>39156</v>
      </c>
      <c r="F170" s="967">
        <v>13023021000</v>
      </c>
      <c r="G170" s="967">
        <v>335500</v>
      </c>
      <c r="H170" s="967">
        <v>344000</v>
      </c>
      <c r="I170" s="967">
        <v>325500</v>
      </c>
      <c r="J170" s="967">
        <v>3278445</v>
      </c>
      <c r="K170" s="967">
        <v>9845181</v>
      </c>
    </row>
    <row r="171" spans="2:11" s="1259" customFormat="1" ht="13.5" hidden="1" customHeight="1" outlineLevel="1">
      <c r="B171" s="968" t="s">
        <v>2578</v>
      </c>
      <c r="C171" s="967">
        <v>340000</v>
      </c>
      <c r="D171" s="967" t="s">
        <v>2776</v>
      </c>
      <c r="E171" s="967">
        <v>38125</v>
      </c>
      <c r="F171" s="967">
        <v>12976910500</v>
      </c>
      <c r="G171" s="967">
        <v>344500</v>
      </c>
      <c r="H171" s="967">
        <v>347500</v>
      </c>
      <c r="I171" s="967">
        <v>336500</v>
      </c>
      <c r="J171" s="967">
        <v>3347362</v>
      </c>
      <c r="K171" s="967">
        <v>9845181</v>
      </c>
    </row>
    <row r="172" spans="2:11" s="1259" customFormat="1" ht="13.5" hidden="1" customHeight="1" outlineLevel="1">
      <c r="B172" s="968" t="s">
        <v>2577</v>
      </c>
      <c r="C172" s="967">
        <v>348000</v>
      </c>
      <c r="D172" s="967" t="s">
        <v>2819</v>
      </c>
      <c r="E172" s="967">
        <v>53558</v>
      </c>
      <c r="F172" s="967">
        <v>18432387500</v>
      </c>
      <c r="G172" s="967">
        <v>336000</v>
      </c>
      <c r="H172" s="967">
        <v>351000</v>
      </c>
      <c r="I172" s="967">
        <v>330000</v>
      </c>
      <c r="J172" s="967">
        <v>3426123</v>
      </c>
      <c r="K172" s="967">
        <v>9845181</v>
      </c>
    </row>
    <row r="173" spans="2:11" s="1259" customFormat="1" ht="13.5" hidden="1" customHeight="1" outlineLevel="1">
      <c r="B173" s="968" t="s">
        <v>2576</v>
      </c>
      <c r="C173" s="967">
        <v>333000</v>
      </c>
      <c r="D173" s="967" t="s">
        <v>2236</v>
      </c>
      <c r="E173" s="967">
        <v>41035</v>
      </c>
      <c r="F173" s="967">
        <v>13667694500</v>
      </c>
      <c r="G173" s="967">
        <v>334500</v>
      </c>
      <c r="H173" s="967">
        <v>337500</v>
      </c>
      <c r="I173" s="967">
        <v>322500</v>
      </c>
      <c r="J173" s="967">
        <v>3278445</v>
      </c>
      <c r="K173" s="967">
        <v>9845181</v>
      </c>
    </row>
    <row r="174" spans="2:11" s="1259" customFormat="1" ht="13.5" hidden="1" customHeight="1" outlineLevel="1">
      <c r="B174" s="968" t="s">
        <v>2575</v>
      </c>
      <c r="C174" s="967">
        <v>332000</v>
      </c>
      <c r="D174" s="967" t="s">
        <v>2248</v>
      </c>
      <c r="E174" s="967">
        <v>46286</v>
      </c>
      <c r="F174" s="967">
        <v>15319132500</v>
      </c>
      <c r="G174" s="967">
        <v>329500</v>
      </c>
      <c r="H174" s="967">
        <v>335500</v>
      </c>
      <c r="I174" s="967">
        <v>322000</v>
      </c>
      <c r="J174" s="967">
        <v>3268600</v>
      </c>
      <c r="K174" s="967">
        <v>9845181</v>
      </c>
    </row>
    <row r="175" spans="2:11" s="1259" customFormat="1" ht="13.5" hidden="1" customHeight="1" outlineLevel="1">
      <c r="B175" s="968" t="s">
        <v>2574</v>
      </c>
      <c r="C175" s="967">
        <v>333000</v>
      </c>
      <c r="D175" s="967" t="s">
        <v>2775</v>
      </c>
      <c r="E175" s="967">
        <v>84089</v>
      </c>
      <c r="F175" s="967">
        <v>27622473000</v>
      </c>
      <c r="G175" s="967">
        <v>324000</v>
      </c>
      <c r="H175" s="967">
        <v>333000</v>
      </c>
      <c r="I175" s="967">
        <v>320500</v>
      </c>
      <c r="J175" s="967">
        <v>3278445</v>
      </c>
      <c r="K175" s="967">
        <v>9845181</v>
      </c>
    </row>
    <row r="176" spans="2:11" s="1259" customFormat="1" ht="13.5" hidden="1" customHeight="1" outlineLevel="1">
      <c r="B176" s="968" t="s">
        <v>2572</v>
      </c>
      <c r="C176" s="967">
        <v>324000</v>
      </c>
      <c r="D176" s="967" t="s">
        <v>2670</v>
      </c>
      <c r="E176" s="967">
        <v>50648</v>
      </c>
      <c r="F176" s="967">
        <v>16472965500</v>
      </c>
      <c r="G176" s="967">
        <v>315000</v>
      </c>
      <c r="H176" s="967">
        <v>329000</v>
      </c>
      <c r="I176" s="967">
        <v>315000</v>
      </c>
      <c r="J176" s="967">
        <v>3189839</v>
      </c>
      <c r="K176" s="967">
        <v>9845181</v>
      </c>
    </row>
    <row r="177" spans="2:11" s="1259" customFormat="1" ht="13.5" hidden="1" customHeight="1" outlineLevel="1">
      <c r="B177" s="968" t="s">
        <v>2571</v>
      </c>
      <c r="C177" s="967">
        <v>319000</v>
      </c>
      <c r="D177" s="967" t="s">
        <v>2672</v>
      </c>
      <c r="E177" s="967">
        <v>80079</v>
      </c>
      <c r="F177" s="967">
        <v>25543471500</v>
      </c>
      <c r="G177" s="967">
        <v>317500</v>
      </c>
      <c r="H177" s="967">
        <v>324000</v>
      </c>
      <c r="I177" s="967">
        <v>316500</v>
      </c>
      <c r="J177" s="967">
        <v>3140613</v>
      </c>
      <c r="K177" s="967">
        <v>9845181</v>
      </c>
    </row>
    <row r="178" spans="2:11" s="1259" customFormat="1" ht="13.5" hidden="1" customHeight="1" outlineLevel="1">
      <c r="B178" s="968" t="s">
        <v>2569</v>
      </c>
      <c r="C178" s="967">
        <v>315500</v>
      </c>
      <c r="D178" s="967" t="s">
        <v>2824</v>
      </c>
      <c r="E178" s="967">
        <v>82020</v>
      </c>
      <c r="F178" s="967">
        <v>25873746500</v>
      </c>
      <c r="G178" s="967">
        <v>305500</v>
      </c>
      <c r="H178" s="967">
        <v>329000</v>
      </c>
      <c r="I178" s="967">
        <v>297500</v>
      </c>
      <c r="J178" s="967">
        <v>3106155</v>
      </c>
      <c r="K178" s="967">
        <v>9845181</v>
      </c>
    </row>
    <row r="179" spans="2:11" s="1259" customFormat="1" ht="13.5" hidden="1" customHeight="1" outlineLevel="1">
      <c r="B179" s="968" t="s">
        <v>2567</v>
      </c>
      <c r="C179" s="967">
        <v>296500</v>
      </c>
      <c r="D179" s="967" t="s">
        <v>2644</v>
      </c>
      <c r="E179" s="967">
        <v>79780</v>
      </c>
      <c r="F179" s="967">
        <v>23564566000</v>
      </c>
      <c r="G179" s="967">
        <v>281000</v>
      </c>
      <c r="H179" s="967">
        <v>303000</v>
      </c>
      <c r="I179" s="967">
        <v>279500</v>
      </c>
      <c r="J179" s="967">
        <v>2919096</v>
      </c>
      <c r="K179" s="967">
        <v>9845181</v>
      </c>
    </row>
    <row r="180" spans="2:11" s="1259" customFormat="1" ht="13.5" hidden="1" customHeight="1" outlineLevel="1">
      <c r="B180" s="968" t="s">
        <v>2566</v>
      </c>
      <c r="C180" s="967">
        <v>292000</v>
      </c>
      <c r="D180" s="967" t="s">
        <v>2288</v>
      </c>
      <c r="E180" s="967">
        <v>76593</v>
      </c>
      <c r="F180" s="967">
        <v>22446707500</v>
      </c>
      <c r="G180" s="967">
        <v>299000</v>
      </c>
      <c r="H180" s="967">
        <v>302000</v>
      </c>
      <c r="I180" s="967">
        <v>288000</v>
      </c>
      <c r="J180" s="967">
        <v>2874793</v>
      </c>
      <c r="K180" s="967">
        <v>9845181</v>
      </c>
    </row>
    <row r="181" spans="2:11" s="1259" customFormat="1" ht="13.5" hidden="1" customHeight="1" outlineLevel="1">
      <c r="B181" s="968" t="s">
        <v>2564</v>
      </c>
      <c r="C181" s="967">
        <v>290000</v>
      </c>
      <c r="D181" s="967" t="s">
        <v>2676</v>
      </c>
      <c r="E181" s="967">
        <v>58101</v>
      </c>
      <c r="F181" s="967">
        <v>16856575000</v>
      </c>
      <c r="G181" s="967">
        <v>295000</v>
      </c>
      <c r="H181" s="967">
        <v>299000</v>
      </c>
      <c r="I181" s="967">
        <v>282000</v>
      </c>
      <c r="J181" s="967">
        <v>2855102</v>
      </c>
      <c r="K181" s="967">
        <v>9845181</v>
      </c>
    </row>
    <row r="182" spans="2:11" s="1259" customFormat="1" ht="13.5" hidden="1" customHeight="1" outlineLevel="1">
      <c r="B182" s="968" t="s">
        <v>2563</v>
      </c>
      <c r="C182" s="967">
        <v>297500</v>
      </c>
      <c r="D182" s="967" t="s">
        <v>2242</v>
      </c>
      <c r="E182" s="967">
        <v>98743</v>
      </c>
      <c r="F182" s="967">
        <v>29539899000</v>
      </c>
      <c r="G182" s="967">
        <v>297000</v>
      </c>
      <c r="H182" s="967">
        <v>308000</v>
      </c>
      <c r="I182" s="967">
        <v>293500</v>
      </c>
      <c r="J182" s="967">
        <v>2928941</v>
      </c>
      <c r="K182" s="967">
        <v>9845181</v>
      </c>
    </row>
    <row r="183" spans="2:11" s="1259" customFormat="1" ht="13.5" hidden="1" customHeight="1" outlineLevel="1">
      <c r="B183" s="968" t="s">
        <v>2562</v>
      </c>
      <c r="C183" s="967">
        <v>299500</v>
      </c>
      <c r="D183" s="967" t="s">
        <v>2830</v>
      </c>
      <c r="E183" s="967">
        <v>80599</v>
      </c>
      <c r="F183" s="967">
        <v>24851468000</v>
      </c>
      <c r="G183" s="967">
        <v>308000</v>
      </c>
      <c r="H183" s="967">
        <v>330000</v>
      </c>
      <c r="I183" s="967">
        <v>299500</v>
      </c>
      <c r="J183" s="967">
        <v>2948632</v>
      </c>
      <c r="K183" s="967">
        <v>9845181</v>
      </c>
    </row>
    <row r="184" spans="2:11" s="1259" customFormat="1" ht="13.5" hidden="1" customHeight="1" outlineLevel="1">
      <c r="B184" s="968" t="s">
        <v>2561</v>
      </c>
      <c r="C184" s="967">
        <v>324000</v>
      </c>
      <c r="D184" s="967" t="s">
        <v>2813</v>
      </c>
      <c r="E184" s="967">
        <v>39692</v>
      </c>
      <c r="F184" s="967">
        <v>12928321500</v>
      </c>
      <c r="G184" s="967">
        <v>333000</v>
      </c>
      <c r="H184" s="967">
        <v>333000</v>
      </c>
      <c r="I184" s="967">
        <v>324000</v>
      </c>
      <c r="J184" s="967">
        <v>3189839</v>
      </c>
      <c r="K184" s="967">
        <v>9845181</v>
      </c>
    </row>
    <row r="185" spans="2:11" s="1259" customFormat="1" ht="13.5" hidden="1" customHeight="1" outlineLevel="1">
      <c r="B185" s="968" t="s">
        <v>2560</v>
      </c>
      <c r="C185" s="967">
        <v>333000</v>
      </c>
      <c r="D185" s="967" t="s">
        <v>2242</v>
      </c>
      <c r="E185" s="967">
        <v>51520</v>
      </c>
      <c r="F185" s="967">
        <v>17133683500</v>
      </c>
      <c r="G185" s="967">
        <v>335500</v>
      </c>
      <c r="H185" s="967">
        <v>336000</v>
      </c>
      <c r="I185" s="967">
        <v>328000</v>
      </c>
      <c r="J185" s="967">
        <v>3278445</v>
      </c>
      <c r="K185" s="967">
        <v>9845181</v>
      </c>
    </row>
    <row r="186" spans="2:11" s="1259" customFormat="1" ht="13.5" hidden="1" customHeight="1" outlineLevel="1">
      <c r="B186" s="968" t="s">
        <v>2559</v>
      </c>
      <c r="C186" s="967">
        <v>335000</v>
      </c>
      <c r="D186" s="967" t="s">
        <v>2669</v>
      </c>
      <c r="E186" s="967">
        <v>44589</v>
      </c>
      <c r="F186" s="967">
        <v>14908679500</v>
      </c>
      <c r="G186" s="967">
        <v>333500</v>
      </c>
      <c r="H186" s="967">
        <v>337000</v>
      </c>
      <c r="I186" s="967">
        <v>328500</v>
      </c>
      <c r="J186" s="967">
        <v>3298136</v>
      </c>
      <c r="K186" s="967">
        <v>9845181</v>
      </c>
    </row>
    <row r="187" spans="2:11" s="1259" customFormat="1" ht="13.5" hidden="1" customHeight="1" outlineLevel="1">
      <c r="B187" s="968" t="s">
        <v>2557</v>
      </c>
      <c r="C187" s="967">
        <v>329000</v>
      </c>
      <c r="D187" s="967" t="s">
        <v>2236</v>
      </c>
      <c r="E187" s="967">
        <v>20630</v>
      </c>
      <c r="F187" s="967">
        <v>6834324000</v>
      </c>
      <c r="G187" s="967">
        <v>328500</v>
      </c>
      <c r="H187" s="967">
        <v>334500</v>
      </c>
      <c r="I187" s="967">
        <v>328500</v>
      </c>
      <c r="J187" s="967">
        <v>3239065</v>
      </c>
      <c r="K187" s="967">
        <v>9845181</v>
      </c>
    </row>
    <row r="188" spans="2:11" s="1259" customFormat="1" ht="13.5" hidden="1" customHeight="1" outlineLevel="1">
      <c r="B188" s="968" t="s">
        <v>2555</v>
      </c>
      <c r="C188" s="967">
        <v>328000</v>
      </c>
      <c r="D188" s="967" t="s">
        <v>2278</v>
      </c>
      <c r="E188" s="967">
        <v>25148</v>
      </c>
      <c r="F188" s="967">
        <v>8293494000</v>
      </c>
      <c r="G188" s="967">
        <v>330000</v>
      </c>
      <c r="H188" s="967">
        <v>333500</v>
      </c>
      <c r="I188" s="967">
        <v>327500</v>
      </c>
      <c r="J188" s="967">
        <v>3229219</v>
      </c>
      <c r="K188" s="967">
        <v>9845181</v>
      </c>
    </row>
    <row r="189" spans="2:11" s="1259" customFormat="1" ht="13.5" hidden="1" customHeight="1" outlineLevel="1">
      <c r="B189" s="968" t="s">
        <v>2554</v>
      </c>
      <c r="C189" s="967">
        <v>331000</v>
      </c>
      <c r="D189" s="967" t="s">
        <v>2275</v>
      </c>
      <c r="E189" s="967">
        <v>26149</v>
      </c>
      <c r="F189" s="967">
        <v>8660718000</v>
      </c>
      <c r="G189" s="967">
        <v>333000</v>
      </c>
      <c r="H189" s="967">
        <v>333500</v>
      </c>
      <c r="I189" s="967">
        <v>328500</v>
      </c>
      <c r="J189" s="967">
        <v>3258755</v>
      </c>
      <c r="K189" s="967">
        <v>9845181</v>
      </c>
    </row>
    <row r="190" spans="2:11" s="1259" customFormat="1" ht="13.5" hidden="1" customHeight="1" outlineLevel="1">
      <c r="B190" s="968" t="s">
        <v>2552</v>
      </c>
      <c r="C190" s="967">
        <v>336000</v>
      </c>
      <c r="D190" s="967" t="s">
        <v>2236</v>
      </c>
      <c r="E190" s="967">
        <v>26499</v>
      </c>
      <c r="F190" s="967">
        <v>8876038000</v>
      </c>
      <c r="G190" s="967">
        <v>333500</v>
      </c>
      <c r="H190" s="967">
        <v>339500</v>
      </c>
      <c r="I190" s="967">
        <v>330500</v>
      </c>
      <c r="J190" s="967">
        <v>3307981</v>
      </c>
      <c r="K190" s="967">
        <v>9845181</v>
      </c>
    </row>
    <row r="191" spans="2:11" s="1259" customFormat="1" ht="13.5" hidden="1" customHeight="1" outlineLevel="1">
      <c r="B191" s="968" t="s">
        <v>2550</v>
      </c>
      <c r="C191" s="967">
        <v>335000</v>
      </c>
      <c r="D191" s="967" t="s">
        <v>2242</v>
      </c>
      <c r="E191" s="967">
        <v>19923</v>
      </c>
      <c r="F191" s="967">
        <v>6712340500</v>
      </c>
      <c r="G191" s="967">
        <v>335500</v>
      </c>
      <c r="H191" s="967">
        <v>343500</v>
      </c>
      <c r="I191" s="967">
        <v>335000</v>
      </c>
      <c r="J191" s="967">
        <v>3298136</v>
      </c>
      <c r="K191" s="967">
        <v>9845181</v>
      </c>
    </row>
    <row r="192" spans="2:11" s="1259" customFormat="1" ht="13.5" hidden="1" customHeight="1" outlineLevel="1">
      <c r="B192" s="968" t="s">
        <v>2549</v>
      </c>
      <c r="C192" s="967">
        <v>337000</v>
      </c>
      <c r="D192" s="967" t="s">
        <v>2676</v>
      </c>
      <c r="E192" s="967">
        <v>14158</v>
      </c>
      <c r="F192" s="967">
        <v>4789530500</v>
      </c>
      <c r="G192" s="967">
        <v>341500</v>
      </c>
      <c r="H192" s="967">
        <v>341500</v>
      </c>
      <c r="I192" s="967">
        <v>337000</v>
      </c>
      <c r="J192" s="967">
        <v>3317826</v>
      </c>
      <c r="K192" s="967">
        <v>9845181</v>
      </c>
    </row>
    <row r="193" spans="2:11" s="1259" customFormat="1" ht="13.5" hidden="1" customHeight="1" outlineLevel="1">
      <c r="B193" s="968" t="s">
        <v>2548</v>
      </c>
      <c r="C193" s="967">
        <v>344500</v>
      </c>
      <c r="D193" s="967" t="s">
        <v>2275</v>
      </c>
      <c r="E193" s="967">
        <v>26112</v>
      </c>
      <c r="F193" s="967">
        <v>9001264500</v>
      </c>
      <c r="G193" s="967">
        <v>347500</v>
      </c>
      <c r="H193" s="967">
        <v>351000</v>
      </c>
      <c r="I193" s="967">
        <v>341500</v>
      </c>
      <c r="J193" s="967">
        <v>3391665</v>
      </c>
      <c r="K193" s="967">
        <v>9845181</v>
      </c>
    </row>
    <row r="194" spans="2:11" s="1259" customFormat="1" ht="13.5" hidden="1" customHeight="1" outlineLevel="1">
      <c r="B194" s="968" t="s">
        <v>2546</v>
      </c>
      <c r="C194" s="967">
        <v>349500</v>
      </c>
      <c r="D194" s="967" t="s">
        <v>2245</v>
      </c>
      <c r="E194" s="967">
        <v>25688</v>
      </c>
      <c r="F194" s="967">
        <v>8966335500</v>
      </c>
      <c r="G194" s="967">
        <v>349500</v>
      </c>
      <c r="H194" s="967">
        <v>350000</v>
      </c>
      <c r="I194" s="967">
        <v>346000</v>
      </c>
      <c r="J194" s="967">
        <v>3440891</v>
      </c>
      <c r="K194" s="967">
        <v>9845181</v>
      </c>
    </row>
    <row r="195" spans="2:11" s="1259" customFormat="1" ht="13.5" hidden="1" customHeight="1" outlineLevel="1">
      <c r="B195" s="968" t="s">
        <v>2545</v>
      </c>
      <c r="C195" s="967">
        <v>348000</v>
      </c>
      <c r="D195" s="967" t="s">
        <v>2220</v>
      </c>
      <c r="E195" s="967">
        <v>42546</v>
      </c>
      <c r="F195" s="967">
        <v>14790841000</v>
      </c>
      <c r="G195" s="967">
        <v>345000</v>
      </c>
      <c r="H195" s="967">
        <v>349000</v>
      </c>
      <c r="I195" s="967">
        <v>345000</v>
      </c>
      <c r="J195" s="967">
        <v>3426123</v>
      </c>
      <c r="K195" s="967">
        <v>9845181</v>
      </c>
    </row>
    <row r="196" spans="2:11" s="1259" customFormat="1" ht="13.5" hidden="1" customHeight="1" outlineLevel="1">
      <c r="B196" s="968" t="s">
        <v>2544</v>
      </c>
      <c r="C196" s="967">
        <v>345500</v>
      </c>
      <c r="D196" s="967" t="s">
        <v>2235</v>
      </c>
      <c r="E196" s="967">
        <v>25552</v>
      </c>
      <c r="F196" s="967">
        <v>8829586500</v>
      </c>
      <c r="G196" s="967">
        <v>348000</v>
      </c>
      <c r="H196" s="967">
        <v>348000</v>
      </c>
      <c r="I196" s="967">
        <v>343500</v>
      </c>
      <c r="J196" s="967">
        <v>3401510</v>
      </c>
      <c r="K196" s="967">
        <v>9845181</v>
      </c>
    </row>
    <row r="197" spans="2:11" s="1259" customFormat="1" ht="13.5" hidden="1" customHeight="1" outlineLevel="1">
      <c r="B197" s="968" t="s">
        <v>2543</v>
      </c>
      <c r="C197" s="967">
        <v>348000</v>
      </c>
      <c r="D197" s="967" t="s">
        <v>2774</v>
      </c>
      <c r="E197" s="967">
        <v>34998</v>
      </c>
      <c r="F197" s="967">
        <v>12196146500</v>
      </c>
      <c r="G197" s="967">
        <v>355000</v>
      </c>
      <c r="H197" s="967">
        <v>355500</v>
      </c>
      <c r="I197" s="967">
        <v>346000</v>
      </c>
      <c r="J197" s="967">
        <v>3426123</v>
      </c>
      <c r="K197" s="967">
        <v>9845181</v>
      </c>
    </row>
    <row r="198" spans="2:11" s="1259" customFormat="1" ht="13.5" hidden="1" customHeight="1" outlineLevel="1">
      <c r="B198" s="968" t="s">
        <v>2541</v>
      </c>
      <c r="C198" s="967">
        <v>353500</v>
      </c>
      <c r="D198" s="967" t="s">
        <v>2273</v>
      </c>
      <c r="E198" s="967">
        <v>42784</v>
      </c>
      <c r="F198" s="967">
        <v>15114996000</v>
      </c>
      <c r="G198" s="967">
        <v>350000</v>
      </c>
      <c r="H198" s="967">
        <v>355000</v>
      </c>
      <c r="I198" s="967">
        <v>348500</v>
      </c>
      <c r="J198" s="967">
        <v>3480271</v>
      </c>
      <c r="K198" s="967">
        <v>9845181</v>
      </c>
    </row>
    <row r="199" spans="2:11" s="1259" customFormat="1" ht="13.5" hidden="1" customHeight="1" outlineLevel="1">
      <c r="B199" s="968" t="s">
        <v>2540</v>
      </c>
      <c r="C199" s="967">
        <v>348000</v>
      </c>
      <c r="D199" s="967" t="s">
        <v>2244</v>
      </c>
      <c r="E199" s="967">
        <v>49754</v>
      </c>
      <c r="F199" s="967">
        <v>17294773000</v>
      </c>
      <c r="G199" s="967">
        <v>355000</v>
      </c>
      <c r="H199" s="967">
        <v>355500</v>
      </c>
      <c r="I199" s="967">
        <v>343500</v>
      </c>
      <c r="J199" s="967">
        <v>3426123</v>
      </c>
      <c r="K199" s="967">
        <v>9845181</v>
      </c>
    </row>
    <row r="200" spans="2:11" s="1259" customFormat="1" ht="13.5" hidden="1" customHeight="1" outlineLevel="1">
      <c r="B200" s="968" t="s">
        <v>2539</v>
      </c>
      <c r="C200" s="967">
        <v>349500</v>
      </c>
      <c r="D200" s="967" t="s">
        <v>2669</v>
      </c>
      <c r="E200" s="967">
        <v>47344</v>
      </c>
      <c r="F200" s="967">
        <v>16518757500</v>
      </c>
      <c r="G200" s="967">
        <v>348000</v>
      </c>
      <c r="H200" s="967">
        <v>350500</v>
      </c>
      <c r="I200" s="967">
        <v>344500</v>
      </c>
      <c r="J200" s="967">
        <v>3440891</v>
      </c>
      <c r="K200" s="967">
        <v>9845181</v>
      </c>
    </row>
    <row r="201" spans="2:11" s="1259" customFormat="1" ht="13.5" hidden="1" customHeight="1" outlineLevel="1">
      <c r="B201" s="968" t="s">
        <v>2538</v>
      </c>
      <c r="C201" s="967">
        <v>343500</v>
      </c>
      <c r="D201" s="967" t="s">
        <v>2276</v>
      </c>
      <c r="E201" s="967">
        <v>18359</v>
      </c>
      <c r="F201" s="967">
        <v>6344654000</v>
      </c>
      <c r="G201" s="967">
        <v>347500</v>
      </c>
      <c r="H201" s="967">
        <v>349000</v>
      </c>
      <c r="I201" s="967">
        <v>343500</v>
      </c>
      <c r="J201" s="967">
        <v>3381820</v>
      </c>
      <c r="K201" s="967">
        <v>9845181</v>
      </c>
    </row>
    <row r="202" spans="2:11" s="1259" customFormat="1" ht="13.5" hidden="1" customHeight="1" outlineLevel="1">
      <c r="B202" s="968" t="s">
        <v>2537</v>
      </c>
      <c r="C202" s="967">
        <v>347500</v>
      </c>
      <c r="D202" s="967" t="s">
        <v>1814</v>
      </c>
      <c r="E202" s="967">
        <v>22423</v>
      </c>
      <c r="F202" s="967">
        <v>7788313500</v>
      </c>
      <c r="G202" s="967">
        <v>345000</v>
      </c>
      <c r="H202" s="967">
        <v>348500</v>
      </c>
      <c r="I202" s="967">
        <v>343500</v>
      </c>
      <c r="J202" s="967">
        <v>3421200</v>
      </c>
      <c r="K202" s="967">
        <v>9845181</v>
      </c>
    </row>
    <row r="203" spans="2:11" s="1259" customFormat="1" ht="13.5" hidden="1" customHeight="1" outlineLevel="1">
      <c r="B203" s="968" t="s">
        <v>2536</v>
      </c>
      <c r="C203" s="967">
        <v>348000</v>
      </c>
      <c r="D203" s="967" t="s">
        <v>2221</v>
      </c>
      <c r="E203" s="967">
        <v>19765</v>
      </c>
      <c r="F203" s="967">
        <v>6867929000</v>
      </c>
      <c r="G203" s="967">
        <v>346500</v>
      </c>
      <c r="H203" s="967">
        <v>349000</v>
      </c>
      <c r="I203" s="967">
        <v>343500</v>
      </c>
      <c r="J203" s="967">
        <v>3426123</v>
      </c>
      <c r="K203" s="967">
        <v>9845181</v>
      </c>
    </row>
    <row r="204" spans="2:11" s="1259" customFormat="1" ht="13.5" hidden="1" customHeight="1" outlineLevel="1">
      <c r="B204" s="968" t="s">
        <v>2535</v>
      </c>
      <c r="C204" s="967">
        <v>348000</v>
      </c>
      <c r="D204" s="967" t="s">
        <v>2775</v>
      </c>
      <c r="E204" s="967">
        <v>50823</v>
      </c>
      <c r="F204" s="967">
        <v>17649150500</v>
      </c>
      <c r="G204" s="967">
        <v>338000</v>
      </c>
      <c r="H204" s="967">
        <v>348500</v>
      </c>
      <c r="I204" s="967">
        <v>338000</v>
      </c>
      <c r="J204" s="967">
        <v>3426123</v>
      </c>
      <c r="K204" s="967">
        <v>9845181</v>
      </c>
    </row>
    <row r="205" spans="2:11" s="1259" customFormat="1" ht="13.5" hidden="1" customHeight="1" outlineLevel="1">
      <c r="B205" s="968" t="s">
        <v>2534</v>
      </c>
      <c r="C205" s="967">
        <v>339000</v>
      </c>
      <c r="D205" s="967" t="s">
        <v>2276</v>
      </c>
      <c r="E205" s="967">
        <v>17739</v>
      </c>
      <c r="F205" s="967">
        <v>6042534500</v>
      </c>
      <c r="G205" s="967">
        <v>344000</v>
      </c>
      <c r="H205" s="967">
        <v>345000</v>
      </c>
      <c r="I205" s="967">
        <v>338000</v>
      </c>
      <c r="J205" s="967">
        <v>3337516</v>
      </c>
      <c r="K205" s="967">
        <v>9845181</v>
      </c>
    </row>
    <row r="206" spans="2:11" s="1259" customFormat="1" ht="13.5" hidden="1" customHeight="1" outlineLevel="1">
      <c r="B206" s="968" t="s">
        <v>2533</v>
      </c>
      <c r="C206" s="967">
        <v>343000</v>
      </c>
      <c r="D206" s="967" t="s">
        <v>2663</v>
      </c>
      <c r="E206" s="967">
        <v>28437</v>
      </c>
      <c r="F206" s="967">
        <v>9705293198</v>
      </c>
      <c r="G206" s="967">
        <v>335500</v>
      </c>
      <c r="H206" s="967">
        <v>343500</v>
      </c>
      <c r="I206" s="967">
        <v>334500</v>
      </c>
      <c r="J206" s="967">
        <v>3376897</v>
      </c>
      <c r="K206" s="967">
        <v>9845181</v>
      </c>
    </row>
    <row r="207" spans="2:11" s="1259" customFormat="1" ht="13.5" hidden="1" customHeight="1" outlineLevel="1">
      <c r="B207" s="968" t="s">
        <v>2532</v>
      </c>
      <c r="C207" s="967">
        <v>336000</v>
      </c>
      <c r="D207" s="967" t="s">
        <v>2221</v>
      </c>
      <c r="E207" s="967">
        <v>21817</v>
      </c>
      <c r="F207" s="967">
        <v>7276865000</v>
      </c>
      <c r="G207" s="967">
        <v>337000</v>
      </c>
      <c r="H207" s="967">
        <v>338000</v>
      </c>
      <c r="I207" s="967">
        <v>331500</v>
      </c>
      <c r="J207" s="967">
        <v>3307981</v>
      </c>
      <c r="K207" s="967">
        <v>9845181</v>
      </c>
    </row>
    <row r="208" spans="2:11" s="1259" customFormat="1" ht="13.5" hidden="1" customHeight="1" outlineLevel="1">
      <c r="B208" s="968" t="s">
        <v>2531</v>
      </c>
      <c r="C208" s="967">
        <v>336000</v>
      </c>
      <c r="D208" s="967" t="s">
        <v>2274</v>
      </c>
      <c r="E208" s="967">
        <v>22451</v>
      </c>
      <c r="F208" s="967">
        <v>7666638000</v>
      </c>
      <c r="G208" s="967">
        <v>347500</v>
      </c>
      <c r="H208" s="967">
        <v>347500</v>
      </c>
      <c r="I208" s="967">
        <v>335500</v>
      </c>
      <c r="J208" s="967">
        <v>3307981</v>
      </c>
      <c r="K208" s="967">
        <v>9845181</v>
      </c>
    </row>
    <row r="209" spans="2:11" s="1259" customFormat="1" ht="13.5" hidden="1" customHeight="1" outlineLevel="1">
      <c r="B209" s="968" t="s">
        <v>2530</v>
      </c>
      <c r="C209" s="967">
        <v>339500</v>
      </c>
      <c r="D209" s="967" t="s">
        <v>2795</v>
      </c>
      <c r="E209" s="967">
        <v>45558</v>
      </c>
      <c r="F209" s="967">
        <v>15220240500</v>
      </c>
      <c r="G209" s="967">
        <v>328000</v>
      </c>
      <c r="H209" s="967">
        <v>340000</v>
      </c>
      <c r="I209" s="967">
        <v>321000</v>
      </c>
      <c r="J209" s="967">
        <v>3342439</v>
      </c>
      <c r="K209" s="967">
        <v>9845181</v>
      </c>
    </row>
    <row r="210" spans="2:11" s="1259" customFormat="1" ht="13.5" hidden="1" customHeight="1" outlineLevel="1">
      <c r="B210" s="968" t="s">
        <v>2528</v>
      </c>
      <c r="C210" s="967">
        <v>326000</v>
      </c>
      <c r="D210" s="967" t="s">
        <v>2221</v>
      </c>
      <c r="E210" s="967">
        <v>48734</v>
      </c>
      <c r="F210" s="967">
        <v>16133133500</v>
      </c>
      <c r="G210" s="967">
        <v>329500</v>
      </c>
      <c r="H210" s="967">
        <v>336000</v>
      </c>
      <c r="I210" s="967">
        <v>326000</v>
      </c>
      <c r="J210" s="967">
        <v>3209529</v>
      </c>
      <c r="K210" s="967">
        <v>9845181</v>
      </c>
    </row>
    <row r="211" spans="2:11" s="1259" customFormat="1" ht="13.5" hidden="1" customHeight="1" outlineLevel="1">
      <c r="B211" s="968" t="s">
        <v>2527</v>
      </c>
      <c r="C211" s="967">
        <v>326000</v>
      </c>
      <c r="D211" s="967" t="s">
        <v>2277</v>
      </c>
      <c r="E211" s="967">
        <v>34306</v>
      </c>
      <c r="F211" s="967">
        <v>11188609000</v>
      </c>
      <c r="G211" s="967">
        <v>324000</v>
      </c>
      <c r="H211" s="967">
        <v>328000</v>
      </c>
      <c r="I211" s="967">
        <v>324000</v>
      </c>
      <c r="J211" s="967">
        <v>3209529</v>
      </c>
      <c r="K211" s="967">
        <v>9845181</v>
      </c>
    </row>
    <row r="212" spans="2:11" s="1259" customFormat="1" ht="13.5" hidden="1" customHeight="1" outlineLevel="1">
      <c r="B212" s="968" t="s">
        <v>2525</v>
      </c>
      <c r="C212" s="967">
        <v>323000</v>
      </c>
      <c r="D212" s="967" t="s">
        <v>2221</v>
      </c>
      <c r="E212" s="967">
        <v>48083</v>
      </c>
      <c r="F212" s="967">
        <v>15470819500</v>
      </c>
      <c r="G212" s="967">
        <v>323500</v>
      </c>
      <c r="H212" s="967">
        <v>323500</v>
      </c>
      <c r="I212" s="967">
        <v>319000</v>
      </c>
      <c r="J212" s="967">
        <v>3179993</v>
      </c>
      <c r="K212" s="967">
        <v>9845181</v>
      </c>
    </row>
    <row r="213" spans="2:11" s="1259" customFormat="1" ht="13.5" hidden="1" customHeight="1" outlineLevel="1">
      <c r="B213" s="968" t="s">
        <v>2524</v>
      </c>
      <c r="C213" s="967">
        <v>323000</v>
      </c>
      <c r="D213" s="967" t="s">
        <v>2673</v>
      </c>
      <c r="E213" s="967">
        <v>81955</v>
      </c>
      <c r="F213" s="967">
        <v>26411645000</v>
      </c>
      <c r="G213" s="967">
        <v>314500</v>
      </c>
      <c r="H213" s="967">
        <v>325500</v>
      </c>
      <c r="I213" s="967">
        <v>313500</v>
      </c>
      <c r="J213" s="967">
        <v>3179993</v>
      </c>
      <c r="K213" s="967">
        <v>9845181</v>
      </c>
    </row>
    <row r="214" spans="2:11" s="1259" customFormat="1" ht="13.5" hidden="1" customHeight="1" outlineLevel="1">
      <c r="B214" s="968" t="s">
        <v>2523</v>
      </c>
      <c r="C214" s="967">
        <v>316500</v>
      </c>
      <c r="D214" s="967" t="s">
        <v>2774</v>
      </c>
      <c r="E214" s="967">
        <v>76183</v>
      </c>
      <c r="F214" s="967">
        <v>24551054163</v>
      </c>
      <c r="G214" s="967">
        <v>324000</v>
      </c>
      <c r="H214" s="967">
        <v>326000</v>
      </c>
      <c r="I214" s="967">
        <v>316500</v>
      </c>
      <c r="J214" s="967">
        <v>3116000</v>
      </c>
      <c r="K214" s="967">
        <v>9845181</v>
      </c>
    </row>
    <row r="215" spans="2:11" s="1259" customFormat="1" ht="13.5" hidden="1" customHeight="1" outlineLevel="1">
      <c r="B215" s="968" t="s">
        <v>2522</v>
      </c>
      <c r="C215" s="967">
        <v>322000</v>
      </c>
      <c r="D215" s="967" t="s">
        <v>2277</v>
      </c>
      <c r="E215" s="967">
        <v>50843</v>
      </c>
      <c r="F215" s="967">
        <v>16365597500</v>
      </c>
      <c r="G215" s="967">
        <v>321500</v>
      </c>
      <c r="H215" s="967">
        <v>326500</v>
      </c>
      <c r="I215" s="967">
        <v>319500</v>
      </c>
      <c r="J215" s="967">
        <v>3170148</v>
      </c>
      <c r="K215" s="967">
        <v>9845181</v>
      </c>
    </row>
    <row r="216" spans="2:11" s="1259" customFormat="1" ht="13.5" hidden="1" customHeight="1" outlineLevel="1">
      <c r="B216" s="968" t="s">
        <v>2521</v>
      </c>
      <c r="C216" s="967">
        <v>319000</v>
      </c>
      <c r="D216" s="967" t="s">
        <v>2276</v>
      </c>
      <c r="E216" s="967">
        <v>56721</v>
      </c>
      <c r="F216" s="967">
        <v>17963506500</v>
      </c>
      <c r="G216" s="967">
        <v>320500</v>
      </c>
      <c r="H216" s="967">
        <v>325000</v>
      </c>
      <c r="I216" s="967">
        <v>311500</v>
      </c>
      <c r="J216" s="967">
        <v>3140613</v>
      </c>
      <c r="K216" s="967">
        <v>9845181</v>
      </c>
    </row>
    <row r="217" spans="2:11" s="1259" customFormat="1" ht="13.5" hidden="1" customHeight="1" outlineLevel="1">
      <c r="B217" s="968" t="s">
        <v>2520</v>
      </c>
      <c r="C217" s="967">
        <v>323000</v>
      </c>
      <c r="D217" s="967" t="s">
        <v>2803</v>
      </c>
      <c r="E217" s="967">
        <v>57285</v>
      </c>
      <c r="F217" s="967">
        <v>18613226500</v>
      </c>
      <c r="G217" s="967">
        <v>331500</v>
      </c>
      <c r="H217" s="967">
        <v>333000</v>
      </c>
      <c r="I217" s="967">
        <v>321000</v>
      </c>
      <c r="J217" s="967">
        <v>3179993</v>
      </c>
      <c r="K217" s="967">
        <v>9845181</v>
      </c>
    </row>
    <row r="218" spans="2:11" s="1259" customFormat="1" ht="13.5" hidden="1" customHeight="1" outlineLevel="1">
      <c r="B218" s="968" t="s">
        <v>2519</v>
      </c>
      <c r="C218" s="967">
        <v>342000</v>
      </c>
      <c r="D218" s="967" t="s">
        <v>2670</v>
      </c>
      <c r="E218" s="967">
        <v>50664</v>
      </c>
      <c r="F218" s="967">
        <v>17223057500</v>
      </c>
      <c r="G218" s="967">
        <v>341000</v>
      </c>
      <c r="H218" s="967">
        <v>343500</v>
      </c>
      <c r="I218" s="967">
        <v>333500</v>
      </c>
      <c r="J218" s="967">
        <v>3367052</v>
      </c>
      <c r="K218" s="967">
        <v>9845181</v>
      </c>
    </row>
    <row r="219" spans="2:11" s="1259" customFormat="1" ht="13.5" hidden="1" customHeight="1" outlineLevel="1">
      <c r="B219" s="968" t="s">
        <v>2517</v>
      </c>
      <c r="C219" s="967">
        <v>337000</v>
      </c>
      <c r="D219" s="967" t="s">
        <v>2278</v>
      </c>
      <c r="E219" s="967">
        <v>129486</v>
      </c>
      <c r="F219" s="967">
        <v>44606262000</v>
      </c>
      <c r="G219" s="967">
        <v>340000</v>
      </c>
      <c r="H219" s="967">
        <v>350000</v>
      </c>
      <c r="I219" s="967">
        <v>335500</v>
      </c>
      <c r="J219" s="967">
        <v>3317826</v>
      </c>
      <c r="K219" s="967">
        <v>9845181</v>
      </c>
    </row>
    <row r="220" spans="2:11" s="1259" customFormat="1" ht="13.5" hidden="1" customHeight="1" outlineLevel="1">
      <c r="B220" s="968" t="s">
        <v>2516</v>
      </c>
      <c r="C220" s="967">
        <v>340000</v>
      </c>
      <c r="D220" s="967" t="s">
        <v>2813</v>
      </c>
      <c r="E220" s="967">
        <v>144077</v>
      </c>
      <c r="F220" s="967">
        <v>49313594000</v>
      </c>
      <c r="G220" s="967">
        <v>349000</v>
      </c>
      <c r="H220" s="967">
        <v>353000</v>
      </c>
      <c r="I220" s="967">
        <v>336500</v>
      </c>
      <c r="J220" s="967">
        <v>3347362</v>
      </c>
      <c r="K220" s="967">
        <v>9845181</v>
      </c>
    </row>
    <row r="221" spans="2:11" s="1259" customFormat="1" ht="13.5" hidden="1" customHeight="1" outlineLevel="1">
      <c r="B221" s="968" t="s">
        <v>2515</v>
      </c>
      <c r="C221" s="967">
        <v>349000</v>
      </c>
      <c r="D221" s="967" t="s">
        <v>2817</v>
      </c>
      <c r="E221" s="967">
        <v>182827</v>
      </c>
      <c r="F221" s="967">
        <v>64628515500</v>
      </c>
      <c r="G221" s="967">
        <v>367000</v>
      </c>
      <c r="H221" s="967">
        <v>367500</v>
      </c>
      <c r="I221" s="967">
        <v>347000</v>
      </c>
      <c r="J221" s="967">
        <v>3435968</v>
      </c>
      <c r="K221" s="967">
        <v>9845181</v>
      </c>
    </row>
    <row r="222" spans="2:11" s="1259" customFormat="1" ht="13.5" hidden="1" customHeight="1" outlineLevel="1">
      <c r="B222" s="968" t="s">
        <v>2514</v>
      </c>
      <c r="C222" s="967">
        <v>366500</v>
      </c>
      <c r="D222" s="967" t="s">
        <v>2829</v>
      </c>
      <c r="E222" s="967">
        <v>174250</v>
      </c>
      <c r="F222" s="967">
        <v>66512851500</v>
      </c>
      <c r="G222" s="967">
        <v>406500</v>
      </c>
      <c r="H222" s="967">
        <v>407500</v>
      </c>
      <c r="I222" s="967">
        <v>366500</v>
      </c>
      <c r="J222" s="967">
        <v>3608259</v>
      </c>
      <c r="K222" s="967">
        <v>9845181</v>
      </c>
    </row>
    <row r="223" spans="2:11" s="1259" customFormat="1" ht="13.5" hidden="1" customHeight="1" outlineLevel="1">
      <c r="B223" s="968" t="s">
        <v>2513</v>
      </c>
      <c r="C223" s="967">
        <v>407500</v>
      </c>
      <c r="D223" s="967" t="s">
        <v>2828</v>
      </c>
      <c r="E223" s="967">
        <v>322652</v>
      </c>
      <c r="F223" s="967">
        <v>119718793000</v>
      </c>
      <c r="G223" s="967">
        <v>354500</v>
      </c>
      <c r="H223" s="967">
        <v>407500</v>
      </c>
      <c r="I223" s="967">
        <v>349000</v>
      </c>
      <c r="J223" s="967">
        <v>4011911</v>
      </c>
      <c r="K223" s="967">
        <v>9845181</v>
      </c>
    </row>
    <row r="224" spans="2:11" s="1259" customFormat="1" ht="13.5" hidden="1" customHeight="1" outlineLevel="1">
      <c r="B224" s="966" t="s">
        <v>2512</v>
      </c>
      <c r="C224" s="965">
        <v>270000</v>
      </c>
      <c r="D224" s="965" t="s">
        <v>2221</v>
      </c>
      <c r="E224" s="965" t="s">
        <v>2221</v>
      </c>
      <c r="F224" s="965" t="s">
        <v>2221</v>
      </c>
      <c r="G224" s="965" t="s">
        <v>2221</v>
      </c>
      <c r="H224" s="965" t="s">
        <v>2221</v>
      </c>
      <c r="I224" s="965" t="s">
        <v>2221</v>
      </c>
      <c r="J224" s="965">
        <v>10184670</v>
      </c>
      <c r="K224" s="965">
        <v>37721000</v>
      </c>
    </row>
    <row r="225" spans="2:11" s="1259" customFormat="1" ht="13.5" hidden="1" customHeight="1" outlineLevel="1">
      <c r="B225" s="966" t="s">
        <v>2511</v>
      </c>
      <c r="C225" s="965">
        <v>270000</v>
      </c>
      <c r="D225" s="965" t="s">
        <v>2221</v>
      </c>
      <c r="E225" s="965" t="s">
        <v>2221</v>
      </c>
      <c r="F225" s="965" t="s">
        <v>2221</v>
      </c>
      <c r="G225" s="965" t="s">
        <v>2221</v>
      </c>
      <c r="H225" s="965" t="s">
        <v>2221</v>
      </c>
      <c r="I225" s="965" t="s">
        <v>2221</v>
      </c>
      <c r="J225" s="965">
        <v>10184670</v>
      </c>
      <c r="K225" s="965">
        <v>37721000</v>
      </c>
    </row>
    <row r="226" spans="2:11" s="1259" customFormat="1" ht="13.5" hidden="1" customHeight="1" outlineLevel="1">
      <c r="B226" s="966" t="s">
        <v>2510</v>
      </c>
      <c r="C226" s="965">
        <v>270000</v>
      </c>
      <c r="D226" s="965" t="s">
        <v>2221</v>
      </c>
      <c r="E226" s="965" t="s">
        <v>2221</v>
      </c>
      <c r="F226" s="965" t="s">
        <v>2221</v>
      </c>
      <c r="G226" s="965" t="s">
        <v>2221</v>
      </c>
      <c r="H226" s="965" t="s">
        <v>2221</v>
      </c>
      <c r="I226" s="965" t="s">
        <v>2221</v>
      </c>
      <c r="J226" s="965">
        <v>10184670</v>
      </c>
      <c r="K226" s="965">
        <v>37721000</v>
      </c>
    </row>
    <row r="227" spans="2:11" s="1259" customFormat="1" ht="13.5" hidden="1" customHeight="1" outlineLevel="1">
      <c r="B227" s="966" t="s">
        <v>2509</v>
      </c>
      <c r="C227" s="965">
        <v>270000</v>
      </c>
      <c r="D227" s="965" t="s">
        <v>2221</v>
      </c>
      <c r="E227" s="965" t="s">
        <v>2221</v>
      </c>
      <c r="F227" s="965" t="s">
        <v>2221</v>
      </c>
      <c r="G227" s="965" t="s">
        <v>2221</v>
      </c>
      <c r="H227" s="965" t="s">
        <v>2221</v>
      </c>
      <c r="I227" s="965" t="s">
        <v>2221</v>
      </c>
      <c r="J227" s="965">
        <v>10184670</v>
      </c>
      <c r="K227" s="965">
        <v>37721000</v>
      </c>
    </row>
    <row r="228" spans="2:11" s="1259" customFormat="1" ht="13.5" hidden="1" customHeight="1" outlineLevel="1">
      <c r="B228" s="966" t="s">
        <v>2508</v>
      </c>
      <c r="C228" s="965">
        <v>270000</v>
      </c>
      <c r="D228" s="965" t="s">
        <v>2221</v>
      </c>
      <c r="E228" s="965" t="s">
        <v>2221</v>
      </c>
      <c r="F228" s="965" t="s">
        <v>2221</v>
      </c>
      <c r="G228" s="965" t="s">
        <v>2221</v>
      </c>
      <c r="H228" s="965" t="s">
        <v>2221</v>
      </c>
      <c r="I228" s="965" t="s">
        <v>2221</v>
      </c>
      <c r="J228" s="965">
        <v>10184670</v>
      </c>
      <c r="K228" s="965">
        <v>37721000</v>
      </c>
    </row>
    <row r="229" spans="2:11" s="1259" customFormat="1" ht="13.5" hidden="1" customHeight="1" outlineLevel="1">
      <c r="B229" s="966" t="s">
        <v>2507</v>
      </c>
      <c r="C229" s="965">
        <v>270000</v>
      </c>
      <c r="D229" s="965" t="s">
        <v>2221</v>
      </c>
      <c r="E229" s="965" t="s">
        <v>2221</v>
      </c>
      <c r="F229" s="965" t="s">
        <v>2221</v>
      </c>
      <c r="G229" s="965" t="s">
        <v>2221</v>
      </c>
      <c r="H229" s="965" t="s">
        <v>2221</v>
      </c>
      <c r="I229" s="965" t="s">
        <v>2221</v>
      </c>
      <c r="J229" s="965">
        <v>10184670</v>
      </c>
      <c r="K229" s="965">
        <v>37721000</v>
      </c>
    </row>
    <row r="230" spans="2:11" s="1259" customFormat="1" ht="13.5" hidden="1" customHeight="1" outlineLevel="1">
      <c r="B230" s="966" t="s">
        <v>2506</v>
      </c>
      <c r="C230" s="965">
        <v>270000</v>
      </c>
      <c r="D230" s="965" t="s">
        <v>2221</v>
      </c>
      <c r="E230" s="965" t="s">
        <v>2221</v>
      </c>
      <c r="F230" s="965" t="s">
        <v>2221</v>
      </c>
      <c r="G230" s="965" t="s">
        <v>2221</v>
      </c>
      <c r="H230" s="965" t="s">
        <v>2221</v>
      </c>
      <c r="I230" s="965" t="s">
        <v>2221</v>
      </c>
      <c r="J230" s="965">
        <v>10184670</v>
      </c>
      <c r="K230" s="965">
        <v>37721000</v>
      </c>
    </row>
    <row r="231" spans="2:11" s="1259" customFormat="1" ht="13.5" hidden="1" customHeight="1" outlineLevel="1">
      <c r="B231" s="966" t="s">
        <v>2504</v>
      </c>
      <c r="C231" s="965">
        <v>270000</v>
      </c>
      <c r="D231" s="965" t="s">
        <v>2221</v>
      </c>
      <c r="E231" s="965" t="s">
        <v>2221</v>
      </c>
      <c r="F231" s="965" t="s">
        <v>2221</v>
      </c>
      <c r="G231" s="965" t="s">
        <v>2221</v>
      </c>
      <c r="H231" s="965" t="s">
        <v>2221</v>
      </c>
      <c r="I231" s="965" t="s">
        <v>2221</v>
      </c>
      <c r="J231" s="965">
        <v>10184670</v>
      </c>
      <c r="K231" s="965">
        <v>37721000</v>
      </c>
    </row>
    <row r="232" spans="2:11" s="1259" customFormat="1" ht="13.5" hidden="1" customHeight="1" outlineLevel="1">
      <c r="B232" s="966" t="s">
        <v>2503</v>
      </c>
      <c r="C232" s="965">
        <v>270000</v>
      </c>
      <c r="D232" s="965" t="s">
        <v>2221</v>
      </c>
      <c r="E232" s="965" t="s">
        <v>2221</v>
      </c>
      <c r="F232" s="965" t="s">
        <v>2221</v>
      </c>
      <c r="G232" s="965" t="s">
        <v>2221</v>
      </c>
      <c r="H232" s="965" t="s">
        <v>2221</v>
      </c>
      <c r="I232" s="965" t="s">
        <v>2221</v>
      </c>
      <c r="J232" s="965">
        <v>10184670</v>
      </c>
      <c r="K232" s="965">
        <v>37721000</v>
      </c>
    </row>
    <row r="233" spans="2:11" s="1259" customFormat="1" ht="13.5" hidden="1" customHeight="1" outlineLevel="1">
      <c r="B233" s="966" t="s">
        <v>2502</v>
      </c>
      <c r="C233" s="965">
        <v>270000</v>
      </c>
      <c r="D233" s="965" t="s">
        <v>2221</v>
      </c>
      <c r="E233" s="965" t="s">
        <v>2221</v>
      </c>
      <c r="F233" s="965" t="s">
        <v>2221</v>
      </c>
      <c r="G233" s="965" t="s">
        <v>2221</v>
      </c>
      <c r="H233" s="965" t="s">
        <v>2221</v>
      </c>
      <c r="I233" s="965" t="s">
        <v>2221</v>
      </c>
      <c r="J233" s="965">
        <v>10184670</v>
      </c>
      <c r="K233" s="965">
        <v>37721000</v>
      </c>
    </row>
    <row r="234" spans="2:11" s="1259" customFormat="1" ht="13.5" hidden="1" customHeight="1" outlineLevel="1">
      <c r="B234" s="966" t="s">
        <v>2501</v>
      </c>
      <c r="C234" s="965">
        <v>270000</v>
      </c>
      <c r="D234" s="965" t="s">
        <v>2221</v>
      </c>
      <c r="E234" s="965" t="s">
        <v>2221</v>
      </c>
      <c r="F234" s="965" t="s">
        <v>2221</v>
      </c>
      <c r="G234" s="965" t="s">
        <v>2221</v>
      </c>
      <c r="H234" s="965" t="s">
        <v>2221</v>
      </c>
      <c r="I234" s="965" t="s">
        <v>2221</v>
      </c>
      <c r="J234" s="965">
        <v>10184670</v>
      </c>
      <c r="K234" s="965">
        <v>37721000</v>
      </c>
    </row>
    <row r="235" spans="2:11" s="1259" customFormat="1" ht="13.5" hidden="1" customHeight="1" outlineLevel="1">
      <c r="B235" s="966" t="s">
        <v>2500</v>
      </c>
      <c r="C235" s="965">
        <v>270000</v>
      </c>
      <c r="D235" s="965" t="s">
        <v>2221</v>
      </c>
      <c r="E235" s="965" t="s">
        <v>2221</v>
      </c>
      <c r="F235" s="965" t="s">
        <v>2221</v>
      </c>
      <c r="G235" s="965" t="s">
        <v>2221</v>
      </c>
      <c r="H235" s="965" t="s">
        <v>2221</v>
      </c>
      <c r="I235" s="965" t="s">
        <v>2221</v>
      </c>
      <c r="J235" s="965">
        <v>10184670</v>
      </c>
      <c r="K235" s="965">
        <v>37721000</v>
      </c>
    </row>
    <row r="236" spans="2:11" s="1259" customFormat="1" ht="13.5" hidden="1" customHeight="1" outlineLevel="1">
      <c r="B236" s="966" t="s">
        <v>2499</v>
      </c>
      <c r="C236" s="965">
        <v>270000</v>
      </c>
      <c r="D236" s="965" t="s">
        <v>2221</v>
      </c>
      <c r="E236" s="965" t="s">
        <v>2221</v>
      </c>
      <c r="F236" s="965" t="s">
        <v>2221</v>
      </c>
      <c r="G236" s="965" t="s">
        <v>2221</v>
      </c>
      <c r="H236" s="965" t="s">
        <v>2221</v>
      </c>
      <c r="I236" s="965" t="s">
        <v>2221</v>
      </c>
      <c r="J236" s="965">
        <v>10184670</v>
      </c>
      <c r="K236" s="965">
        <v>37721000</v>
      </c>
    </row>
    <row r="237" spans="2:11" s="1259" customFormat="1" ht="13.5" hidden="1" customHeight="1" outlineLevel="1">
      <c r="B237" s="966" t="s">
        <v>2498</v>
      </c>
      <c r="C237" s="965">
        <v>270000</v>
      </c>
      <c r="D237" s="965" t="s">
        <v>2221</v>
      </c>
      <c r="E237" s="965" t="s">
        <v>2221</v>
      </c>
      <c r="F237" s="965" t="s">
        <v>2221</v>
      </c>
      <c r="G237" s="965" t="s">
        <v>2221</v>
      </c>
      <c r="H237" s="965" t="s">
        <v>2221</v>
      </c>
      <c r="I237" s="965" t="s">
        <v>2221</v>
      </c>
      <c r="J237" s="965">
        <v>10184670</v>
      </c>
      <c r="K237" s="965">
        <v>37721000</v>
      </c>
    </row>
    <row r="238" spans="2:11" s="1259" customFormat="1" ht="13.5" hidden="1" customHeight="1" outlineLevel="1">
      <c r="B238" s="966" t="s">
        <v>2497</v>
      </c>
      <c r="C238" s="965">
        <v>270000</v>
      </c>
      <c r="D238" s="965" t="s">
        <v>2221</v>
      </c>
      <c r="E238" s="965" t="s">
        <v>2221</v>
      </c>
      <c r="F238" s="965" t="s">
        <v>2221</v>
      </c>
      <c r="G238" s="965" t="s">
        <v>2221</v>
      </c>
      <c r="H238" s="965" t="s">
        <v>2221</v>
      </c>
      <c r="I238" s="965" t="s">
        <v>2221</v>
      </c>
      <c r="J238" s="965">
        <v>10184670</v>
      </c>
      <c r="K238" s="965">
        <v>37721000</v>
      </c>
    </row>
    <row r="239" spans="2:11" s="1259" customFormat="1" ht="13.5" hidden="1" customHeight="1" outlineLevel="1">
      <c r="B239" s="966" t="s">
        <v>2496</v>
      </c>
      <c r="C239" s="965">
        <v>270000</v>
      </c>
      <c r="D239" s="965" t="s">
        <v>2221</v>
      </c>
      <c r="E239" s="965" t="s">
        <v>2221</v>
      </c>
      <c r="F239" s="965" t="s">
        <v>2221</v>
      </c>
      <c r="G239" s="965" t="s">
        <v>2221</v>
      </c>
      <c r="H239" s="965" t="s">
        <v>2221</v>
      </c>
      <c r="I239" s="965" t="s">
        <v>2221</v>
      </c>
      <c r="J239" s="965">
        <v>10184670</v>
      </c>
      <c r="K239" s="965">
        <v>37721000</v>
      </c>
    </row>
    <row r="240" spans="2:11" s="1259" customFormat="1" ht="13.5" hidden="1" customHeight="1" outlineLevel="1">
      <c r="B240" s="966" t="s">
        <v>2495</v>
      </c>
      <c r="C240" s="965">
        <v>270000</v>
      </c>
      <c r="D240" s="965" t="s">
        <v>2221</v>
      </c>
      <c r="E240" s="965" t="s">
        <v>2221</v>
      </c>
      <c r="F240" s="965" t="s">
        <v>2221</v>
      </c>
      <c r="G240" s="965" t="s">
        <v>2221</v>
      </c>
      <c r="H240" s="965" t="s">
        <v>2221</v>
      </c>
      <c r="I240" s="965" t="s">
        <v>2221</v>
      </c>
      <c r="J240" s="965">
        <v>10184670</v>
      </c>
      <c r="K240" s="965">
        <v>37721000</v>
      </c>
    </row>
    <row r="241" spans="2:11" s="1259" customFormat="1" ht="13.5" hidden="1" customHeight="1" outlineLevel="1">
      <c r="B241" s="966" t="s">
        <v>2494</v>
      </c>
      <c r="C241" s="965">
        <v>270000</v>
      </c>
      <c r="D241" s="965" t="s">
        <v>2221</v>
      </c>
      <c r="E241" s="965" t="s">
        <v>2221</v>
      </c>
      <c r="F241" s="965" t="s">
        <v>2221</v>
      </c>
      <c r="G241" s="965" t="s">
        <v>2221</v>
      </c>
      <c r="H241" s="965" t="s">
        <v>2221</v>
      </c>
      <c r="I241" s="965" t="s">
        <v>2221</v>
      </c>
      <c r="J241" s="965">
        <v>10184670</v>
      </c>
      <c r="K241" s="965">
        <v>37721000</v>
      </c>
    </row>
    <row r="242" spans="2:11" s="1259" customFormat="1" ht="13.5" hidden="1" customHeight="1" outlineLevel="1">
      <c r="B242" s="966" t="s">
        <v>2493</v>
      </c>
      <c r="C242" s="965">
        <v>270000</v>
      </c>
      <c r="D242" s="965" t="s">
        <v>2221</v>
      </c>
      <c r="E242" s="965" t="s">
        <v>2221</v>
      </c>
      <c r="F242" s="965" t="s">
        <v>2221</v>
      </c>
      <c r="G242" s="965" t="s">
        <v>2221</v>
      </c>
      <c r="H242" s="965" t="s">
        <v>2221</v>
      </c>
      <c r="I242" s="965" t="s">
        <v>2221</v>
      </c>
      <c r="J242" s="965">
        <v>10184670</v>
      </c>
      <c r="K242" s="965">
        <v>37721000</v>
      </c>
    </row>
    <row r="243" spans="2:11" s="1259" customFormat="1" ht="13.5" hidden="1" customHeight="1" outlineLevel="1">
      <c r="B243" s="966" t="s">
        <v>2492</v>
      </c>
      <c r="C243" s="965">
        <v>270000</v>
      </c>
      <c r="D243" s="965" t="s">
        <v>2221</v>
      </c>
      <c r="E243" s="965" t="s">
        <v>2221</v>
      </c>
      <c r="F243" s="965" t="s">
        <v>2221</v>
      </c>
      <c r="G243" s="965" t="s">
        <v>2221</v>
      </c>
      <c r="H243" s="965" t="s">
        <v>2221</v>
      </c>
      <c r="I243" s="965" t="s">
        <v>2221</v>
      </c>
      <c r="J243" s="965">
        <v>10184670</v>
      </c>
      <c r="K243" s="965">
        <v>37721000</v>
      </c>
    </row>
    <row r="244" spans="2:11" s="1259" customFormat="1" ht="13.5" hidden="1" customHeight="1" outlineLevel="1">
      <c r="B244" s="966" t="s">
        <v>2491</v>
      </c>
      <c r="C244" s="965">
        <v>270000</v>
      </c>
      <c r="D244" s="965" t="s">
        <v>2221</v>
      </c>
      <c r="E244" s="965" t="s">
        <v>2221</v>
      </c>
      <c r="F244" s="965" t="s">
        <v>2221</v>
      </c>
      <c r="G244" s="965" t="s">
        <v>2221</v>
      </c>
      <c r="H244" s="965" t="s">
        <v>2221</v>
      </c>
      <c r="I244" s="965" t="s">
        <v>2221</v>
      </c>
      <c r="J244" s="965">
        <v>10184670</v>
      </c>
      <c r="K244" s="965">
        <v>37721000</v>
      </c>
    </row>
    <row r="245" spans="2:11" s="1259" customFormat="1" ht="13.5" hidden="1" customHeight="1" outlineLevel="1">
      <c r="B245" s="966" t="s">
        <v>2490</v>
      </c>
      <c r="C245" s="965">
        <v>270000</v>
      </c>
      <c r="D245" s="965" t="s">
        <v>2221</v>
      </c>
      <c r="E245" s="965" t="s">
        <v>2221</v>
      </c>
      <c r="F245" s="965" t="s">
        <v>2221</v>
      </c>
      <c r="G245" s="965" t="s">
        <v>2221</v>
      </c>
      <c r="H245" s="965" t="s">
        <v>2221</v>
      </c>
      <c r="I245" s="965" t="s">
        <v>2221</v>
      </c>
      <c r="J245" s="965">
        <v>10184670</v>
      </c>
      <c r="K245" s="965">
        <v>37721000</v>
      </c>
    </row>
    <row r="246" spans="2:11" s="1259" customFormat="1" ht="13.5" hidden="1" customHeight="1" outlineLevel="1">
      <c r="B246" s="966" t="s">
        <v>2489</v>
      </c>
      <c r="C246" s="965">
        <v>270000</v>
      </c>
      <c r="D246" s="965" t="s">
        <v>2221</v>
      </c>
      <c r="E246" s="965" t="s">
        <v>2221</v>
      </c>
      <c r="F246" s="965" t="s">
        <v>2221</v>
      </c>
      <c r="G246" s="965" t="s">
        <v>2221</v>
      </c>
      <c r="H246" s="965" t="s">
        <v>2221</v>
      </c>
      <c r="I246" s="965" t="s">
        <v>2221</v>
      </c>
      <c r="J246" s="965">
        <v>10184670</v>
      </c>
      <c r="K246" s="965">
        <v>37721000</v>
      </c>
    </row>
    <row r="247" spans="2:11" s="1259" customFormat="1" ht="13.5" hidden="1" customHeight="1" outlineLevel="1">
      <c r="B247" s="966" t="s">
        <v>2488</v>
      </c>
      <c r="C247" s="965">
        <v>270000</v>
      </c>
      <c r="D247" s="965" t="s">
        <v>2221</v>
      </c>
      <c r="E247" s="965" t="s">
        <v>2221</v>
      </c>
      <c r="F247" s="965" t="s">
        <v>2221</v>
      </c>
      <c r="G247" s="965" t="s">
        <v>2221</v>
      </c>
      <c r="H247" s="965" t="s">
        <v>2221</v>
      </c>
      <c r="I247" s="965" t="s">
        <v>2221</v>
      </c>
      <c r="J247" s="965">
        <v>10184670</v>
      </c>
      <c r="K247" s="965">
        <v>37721000</v>
      </c>
    </row>
    <row r="248" spans="2:11" s="1259" customFormat="1" ht="13.5" hidden="1" customHeight="1" outlineLevel="1">
      <c r="B248" s="966" t="s">
        <v>2487</v>
      </c>
      <c r="C248" s="965">
        <v>270000</v>
      </c>
      <c r="D248" s="965" t="s">
        <v>2221</v>
      </c>
      <c r="E248" s="965" t="s">
        <v>2221</v>
      </c>
      <c r="F248" s="965" t="s">
        <v>2221</v>
      </c>
      <c r="G248" s="965" t="s">
        <v>2221</v>
      </c>
      <c r="H248" s="965" t="s">
        <v>2221</v>
      </c>
      <c r="I248" s="965" t="s">
        <v>2221</v>
      </c>
      <c r="J248" s="965">
        <v>10184670</v>
      </c>
      <c r="K248" s="965">
        <v>37721000</v>
      </c>
    </row>
    <row r="249" spans="2:11" s="1259" customFormat="1" ht="13.5" hidden="1" customHeight="1" outlineLevel="1">
      <c r="B249" s="966" t="s">
        <v>2485</v>
      </c>
      <c r="C249" s="965">
        <v>270000</v>
      </c>
      <c r="D249" s="965" t="s">
        <v>2221</v>
      </c>
      <c r="E249" s="965" t="s">
        <v>2221</v>
      </c>
      <c r="F249" s="965" t="s">
        <v>2221</v>
      </c>
      <c r="G249" s="965" t="s">
        <v>2221</v>
      </c>
      <c r="H249" s="965" t="s">
        <v>2221</v>
      </c>
      <c r="I249" s="965" t="s">
        <v>2221</v>
      </c>
      <c r="J249" s="965">
        <v>10184670</v>
      </c>
      <c r="K249" s="965">
        <v>37721000</v>
      </c>
    </row>
    <row r="250" spans="2:11" s="1259" customFormat="1" ht="13.5" hidden="1" customHeight="1" outlineLevel="1">
      <c r="B250" s="966" t="s">
        <v>2484</v>
      </c>
      <c r="C250" s="965">
        <v>270000</v>
      </c>
      <c r="D250" s="965" t="s">
        <v>2221</v>
      </c>
      <c r="E250" s="965" t="s">
        <v>2221</v>
      </c>
      <c r="F250" s="965" t="s">
        <v>2221</v>
      </c>
      <c r="G250" s="965" t="s">
        <v>2221</v>
      </c>
      <c r="H250" s="965" t="s">
        <v>2221</v>
      </c>
      <c r="I250" s="965" t="s">
        <v>2221</v>
      </c>
      <c r="J250" s="965">
        <v>10184670</v>
      </c>
      <c r="K250" s="965">
        <v>37721000</v>
      </c>
    </row>
    <row r="251" spans="2:11" s="1259" customFormat="1" ht="13.5" hidden="1" customHeight="1" outlineLevel="1">
      <c r="B251" s="966" t="s">
        <v>2483</v>
      </c>
      <c r="C251" s="965">
        <v>270000</v>
      </c>
      <c r="D251" s="965" t="s">
        <v>2221</v>
      </c>
      <c r="E251" s="965" t="s">
        <v>2221</v>
      </c>
      <c r="F251" s="965" t="s">
        <v>2221</v>
      </c>
      <c r="G251" s="965" t="s">
        <v>2221</v>
      </c>
      <c r="H251" s="965" t="s">
        <v>2221</v>
      </c>
      <c r="I251" s="965" t="s">
        <v>2221</v>
      </c>
      <c r="J251" s="965">
        <v>10184670</v>
      </c>
      <c r="K251" s="965">
        <v>37721000</v>
      </c>
    </row>
    <row r="252" spans="2:11" s="1259" customFormat="1" ht="13.5" hidden="1" customHeight="1" outlineLevel="1">
      <c r="B252" s="966" t="s">
        <v>2482</v>
      </c>
      <c r="C252" s="965">
        <v>270000</v>
      </c>
      <c r="D252" s="965" t="s">
        <v>2278</v>
      </c>
      <c r="E252" s="965">
        <v>333239</v>
      </c>
      <c r="F252" s="965">
        <v>90523297000</v>
      </c>
      <c r="G252" s="965">
        <v>273500</v>
      </c>
      <c r="H252" s="965">
        <v>278500</v>
      </c>
      <c r="I252" s="965">
        <v>270000</v>
      </c>
      <c r="J252" s="965">
        <v>10184670</v>
      </c>
      <c r="K252" s="965">
        <v>37721000</v>
      </c>
    </row>
    <row r="253" spans="2:11" s="1259" customFormat="1" ht="13.5" hidden="1" customHeight="1" outlineLevel="1">
      <c r="B253" s="966" t="s">
        <v>2481</v>
      </c>
      <c r="C253" s="965">
        <v>273000</v>
      </c>
      <c r="D253" s="965" t="s">
        <v>2288</v>
      </c>
      <c r="E253" s="965">
        <v>114741</v>
      </c>
      <c r="F253" s="965">
        <v>31046714500</v>
      </c>
      <c r="G253" s="965">
        <v>271000</v>
      </c>
      <c r="H253" s="965">
        <v>273000</v>
      </c>
      <c r="I253" s="965">
        <v>266000</v>
      </c>
      <c r="J253" s="965">
        <v>10297833</v>
      </c>
      <c r="K253" s="965">
        <v>37721000</v>
      </c>
    </row>
    <row r="254" spans="2:11" s="1259" customFormat="1" ht="13.5" hidden="1" customHeight="1" outlineLevel="1">
      <c r="B254" s="966" t="s">
        <v>2479</v>
      </c>
      <c r="C254" s="965">
        <v>271000</v>
      </c>
      <c r="D254" s="965" t="s">
        <v>2248</v>
      </c>
      <c r="E254" s="965">
        <v>75401</v>
      </c>
      <c r="F254" s="965">
        <v>20339458500</v>
      </c>
      <c r="G254" s="965">
        <v>272500</v>
      </c>
      <c r="H254" s="965">
        <v>272500</v>
      </c>
      <c r="I254" s="965">
        <v>268500</v>
      </c>
      <c r="J254" s="965">
        <v>10222391</v>
      </c>
      <c r="K254" s="965">
        <v>37721000</v>
      </c>
    </row>
    <row r="255" spans="2:11" s="1259" customFormat="1" ht="13.5" hidden="1" customHeight="1" outlineLevel="1">
      <c r="B255" s="966" t="s">
        <v>2478</v>
      </c>
      <c r="C255" s="965">
        <v>272000</v>
      </c>
      <c r="D255" s="965" t="s">
        <v>2221</v>
      </c>
      <c r="E255" s="965">
        <v>67270</v>
      </c>
      <c r="F255" s="965">
        <v>18164149000</v>
      </c>
      <c r="G255" s="965">
        <v>270000</v>
      </c>
      <c r="H255" s="965">
        <v>272000</v>
      </c>
      <c r="I255" s="965">
        <v>266000</v>
      </c>
      <c r="J255" s="965">
        <v>10260112</v>
      </c>
      <c r="K255" s="965">
        <v>37721000</v>
      </c>
    </row>
    <row r="256" spans="2:11" s="1259" customFormat="1" ht="13.5" hidden="1" customHeight="1" outlineLevel="1">
      <c r="B256" s="966" t="s">
        <v>2477</v>
      </c>
      <c r="C256" s="965">
        <v>272000</v>
      </c>
      <c r="D256" s="965" t="s">
        <v>2809</v>
      </c>
      <c r="E256" s="965">
        <v>248553</v>
      </c>
      <c r="F256" s="965">
        <v>66177011500</v>
      </c>
      <c r="G256" s="965">
        <v>257000</v>
      </c>
      <c r="H256" s="965">
        <v>272000</v>
      </c>
      <c r="I256" s="965">
        <v>257000</v>
      </c>
      <c r="J256" s="965">
        <v>10260112</v>
      </c>
      <c r="K256" s="965">
        <v>37721000</v>
      </c>
    </row>
    <row r="257" spans="2:11" s="1259" customFormat="1" ht="13.5" hidden="1" customHeight="1" outlineLevel="1">
      <c r="B257" s="966" t="s">
        <v>2476</v>
      </c>
      <c r="C257" s="965">
        <v>254500</v>
      </c>
      <c r="D257" s="965" t="s">
        <v>2220</v>
      </c>
      <c r="E257" s="965">
        <v>63811</v>
      </c>
      <c r="F257" s="965">
        <v>16179047000</v>
      </c>
      <c r="G257" s="965">
        <v>253500</v>
      </c>
      <c r="H257" s="965">
        <v>256000</v>
      </c>
      <c r="I257" s="965">
        <v>251500</v>
      </c>
      <c r="J257" s="965">
        <v>9599994</v>
      </c>
      <c r="K257" s="965">
        <v>37721000</v>
      </c>
    </row>
    <row r="258" spans="2:11" s="1259" customFormat="1" ht="13.5" hidden="1" customHeight="1" outlineLevel="1">
      <c r="B258" s="966" t="s">
        <v>2475</v>
      </c>
      <c r="C258" s="965">
        <v>252000</v>
      </c>
      <c r="D258" s="965" t="s">
        <v>2242</v>
      </c>
      <c r="E258" s="965">
        <v>80208</v>
      </c>
      <c r="F258" s="965">
        <v>20123178000</v>
      </c>
      <c r="G258" s="965">
        <v>252000</v>
      </c>
      <c r="H258" s="965">
        <v>252500</v>
      </c>
      <c r="I258" s="965">
        <v>249500</v>
      </c>
      <c r="J258" s="965">
        <v>9505692</v>
      </c>
      <c r="K258" s="965">
        <v>37721000</v>
      </c>
    </row>
    <row r="259" spans="2:11" s="1259" customFormat="1" ht="13.5" hidden="1" customHeight="1" outlineLevel="1">
      <c r="B259" s="966" t="s">
        <v>2474</v>
      </c>
      <c r="C259" s="965">
        <v>254000</v>
      </c>
      <c r="D259" s="965" t="s">
        <v>2242</v>
      </c>
      <c r="E259" s="965">
        <v>65201</v>
      </c>
      <c r="F259" s="965">
        <v>16658701000</v>
      </c>
      <c r="G259" s="965">
        <v>257000</v>
      </c>
      <c r="H259" s="965">
        <v>259000</v>
      </c>
      <c r="I259" s="965">
        <v>254000</v>
      </c>
      <c r="J259" s="965">
        <v>9581134</v>
      </c>
      <c r="K259" s="965">
        <v>37721000</v>
      </c>
    </row>
    <row r="260" spans="2:11" s="1259" customFormat="1" ht="13.5" hidden="1" customHeight="1" outlineLevel="1">
      <c r="B260" s="966" t="s">
        <v>2473</v>
      </c>
      <c r="C260" s="965">
        <v>256000</v>
      </c>
      <c r="D260" s="965" t="s">
        <v>2278</v>
      </c>
      <c r="E260" s="965">
        <v>62307</v>
      </c>
      <c r="F260" s="965">
        <v>15937174500</v>
      </c>
      <c r="G260" s="965">
        <v>258500</v>
      </c>
      <c r="H260" s="965">
        <v>259000</v>
      </c>
      <c r="I260" s="965">
        <v>254000</v>
      </c>
      <c r="J260" s="965">
        <v>9656576</v>
      </c>
      <c r="K260" s="965">
        <v>37721000</v>
      </c>
    </row>
    <row r="261" spans="2:11" s="1259" customFormat="1" ht="13.5" hidden="1" customHeight="1" outlineLevel="1">
      <c r="B261" s="966" t="s">
        <v>2472</v>
      </c>
      <c r="C261" s="965">
        <v>259000</v>
      </c>
      <c r="D261" s="965" t="s">
        <v>2278</v>
      </c>
      <c r="E261" s="965">
        <v>89750</v>
      </c>
      <c r="F261" s="965">
        <v>22993269000</v>
      </c>
      <c r="G261" s="965">
        <v>258500</v>
      </c>
      <c r="H261" s="965">
        <v>261500</v>
      </c>
      <c r="I261" s="965">
        <v>253500</v>
      </c>
      <c r="J261" s="965">
        <v>9769739</v>
      </c>
      <c r="K261" s="965">
        <v>37721000</v>
      </c>
    </row>
    <row r="262" spans="2:11" s="1259" customFormat="1" ht="13.5" hidden="1" customHeight="1" outlineLevel="1">
      <c r="B262" s="966" t="s">
        <v>2471</v>
      </c>
      <c r="C262" s="965">
        <v>262000</v>
      </c>
      <c r="D262" s="965" t="s">
        <v>2644</v>
      </c>
      <c r="E262" s="965">
        <v>88955</v>
      </c>
      <c r="F262" s="965">
        <v>23311578000</v>
      </c>
      <c r="G262" s="965">
        <v>260000</v>
      </c>
      <c r="H262" s="965">
        <v>263500</v>
      </c>
      <c r="I262" s="965">
        <v>258000</v>
      </c>
      <c r="J262" s="965">
        <v>9882902</v>
      </c>
      <c r="K262" s="965">
        <v>37721000</v>
      </c>
    </row>
    <row r="263" spans="2:11" s="1259" customFormat="1" ht="13.5" hidden="1" customHeight="1" outlineLevel="1">
      <c r="B263" s="966" t="s">
        <v>2470</v>
      </c>
      <c r="C263" s="965">
        <v>257500</v>
      </c>
      <c r="D263" s="965" t="s">
        <v>2221</v>
      </c>
      <c r="E263" s="965">
        <v>83066</v>
      </c>
      <c r="F263" s="965">
        <v>21204555631</v>
      </c>
      <c r="G263" s="965">
        <v>257000</v>
      </c>
      <c r="H263" s="965">
        <v>257500</v>
      </c>
      <c r="I263" s="965">
        <v>253500</v>
      </c>
      <c r="J263" s="965">
        <v>9713158</v>
      </c>
      <c r="K263" s="965">
        <v>37721000</v>
      </c>
    </row>
    <row r="264" spans="2:11" s="1259" customFormat="1" ht="13.5" hidden="1" customHeight="1" outlineLevel="1">
      <c r="B264" s="966" t="s">
        <v>2468</v>
      </c>
      <c r="C264" s="965">
        <v>257500</v>
      </c>
      <c r="D264" s="965" t="s">
        <v>2236</v>
      </c>
      <c r="E264" s="965">
        <v>98445</v>
      </c>
      <c r="F264" s="965">
        <v>25333388500</v>
      </c>
      <c r="G264" s="965">
        <v>257500</v>
      </c>
      <c r="H264" s="965">
        <v>259000</v>
      </c>
      <c r="I264" s="965">
        <v>256000</v>
      </c>
      <c r="J264" s="965">
        <v>9713158</v>
      </c>
      <c r="K264" s="965">
        <v>37721000</v>
      </c>
    </row>
    <row r="265" spans="2:11" s="1259" customFormat="1" ht="13.5" hidden="1" customHeight="1" outlineLevel="1">
      <c r="B265" s="966" t="s">
        <v>2467</v>
      </c>
      <c r="C265" s="965">
        <v>256500</v>
      </c>
      <c r="D265" s="965" t="s">
        <v>2274</v>
      </c>
      <c r="E265" s="965">
        <v>120364</v>
      </c>
      <c r="F265" s="965">
        <v>30879691000</v>
      </c>
      <c r="G265" s="965">
        <v>257000</v>
      </c>
      <c r="H265" s="965">
        <v>259000</v>
      </c>
      <c r="I265" s="965">
        <v>255000</v>
      </c>
      <c r="J265" s="965">
        <v>9675436</v>
      </c>
      <c r="K265" s="965">
        <v>37721000</v>
      </c>
    </row>
    <row r="266" spans="2:11" s="1259" customFormat="1" ht="13.5" hidden="1" customHeight="1" outlineLevel="1">
      <c r="B266" s="966" t="s">
        <v>2466</v>
      </c>
      <c r="C266" s="965">
        <v>260000</v>
      </c>
      <c r="D266" s="965" t="s">
        <v>2277</v>
      </c>
      <c r="E266" s="965">
        <v>84661</v>
      </c>
      <c r="F266" s="965">
        <v>21849496500</v>
      </c>
      <c r="G266" s="965">
        <v>256500</v>
      </c>
      <c r="H266" s="965">
        <v>261000</v>
      </c>
      <c r="I266" s="965">
        <v>253500</v>
      </c>
      <c r="J266" s="965">
        <v>9807460</v>
      </c>
      <c r="K266" s="965">
        <v>37721000</v>
      </c>
    </row>
    <row r="267" spans="2:11" s="1259" customFormat="1" ht="13.5" hidden="1" customHeight="1" outlineLevel="1">
      <c r="B267" s="966" t="s">
        <v>2465</v>
      </c>
      <c r="C267" s="965">
        <v>257000</v>
      </c>
      <c r="D267" s="965" t="s">
        <v>2805</v>
      </c>
      <c r="E267" s="965">
        <v>95773</v>
      </c>
      <c r="F267" s="965">
        <v>25016322000</v>
      </c>
      <c r="G267" s="965">
        <v>265500</v>
      </c>
      <c r="H267" s="965">
        <v>267500</v>
      </c>
      <c r="I267" s="965">
        <v>256000</v>
      </c>
      <c r="J267" s="965">
        <v>9694297</v>
      </c>
      <c r="K267" s="965">
        <v>37721000</v>
      </c>
    </row>
    <row r="268" spans="2:11" s="1259" customFormat="1" ht="13.5" hidden="1" customHeight="1" outlineLevel="1">
      <c r="B268" s="966" t="s">
        <v>2464</v>
      </c>
      <c r="C268" s="965">
        <v>268000</v>
      </c>
      <c r="D268" s="965" t="s">
        <v>1826</v>
      </c>
      <c r="E268" s="965">
        <v>119252</v>
      </c>
      <c r="F268" s="965">
        <v>31942023500</v>
      </c>
      <c r="G268" s="965">
        <v>270000</v>
      </c>
      <c r="H268" s="965">
        <v>272000</v>
      </c>
      <c r="I268" s="965">
        <v>263500</v>
      </c>
      <c r="J268" s="965">
        <v>10109228</v>
      </c>
      <c r="K268" s="965">
        <v>37721000</v>
      </c>
    </row>
    <row r="269" spans="2:11" s="1259" customFormat="1" ht="13.5" hidden="1" customHeight="1" outlineLevel="1">
      <c r="B269" s="966" t="s">
        <v>2463</v>
      </c>
      <c r="C269" s="965">
        <v>267500</v>
      </c>
      <c r="D269" s="965" t="s">
        <v>2663</v>
      </c>
      <c r="E269" s="965">
        <v>207096</v>
      </c>
      <c r="F269" s="965">
        <v>54893538500</v>
      </c>
      <c r="G269" s="965">
        <v>261000</v>
      </c>
      <c r="H269" s="965">
        <v>269500</v>
      </c>
      <c r="I269" s="965">
        <v>260000</v>
      </c>
      <c r="J269" s="965">
        <v>10090368</v>
      </c>
      <c r="K269" s="965">
        <v>37721000</v>
      </c>
    </row>
    <row r="270" spans="2:11" s="1259" customFormat="1" ht="13.5" hidden="1" customHeight="1" outlineLevel="1">
      <c r="B270" s="966" t="s">
        <v>2461</v>
      </c>
      <c r="C270" s="965">
        <v>260500</v>
      </c>
      <c r="D270" s="965" t="s">
        <v>1814</v>
      </c>
      <c r="E270" s="965">
        <v>174872</v>
      </c>
      <c r="F270" s="965">
        <v>45146591430</v>
      </c>
      <c r="G270" s="965">
        <v>262000</v>
      </c>
      <c r="H270" s="965">
        <v>262000</v>
      </c>
      <c r="I270" s="965">
        <v>254500</v>
      </c>
      <c r="J270" s="965">
        <v>9826320</v>
      </c>
      <c r="K270" s="965">
        <v>37721000</v>
      </c>
    </row>
    <row r="271" spans="2:11" s="1259" customFormat="1" ht="13.5" hidden="1" customHeight="1" outlineLevel="1">
      <c r="B271" s="966" t="s">
        <v>2459</v>
      </c>
      <c r="C271" s="965">
        <v>261000</v>
      </c>
      <c r="D271" s="965" t="s">
        <v>2779</v>
      </c>
      <c r="E271" s="965">
        <v>136100</v>
      </c>
      <c r="F271" s="965">
        <v>35037719500</v>
      </c>
      <c r="G271" s="965">
        <v>253000</v>
      </c>
      <c r="H271" s="965">
        <v>261000</v>
      </c>
      <c r="I271" s="965">
        <v>252500</v>
      </c>
      <c r="J271" s="965">
        <v>9845181</v>
      </c>
      <c r="K271" s="965">
        <v>37721000</v>
      </c>
    </row>
    <row r="272" spans="2:11" s="1259" customFormat="1" ht="13.5" hidden="1" customHeight="1" outlineLevel="1">
      <c r="B272" s="966" t="s">
        <v>2457</v>
      </c>
      <c r="C272" s="965">
        <v>252500</v>
      </c>
      <c r="D272" s="965" t="s">
        <v>2644</v>
      </c>
      <c r="E272" s="965">
        <v>148220</v>
      </c>
      <c r="F272" s="965">
        <v>36894821000</v>
      </c>
      <c r="G272" s="965">
        <v>245500</v>
      </c>
      <c r="H272" s="965">
        <v>252500</v>
      </c>
      <c r="I272" s="965">
        <v>243000</v>
      </c>
      <c r="J272" s="965">
        <v>9524552</v>
      </c>
      <c r="K272" s="965">
        <v>37721000</v>
      </c>
    </row>
    <row r="273" spans="2:11" s="1259" customFormat="1" ht="13.5" hidden="1" customHeight="1" outlineLevel="1">
      <c r="B273" s="966" t="s">
        <v>2455</v>
      </c>
      <c r="C273" s="965">
        <v>248000</v>
      </c>
      <c r="D273" s="965" t="s">
        <v>2277</v>
      </c>
      <c r="E273" s="965">
        <v>62735</v>
      </c>
      <c r="F273" s="965">
        <v>15479105000</v>
      </c>
      <c r="G273" s="965">
        <v>245500</v>
      </c>
      <c r="H273" s="965">
        <v>248000</v>
      </c>
      <c r="I273" s="965">
        <v>245500</v>
      </c>
      <c r="J273" s="965">
        <v>9354808</v>
      </c>
      <c r="K273" s="965">
        <v>37721000</v>
      </c>
    </row>
    <row r="274" spans="2:11" s="1259" customFormat="1" ht="13.5" hidden="1" customHeight="1" outlineLevel="1">
      <c r="B274" s="966" t="s">
        <v>2454</v>
      </c>
      <c r="C274" s="965">
        <v>245000</v>
      </c>
      <c r="D274" s="965" t="s">
        <v>2672</v>
      </c>
      <c r="E274" s="965">
        <v>146335</v>
      </c>
      <c r="F274" s="965">
        <v>35662674480</v>
      </c>
      <c r="G274" s="965">
        <v>241500</v>
      </c>
      <c r="H274" s="965">
        <v>246500</v>
      </c>
      <c r="I274" s="965">
        <v>240000</v>
      </c>
      <c r="J274" s="965">
        <v>9241645</v>
      </c>
      <c r="K274" s="965">
        <v>37721000</v>
      </c>
    </row>
    <row r="275" spans="2:11" s="1259" customFormat="1" ht="13.5" hidden="1" customHeight="1" outlineLevel="1">
      <c r="B275" s="966" t="s">
        <v>2453</v>
      </c>
      <c r="C275" s="965">
        <v>241500</v>
      </c>
      <c r="D275" s="965" t="s">
        <v>2248</v>
      </c>
      <c r="E275" s="965">
        <v>147924</v>
      </c>
      <c r="F275" s="965">
        <v>35784207000</v>
      </c>
      <c r="G275" s="965">
        <v>243000</v>
      </c>
      <c r="H275" s="965">
        <v>246000</v>
      </c>
      <c r="I275" s="965">
        <v>240500</v>
      </c>
      <c r="J275" s="965">
        <v>9109622</v>
      </c>
      <c r="K275" s="965">
        <v>37721000</v>
      </c>
    </row>
    <row r="276" spans="2:11" s="1259" customFormat="1" ht="13.5" hidden="1" customHeight="1" outlineLevel="1">
      <c r="B276" s="966" t="s">
        <v>2451</v>
      </c>
      <c r="C276" s="965">
        <v>242500</v>
      </c>
      <c r="D276" s="965" t="s">
        <v>2235</v>
      </c>
      <c r="E276" s="965">
        <v>165169</v>
      </c>
      <c r="F276" s="965">
        <v>40088398540</v>
      </c>
      <c r="G276" s="965">
        <v>243500</v>
      </c>
      <c r="H276" s="965">
        <v>244500</v>
      </c>
      <c r="I276" s="965">
        <v>241500</v>
      </c>
      <c r="J276" s="965">
        <v>9147342</v>
      </c>
      <c r="K276" s="965">
        <v>37721000</v>
      </c>
    </row>
    <row r="277" spans="2:11" s="1259" customFormat="1" ht="13.5" hidden="1" customHeight="1" outlineLevel="1">
      <c r="B277" s="966" t="s">
        <v>2450</v>
      </c>
      <c r="C277" s="965">
        <v>245000</v>
      </c>
      <c r="D277" s="965" t="s">
        <v>2776</v>
      </c>
      <c r="E277" s="965">
        <v>196388</v>
      </c>
      <c r="F277" s="965">
        <v>48168769710</v>
      </c>
      <c r="G277" s="965">
        <v>251000</v>
      </c>
      <c r="H277" s="965">
        <v>252000</v>
      </c>
      <c r="I277" s="965">
        <v>244000</v>
      </c>
      <c r="J277" s="965">
        <v>9241645</v>
      </c>
      <c r="K277" s="965">
        <v>37721000</v>
      </c>
    </row>
    <row r="278" spans="2:11" s="1259" customFormat="1" ht="13.5" hidden="1" customHeight="1" outlineLevel="1">
      <c r="B278" s="966" t="s">
        <v>2449</v>
      </c>
      <c r="C278" s="965">
        <v>253000</v>
      </c>
      <c r="D278" s="965" t="s">
        <v>2220</v>
      </c>
      <c r="E278" s="965">
        <v>92675</v>
      </c>
      <c r="F278" s="965">
        <v>23268170000</v>
      </c>
      <c r="G278" s="965">
        <v>250000</v>
      </c>
      <c r="H278" s="965">
        <v>253000</v>
      </c>
      <c r="I278" s="965">
        <v>249500</v>
      </c>
      <c r="J278" s="965">
        <v>9543413</v>
      </c>
      <c r="K278" s="965">
        <v>37721000</v>
      </c>
    </row>
    <row r="279" spans="2:11" s="1259" customFormat="1" ht="13.5" hidden="1" customHeight="1" outlineLevel="1">
      <c r="B279" s="966" t="s">
        <v>2448</v>
      </c>
      <c r="C279" s="965">
        <v>250500</v>
      </c>
      <c r="D279" s="965" t="s">
        <v>1814</v>
      </c>
      <c r="E279" s="965">
        <v>77268</v>
      </c>
      <c r="F279" s="965">
        <v>19316695000</v>
      </c>
      <c r="G279" s="965">
        <v>249500</v>
      </c>
      <c r="H279" s="965">
        <v>251500</v>
      </c>
      <c r="I279" s="965">
        <v>247500</v>
      </c>
      <c r="J279" s="965">
        <v>9449110</v>
      </c>
      <c r="K279" s="965">
        <v>37721000</v>
      </c>
    </row>
    <row r="280" spans="2:11" s="1259" customFormat="1" ht="13.5" hidden="1" customHeight="1" outlineLevel="1">
      <c r="B280" s="966" t="s">
        <v>2447</v>
      </c>
      <c r="C280" s="965">
        <v>251000</v>
      </c>
      <c r="D280" s="965" t="s">
        <v>2273</v>
      </c>
      <c r="E280" s="965">
        <v>88953</v>
      </c>
      <c r="F280" s="965">
        <v>22102702000</v>
      </c>
      <c r="G280" s="965">
        <v>245500</v>
      </c>
      <c r="H280" s="965">
        <v>251500</v>
      </c>
      <c r="I280" s="965">
        <v>245000</v>
      </c>
      <c r="J280" s="965">
        <v>9467971</v>
      </c>
      <c r="K280" s="965">
        <v>37721000</v>
      </c>
    </row>
    <row r="281" spans="2:11" s="1259" customFormat="1" ht="13.5" hidden="1" customHeight="1" outlineLevel="1">
      <c r="B281" s="966" t="s">
        <v>2446</v>
      </c>
      <c r="C281" s="965">
        <v>245500</v>
      </c>
      <c r="D281" s="965" t="s">
        <v>2674</v>
      </c>
      <c r="E281" s="965">
        <v>149489</v>
      </c>
      <c r="F281" s="965">
        <v>36701055000</v>
      </c>
      <c r="G281" s="965">
        <v>249000</v>
      </c>
      <c r="H281" s="965">
        <v>249500</v>
      </c>
      <c r="I281" s="965">
        <v>243000</v>
      </c>
      <c r="J281" s="965">
        <v>9260506</v>
      </c>
      <c r="K281" s="965">
        <v>37721000</v>
      </c>
    </row>
    <row r="282" spans="2:11" s="1259" customFormat="1" ht="13.5" hidden="1" customHeight="1" outlineLevel="1">
      <c r="B282" s="966" t="s">
        <v>2445</v>
      </c>
      <c r="C282" s="965">
        <v>252500</v>
      </c>
      <c r="D282" s="965" t="s">
        <v>2244</v>
      </c>
      <c r="E282" s="965">
        <v>108562</v>
      </c>
      <c r="F282" s="965">
        <v>27490415000</v>
      </c>
      <c r="G282" s="965">
        <v>254500</v>
      </c>
      <c r="H282" s="965">
        <v>259500</v>
      </c>
      <c r="I282" s="965">
        <v>250000</v>
      </c>
      <c r="J282" s="965">
        <v>9524552</v>
      </c>
      <c r="K282" s="965">
        <v>37721000</v>
      </c>
    </row>
    <row r="283" spans="2:11" s="1259" customFormat="1" ht="13.5" hidden="1" customHeight="1" outlineLevel="1">
      <c r="B283" s="966" t="s">
        <v>2443</v>
      </c>
      <c r="C283" s="965">
        <v>254000</v>
      </c>
      <c r="D283" s="965" t="s">
        <v>2780</v>
      </c>
      <c r="E283" s="965">
        <v>118300</v>
      </c>
      <c r="F283" s="965">
        <v>30277181000</v>
      </c>
      <c r="G283" s="965">
        <v>261000</v>
      </c>
      <c r="H283" s="965">
        <v>264000</v>
      </c>
      <c r="I283" s="965">
        <v>253000</v>
      </c>
      <c r="J283" s="965">
        <v>9581134</v>
      </c>
      <c r="K283" s="965">
        <v>37721000</v>
      </c>
    </row>
    <row r="284" spans="2:11" s="1259" customFormat="1" ht="13.5" hidden="1" customHeight="1" outlineLevel="1">
      <c r="B284" s="966" t="s">
        <v>2441</v>
      </c>
      <c r="C284" s="965">
        <v>264500</v>
      </c>
      <c r="D284" s="965" t="s">
        <v>2644</v>
      </c>
      <c r="E284" s="965">
        <v>94291</v>
      </c>
      <c r="F284" s="965">
        <v>24340278500</v>
      </c>
      <c r="G284" s="965">
        <v>255000</v>
      </c>
      <c r="H284" s="965">
        <v>264500</v>
      </c>
      <c r="I284" s="965">
        <v>250000</v>
      </c>
      <c r="J284" s="965">
        <v>9977204</v>
      </c>
      <c r="K284" s="965">
        <v>37721000</v>
      </c>
    </row>
    <row r="285" spans="2:11" s="1259" customFormat="1" ht="13.5" hidden="1" customHeight="1" outlineLevel="1">
      <c r="B285" s="966" t="s">
        <v>2439</v>
      </c>
      <c r="C285" s="965">
        <v>260000</v>
      </c>
      <c r="D285" s="965" t="s">
        <v>2673</v>
      </c>
      <c r="E285" s="965">
        <v>109661</v>
      </c>
      <c r="F285" s="965">
        <v>28381953990</v>
      </c>
      <c r="G285" s="965">
        <v>254500</v>
      </c>
      <c r="H285" s="965">
        <v>265000</v>
      </c>
      <c r="I285" s="965">
        <v>251000</v>
      </c>
      <c r="J285" s="965">
        <v>9807460</v>
      </c>
      <c r="K285" s="965">
        <v>37721000</v>
      </c>
    </row>
    <row r="286" spans="2:11" s="1259" customFormat="1" ht="13.5" hidden="1" customHeight="1" outlineLevel="1">
      <c r="B286" s="966" t="s">
        <v>2438</v>
      </c>
      <c r="C286" s="965">
        <v>253500</v>
      </c>
      <c r="D286" s="965" t="s">
        <v>2676</v>
      </c>
      <c r="E286" s="965">
        <v>184244</v>
      </c>
      <c r="F286" s="965">
        <v>47158904278</v>
      </c>
      <c r="G286" s="965">
        <v>258000</v>
      </c>
      <c r="H286" s="965">
        <v>261500</v>
      </c>
      <c r="I286" s="965">
        <v>253000</v>
      </c>
      <c r="J286" s="965">
        <v>9562274</v>
      </c>
      <c r="K286" s="965">
        <v>37721000</v>
      </c>
    </row>
    <row r="287" spans="2:11" s="1259" customFormat="1" ht="13.5" hidden="1" customHeight="1" outlineLevel="1">
      <c r="B287" s="966" t="s">
        <v>2436</v>
      </c>
      <c r="C287" s="965">
        <v>261000</v>
      </c>
      <c r="D287" s="965" t="s">
        <v>2274</v>
      </c>
      <c r="E287" s="965">
        <v>71303</v>
      </c>
      <c r="F287" s="965">
        <v>18635269000</v>
      </c>
      <c r="G287" s="965">
        <v>265500</v>
      </c>
      <c r="H287" s="965">
        <v>266500</v>
      </c>
      <c r="I287" s="965">
        <v>259000</v>
      </c>
      <c r="J287" s="965">
        <v>9845181</v>
      </c>
      <c r="K287" s="965">
        <v>37721000</v>
      </c>
    </row>
    <row r="288" spans="2:11" s="1259" customFormat="1" ht="13.5" hidden="1" customHeight="1" outlineLevel="1">
      <c r="B288" s="966" t="s">
        <v>2435</v>
      </c>
      <c r="C288" s="965">
        <v>264500</v>
      </c>
      <c r="D288" s="965" t="s">
        <v>2644</v>
      </c>
      <c r="E288" s="965">
        <v>114143</v>
      </c>
      <c r="F288" s="965">
        <v>30419336500</v>
      </c>
      <c r="G288" s="965">
        <v>264000</v>
      </c>
      <c r="H288" s="965">
        <v>273500</v>
      </c>
      <c r="I288" s="965">
        <v>260000</v>
      </c>
      <c r="J288" s="965">
        <v>9977204</v>
      </c>
      <c r="K288" s="965">
        <v>37721000</v>
      </c>
    </row>
    <row r="289" spans="2:11" s="1259" customFormat="1" ht="13.5" hidden="1" customHeight="1" outlineLevel="1">
      <c r="B289" s="966" t="s">
        <v>2433</v>
      </c>
      <c r="C289" s="965">
        <v>260000</v>
      </c>
      <c r="D289" s="965" t="s">
        <v>2248</v>
      </c>
      <c r="E289" s="965">
        <v>71914</v>
      </c>
      <c r="F289" s="965">
        <v>18693370550</v>
      </c>
      <c r="G289" s="965">
        <v>262000</v>
      </c>
      <c r="H289" s="965">
        <v>265000</v>
      </c>
      <c r="I289" s="965">
        <v>258500</v>
      </c>
      <c r="J289" s="965">
        <v>9807460</v>
      </c>
      <c r="K289" s="965">
        <v>37721000</v>
      </c>
    </row>
    <row r="290" spans="2:11" s="1259" customFormat="1" ht="13.5" hidden="1" customHeight="1" outlineLevel="1">
      <c r="B290" s="966" t="s">
        <v>2431</v>
      </c>
      <c r="C290" s="965">
        <v>261000</v>
      </c>
      <c r="D290" s="965" t="s">
        <v>2670</v>
      </c>
      <c r="E290" s="965">
        <v>180859</v>
      </c>
      <c r="F290" s="965">
        <v>46942493648</v>
      </c>
      <c r="G290" s="965">
        <v>256000</v>
      </c>
      <c r="H290" s="965">
        <v>264000</v>
      </c>
      <c r="I290" s="965">
        <v>255000</v>
      </c>
      <c r="J290" s="965">
        <v>9845181</v>
      </c>
      <c r="K290" s="965">
        <v>37721000</v>
      </c>
    </row>
    <row r="291" spans="2:11" s="1259" customFormat="1" ht="13.5" hidden="1" customHeight="1" outlineLevel="1">
      <c r="B291" s="966" t="s">
        <v>2430</v>
      </c>
      <c r="C291" s="965">
        <v>256000</v>
      </c>
      <c r="D291" s="965" t="s">
        <v>2277</v>
      </c>
      <c r="E291" s="965">
        <v>98889</v>
      </c>
      <c r="F291" s="965">
        <v>25327509000</v>
      </c>
      <c r="G291" s="965">
        <v>257000</v>
      </c>
      <c r="H291" s="965">
        <v>259000</v>
      </c>
      <c r="I291" s="965">
        <v>253000</v>
      </c>
      <c r="J291" s="965">
        <v>9656576</v>
      </c>
      <c r="K291" s="965">
        <v>37721000</v>
      </c>
    </row>
    <row r="292" spans="2:11" s="1259" customFormat="1" ht="13.5" hidden="1" customHeight="1" outlineLevel="1">
      <c r="B292" s="966" t="s">
        <v>2428</v>
      </c>
      <c r="C292" s="965">
        <v>253000</v>
      </c>
      <c r="D292" s="965" t="s">
        <v>2672</v>
      </c>
      <c r="E292" s="965">
        <v>135315</v>
      </c>
      <c r="F292" s="965">
        <v>34290897000</v>
      </c>
      <c r="G292" s="965">
        <v>252500</v>
      </c>
      <c r="H292" s="965">
        <v>256000</v>
      </c>
      <c r="I292" s="965">
        <v>251000</v>
      </c>
      <c r="J292" s="965">
        <v>9543413</v>
      </c>
      <c r="K292" s="965">
        <v>37721000</v>
      </c>
    </row>
    <row r="293" spans="2:11" s="1259" customFormat="1" ht="13.5" hidden="1" customHeight="1" outlineLevel="1">
      <c r="B293" s="966" t="s">
        <v>2427</v>
      </c>
      <c r="C293" s="965">
        <v>249500</v>
      </c>
      <c r="D293" s="965" t="s">
        <v>1814</v>
      </c>
      <c r="E293" s="965">
        <v>146325</v>
      </c>
      <c r="F293" s="965">
        <v>36865702000</v>
      </c>
      <c r="G293" s="965">
        <v>251000</v>
      </c>
      <c r="H293" s="965">
        <v>257500</v>
      </c>
      <c r="I293" s="965">
        <v>249500</v>
      </c>
      <c r="J293" s="965">
        <v>9411390</v>
      </c>
      <c r="K293" s="965">
        <v>37721000</v>
      </c>
    </row>
    <row r="294" spans="2:11" s="1259" customFormat="1" ht="13.5" hidden="1" customHeight="1" outlineLevel="1">
      <c r="B294" s="966" t="s">
        <v>2425</v>
      </c>
      <c r="C294" s="965">
        <v>250000</v>
      </c>
      <c r="D294" s="965" t="s">
        <v>2813</v>
      </c>
      <c r="E294" s="965">
        <v>138925</v>
      </c>
      <c r="F294" s="965">
        <v>34860656756</v>
      </c>
      <c r="G294" s="965">
        <v>255000</v>
      </c>
      <c r="H294" s="965">
        <v>255500</v>
      </c>
      <c r="I294" s="965">
        <v>249500</v>
      </c>
      <c r="J294" s="965">
        <v>9430250</v>
      </c>
      <c r="K294" s="965">
        <v>37721000</v>
      </c>
    </row>
    <row r="295" spans="2:11" s="1259" customFormat="1" ht="13.5" hidden="1" customHeight="1" outlineLevel="1">
      <c r="B295" s="966" t="s">
        <v>2423</v>
      </c>
      <c r="C295" s="965">
        <v>259000</v>
      </c>
      <c r="D295" s="965" t="s">
        <v>2674</v>
      </c>
      <c r="E295" s="965">
        <v>67502</v>
      </c>
      <c r="F295" s="965">
        <v>17646061000</v>
      </c>
      <c r="G295" s="965">
        <v>266000</v>
      </c>
      <c r="H295" s="965">
        <v>266000</v>
      </c>
      <c r="I295" s="965">
        <v>258000</v>
      </c>
      <c r="J295" s="965">
        <v>4884870</v>
      </c>
      <c r="K295" s="965">
        <v>18860500</v>
      </c>
    </row>
    <row r="296" spans="2:11" s="1259" customFormat="1" ht="13.5" hidden="1" customHeight="1" outlineLevel="1">
      <c r="B296" s="966" t="s">
        <v>2422</v>
      </c>
      <c r="C296" s="965">
        <v>266000</v>
      </c>
      <c r="D296" s="965" t="s">
        <v>2673</v>
      </c>
      <c r="E296" s="965">
        <v>69056</v>
      </c>
      <c r="F296" s="965">
        <v>18198329000</v>
      </c>
      <c r="G296" s="965">
        <v>260000</v>
      </c>
      <c r="H296" s="965">
        <v>267500</v>
      </c>
      <c r="I296" s="965">
        <v>257500</v>
      </c>
      <c r="J296" s="965">
        <v>5016893</v>
      </c>
      <c r="K296" s="965">
        <v>18860500</v>
      </c>
    </row>
    <row r="297" spans="2:11" s="1259" customFormat="1" ht="13.5" hidden="1" customHeight="1" outlineLevel="1">
      <c r="B297" s="966" t="s">
        <v>2420</v>
      </c>
      <c r="C297" s="965">
        <v>259500</v>
      </c>
      <c r="D297" s="965" t="s">
        <v>2805</v>
      </c>
      <c r="E297" s="965">
        <v>60387</v>
      </c>
      <c r="F297" s="965">
        <v>15810113500</v>
      </c>
      <c r="G297" s="965">
        <v>270000</v>
      </c>
      <c r="H297" s="965">
        <v>270000</v>
      </c>
      <c r="I297" s="965">
        <v>258500</v>
      </c>
      <c r="J297" s="965">
        <v>4894300</v>
      </c>
      <c r="K297" s="965">
        <v>18860500</v>
      </c>
    </row>
    <row r="298" spans="2:11" s="1259" customFormat="1" ht="13.5" hidden="1" customHeight="1" outlineLevel="1">
      <c r="B298" s="966" t="s">
        <v>2418</v>
      </c>
      <c r="C298" s="965">
        <v>270500</v>
      </c>
      <c r="D298" s="965" t="s">
        <v>2676</v>
      </c>
      <c r="E298" s="965">
        <v>72415</v>
      </c>
      <c r="F298" s="965">
        <v>19655870500</v>
      </c>
      <c r="G298" s="965">
        <v>283500</v>
      </c>
      <c r="H298" s="965">
        <v>283500</v>
      </c>
      <c r="I298" s="965">
        <v>268000</v>
      </c>
      <c r="J298" s="965">
        <v>5101765</v>
      </c>
      <c r="K298" s="965">
        <v>18860500</v>
      </c>
    </row>
    <row r="299" spans="2:11" s="1259" customFormat="1" ht="13.5" hidden="1" customHeight="1" outlineLevel="1">
      <c r="B299" s="966" t="s">
        <v>2417</v>
      </c>
      <c r="C299" s="965">
        <v>278000</v>
      </c>
      <c r="D299" s="965" t="s">
        <v>2277</v>
      </c>
      <c r="E299" s="965">
        <v>56345</v>
      </c>
      <c r="F299" s="965">
        <v>15540654000</v>
      </c>
      <c r="G299" s="965">
        <v>274000</v>
      </c>
      <c r="H299" s="965">
        <v>282000</v>
      </c>
      <c r="I299" s="965">
        <v>272500</v>
      </c>
      <c r="J299" s="965">
        <v>5243219</v>
      </c>
      <c r="K299" s="965">
        <v>18860500</v>
      </c>
    </row>
    <row r="300" spans="2:11" s="1259" customFormat="1" ht="13.5" hidden="1" customHeight="1" outlineLevel="1">
      <c r="B300" s="966" t="s">
        <v>2416</v>
      </c>
      <c r="C300" s="965">
        <v>275000</v>
      </c>
      <c r="D300" s="965" t="s">
        <v>2221</v>
      </c>
      <c r="E300" s="965">
        <v>86013</v>
      </c>
      <c r="F300" s="965">
        <v>23818532000</v>
      </c>
      <c r="G300" s="965">
        <v>275500</v>
      </c>
      <c r="H300" s="965">
        <v>283500</v>
      </c>
      <c r="I300" s="965">
        <v>270000</v>
      </c>
      <c r="J300" s="965">
        <v>5186638</v>
      </c>
      <c r="K300" s="965">
        <v>18860500</v>
      </c>
    </row>
    <row r="301" spans="2:11" s="1259" customFormat="1" ht="13.5" hidden="1" customHeight="1" outlineLevel="1">
      <c r="B301" s="966" t="s">
        <v>2414</v>
      </c>
      <c r="C301" s="965">
        <v>275000</v>
      </c>
      <c r="D301" s="965" t="s">
        <v>2667</v>
      </c>
      <c r="E301" s="965">
        <v>108285</v>
      </c>
      <c r="F301" s="965">
        <v>29600370500</v>
      </c>
      <c r="G301" s="965">
        <v>268500</v>
      </c>
      <c r="H301" s="965">
        <v>276500</v>
      </c>
      <c r="I301" s="965">
        <v>268500</v>
      </c>
      <c r="J301" s="965">
        <v>5186638</v>
      </c>
      <c r="K301" s="965">
        <v>18860500</v>
      </c>
    </row>
    <row r="302" spans="2:11" s="1259" customFormat="1" ht="13.5" hidden="1" customHeight="1" outlineLevel="1">
      <c r="B302" s="966" t="s">
        <v>2412</v>
      </c>
      <c r="C302" s="965">
        <v>267500</v>
      </c>
      <c r="D302" s="965" t="s">
        <v>1826</v>
      </c>
      <c r="E302" s="965">
        <v>52881</v>
      </c>
      <c r="F302" s="965">
        <v>14161168000</v>
      </c>
      <c r="G302" s="965">
        <v>267000</v>
      </c>
      <c r="H302" s="965">
        <v>270500</v>
      </c>
      <c r="I302" s="965">
        <v>263000</v>
      </c>
      <c r="J302" s="965">
        <v>5045184</v>
      </c>
      <c r="K302" s="965">
        <v>18860500</v>
      </c>
    </row>
    <row r="303" spans="2:11" s="1259" customFormat="1" ht="13.5" hidden="1" customHeight="1" outlineLevel="1">
      <c r="B303" s="966" t="s">
        <v>2410</v>
      </c>
      <c r="C303" s="965">
        <v>267000</v>
      </c>
      <c r="D303" s="965" t="s">
        <v>2786</v>
      </c>
      <c r="E303" s="965">
        <v>70128</v>
      </c>
      <c r="F303" s="965">
        <v>18681382000</v>
      </c>
      <c r="G303" s="965">
        <v>257000</v>
      </c>
      <c r="H303" s="965">
        <v>269500</v>
      </c>
      <c r="I303" s="965">
        <v>257000</v>
      </c>
      <c r="J303" s="965">
        <v>5035754</v>
      </c>
      <c r="K303" s="965">
        <v>18860500</v>
      </c>
    </row>
    <row r="304" spans="2:11" s="1259" customFormat="1" ht="13.5" hidden="1" customHeight="1" outlineLevel="1">
      <c r="B304" s="966" t="s">
        <v>2409</v>
      </c>
      <c r="C304" s="965">
        <v>257000</v>
      </c>
      <c r="D304" s="965" t="s">
        <v>2671</v>
      </c>
      <c r="E304" s="965">
        <v>84686</v>
      </c>
      <c r="F304" s="965">
        <v>22100939000</v>
      </c>
      <c r="G304" s="965">
        <v>265500</v>
      </c>
      <c r="H304" s="965">
        <v>265500</v>
      </c>
      <c r="I304" s="965">
        <v>256000</v>
      </c>
      <c r="J304" s="965">
        <v>4847148</v>
      </c>
      <c r="K304" s="965">
        <v>18860500</v>
      </c>
    </row>
    <row r="305" spans="2:11" s="1259" customFormat="1" ht="13.5" hidden="1" customHeight="1" outlineLevel="1">
      <c r="B305" s="966" t="s">
        <v>2407</v>
      </c>
      <c r="C305" s="965">
        <v>263500</v>
      </c>
      <c r="D305" s="965" t="s">
        <v>2787</v>
      </c>
      <c r="E305" s="965">
        <v>114194</v>
      </c>
      <c r="F305" s="965">
        <v>30751770500</v>
      </c>
      <c r="G305" s="965">
        <v>277000</v>
      </c>
      <c r="H305" s="965">
        <v>280000</v>
      </c>
      <c r="I305" s="965">
        <v>263500</v>
      </c>
      <c r="J305" s="965">
        <v>4969742</v>
      </c>
      <c r="K305" s="965">
        <v>18860500</v>
      </c>
    </row>
    <row r="306" spans="2:11" s="1259" customFormat="1" ht="13.5" hidden="1" customHeight="1" outlineLevel="1">
      <c r="B306" s="966" t="s">
        <v>2406</v>
      </c>
      <c r="C306" s="965">
        <v>277000</v>
      </c>
      <c r="D306" s="965" t="s">
        <v>2278</v>
      </c>
      <c r="E306" s="965">
        <v>52700</v>
      </c>
      <c r="F306" s="965">
        <v>14593974500</v>
      </c>
      <c r="G306" s="965">
        <v>279000</v>
      </c>
      <c r="H306" s="965">
        <v>280000</v>
      </c>
      <c r="I306" s="965">
        <v>275000</v>
      </c>
      <c r="J306" s="965">
        <v>5224358</v>
      </c>
      <c r="K306" s="965">
        <v>18860500</v>
      </c>
    </row>
    <row r="307" spans="2:11" s="1259" customFormat="1" ht="13.5" hidden="1" customHeight="1" outlineLevel="1">
      <c r="B307" s="966" t="s">
        <v>2404</v>
      </c>
      <c r="C307" s="965">
        <v>280000</v>
      </c>
      <c r="D307" s="965" t="s">
        <v>2221</v>
      </c>
      <c r="E307" s="965">
        <v>58095</v>
      </c>
      <c r="F307" s="965">
        <v>16284367000</v>
      </c>
      <c r="G307" s="965">
        <v>282500</v>
      </c>
      <c r="H307" s="965">
        <v>283000</v>
      </c>
      <c r="I307" s="965">
        <v>277000</v>
      </c>
      <c r="J307" s="965">
        <v>5280940</v>
      </c>
      <c r="K307" s="965">
        <v>18860500</v>
      </c>
    </row>
    <row r="308" spans="2:11" s="1259" customFormat="1" ht="13.5" hidden="1" customHeight="1" outlineLevel="1">
      <c r="B308" s="966" t="s">
        <v>2403</v>
      </c>
      <c r="C308" s="965">
        <v>280000</v>
      </c>
      <c r="D308" s="965" t="s">
        <v>2221</v>
      </c>
      <c r="E308" s="965">
        <v>118706</v>
      </c>
      <c r="F308" s="965">
        <v>33660111500</v>
      </c>
      <c r="G308" s="965">
        <v>291500</v>
      </c>
      <c r="H308" s="965">
        <v>292000</v>
      </c>
      <c r="I308" s="965">
        <v>279500</v>
      </c>
      <c r="J308" s="965">
        <v>5280940</v>
      </c>
      <c r="K308" s="965">
        <v>18860500</v>
      </c>
    </row>
    <row r="309" spans="2:11" s="1259" customFormat="1" ht="13.5" hidden="1" customHeight="1" outlineLevel="1">
      <c r="B309" s="966" t="s">
        <v>2401</v>
      </c>
      <c r="C309" s="965">
        <v>280000</v>
      </c>
      <c r="D309" s="965" t="s">
        <v>2776</v>
      </c>
      <c r="E309" s="965">
        <v>78681</v>
      </c>
      <c r="F309" s="965">
        <v>22326252000</v>
      </c>
      <c r="G309" s="965">
        <v>294500</v>
      </c>
      <c r="H309" s="965">
        <v>294500</v>
      </c>
      <c r="I309" s="965">
        <v>280000</v>
      </c>
      <c r="J309" s="965">
        <v>5280940</v>
      </c>
      <c r="K309" s="965">
        <v>18860500</v>
      </c>
    </row>
    <row r="310" spans="2:11" s="1259" customFormat="1" ht="13.5" hidden="1" customHeight="1" outlineLevel="1">
      <c r="B310" s="966" t="s">
        <v>2399</v>
      </c>
      <c r="C310" s="965">
        <v>576000</v>
      </c>
      <c r="D310" s="965" t="s">
        <v>2221</v>
      </c>
      <c r="E310" s="965">
        <v>56796</v>
      </c>
      <c r="F310" s="965">
        <v>32784787000</v>
      </c>
      <c r="G310" s="965">
        <v>579000</v>
      </c>
      <c r="H310" s="965">
        <v>582000</v>
      </c>
      <c r="I310" s="965">
        <v>573000</v>
      </c>
      <c r="J310" s="965">
        <v>10863648</v>
      </c>
      <c r="K310" s="965">
        <v>18860500</v>
      </c>
    </row>
    <row r="311" spans="2:11" s="1259" customFormat="1" ht="13.5" hidden="1" customHeight="1" outlineLevel="1">
      <c r="B311" s="966" t="s">
        <v>2397</v>
      </c>
      <c r="C311" s="965">
        <v>576000</v>
      </c>
      <c r="D311" s="965" t="s">
        <v>2775</v>
      </c>
      <c r="E311" s="965">
        <v>35804</v>
      </c>
      <c r="F311" s="965">
        <v>20551230000</v>
      </c>
      <c r="G311" s="965">
        <v>570000</v>
      </c>
      <c r="H311" s="965">
        <v>579000</v>
      </c>
      <c r="I311" s="965">
        <v>569000</v>
      </c>
      <c r="J311" s="965">
        <v>10863648</v>
      </c>
      <c r="K311" s="965">
        <v>18860500</v>
      </c>
    </row>
    <row r="312" spans="2:11" s="1259" customFormat="1" ht="13.5" hidden="1" customHeight="1" outlineLevel="1">
      <c r="B312" s="966" t="s">
        <v>2395</v>
      </c>
      <c r="C312" s="965">
        <v>567000</v>
      </c>
      <c r="D312" s="965" t="s">
        <v>2236</v>
      </c>
      <c r="E312" s="965">
        <v>58726</v>
      </c>
      <c r="F312" s="965">
        <v>33398737000</v>
      </c>
      <c r="G312" s="965">
        <v>565000</v>
      </c>
      <c r="H312" s="965">
        <v>574000</v>
      </c>
      <c r="I312" s="965">
        <v>565000</v>
      </c>
      <c r="J312" s="965">
        <v>10693904</v>
      </c>
      <c r="K312" s="965">
        <v>18860500</v>
      </c>
    </row>
    <row r="313" spans="2:11" s="1259" customFormat="1" ht="13.5" hidden="1" customHeight="1" outlineLevel="1">
      <c r="B313" s="966" t="s">
        <v>2394</v>
      </c>
      <c r="C313" s="965">
        <v>566000</v>
      </c>
      <c r="D313" s="965" t="s">
        <v>2278</v>
      </c>
      <c r="E313" s="965">
        <v>65985</v>
      </c>
      <c r="F313" s="965">
        <v>37364031000</v>
      </c>
      <c r="G313" s="965">
        <v>567000</v>
      </c>
      <c r="H313" s="965">
        <v>571000</v>
      </c>
      <c r="I313" s="965">
        <v>563000</v>
      </c>
      <c r="J313" s="965">
        <v>10675043</v>
      </c>
      <c r="K313" s="965">
        <v>18860500</v>
      </c>
    </row>
    <row r="314" spans="2:11" s="1259" customFormat="1" ht="13.5" hidden="1" customHeight="1" outlineLevel="1">
      <c r="B314" s="966" t="s">
        <v>2393</v>
      </c>
      <c r="C314" s="965">
        <v>569000</v>
      </c>
      <c r="D314" s="965" t="s">
        <v>2278</v>
      </c>
      <c r="E314" s="965">
        <v>61526</v>
      </c>
      <c r="F314" s="965">
        <v>35202683000</v>
      </c>
      <c r="G314" s="965">
        <v>573000</v>
      </c>
      <c r="H314" s="965">
        <v>578000</v>
      </c>
      <c r="I314" s="965">
        <v>569000</v>
      </c>
      <c r="J314" s="965">
        <v>10731624</v>
      </c>
      <c r="K314" s="965">
        <v>18860500</v>
      </c>
    </row>
    <row r="315" spans="2:11" s="1259" customFormat="1" ht="13.5" hidden="1" customHeight="1" outlineLevel="1">
      <c r="B315" s="966" t="s">
        <v>2391</v>
      </c>
      <c r="C315" s="965">
        <v>572000</v>
      </c>
      <c r="D315" s="965" t="s">
        <v>2793</v>
      </c>
      <c r="E315" s="965">
        <v>59425</v>
      </c>
      <c r="F315" s="965">
        <v>34241223000</v>
      </c>
      <c r="G315" s="965">
        <v>583000</v>
      </c>
      <c r="H315" s="965">
        <v>584000</v>
      </c>
      <c r="I315" s="965">
        <v>572000</v>
      </c>
      <c r="J315" s="965">
        <v>10788206</v>
      </c>
      <c r="K315" s="965">
        <v>18860500</v>
      </c>
    </row>
    <row r="316" spans="2:11" s="1259" customFormat="1" ht="13.5" hidden="1" customHeight="1" outlineLevel="1">
      <c r="B316" s="966" t="s">
        <v>2389</v>
      </c>
      <c r="C316" s="965">
        <v>585000</v>
      </c>
      <c r="D316" s="965" t="s">
        <v>2776</v>
      </c>
      <c r="E316" s="965">
        <v>140095</v>
      </c>
      <c r="F316" s="965">
        <v>83976213500</v>
      </c>
      <c r="G316" s="965">
        <v>600000</v>
      </c>
      <c r="H316" s="965">
        <v>614000</v>
      </c>
      <c r="I316" s="965">
        <v>581000</v>
      </c>
      <c r="J316" s="965">
        <v>11033392</v>
      </c>
      <c r="K316" s="965">
        <v>18860500</v>
      </c>
    </row>
    <row r="317" spans="2:11" s="1259" customFormat="1" ht="13.5" hidden="1" customHeight="1" outlineLevel="1">
      <c r="B317" s="966" t="s">
        <v>2388</v>
      </c>
      <c r="C317" s="965">
        <v>593000</v>
      </c>
      <c r="D317" s="965" t="s">
        <v>2798</v>
      </c>
      <c r="E317" s="965">
        <v>93087</v>
      </c>
      <c r="F317" s="965">
        <v>53935522000</v>
      </c>
      <c r="G317" s="965">
        <v>572000</v>
      </c>
      <c r="H317" s="965">
        <v>598000</v>
      </c>
      <c r="I317" s="965">
        <v>567000</v>
      </c>
      <c r="J317" s="965">
        <v>11184276</v>
      </c>
      <c r="K317" s="965">
        <v>18860500</v>
      </c>
    </row>
    <row r="318" spans="2:11" s="1259" customFormat="1" ht="13.5" hidden="1" customHeight="1" outlineLevel="1">
      <c r="B318" s="966" t="s">
        <v>2386</v>
      </c>
      <c r="C318" s="965">
        <v>570000</v>
      </c>
      <c r="D318" s="965" t="s">
        <v>2788</v>
      </c>
      <c r="E318" s="965">
        <v>107005</v>
      </c>
      <c r="F318" s="965">
        <v>61014408000</v>
      </c>
      <c r="G318" s="965">
        <v>581000</v>
      </c>
      <c r="H318" s="965">
        <v>582000</v>
      </c>
      <c r="I318" s="965">
        <v>566000</v>
      </c>
      <c r="J318" s="965">
        <v>10750485</v>
      </c>
      <c r="K318" s="965">
        <v>18860500</v>
      </c>
    </row>
    <row r="319" spans="2:11" s="1259" customFormat="1" ht="13.5" hidden="1" customHeight="1" outlineLevel="1">
      <c r="B319" s="966" t="s">
        <v>2385</v>
      </c>
      <c r="C319" s="965">
        <v>580000</v>
      </c>
      <c r="D319" s="965" t="s">
        <v>2821</v>
      </c>
      <c r="E319" s="965">
        <v>93180</v>
      </c>
      <c r="F319" s="965">
        <v>54488403000</v>
      </c>
      <c r="G319" s="965">
        <v>599000</v>
      </c>
      <c r="H319" s="965">
        <v>599000</v>
      </c>
      <c r="I319" s="965">
        <v>577000</v>
      </c>
      <c r="J319" s="965">
        <v>10939090</v>
      </c>
      <c r="K319" s="965">
        <v>18860500</v>
      </c>
    </row>
    <row r="320" spans="2:11" s="1259" customFormat="1" ht="13.5" hidden="1" customHeight="1" outlineLevel="1">
      <c r="B320" s="966" t="s">
        <v>2383</v>
      </c>
      <c r="C320" s="965">
        <v>603000</v>
      </c>
      <c r="D320" s="965" t="s">
        <v>2248</v>
      </c>
      <c r="E320" s="965">
        <v>39930</v>
      </c>
      <c r="F320" s="965">
        <v>24232613000</v>
      </c>
      <c r="G320" s="965">
        <v>605000</v>
      </c>
      <c r="H320" s="965">
        <v>618000</v>
      </c>
      <c r="I320" s="965">
        <v>600000</v>
      </c>
      <c r="J320" s="965">
        <v>11372882</v>
      </c>
      <c r="K320" s="965">
        <v>18860500</v>
      </c>
    </row>
    <row r="321" spans="2:11" s="1259" customFormat="1" ht="13.5" hidden="1" customHeight="1" outlineLevel="1">
      <c r="B321" s="966" t="s">
        <v>2382</v>
      </c>
      <c r="C321" s="965">
        <v>604000</v>
      </c>
      <c r="D321" s="965" t="s">
        <v>2276</v>
      </c>
      <c r="E321" s="965">
        <v>36872</v>
      </c>
      <c r="F321" s="965">
        <v>22326105000</v>
      </c>
      <c r="G321" s="965">
        <v>608000</v>
      </c>
      <c r="H321" s="965">
        <v>609000</v>
      </c>
      <c r="I321" s="965">
        <v>602000</v>
      </c>
      <c r="J321" s="965">
        <v>11391742</v>
      </c>
      <c r="K321" s="965">
        <v>18860500</v>
      </c>
    </row>
    <row r="322" spans="2:11" s="1259" customFormat="1" ht="13.5" hidden="1" customHeight="1" outlineLevel="1">
      <c r="B322" s="966" t="s">
        <v>2380</v>
      </c>
      <c r="C322" s="965">
        <v>608000</v>
      </c>
      <c r="D322" s="965" t="s">
        <v>2782</v>
      </c>
      <c r="E322" s="965">
        <v>56535</v>
      </c>
      <c r="F322" s="965">
        <v>34613010000</v>
      </c>
      <c r="G322" s="965">
        <v>616000</v>
      </c>
      <c r="H322" s="965">
        <v>619000</v>
      </c>
      <c r="I322" s="965">
        <v>608000</v>
      </c>
      <c r="J322" s="965">
        <v>11467184</v>
      </c>
      <c r="K322" s="965">
        <v>18860500</v>
      </c>
    </row>
    <row r="323" spans="2:11" s="1259" customFormat="1" ht="13.5" hidden="1" customHeight="1" outlineLevel="1">
      <c r="B323" s="966" t="s">
        <v>2379</v>
      </c>
      <c r="C323" s="965">
        <v>620000</v>
      </c>
      <c r="D323" s="965" t="s">
        <v>2236</v>
      </c>
      <c r="E323" s="965">
        <v>30626</v>
      </c>
      <c r="F323" s="965">
        <v>19053617000</v>
      </c>
      <c r="G323" s="965">
        <v>625000</v>
      </c>
      <c r="H323" s="965">
        <v>628000</v>
      </c>
      <c r="I323" s="965">
        <v>616000</v>
      </c>
      <c r="J323" s="965">
        <v>11693510</v>
      </c>
      <c r="K323" s="965">
        <v>18860500</v>
      </c>
    </row>
    <row r="324" spans="2:11" s="1259" customFormat="1" ht="13.5" hidden="1" customHeight="1" outlineLevel="1">
      <c r="B324" s="966" t="s">
        <v>2377</v>
      </c>
      <c r="C324" s="965">
        <v>619000</v>
      </c>
      <c r="D324" s="965" t="s">
        <v>2221</v>
      </c>
      <c r="E324" s="965">
        <v>35707</v>
      </c>
      <c r="F324" s="965">
        <v>22212503000</v>
      </c>
      <c r="G324" s="965">
        <v>623000</v>
      </c>
      <c r="H324" s="965">
        <v>629000</v>
      </c>
      <c r="I324" s="965">
        <v>613000</v>
      </c>
      <c r="J324" s="965">
        <v>11674650</v>
      </c>
      <c r="K324" s="965">
        <v>18860500</v>
      </c>
    </row>
    <row r="325" spans="2:11" s="1259" customFormat="1" ht="13.5" hidden="1" customHeight="1" outlineLevel="1">
      <c r="B325" s="966" t="s">
        <v>2376</v>
      </c>
      <c r="C325" s="965">
        <v>619000</v>
      </c>
      <c r="D325" s="965" t="s">
        <v>2276</v>
      </c>
      <c r="E325" s="965">
        <v>55358</v>
      </c>
      <c r="F325" s="965">
        <v>34226780000</v>
      </c>
      <c r="G325" s="965">
        <v>620000</v>
      </c>
      <c r="H325" s="965">
        <v>623000</v>
      </c>
      <c r="I325" s="965">
        <v>611000</v>
      </c>
      <c r="J325" s="965">
        <v>11674650</v>
      </c>
      <c r="K325" s="965">
        <v>18860500</v>
      </c>
    </row>
    <row r="326" spans="2:11" s="1259" customFormat="1" ht="13.5" hidden="1" customHeight="1" outlineLevel="1">
      <c r="B326" s="966" t="s">
        <v>2374</v>
      </c>
      <c r="C326" s="965">
        <v>623000</v>
      </c>
      <c r="D326" s="965" t="s">
        <v>2827</v>
      </c>
      <c r="E326" s="965">
        <v>141574</v>
      </c>
      <c r="F326" s="965">
        <v>87549374680</v>
      </c>
      <c r="G326" s="965">
        <v>595000</v>
      </c>
      <c r="H326" s="965">
        <v>630000</v>
      </c>
      <c r="I326" s="965">
        <v>592000</v>
      </c>
      <c r="J326" s="965">
        <v>11750092</v>
      </c>
      <c r="K326" s="965">
        <v>18860500</v>
      </c>
    </row>
    <row r="327" spans="2:11" s="1259" customFormat="1" ht="13.5" hidden="1" customHeight="1" outlineLevel="1">
      <c r="B327" s="966" t="s">
        <v>2373</v>
      </c>
      <c r="C327" s="965">
        <v>596000</v>
      </c>
      <c r="D327" s="965" t="s">
        <v>2802</v>
      </c>
      <c r="E327" s="965">
        <v>59383</v>
      </c>
      <c r="F327" s="965">
        <v>35782868000</v>
      </c>
      <c r="G327" s="965">
        <v>614000</v>
      </c>
      <c r="H327" s="965">
        <v>614000</v>
      </c>
      <c r="I327" s="965">
        <v>596000</v>
      </c>
      <c r="J327" s="965">
        <v>11240858</v>
      </c>
      <c r="K327" s="965">
        <v>18860500</v>
      </c>
    </row>
    <row r="328" spans="2:11" s="1259" customFormat="1" ht="13.5" hidden="1" customHeight="1" outlineLevel="1">
      <c r="B328" s="966" t="s">
        <v>2371</v>
      </c>
      <c r="C328" s="965">
        <v>613000</v>
      </c>
      <c r="D328" s="965" t="s">
        <v>2248</v>
      </c>
      <c r="E328" s="965">
        <v>42497</v>
      </c>
      <c r="F328" s="965">
        <v>25956333000</v>
      </c>
      <c r="G328" s="965">
        <v>608000</v>
      </c>
      <c r="H328" s="965">
        <v>614000</v>
      </c>
      <c r="I328" s="965">
        <v>607000</v>
      </c>
      <c r="J328" s="965">
        <v>11561486</v>
      </c>
      <c r="K328" s="965">
        <v>18860500</v>
      </c>
    </row>
    <row r="329" spans="2:11" s="1259" customFormat="1" ht="13.5" hidden="1" customHeight="1" outlineLevel="1">
      <c r="B329" s="966" t="s">
        <v>2369</v>
      </c>
      <c r="C329" s="965">
        <v>614000</v>
      </c>
      <c r="D329" s="965" t="s">
        <v>2248</v>
      </c>
      <c r="E329" s="965">
        <v>28675</v>
      </c>
      <c r="F329" s="965">
        <v>17614640000</v>
      </c>
      <c r="G329" s="965">
        <v>613000</v>
      </c>
      <c r="H329" s="965">
        <v>617000</v>
      </c>
      <c r="I329" s="965">
        <v>611000</v>
      </c>
      <c r="J329" s="965">
        <v>11580347</v>
      </c>
      <c r="K329" s="965">
        <v>18860500</v>
      </c>
    </row>
    <row r="330" spans="2:11" s="1259" customFormat="1" ht="13.5" hidden="1" customHeight="1" outlineLevel="1">
      <c r="B330" s="966" t="s">
        <v>2367</v>
      </c>
      <c r="C330" s="965">
        <v>615000</v>
      </c>
      <c r="D330" s="965" t="s">
        <v>2236</v>
      </c>
      <c r="E330" s="965">
        <v>38175</v>
      </c>
      <c r="F330" s="965">
        <v>23370227000</v>
      </c>
      <c r="G330" s="965">
        <v>618000</v>
      </c>
      <c r="H330" s="965">
        <v>618000</v>
      </c>
      <c r="I330" s="965">
        <v>608000</v>
      </c>
      <c r="J330" s="965">
        <v>11599208</v>
      </c>
      <c r="K330" s="965">
        <v>18860500</v>
      </c>
    </row>
    <row r="331" spans="2:11" s="1259" customFormat="1" ht="13.5" hidden="1" customHeight="1" outlineLevel="1">
      <c r="B331" s="966" t="s">
        <v>2365</v>
      </c>
      <c r="C331" s="965">
        <v>614000</v>
      </c>
      <c r="D331" s="965" t="s">
        <v>2249</v>
      </c>
      <c r="E331" s="965">
        <v>58109</v>
      </c>
      <c r="F331" s="965">
        <v>35685852000</v>
      </c>
      <c r="G331" s="965">
        <v>623000</v>
      </c>
      <c r="H331" s="965">
        <v>626000</v>
      </c>
      <c r="I331" s="965">
        <v>608000</v>
      </c>
      <c r="J331" s="965">
        <v>11580347</v>
      </c>
      <c r="K331" s="965">
        <v>18860500</v>
      </c>
    </row>
    <row r="332" spans="2:11" s="1259" customFormat="1" ht="13.5" hidden="1" customHeight="1" outlineLevel="1">
      <c r="B332" s="966" t="s">
        <v>2364</v>
      </c>
      <c r="C332" s="965">
        <v>620000</v>
      </c>
      <c r="D332" s="965" t="s">
        <v>2827</v>
      </c>
      <c r="E332" s="965">
        <v>167476</v>
      </c>
      <c r="F332" s="965">
        <v>106614853000</v>
      </c>
      <c r="G332" s="965">
        <v>672000</v>
      </c>
      <c r="H332" s="965">
        <v>672000</v>
      </c>
      <c r="I332" s="965">
        <v>620000</v>
      </c>
      <c r="J332" s="965">
        <v>11693510</v>
      </c>
      <c r="K332" s="965">
        <v>18860500</v>
      </c>
    </row>
    <row r="333" spans="2:11" s="1259" customFormat="1" ht="13.5" hidden="1" customHeight="1" outlineLevel="1">
      <c r="B333" s="966" t="s">
        <v>2362</v>
      </c>
      <c r="C333" s="965">
        <v>593000</v>
      </c>
      <c r="D333" s="965" t="s">
        <v>2276</v>
      </c>
      <c r="E333" s="965">
        <v>19840</v>
      </c>
      <c r="F333" s="965">
        <v>11892040000</v>
      </c>
      <c r="G333" s="965">
        <v>601000</v>
      </c>
      <c r="H333" s="965">
        <v>603000</v>
      </c>
      <c r="I333" s="965">
        <v>591000</v>
      </c>
      <c r="J333" s="965">
        <v>11184276</v>
      </c>
      <c r="K333" s="965">
        <v>18860500</v>
      </c>
    </row>
    <row r="334" spans="2:11" s="1259" customFormat="1" ht="13.5" hidden="1" customHeight="1" outlineLevel="1">
      <c r="B334" s="966" t="s">
        <v>2360</v>
      </c>
      <c r="C334" s="965">
        <v>597000</v>
      </c>
      <c r="D334" s="965" t="s">
        <v>2221</v>
      </c>
      <c r="E334" s="965">
        <v>15723</v>
      </c>
      <c r="F334" s="965">
        <v>9420475962</v>
      </c>
      <c r="G334" s="965">
        <v>602000</v>
      </c>
      <c r="H334" s="965">
        <v>602000</v>
      </c>
      <c r="I334" s="965">
        <v>594000</v>
      </c>
      <c r="J334" s="965">
        <v>11259718</v>
      </c>
      <c r="K334" s="965">
        <v>18860500</v>
      </c>
    </row>
    <row r="335" spans="2:11" s="1259" customFormat="1" ht="13.5" hidden="1" customHeight="1" outlineLevel="1">
      <c r="B335" s="966" t="s">
        <v>2358</v>
      </c>
      <c r="C335" s="965">
        <v>597000</v>
      </c>
      <c r="D335" s="965" t="s">
        <v>2248</v>
      </c>
      <c r="E335" s="965">
        <v>18210</v>
      </c>
      <c r="F335" s="965">
        <v>10868582000</v>
      </c>
      <c r="G335" s="965">
        <v>600000</v>
      </c>
      <c r="H335" s="965">
        <v>602000</v>
      </c>
      <c r="I335" s="965">
        <v>588000</v>
      </c>
      <c r="J335" s="965">
        <v>11259718</v>
      </c>
      <c r="K335" s="965">
        <v>18860500</v>
      </c>
    </row>
    <row r="336" spans="2:11" s="1259" customFormat="1" ht="13.5" hidden="1" customHeight="1" outlineLevel="1">
      <c r="B336" s="966" t="s">
        <v>2357</v>
      </c>
      <c r="C336" s="965">
        <v>598000</v>
      </c>
      <c r="D336" s="965" t="s">
        <v>2775</v>
      </c>
      <c r="E336" s="965">
        <v>37467</v>
      </c>
      <c r="F336" s="965">
        <v>22225219089</v>
      </c>
      <c r="G336" s="965">
        <v>594000</v>
      </c>
      <c r="H336" s="965">
        <v>598000</v>
      </c>
      <c r="I336" s="965">
        <v>579000</v>
      </c>
      <c r="J336" s="965">
        <v>11278579</v>
      </c>
      <c r="K336" s="965">
        <v>18860500</v>
      </c>
    </row>
    <row r="337" spans="2:11" s="1259" customFormat="1" ht="13.5" hidden="1" customHeight="1" outlineLevel="1">
      <c r="B337" s="966" t="s">
        <v>2656</v>
      </c>
      <c r="C337" s="965">
        <v>589000</v>
      </c>
      <c r="D337" s="965" t="s">
        <v>2775</v>
      </c>
      <c r="E337" s="965">
        <v>39762</v>
      </c>
      <c r="F337" s="965">
        <v>23411104000</v>
      </c>
      <c r="G337" s="965">
        <v>581000</v>
      </c>
      <c r="H337" s="965">
        <v>594000</v>
      </c>
      <c r="I337" s="965">
        <v>581000</v>
      </c>
      <c r="J337" s="965">
        <v>11108834</v>
      </c>
      <c r="K337" s="965">
        <v>18860500</v>
      </c>
    </row>
    <row r="338" spans="2:11" s="1259" customFormat="1" ht="13.5" hidden="1" customHeight="1" outlineLevel="1">
      <c r="B338" s="966" t="s">
        <v>2655</v>
      </c>
      <c r="C338" s="965">
        <v>580000</v>
      </c>
      <c r="D338" s="965" t="s">
        <v>2775</v>
      </c>
      <c r="E338" s="965">
        <v>29463</v>
      </c>
      <c r="F338" s="965">
        <v>17006406000</v>
      </c>
      <c r="G338" s="965">
        <v>575000</v>
      </c>
      <c r="H338" s="965">
        <v>582000</v>
      </c>
      <c r="I338" s="965">
        <v>572000</v>
      </c>
      <c r="J338" s="965">
        <v>10939090</v>
      </c>
      <c r="K338" s="965">
        <v>18860500</v>
      </c>
    </row>
    <row r="339" spans="2:11" s="1259" customFormat="1" ht="13.5" hidden="1" customHeight="1" outlineLevel="1">
      <c r="B339" s="966" t="s">
        <v>2654</v>
      </c>
      <c r="C339" s="965">
        <v>571000</v>
      </c>
      <c r="D339" s="965" t="s">
        <v>2775</v>
      </c>
      <c r="E339" s="965">
        <v>43723</v>
      </c>
      <c r="F339" s="965">
        <v>24812957000</v>
      </c>
      <c r="G339" s="965">
        <v>565000</v>
      </c>
      <c r="H339" s="965">
        <v>571000</v>
      </c>
      <c r="I339" s="965">
        <v>562000</v>
      </c>
      <c r="J339" s="965">
        <v>10769346</v>
      </c>
      <c r="K339" s="965">
        <v>18860500</v>
      </c>
    </row>
    <row r="340" spans="2:11" s="1259" customFormat="1" ht="13.5" hidden="1" customHeight="1" outlineLevel="1">
      <c r="B340" s="966" t="s">
        <v>2653</v>
      </c>
      <c r="C340" s="965">
        <v>562000</v>
      </c>
      <c r="D340" s="965" t="s">
        <v>2248</v>
      </c>
      <c r="E340" s="965">
        <v>26112</v>
      </c>
      <c r="F340" s="965">
        <v>14752087000</v>
      </c>
      <c r="G340" s="965">
        <v>564000</v>
      </c>
      <c r="H340" s="965">
        <v>568000</v>
      </c>
      <c r="I340" s="965">
        <v>561000</v>
      </c>
      <c r="J340" s="965">
        <v>10599601</v>
      </c>
      <c r="K340" s="965">
        <v>18860500</v>
      </c>
    </row>
    <row r="341" spans="2:11" s="1259" customFormat="1" ht="13.5" hidden="1" customHeight="1" outlineLevel="1">
      <c r="B341" s="966" t="s">
        <v>2652</v>
      </c>
      <c r="C341" s="965">
        <v>563000</v>
      </c>
      <c r="D341" s="965" t="s">
        <v>2248</v>
      </c>
      <c r="E341" s="965">
        <v>11142</v>
      </c>
      <c r="F341" s="965">
        <v>6261242000</v>
      </c>
      <c r="G341" s="965">
        <v>563000</v>
      </c>
      <c r="H341" s="965">
        <v>565000</v>
      </c>
      <c r="I341" s="965">
        <v>560000</v>
      </c>
      <c r="J341" s="965">
        <v>10618462</v>
      </c>
      <c r="K341" s="965">
        <v>18860500</v>
      </c>
    </row>
    <row r="342" spans="2:11" s="1259" customFormat="1" ht="13.5" hidden="1" customHeight="1" outlineLevel="1">
      <c r="B342" s="966" t="s">
        <v>2651</v>
      </c>
      <c r="C342" s="965">
        <v>564000</v>
      </c>
      <c r="D342" s="965" t="s">
        <v>2242</v>
      </c>
      <c r="E342" s="965">
        <v>30836</v>
      </c>
      <c r="F342" s="965">
        <v>17310909878</v>
      </c>
      <c r="G342" s="965">
        <v>563000</v>
      </c>
      <c r="H342" s="965">
        <v>564000</v>
      </c>
      <c r="I342" s="965">
        <v>558000</v>
      </c>
      <c r="J342" s="965">
        <v>10637322</v>
      </c>
      <c r="K342" s="965">
        <v>18860500</v>
      </c>
    </row>
    <row r="343" spans="2:11" s="1259" customFormat="1" ht="13.5" hidden="1" customHeight="1" outlineLevel="1">
      <c r="B343" s="966" t="s">
        <v>2650</v>
      </c>
      <c r="C343" s="965">
        <v>566000</v>
      </c>
      <c r="D343" s="965" t="s">
        <v>2669</v>
      </c>
      <c r="E343" s="965">
        <v>32392</v>
      </c>
      <c r="F343" s="965">
        <v>18229257000</v>
      </c>
      <c r="G343" s="965">
        <v>564000</v>
      </c>
      <c r="H343" s="965">
        <v>566000</v>
      </c>
      <c r="I343" s="965">
        <v>558000</v>
      </c>
      <c r="J343" s="965">
        <v>10675043</v>
      </c>
      <c r="K343" s="965">
        <v>18860500</v>
      </c>
    </row>
    <row r="344" spans="2:11" s="1259" customFormat="1" ht="13.5" hidden="1" customHeight="1" outlineLevel="1">
      <c r="B344" s="966" t="s">
        <v>2648</v>
      </c>
      <c r="C344" s="965">
        <v>560000</v>
      </c>
      <c r="D344" s="965" t="s">
        <v>2248</v>
      </c>
      <c r="E344" s="965">
        <v>76128</v>
      </c>
      <c r="F344" s="965">
        <v>42380856000</v>
      </c>
      <c r="G344" s="965">
        <v>558000</v>
      </c>
      <c r="H344" s="965">
        <v>562000</v>
      </c>
      <c r="I344" s="965">
        <v>554000</v>
      </c>
      <c r="J344" s="965">
        <v>10561880</v>
      </c>
      <c r="K344" s="965">
        <v>18860500</v>
      </c>
    </row>
    <row r="345" spans="2:11" s="1259" customFormat="1" ht="13.5" hidden="1" customHeight="1" outlineLevel="1">
      <c r="B345" s="966" t="s">
        <v>2647</v>
      </c>
      <c r="C345" s="965">
        <v>561000</v>
      </c>
      <c r="D345" s="965" t="s">
        <v>2816</v>
      </c>
      <c r="E345" s="965">
        <v>65832</v>
      </c>
      <c r="F345" s="965">
        <v>37023526000</v>
      </c>
      <c r="G345" s="965">
        <v>571000</v>
      </c>
      <c r="H345" s="965">
        <v>572000</v>
      </c>
      <c r="I345" s="965">
        <v>560000</v>
      </c>
      <c r="J345" s="965">
        <v>10580740</v>
      </c>
      <c r="K345" s="965">
        <v>18860500</v>
      </c>
    </row>
    <row r="346" spans="2:11" s="1259" customFormat="1" ht="13.5" hidden="1" customHeight="1" outlineLevel="1">
      <c r="B346" s="966" t="s">
        <v>2646</v>
      </c>
      <c r="C346" s="965">
        <v>577000</v>
      </c>
      <c r="D346" s="965" t="s">
        <v>2786</v>
      </c>
      <c r="E346" s="965">
        <v>41302</v>
      </c>
      <c r="F346" s="965">
        <v>23759362000</v>
      </c>
      <c r="G346" s="965">
        <v>573000</v>
      </c>
      <c r="H346" s="965">
        <v>577000</v>
      </c>
      <c r="I346" s="965">
        <v>567000</v>
      </c>
      <c r="J346" s="965">
        <v>10882508</v>
      </c>
      <c r="K346" s="965">
        <v>18860500</v>
      </c>
    </row>
    <row r="347" spans="2:11" s="1259" customFormat="1" ht="13.5" hidden="1" customHeight="1" outlineLevel="1">
      <c r="B347" s="966" t="s">
        <v>2645</v>
      </c>
      <c r="C347" s="965">
        <v>567000</v>
      </c>
      <c r="D347" s="965" t="s">
        <v>2788</v>
      </c>
      <c r="E347" s="965">
        <v>25761</v>
      </c>
      <c r="F347" s="965">
        <v>14715049000</v>
      </c>
      <c r="G347" s="965">
        <v>575000</v>
      </c>
      <c r="H347" s="965">
        <v>580000</v>
      </c>
      <c r="I347" s="965">
        <v>567000</v>
      </c>
      <c r="J347" s="965">
        <v>10693904</v>
      </c>
      <c r="K347" s="965">
        <v>18860500</v>
      </c>
    </row>
    <row r="348" spans="2:11" s="1259" customFormat="1" ht="13.5" hidden="1" customHeight="1" outlineLevel="1">
      <c r="B348" s="966" t="s">
        <v>2643</v>
      </c>
      <c r="C348" s="965">
        <v>577000</v>
      </c>
      <c r="D348" s="965" t="s">
        <v>2775</v>
      </c>
      <c r="E348" s="965">
        <v>37034</v>
      </c>
      <c r="F348" s="965">
        <v>21253805000</v>
      </c>
      <c r="G348" s="965">
        <v>569000</v>
      </c>
      <c r="H348" s="965">
        <v>581000</v>
      </c>
      <c r="I348" s="965">
        <v>566000</v>
      </c>
      <c r="J348" s="965">
        <v>10882508</v>
      </c>
      <c r="K348" s="965">
        <v>18860500</v>
      </c>
    </row>
    <row r="349" spans="2:11" s="1259" customFormat="1" ht="13.5" hidden="1" customHeight="1" outlineLevel="1">
      <c r="B349" s="966" t="s">
        <v>2642</v>
      </c>
      <c r="C349" s="965">
        <v>568000</v>
      </c>
      <c r="D349" s="965" t="s">
        <v>2236</v>
      </c>
      <c r="E349" s="965">
        <v>26791</v>
      </c>
      <c r="F349" s="965">
        <v>15187630000</v>
      </c>
      <c r="G349" s="965">
        <v>569000</v>
      </c>
      <c r="H349" s="965">
        <v>569000</v>
      </c>
      <c r="I349" s="965">
        <v>565000</v>
      </c>
      <c r="J349" s="965">
        <v>10712764</v>
      </c>
      <c r="K349" s="965">
        <v>18860500</v>
      </c>
    </row>
    <row r="350" spans="2:11" s="1259" customFormat="1" ht="13.5" hidden="1" customHeight="1" outlineLevel="1">
      <c r="B350" s="966" t="s">
        <v>2640</v>
      </c>
      <c r="C350" s="965">
        <v>567000</v>
      </c>
      <c r="D350" s="965" t="s">
        <v>2670</v>
      </c>
      <c r="E350" s="965">
        <v>51882</v>
      </c>
      <c r="F350" s="965">
        <v>29377790000</v>
      </c>
      <c r="G350" s="965">
        <v>565000</v>
      </c>
      <c r="H350" s="965">
        <v>568000</v>
      </c>
      <c r="I350" s="965">
        <v>563000</v>
      </c>
      <c r="J350" s="965">
        <v>10693904</v>
      </c>
      <c r="K350" s="965">
        <v>18860500</v>
      </c>
    </row>
    <row r="351" spans="2:11" s="1259" customFormat="1" ht="13.5" hidden="1" customHeight="1" outlineLevel="1">
      <c r="B351" s="966" t="s">
        <v>2639</v>
      </c>
      <c r="C351" s="965">
        <v>562000</v>
      </c>
      <c r="D351" s="965" t="s">
        <v>2816</v>
      </c>
      <c r="E351" s="965">
        <v>98056</v>
      </c>
      <c r="F351" s="965">
        <v>55405563000</v>
      </c>
      <c r="G351" s="965">
        <v>576000</v>
      </c>
      <c r="H351" s="965">
        <v>578000</v>
      </c>
      <c r="I351" s="965">
        <v>562000</v>
      </c>
      <c r="J351" s="965">
        <v>10599601</v>
      </c>
      <c r="K351" s="965">
        <v>18860500</v>
      </c>
    </row>
    <row r="352" spans="2:11" s="1259" customFormat="1" ht="13.5" hidden="1" customHeight="1" outlineLevel="1">
      <c r="B352" s="966" t="s">
        <v>2637</v>
      </c>
      <c r="C352" s="965">
        <v>578000</v>
      </c>
      <c r="D352" s="965" t="s">
        <v>2811</v>
      </c>
      <c r="E352" s="965">
        <v>34920</v>
      </c>
      <c r="F352" s="965">
        <v>19997560960</v>
      </c>
      <c r="G352" s="965">
        <v>569000</v>
      </c>
      <c r="H352" s="965">
        <v>578000</v>
      </c>
      <c r="I352" s="965">
        <v>568000</v>
      </c>
      <c r="J352" s="965">
        <v>10901369</v>
      </c>
      <c r="K352" s="965">
        <v>18860500</v>
      </c>
    </row>
    <row r="353" spans="2:11" s="1259" customFormat="1" ht="13.5" hidden="1" customHeight="1" outlineLevel="1">
      <c r="B353" s="966" t="s">
        <v>2636</v>
      </c>
      <c r="C353" s="965">
        <v>567000</v>
      </c>
      <c r="D353" s="965" t="s">
        <v>2793</v>
      </c>
      <c r="E353" s="965">
        <v>73831</v>
      </c>
      <c r="F353" s="965">
        <v>42113165656</v>
      </c>
      <c r="G353" s="965">
        <v>576000</v>
      </c>
      <c r="H353" s="965">
        <v>576000</v>
      </c>
      <c r="I353" s="965">
        <v>567000</v>
      </c>
      <c r="J353" s="965">
        <v>10693904</v>
      </c>
      <c r="K353" s="965">
        <v>18860500</v>
      </c>
    </row>
    <row r="354" spans="2:11" s="1259" customFormat="1" ht="13.5" hidden="1" customHeight="1" outlineLevel="1">
      <c r="B354" s="966" t="s">
        <v>2635</v>
      </c>
      <c r="C354" s="965">
        <v>580000</v>
      </c>
      <c r="D354" s="965" t="s">
        <v>2276</v>
      </c>
      <c r="E354" s="965">
        <v>40896</v>
      </c>
      <c r="F354" s="965">
        <v>23805152000</v>
      </c>
      <c r="G354" s="965">
        <v>587000</v>
      </c>
      <c r="H354" s="965">
        <v>592000</v>
      </c>
      <c r="I354" s="965">
        <v>572000</v>
      </c>
      <c r="J354" s="965">
        <v>10939090</v>
      </c>
      <c r="K354" s="965">
        <v>18860500</v>
      </c>
    </row>
    <row r="355" spans="2:11" s="1259" customFormat="1" ht="13.5" hidden="1" customHeight="1" outlineLevel="1">
      <c r="B355" s="966" t="s">
        <v>2633</v>
      </c>
      <c r="C355" s="965">
        <v>584000</v>
      </c>
      <c r="D355" s="965" t="s">
        <v>2669</v>
      </c>
      <c r="E355" s="965">
        <v>41470</v>
      </c>
      <c r="F355" s="965">
        <v>24275122000</v>
      </c>
      <c r="G355" s="965">
        <v>585000</v>
      </c>
      <c r="H355" s="965">
        <v>590000</v>
      </c>
      <c r="I355" s="965">
        <v>578000</v>
      </c>
      <c r="J355" s="965">
        <v>11014532</v>
      </c>
      <c r="K355" s="965">
        <v>18860500</v>
      </c>
    </row>
    <row r="356" spans="2:11" s="1259" customFormat="1" ht="13.5" hidden="1" customHeight="1" outlineLevel="1">
      <c r="B356" s="966" t="s">
        <v>2632</v>
      </c>
      <c r="C356" s="965">
        <v>578000</v>
      </c>
      <c r="D356" s="965" t="s">
        <v>2236</v>
      </c>
      <c r="E356" s="965">
        <v>30321</v>
      </c>
      <c r="F356" s="965">
        <v>17454075000</v>
      </c>
      <c r="G356" s="965">
        <v>578000</v>
      </c>
      <c r="H356" s="965">
        <v>583000</v>
      </c>
      <c r="I356" s="965">
        <v>570000</v>
      </c>
      <c r="J356" s="965">
        <v>10901369</v>
      </c>
      <c r="K356" s="965">
        <v>18860500</v>
      </c>
    </row>
    <row r="357" spans="2:11" s="1259" customFormat="1" ht="13.5" hidden="1" customHeight="1" outlineLevel="1">
      <c r="B357" s="966" t="s">
        <v>2631</v>
      </c>
      <c r="C357" s="965">
        <v>577000</v>
      </c>
      <c r="D357" s="965" t="s">
        <v>2221</v>
      </c>
      <c r="E357" s="965">
        <v>56392</v>
      </c>
      <c r="F357" s="965">
        <v>32512654493</v>
      </c>
      <c r="G357" s="965">
        <v>580000</v>
      </c>
      <c r="H357" s="965">
        <v>582000</v>
      </c>
      <c r="I357" s="965">
        <v>564000</v>
      </c>
      <c r="J357" s="965">
        <v>10882508</v>
      </c>
      <c r="K357" s="965">
        <v>18860500</v>
      </c>
    </row>
    <row r="358" spans="2:11" s="1259" customFormat="1" ht="13.5" hidden="1" customHeight="1" outlineLevel="1">
      <c r="B358" s="966" t="s">
        <v>2630</v>
      </c>
      <c r="C358" s="965">
        <v>577000</v>
      </c>
      <c r="D358" s="965" t="s">
        <v>2288</v>
      </c>
      <c r="E358" s="965">
        <v>41990</v>
      </c>
      <c r="F358" s="965">
        <v>24250309559</v>
      </c>
      <c r="G358" s="965">
        <v>579000</v>
      </c>
      <c r="H358" s="965">
        <v>582000</v>
      </c>
      <c r="I358" s="965">
        <v>571000</v>
      </c>
      <c r="J358" s="965">
        <v>10882508</v>
      </c>
      <c r="K358" s="965">
        <v>18860500</v>
      </c>
    </row>
    <row r="359" spans="2:11" s="1259" customFormat="1" ht="13.5" hidden="1" customHeight="1" outlineLevel="1">
      <c r="B359" s="966" t="s">
        <v>2629</v>
      </c>
      <c r="C359" s="965">
        <v>575000</v>
      </c>
      <c r="D359" s="965" t="s">
        <v>2669</v>
      </c>
      <c r="E359" s="965">
        <v>28612</v>
      </c>
      <c r="F359" s="965">
        <v>16477710000</v>
      </c>
      <c r="G359" s="965">
        <v>569000</v>
      </c>
      <c r="H359" s="965">
        <v>579000</v>
      </c>
      <c r="I359" s="965">
        <v>568000</v>
      </c>
      <c r="J359" s="965">
        <v>10844788</v>
      </c>
      <c r="K359" s="965">
        <v>18860500</v>
      </c>
    </row>
    <row r="360" spans="2:11" s="1259" customFormat="1" ht="13.5" hidden="1" customHeight="1" outlineLevel="1">
      <c r="B360" s="966" t="s">
        <v>2628</v>
      </c>
      <c r="C360" s="965">
        <v>569000</v>
      </c>
      <c r="D360" s="965" t="s">
        <v>2666</v>
      </c>
      <c r="E360" s="965">
        <v>39871</v>
      </c>
      <c r="F360" s="965">
        <v>22522383000</v>
      </c>
      <c r="G360" s="965">
        <v>566000</v>
      </c>
      <c r="H360" s="965">
        <v>570000</v>
      </c>
      <c r="I360" s="965">
        <v>562000</v>
      </c>
      <c r="J360" s="965">
        <v>10731624</v>
      </c>
      <c r="K360" s="965">
        <v>18860500</v>
      </c>
    </row>
    <row r="361" spans="2:11" s="1259" customFormat="1" ht="13.5" hidden="1" customHeight="1" outlineLevel="1">
      <c r="B361" s="966" t="s">
        <v>2626</v>
      </c>
      <c r="C361" s="965">
        <v>565000</v>
      </c>
      <c r="D361" s="965" t="s">
        <v>2670</v>
      </c>
      <c r="E361" s="965">
        <v>68397</v>
      </c>
      <c r="F361" s="965">
        <v>38867198000</v>
      </c>
      <c r="G361" s="965">
        <v>568000</v>
      </c>
      <c r="H361" s="965">
        <v>572000</v>
      </c>
      <c r="I361" s="965">
        <v>562000</v>
      </c>
      <c r="J361" s="965">
        <v>10656182</v>
      </c>
      <c r="K361" s="965">
        <v>18860500</v>
      </c>
    </row>
    <row r="362" spans="2:11" s="1259" customFormat="1" ht="13.5" hidden="1" customHeight="1" outlineLevel="1">
      <c r="B362" s="966" t="s">
        <v>2624</v>
      </c>
      <c r="C362" s="965">
        <v>560000</v>
      </c>
      <c r="D362" s="965" t="s">
        <v>2221</v>
      </c>
      <c r="E362" s="965">
        <v>40000</v>
      </c>
      <c r="F362" s="965">
        <v>22481288000</v>
      </c>
      <c r="G362" s="965">
        <v>561000</v>
      </c>
      <c r="H362" s="965">
        <v>565000</v>
      </c>
      <c r="I362" s="965">
        <v>560000</v>
      </c>
      <c r="J362" s="965">
        <v>10561880</v>
      </c>
      <c r="K362" s="965">
        <v>18860500</v>
      </c>
    </row>
    <row r="363" spans="2:11" s="1259" customFormat="1" ht="13.5" hidden="1" customHeight="1" outlineLevel="1">
      <c r="B363" s="966" t="s">
        <v>2623</v>
      </c>
      <c r="C363" s="965">
        <v>560000</v>
      </c>
      <c r="D363" s="965" t="s">
        <v>2248</v>
      </c>
      <c r="E363" s="965">
        <v>62120</v>
      </c>
      <c r="F363" s="965">
        <v>35022365000</v>
      </c>
      <c r="G363" s="965">
        <v>570000</v>
      </c>
      <c r="H363" s="965">
        <v>570000</v>
      </c>
      <c r="I363" s="965">
        <v>560000</v>
      </c>
      <c r="J363" s="965">
        <v>10561880</v>
      </c>
      <c r="K363" s="965">
        <v>18860500</v>
      </c>
    </row>
    <row r="364" spans="2:11" s="1259" customFormat="1" ht="13.5" hidden="1" customHeight="1" outlineLevel="1">
      <c r="B364" s="966" t="s">
        <v>2621</v>
      </c>
      <c r="C364" s="965">
        <v>561000</v>
      </c>
      <c r="D364" s="965" t="s">
        <v>2236</v>
      </c>
      <c r="E364" s="965">
        <v>55452</v>
      </c>
      <c r="F364" s="965">
        <v>31350519000</v>
      </c>
      <c r="G364" s="965">
        <v>567000</v>
      </c>
      <c r="H364" s="965">
        <v>570000</v>
      </c>
      <c r="I364" s="965">
        <v>561000</v>
      </c>
      <c r="J364" s="965">
        <v>10580740</v>
      </c>
      <c r="K364" s="965">
        <v>18860500</v>
      </c>
    </row>
    <row r="365" spans="2:11" s="1259" customFormat="1" ht="13.5" hidden="1" customHeight="1" outlineLevel="1">
      <c r="B365" s="966" t="s">
        <v>2619</v>
      </c>
      <c r="C365" s="965">
        <v>560000</v>
      </c>
      <c r="D365" s="965" t="s">
        <v>2668</v>
      </c>
      <c r="E365" s="965">
        <v>95952</v>
      </c>
      <c r="F365" s="965">
        <v>54368936016</v>
      </c>
      <c r="G365" s="965">
        <v>562000</v>
      </c>
      <c r="H365" s="965">
        <v>570000</v>
      </c>
      <c r="I365" s="965">
        <v>560000</v>
      </c>
      <c r="J365" s="965">
        <v>10561880</v>
      </c>
      <c r="K365" s="965">
        <v>18860500</v>
      </c>
    </row>
    <row r="366" spans="2:11" s="1259" customFormat="1" ht="13.5" hidden="1" customHeight="1" outlineLevel="1">
      <c r="B366" s="966" t="s">
        <v>2618</v>
      </c>
      <c r="C366" s="965">
        <v>547000</v>
      </c>
      <c r="D366" s="965" t="s">
        <v>2803</v>
      </c>
      <c r="E366" s="965">
        <v>124432</v>
      </c>
      <c r="F366" s="965">
        <v>69540733000</v>
      </c>
      <c r="G366" s="965">
        <v>566000</v>
      </c>
      <c r="H366" s="965">
        <v>576000</v>
      </c>
      <c r="I366" s="965">
        <v>547000</v>
      </c>
      <c r="J366" s="965">
        <v>10316694</v>
      </c>
      <c r="K366" s="965">
        <v>18860500</v>
      </c>
    </row>
    <row r="367" spans="2:11" s="1259" customFormat="1" ht="13.5" hidden="1" customHeight="1" outlineLevel="1">
      <c r="B367" s="966" t="s">
        <v>2617</v>
      </c>
      <c r="C367" s="965">
        <v>566000</v>
      </c>
      <c r="D367" s="965" t="s">
        <v>2236</v>
      </c>
      <c r="E367" s="965">
        <v>51202</v>
      </c>
      <c r="F367" s="965">
        <v>28973012798</v>
      </c>
      <c r="G367" s="965">
        <v>567000</v>
      </c>
      <c r="H367" s="965">
        <v>569000</v>
      </c>
      <c r="I367" s="965">
        <v>563000</v>
      </c>
      <c r="J367" s="965">
        <v>10675043</v>
      </c>
      <c r="K367" s="965">
        <v>18860500</v>
      </c>
    </row>
    <row r="368" spans="2:11" s="1259" customFormat="1" ht="13.5" hidden="1" customHeight="1" outlineLevel="1">
      <c r="B368" s="966" t="s">
        <v>2616</v>
      </c>
      <c r="C368" s="965">
        <v>565000</v>
      </c>
      <c r="D368" s="965" t="s">
        <v>2288</v>
      </c>
      <c r="E368" s="965">
        <v>78016</v>
      </c>
      <c r="F368" s="965">
        <v>43902923000</v>
      </c>
      <c r="G368" s="965">
        <v>561000</v>
      </c>
      <c r="H368" s="965">
        <v>566000</v>
      </c>
      <c r="I368" s="965">
        <v>558000</v>
      </c>
      <c r="J368" s="965">
        <v>10656182</v>
      </c>
      <c r="K368" s="965">
        <v>18860500</v>
      </c>
    </row>
    <row r="369" spans="2:11" s="1259" customFormat="1" ht="13.5" hidden="1" customHeight="1" outlineLevel="1">
      <c r="B369" s="966" t="s">
        <v>2615</v>
      </c>
      <c r="C369" s="965">
        <v>563000</v>
      </c>
      <c r="D369" s="965" t="s">
        <v>2822</v>
      </c>
      <c r="E369" s="965">
        <v>82958</v>
      </c>
      <c r="F369" s="965">
        <v>47119987000</v>
      </c>
      <c r="G369" s="965">
        <v>577000</v>
      </c>
      <c r="H369" s="965">
        <v>580000</v>
      </c>
      <c r="I369" s="965">
        <v>561000</v>
      </c>
      <c r="J369" s="965">
        <v>10618462</v>
      </c>
      <c r="K369" s="965">
        <v>18860500</v>
      </c>
    </row>
    <row r="370" spans="2:11" s="1259" customFormat="1" ht="13.5" hidden="1" customHeight="1" outlineLevel="1">
      <c r="B370" s="966" t="s">
        <v>2614</v>
      </c>
      <c r="C370" s="965">
        <v>578000</v>
      </c>
      <c r="D370" s="965" t="s">
        <v>2242</v>
      </c>
      <c r="E370" s="965">
        <v>59479</v>
      </c>
      <c r="F370" s="965">
        <v>34433498195</v>
      </c>
      <c r="G370" s="965">
        <v>576000</v>
      </c>
      <c r="H370" s="965">
        <v>585000</v>
      </c>
      <c r="I370" s="965">
        <v>574000</v>
      </c>
      <c r="J370" s="965">
        <v>10901369</v>
      </c>
      <c r="K370" s="965">
        <v>18860500</v>
      </c>
    </row>
    <row r="371" spans="2:11" s="1259" customFormat="1" ht="13.5" hidden="1" customHeight="1" outlineLevel="1">
      <c r="B371" s="966" t="s">
        <v>2613</v>
      </c>
      <c r="C371" s="965">
        <v>580000</v>
      </c>
      <c r="D371" s="965" t="s">
        <v>2275</v>
      </c>
      <c r="E371" s="965">
        <v>30621</v>
      </c>
      <c r="F371" s="965">
        <v>17810588000</v>
      </c>
      <c r="G371" s="965">
        <v>584000</v>
      </c>
      <c r="H371" s="965">
        <v>586000</v>
      </c>
      <c r="I371" s="965">
        <v>578000</v>
      </c>
      <c r="J371" s="965">
        <v>10939090</v>
      </c>
      <c r="K371" s="965">
        <v>18860500</v>
      </c>
    </row>
    <row r="372" spans="2:11" s="1259" customFormat="1" ht="13.5" hidden="1" customHeight="1" outlineLevel="1">
      <c r="B372" s="966" t="s">
        <v>2612</v>
      </c>
      <c r="C372" s="965">
        <v>585000</v>
      </c>
      <c r="D372" s="965" t="s">
        <v>2288</v>
      </c>
      <c r="E372" s="965">
        <v>39282</v>
      </c>
      <c r="F372" s="965">
        <v>23129113000</v>
      </c>
      <c r="G372" s="965">
        <v>579000</v>
      </c>
      <c r="H372" s="965">
        <v>597000</v>
      </c>
      <c r="I372" s="965">
        <v>579000</v>
      </c>
      <c r="J372" s="965">
        <v>11033392</v>
      </c>
      <c r="K372" s="965">
        <v>18860500</v>
      </c>
    </row>
    <row r="373" spans="2:11" s="1259" customFormat="1" ht="13.5" hidden="1" customHeight="1" outlineLevel="1">
      <c r="B373" s="966" t="s">
        <v>2611</v>
      </c>
      <c r="C373" s="965">
        <v>583000</v>
      </c>
      <c r="D373" s="965" t="s">
        <v>2277</v>
      </c>
      <c r="E373" s="965">
        <v>29752</v>
      </c>
      <c r="F373" s="965">
        <v>17235772388</v>
      </c>
      <c r="G373" s="965">
        <v>581000</v>
      </c>
      <c r="H373" s="965">
        <v>586000</v>
      </c>
      <c r="I373" s="965">
        <v>570000</v>
      </c>
      <c r="J373" s="965">
        <v>10995672</v>
      </c>
      <c r="K373" s="965">
        <v>18860500</v>
      </c>
    </row>
    <row r="374" spans="2:11" s="1259" customFormat="1" ht="13.5" hidden="1" customHeight="1" outlineLevel="1">
      <c r="B374" s="966" t="s">
        <v>2610</v>
      </c>
      <c r="C374" s="965">
        <v>580000</v>
      </c>
      <c r="D374" s="965" t="s">
        <v>2775</v>
      </c>
      <c r="E374" s="965">
        <v>35657</v>
      </c>
      <c r="F374" s="965">
        <v>20788484000</v>
      </c>
      <c r="G374" s="965">
        <v>573000</v>
      </c>
      <c r="H374" s="965">
        <v>588000</v>
      </c>
      <c r="I374" s="965">
        <v>571000</v>
      </c>
      <c r="J374" s="965">
        <v>10939090</v>
      </c>
      <c r="K374" s="965">
        <v>18860500</v>
      </c>
    </row>
    <row r="375" spans="2:11" ht="15" collapsed="1" thickBot="1">
      <c r="B375" s="960" t="s">
        <v>2826</v>
      </c>
      <c r="C375" s="959"/>
      <c r="D375" s="961"/>
      <c r="E375" s="959"/>
      <c r="F375" s="959"/>
      <c r="G375" s="959"/>
      <c r="H375" s="959"/>
      <c r="I375" s="959"/>
      <c r="J375" s="960">
        <f>AVERAGE(J127:J223)</f>
        <v>3100420.0412371135</v>
      </c>
      <c r="K375" s="959"/>
    </row>
    <row r="377" spans="2:11">
      <c r="B377" s="971" t="s">
        <v>2825</v>
      </c>
    </row>
    <row r="378" spans="2:11" hidden="1" outlineLevel="1"/>
    <row r="379" spans="2:11" ht="16" hidden="1" outlineLevel="1">
      <c r="B379" s="969" t="s">
        <v>1839</v>
      </c>
      <c r="C379" s="969" t="s">
        <v>1838</v>
      </c>
      <c r="D379" s="970" t="s">
        <v>1837</v>
      </c>
      <c r="E379" s="969" t="s">
        <v>1836</v>
      </c>
      <c r="F379" s="969" t="s">
        <v>1835</v>
      </c>
      <c r="G379" s="969" t="s">
        <v>1834</v>
      </c>
      <c r="H379" s="969" t="s">
        <v>1833</v>
      </c>
      <c r="I379" s="969" t="s">
        <v>1832</v>
      </c>
      <c r="J379" s="969" t="s">
        <v>1785</v>
      </c>
      <c r="K379" s="969" t="s">
        <v>1831</v>
      </c>
    </row>
    <row r="380" spans="2:11" ht="16" hidden="1" outlineLevel="1">
      <c r="B380" s="968" t="s">
        <v>1830</v>
      </c>
      <c r="C380" s="967">
        <v>424000</v>
      </c>
      <c r="D380" s="967" t="s">
        <v>1841</v>
      </c>
      <c r="E380" s="972">
        <v>70023</v>
      </c>
      <c r="F380" s="967">
        <v>29469606000</v>
      </c>
      <c r="G380" s="967">
        <v>429000</v>
      </c>
      <c r="H380" s="967">
        <v>431000</v>
      </c>
      <c r="I380" s="967">
        <v>413000</v>
      </c>
      <c r="J380" s="967">
        <v>12314391</v>
      </c>
      <c r="K380" s="967">
        <v>29043374</v>
      </c>
    </row>
    <row r="381" spans="2:11" ht="16" hidden="1" outlineLevel="1">
      <c r="B381" s="968" t="s">
        <v>1828</v>
      </c>
      <c r="C381" s="967">
        <v>420500</v>
      </c>
      <c r="D381" s="967" t="s">
        <v>1857</v>
      </c>
      <c r="E381" s="972">
        <v>106191</v>
      </c>
      <c r="F381" s="967">
        <v>45414600228</v>
      </c>
      <c r="G381" s="967">
        <v>419500</v>
      </c>
      <c r="H381" s="967">
        <v>435000</v>
      </c>
      <c r="I381" s="967">
        <v>413500</v>
      </c>
      <c r="J381" s="967">
        <v>12212739</v>
      </c>
      <c r="K381" s="967">
        <v>29043374</v>
      </c>
    </row>
    <row r="382" spans="2:11" ht="16" hidden="1" outlineLevel="1">
      <c r="B382" s="968" t="s">
        <v>1827</v>
      </c>
      <c r="C382" s="967">
        <v>418500</v>
      </c>
      <c r="D382" s="967" t="s">
        <v>1856</v>
      </c>
      <c r="E382" s="972">
        <v>86980</v>
      </c>
      <c r="F382" s="967">
        <v>35816811500</v>
      </c>
      <c r="G382" s="967">
        <v>404000</v>
      </c>
      <c r="H382" s="967">
        <v>419000</v>
      </c>
      <c r="I382" s="967">
        <v>403000</v>
      </c>
      <c r="J382" s="967">
        <v>12154652</v>
      </c>
      <c r="K382" s="967">
        <v>29043374</v>
      </c>
    </row>
    <row r="383" spans="2:11" ht="16" hidden="1" outlineLevel="1">
      <c r="B383" s="968" t="s">
        <v>1825</v>
      </c>
      <c r="C383" s="967">
        <v>404000</v>
      </c>
      <c r="D383" s="967" t="s">
        <v>1855</v>
      </c>
      <c r="E383" s="972">
        <v>67479</v>
      </c>
      <c r="F383" s="967">
        <v>27154586000</v>
      </c>
      <c r="G383" s="967">
        <v>394500</v>
      </c>
      <c r="H383" s="967">
        <v>405000</v>
      </c>
      <c r="I383" s="967">
        <v>394500</v>
      </c>
      <c r="J383" s="967">
        <v>11733523</v>
      </c>
      <c r="K383" s="967">
        <v>29043374</v>
      </c>
    </row>
    <row r="384" spans="2:11" ht="16" hidden="1" outlineLevel="1">
      <c r="B384" s="968" t="s">
        <v>1823</v>
      </c>
      <c r="C384" s="967">
        <v>394500</v>
      </c>
      <c r="D384" s="967" t="s">
        <v>1842</v>
      </c>
      <c r="E384" s="972">
        <v>41880</v>
      </c>
      <c r="F384" s="967">
        <v>16510470000</v>
      </c>
      <c r="G384" s="967">
        <v>392500</v>
      </c>
      <c r="H384" s="967">
        <v>398000</v>
      </c>
      <c r="I384" s="967">
        <v>391500</v>
      </c>
      <c r="J384" s="967">
        <v>11457611</v>
      </c>
      <c r="K384" s="967">
        <v>29043374</v>
      </c>
    </row>
    <row r="385" spans="2:11" ht="16" hidden="1" outlineLevel="1">
      <c r="B385" s="968" t="s">
        <v>1821</v>
      </c>
      <c r="C385" s="967">
        <v>391500</v>
      </c>
      <c r="D385" s="967" t="s">
        <v>1820</v>
      </c>
      <c r="E385" s="967">
        <v>77325</v>
      </c>
      <c r="F385" s="967">
        <v>30294035500</v>
      </c>
      <c r="G385" s="967">
        <v>397000</v>
      </c>
      <c r="H385" s="967">
        <v>397000</v>
      </c>
      <c r="I385" s="967">
        <v>385500</v>
      </c>
      <c r="J385" s="967">
        <v>11370481</v>
      </c>
      <c r="K385" s="967">
        <v>29043374</v>
      </c>
    </row>
    <row r="386" spans="2:11" ht="16" hidden="1" outlineLevel="1">
      <c r="B386" s="968" t="s">
        <v>1819</v>
      </c>
      <c r="C386" s="967">
        <v>395500</v>
      </c>
      <c r="D386" s="967" t="s">
        <v>1854</v>
      </c>
      <c r="E386" s="967">
        <v>77984</v>
      </c>
      <c r="F386" s="967">
        <v>30750337000</v>
      </c>
      <c r="G386" s="967">
        <v>391000</v>
      </c>
      <c r="H386" s="967">
        <v>400500</v>
      </c>
      <c r="I386" s="967">
        <v>387000</v>
      </c>
      <c r="J386" s="967">
        <v>11486654</v>
      </c>
      <c r="K386" s="967">
        <v>29043374</v>
      </c>
    </row>
    <row r="387" spans="2:11" ht="16" hidden="1" outlineLevel="1">
      <c r="B387" s="968" t="s">
        <v>1817</v>
      </c>
      <c r="C387" s="967">
        <v>389000</v>
      </c>
      <c r="D387" s="967" t="s">
        <v>1854</v>
      </c>
      <c r="E387" s="967">
        <v>43244</v>
      </c>
      <c r="F387" s="967">
        <v>16777260500</v>
      </c>
      <c r="G387" s="967">
        <v>384500</v>
      </c>
      <c r="H387" s="967">
        <v>391000</v>
      </c>
      <c r="I387" s="967">
        <v>383000</v>
      </c>
      <c r="J387" s="967">
        <v>11297872</v>
      </c>
      <c r="K387" s="967">
        <v>29043374</v>
      </c>
    </row>
    <row r="388" spans="2:11" ht="16" hidden="1" outlineLevel="1">
      <c r="B388" s="968" t="s">
        <v>1815</v>
      </c>
      <c r="C388" s="967">
        <v>382500</v>
      </c>
      <c r="D388" s="967" t="s">
        <v>1845</v>
      </c>
      <c r="E388" s="967">
        <v>47688</v>
      </c>
      <c r="F388" s="967">
        <v>18356825000</v>
      </c>
      <c r="G388" s="967">
        <v>386500</v>
      </c>
      <c r="H388" s="967">
        <v>388000</v>
      </c>
      <c r="I388" s="967">
        <v>382500</v>
      </c>
      <c r="J388" s="967">
        <v>11109091</v>
      </c>
      <c r="K388" s="967">
        <v>29043374</v>
      </c>
    </row>
    <row r="389" spans="2:11" ht="16" hidden="1" outlineLevel="1">
      <c r="B389" s="968" t="s">
        <v>1813</v>
      </c>
      <c r="C389" s="967">
        <v>391000</v>
      </c>
      <c r="D389" s="967" t="s">
        <v>1847</v>
      </c>
      <c r="E389" s="967">
        <v>94721</v>
      </c>
      <c r="F389" s="967">
        <v>36889603000</v>
      </c>
      <c r="G389" s="967">
        <v>394500</v>
      </c>
      <c r="H389" s="967">
        <v>397000</v>
      </c>
      <c r="I389" s="967">
        <v>385500</v>
      </c>
      <c r="J389" s="967">
        <v>11355959</v>
      </c>
      <c r="K389" s="967">
        <v>29043374</v>
      </c>
    </row>
    <row r="390" spans="2:11" ht="16" hidden="1" outlineLevel="1">
      <c r="B390" s="968" t="s">
        <v>1812</v>
      </c>
      <c r="C390" s="967">
        <v>397000</v>
      </c>
      <c r="D390" s="967" t="s">
        <v>1853</v>
      </c>
      <c r="E390" s="967">
        <v>45785</v>
      </c>
      <c r="F390" s="967">
        <v>18079852000</v>
      </c>
      <c r="G390" s="967">
        <v>398000</v>
      </c>
      <c r="H390" s="967">
        <v>400500</v>
      </c>
      <c r="I390" s="967">
        <v>389000</v>
      </c>
      <c r="J390" s="967">
        <v>11530219</v>
      </c>
      <c r="K390" s="967">
        <v>29043374</v>
      </c>
    </row>
    <row r="391" spans="2:11" ht="16" hidden="1" outlineLevel="1">
      <c r="B391" s="968" t="s">
        <v>1810</v>
      </c>
      <c r="C391" s="967">
        <v>396000</v>
      </c>
      <c r="D391" s="967" t="s">
        <v>1852</v>
      </c>
      <c r="E391" s="967">
        <v>65741</v>
      </c>
      <c r="F391" s="967">
        <v>25910431000</v>
      </c>
      <c r="G391" s="967">
        <v>390000</v>
      </c>
      <c r="H391" s="967">
        <v>397500</v>
      </c>
      <c r="I391" s="967">
        <v>387500</v>
      </c>
      <c r="J391" s="967">
        <v>11501176</v>
      </c>
      <c r="K391" s="967">
        <v>29043374</v>
      </c>
    </row>
    <row r="392" spans="2:11" ht="16" hidden="1" outlineLevel="1">
      <c r="B392" s="968" t="s">
        <v>1809</v>
      </c>
      <c r="C392" s="967">
        <v>385500</v>
      </c>
      <c r="D392" s="967" t="s">
        <v>1845</v>
      </c>
      <c r="E392" s="967">
        <v>48421</v>
      </c>
      <c r="F392" s="967">
        <v>18725485000</v>
      </c>
      <c r="G392" s="967">
        <v>393500</v>
      </c>
      <c r="H392" s="967">
        <v>393500</v>
      </c>
      <c r="I392" s="967">
        <v>382000</v>
      </c>
      <c r="J392" s="967">
        <v>11196221</v>
      </c>
      <c r="K392" s="967">
        <v>29043374</v>
      </c>
    </row>
    <row r="393" spans="2:11" ht="16" hidden="1" outlineLevel="1">
      <c r="B393" s="968" t="s">
        <v>1807</v>
      </c>
      <c r="C393" s="967">
        <v>394000</v>
      </c>
      <c r="D393" s="967" t="s">
        <v>1851</v>
      </c>
      <c r="E393" s="967">
        <v>76965</v>
      </c>
      <c r="F393" s="967">
        <v>29833569000</v>
      </c>
      <c r="G393" s="967">
        <v>385500</v>
      </c>
      <c r="H393" s="967">
        <v>395000</v>
      </c>
      <c r="I393" s="967">
        <v>382500</v>
      </c>
      <c r="J393" s="967">
        <v>11443089</v>
      </c>
      <c r="K393" s="967">
        <v>29043374</v>
      </c>
    </row>
    <row r="394" spans="2:11" ht="16" hidden="1" outlineLevel="1">
      <c r="B394" s="968" t="s">
        <v>1805</v>
      </c>
      <c r="C394" s="967">
        <v>380000</v>
      </c>
      <c r="D394" s="967" t="s">
        <v>1820</v>
      </c>
      <c r="E394" s="967">
        <v>55885</v>
      </c>
      <c r="F394" s="967">
        <v>21311039500</v>
      </c>
      <c r="G394" s="967">
        <v>379000</v>
      </c>
      <c r="H394" s="967">
        <v>387000</v>
      </c>
      <c r="I394" s="967">
        <v>378000</v>
      </c>
      <c r="J394" s="967">
        <v>11036482</v>
      </c>
      <c r="K394" s="967">
        <v>29043374</v>
      </c>
    </row>
    <row r="395" spans="2:11" ht="16" hidden="1" outlineLevel="1">
      <c r="B395" s="968" t="s">
        <v>1803</v>
      </c>
      <c r="C395" s="967">
        <v>384000</v>
      </c>
      <c r="D395" s="967" t="s">
        <v>1843</v>
      </c>
      <c r="E395" s="967">
        <v>157886</v>
      </c>
      <c r="F395" s="967">
        <v>59913747500</v>
      </c>
      <c r="G395" s="967">
        <v>377000</v>
      </c>
      <c r="H395" s="967">
        <v>387000</v>
      </c>
      <c r="I395" s="967">
        <v>375000</v>
      </c>
      <c r="J395" s="967">
        <v>11152656</v>
      </c>
      <c r="K395" s="967">
        <v>29043374</v>
      </c>
    </row>
    <row r="396" spans="2:11" ht="16" hidden="1" outlineLevel="1">
      <c r="B396" s="968" t="s">
        <v>1801</v>
      </c>
      <c r="C396" s="967">
        <v>376000</v>
      </c>
      <c r="D396" s="967" t="s">
        <v>1843</v>
      </c>
      <c r="E396" s="967">
        <v>69501</v>
      </c>
      <c r="F396" s="967">
        <v>26091619500</v>
      </c>
      <c r="G396" s="967">
        <v>373000</v>
      </c>
      <c r="H396" s="967">
        <v>381500</v>
      </c>
      <c r="I396" s="967">
        <v>369500</v>
      </c>
      <c r="J396" s="967">
        <v>10920309</v>
      </c>
      <c r="K396" s="967">
        <v>29043374</v>
      </c>
    </row>
    <row r="397" spans="2:11" ht="16" hidden="1" outlineLevel="1">
      <c r="B397" s="968" t="s">
        <v>1799</v>
      </c>
      <c r="C397" s="967">
        <v>368000</v>
      </c>
      <c r="D397" s="967" t="s">
        <v>1850</v>
      </c>
      <c r="E397" s="967">
        <v>63501</v>
      </c>
      <c r="F397" s="967">
        <v>23461977500</v>
      </c>
      <c r="G397" s="967">
        <v>381500</v>
      </c>
      <c r="H397" s="967">
        <v>383000</v>
      </c>
      <c r="I397" s="967">
        <v>363000</v>
      </c>
      <c r="J397" s="967">
        <v>10687962</v>
      </c>
      <c r="K397" s="967">
        <v>29043374</v>
      </c>
    </row>
    <row r="398" spans="2:11" ht="16" hidden="1" outlineLevel="1">
      <c r="B398" s="968" t="s">
        <v>1797</v>
      </c>
      <c r="C398" s="967">
        <v>383000</v>
      </c>
      <c r="D398" s="967" t="s">
        <v>1849</v>
      </c>
      <c r="E398" s="967">
        <v>114478</v>
      </c>
      <c r="F398" s="967">
        <v>43214642500</v>
      </c>
      <c r="G398" s="967">
        <v>387500</v>
      </c>
      <c r="H398" s="967">
        <v>389500</v>
      </c>
      <c r="I398" s="967">
        <v>369500</v>
      </c>
      <c r="J398" s="967">
        <v>11123612</v>
      </c>
      <c r="K398" s="967">
        <v>29043374</v>
      </c>
    </row>
    <row r="399" spans="2:11" ht="16" hidden="1" outlineLevel="1">
      <c r="B399" s="968" t="s">
        <v>1795</v>
      </c>
      <c r="C399" s="967">
        <v>402000</v>
      </c>
      <c r="D399" s="967" t="s">
        <v>1822</v>
      </c>
      <c r="E399" s="967">
        <v>67853</v>
      </c>
      <c r="F399" s="967">
        <v>26930706500</v>
      </c>
      <c r="G399" s="967">
        <v>398000</v>
      </c>
      <c r="H399" s="967">
        <v>403000</v>
      </c>
      <c r="I399" s="967">
        <v>389000</v>
      </c>
      <c r="J399" s="967">
        <v>11675436</v>
      </c>
      <c r="K399" s="967">
        <v>29043374</v>
      </c>
    </row>
    <row r="400" spans="2:11" ht="16" hidden="1" outlineLevel="1">
      <c r="B400" s="968" t="s">
        <v>1793</v>
      </c>
      <c r="C400" s="967">
        <v>403000</v>
      </c>
      <c r="D400" s="967" t="s">
        <v>1848</v>
      </c>
      <c r="E400" s="967">
        <v>117593</v>
      </c>
      <c r="F400" s="967">
        <v>46844727000</v>
      </c>
      <c r="G400" s="967">
        <v>390000</v>
      </c>
      <c r="H400" s="967">
        <v>404500</v>
      </c>
      <c r="I400" s="967">
        <v>387000</v>
      </c>
      <c r="J400" s="967">
        <v>11704480</v>
      </c>
      <c r="K400" s="967">
        <v>29043374</v>
      </c>
    </row>
    <row r="401" spans="2:11" ht="16" hidden="1" outlineLevel="1">
      <c r="B401" s="968" t="s">
        <v>1791</v>
      </c>
      <c r="C401" s="967">
        <v>386000</v>
      </c>
      <c r="D401" s="967" t="s">
        <v>1847</v>
      </c>
      <c r="E401" s="967">
        <v>62182</v>
      </c>
      <c r="F401" s="967">
        <v>23945017000</v>
      </c>
      <c r="G401" s="967">
        <v>392000</v>
      </c>
      <c r="H401" s="967">
        <v>392500</v>
      </c>
      <c r="I401" s="967">
        <v>381000</v>
      </c>
      <c r="J401" s="967">
        <v>11210742</v>
      </c>
      <c r="K401" s="967">
        <v>29043374</v>
      </c>
    </row>
    <row r="402" spans="2:11" s="1259" customFormat="1" ht="13.5" hidden="1" customHeight="1" outlineLevel="1">
      <c r="B402" s="968" t="s">
        <v>2607</v>
      </c>
      <c r="C402" s="967">
        <v>392000</v>
      </c>
      <c r="D402" s="967" t="s">
        <v>2824</v>
      </c>
      <c r="E402" s="967">
        <v>88806</v>
      </c>
      <c r="F402" s="967">
        <v>34469714500</v>
      </c>
      <c r="G402" s="967">
        <v>381000</v>
      </c>
      <c r="H402" s="967">
        <v>392000</v>
      </c>
      <c r="I402" s="967">
        <v>374000</v>
      </c>
      <c r="J402" s="967">
        <v>11385003</v>
      </c>
      <c r="K402" s="967">
        <v>29043374</v>
      </c>
    </row>
    <row r="403" spans="2:11" s="1259" customFormat="1" ht="13.5" hidden="1" customHeight="1" outlineLevel="1">
      <c r="B403" s="968" t="s">
        <v>2605</v>
      </c>
      <c r="C403" s="967">
        <v>373000</v>
      </c>
      <c r="D403" s="967" t="s">
        <v>2669</v>
      </c>
      <c r="E403" s="967">
        <v>93623</v>
      </c>
      <c r="F403" s="967">
        <v>34970797500</v>
      </c>
      <c r="G403" s="967">
        <v>371000</v>
      </c>
      <c r="H403" s="967">
        <v>378500</v>
      </c>
      <c r="I403" s="967">
        <v>364500</v>
      </c>
      <c r="J403" s="967">
        <v>10833179</v>
      </c>
      <c r="K403" s="967">
        <v>29043374</v>
      </c>
    </row>
    <row r="404" spans="2:11" s="1259" customFormat="1" ht="13.5" hidden="1" customHeight="1" outlineLevel="1">
      <c r="B404" s="968" t="s">
        <v>2603</v>
      </c>
      <c r="C404" s="967">
        <v>367000</v>
      </c>
      <c r="D404" s="967" t="s">
        <v>2802</v>
      </c>
      <c r="E404" s="967">
        <v>129801</v>
      </c>
      <c r="F404" s="967">
        <v>47982909500</v>
      </c>
      <c r="G404" s="967">
        <v>375000</v>
      </c>
      <c r="H404" s="967">
        <v>377500</v>
      </c>
      <c r="I404" s="967">
        <v>361500</v>
      </c>
      <c r="J404" s="967">
        <v>10658918</v>
      </c>
      <c r="K404" s="967">
        <v>29043374</v>
      </c>
    </row>
    <row r="405" spans="2:11" s="1259" customFormat="1" ht="13.5" hidden="1" customHeight="1" outlineLevel="1">
      <c r="B405" s="968" t="s">
        <v>2601</v>
      </c>
      <c r="C405" s="967">
        <v>384000</v>
      </c>
      <c r="D405" s="967" t="s">
        <v>2793</v>
      </c>
      <c r="E405" s="967">
        <v>73200</v>
      </c>
      <c r="F405" s="967">
        <v>28310523000</v>
      </c>
      <c r="G405" s="967">
        <v>386500</v>
      </c>
      <c r="H405" s="967">
        <v>391000</v>
      </c>
      <c r="I405" s="967">
        <v>384000</v>
      </c>
      <c r="J405" s="967">
        <v>11152656</v>
      </c>
      <c r="K405" s="967">
        <v>29043374</v>
      </c>
    </row>
    <row r="406" spans="2:11" s="1259" customFormat="1" ht="13.5" hidden="1" customHeight="1" outlineLevel="1">
      <c r="B406" s="968" t="s">
        <v>2599</v>
      </c>
      <c r="C406" s="967">
        <v>397000</v>
      </c>
      <c r="D406" s="967" t="s">
        <v>2667</v>
      </c>
      <c r="E406" s="967">
        <v>118627</v>
      </c>
      <c r="F406" s="967">
        <v>46016039500</v>
      </c>
      <c r="G406" s="967">
        <v>390500</v>
      </c>
      <c r="H406" s="967">
        <v>397500</v>
      </c>
      <c r="I406" s="967">
        <v>381000</v>
      </c>
      <c r="J406" s="967">
        <v>11530219</v>
      </c>
      <c r="K406" s="967">
        <v>29043374</v>
      </c>
    </row>
    <row r="407" spans="2:11" s="1259" customFormat="1" ht="13.5" hidden="1" customHeight="1" outlineLevel="1">
      <c r="B407" s="968" t="s">
        <v>2598</v>
      </c>
      <c r="C407" s="967">
        <v>389500</v>
      </c>
      <c r="D407" s="967" t="s">
        <v>2274</v>
      </c>
      <c r="E407" s="967">
        <v>130030</v>
      </c>
      <c r="F407" s="967">
        <v>50381029000</v>
      </c>
      <c r="G407" s="967">
        <v>393000</v>
      </c>
      <c r="H407" s="967">
        <v>396500</v>
      </c>
      <c r="I407" s="967">
        <v>380500</v>
      </c>
      <c r="J407" s="967">
        <v>11312394</v>
      </c>
      <c r="K407" s="967">
        <v>29043374</v>
      </c>
    </row>
    <row r="408" spans="2:11" s="1259" customFormat="1" ht="13.5" hidden="1" customHeight="1" outlineLevel="1">
      <c r="B408" s="968" t="s">
        <v>2597</v>
      </c>
      <c r="C408" s="967">
        <v>393000</v>
      </c>
      <c r="D408" s="967" t="s">
        <v>2784</v>
      </c>
      <c r="E408" s="967">
        <v>123611</v>
      </c>
      <c r="F408" s="967">
        <v>49109962500</v>
      </c>
      <c r="G408" s="967">
        <v>405000</v>
      </c>
      <c r="H408" s="967">
        <v>405500</v>
      </c>
      <c r="I408" s="967">
        <v>392000</v>
      </c>
      <c r="J408" s="967">
        <v>11414046</v>
      </c>
      <c r="K408" s="967">
        <v>29043374</v>
      </c>
    </row>
    <row r="409" spans="2:11" s="1259" customFormat="1" ht="13.5" hidden="1" customHeight="1" outlineLevel="1">
      <c r="B409" s="968" t="s">
        <v>2596</v>
      </c>
      <c r="C409" s="967">
        <v>407000</v>
      </c>
      <c r="D409" s="967" t="s">
        <v>2288</v>
      </c>
      <c r="E409" s="967">
        <v>123895</v>
      </c>
      <c r="F409" s="967">
        <v>50427618000</v>
      </c>
      <c r="G409" s="967">
        <v>409000</v>
      </c>
      <c r="H409" s="967">
        <v>415500</v>
      </c>
      <c r="I409" s="967">
        <v>403500</v>
      </c>
      <c r="J409" s="967">
        <v>11820653</v>
      </c>
      <c r="K409" s="967">
        <v>29043374</v>
      </c>
    </row>
    <row r="410" spans="2:11" s="1259" customFormat="1" ht="13.5" hidden="1" customHeight="1" outlineLevel="1">
      <c r="B410" s="968" t="s">
        <v>2595</v>
      </c>
      <c r="C410" s="967">
        <v>405000</v>
      </c>
      <c r="D410" s="967" t="s">
        <v>2799</v>
      </c>
      <c r="E410" s="967">
        <v>82814</v>
      </c>
      <c r="F410" s="967">
        <v>33756249000</v>
      </c>
      <c r="G410" s="967">
        <v>419500</v>
      </c>
      <c r="H410" s="967">
        <v>422000</v>
      </c>
      <c r="I410" s="967">
        <v>402500</v>
      </c>
      <c r="J410" s="967">
        <v>11762566</v>
      </c>
      <c r="K410" s="967">
        <v>29043374</v>
      </c>
    </row>
    <row r="411" spans="2:11" s="1259" customFormat="1" ht="13.5" hidden="1" customHeight="1" outlineLevel="1">
      <c r="B411" s="968" t="s">
        <v>2594</v>
      </c>
      <c r="C411" s="967">
        <v>413500</v>
      </c>
      <c r="D411" s="967" t="s">
        <v>2676</v>
      </c>
      <c r="E411" s="967">
        <v>44097</v>
      </c>
      <c r="F411" s="967">
        <v>18301740000</v>
      </c>
      <c r="G411" s="967">
        <v>421000</v>
      </c>
      <c r="H411" s="967">
        <v>422500</v>
      </c>
      <c r="I411" s="967">
        <v>411500</v>
      </c>
      <c r="J411" s="967">
        <v>12009435</v>
      </c>
      <c r="K411" s="967">
        <v>29043374</v>
      </c>
    </row>
    <row r="412" spans="2:11" s="1259" customFormat="1" ht="13.5" hidden="1" customHeight="1" outlineLevel="1">
      <c r="B412" s="968" t="s">
        <v>2592</v>
      </c>
      <c r="C412" s="967">
        <v>421000</v>
      </c>
      <c r="D412" s="967" t="s">
        <v>2244</v>
      </c>
      <c r="E412" s="967">
        <v>61329</v>
      </c>
      <c r="F412" s="967">
        <v>26074374500</v>
      </c>
      <c r="G412" s="967">
        <v>422500</v>
      </c>
      <c r="H412" s="967">
        <v>431000</v>
      </c>
      <c r="I412" s="967">
        <v>418000</v>
      </c>
      <c r="J412" s="967">
        <v>12227260</v>
      </c>
      <c r="K412" s="967">
        <v>29043374</v>
      </c>
    </row>
    <row r="413" spans="2:11" s="1259" customFormat="1" ht="13.5" hidden="1" customHeight="1" outlineLevel="1">
      <c r="B413" s="968" t="s">
        <v>2591</v>
      </c>
      <c r="C413" s="967">
        <v>422500</v>
      </c>
      <c r="D413" s="967" t="s">
        <v>2781</v>
      </c>
      <c r="E413" s="967">
        <v>133403</v>
      </c>
      <c r="F413" s="967">
        <v>56406734500</v>
      </c>
      <c r="G413" s="967">
        <v>417000</v>
      </c>
      <c r="H413" s="967">
        <v>428500</v>
      </c>
      <c r="I413" s="967">
        <v>416000</v>
      </c>
      <c r="J413" s="967">
        <v>12270826</v>
      </c>
      <c r="K413" s="967">
        <v>29043374</v>
      </c>
    </row>
    <row r="414" spans="2:11" s="1259" customFormat="1" ht="13.5" hidden="1" customHeight="1" outlineLevel="1">
      <c r="B414" s="968" t="s">
        <v>2590</v>
      </c>
      <c r="C414" s="967">
        <v>410000</v>
      </c>
      <c r="D414" s="967" t="s">
        <v>2799</v>
      </c>
      <c r="E414" s="967">
        <v>133334</v>
      </c>
      <c r="F414" s="967">
        <v>54920048000</v>
      </c>
      <c r="G414" s="967">
        <v>419000</v>
      </c>
      <c r="H414" s="967">
        <v>425500</v>
      </c>
      <c r="I414" s="967">
        <v>403500</v>
      </c>
      <c r="J414" s="967">
        <v>11907783</v>
      </c>
      <c r="K414" s="967">
        <v>29043374</v>
      </c>
    </row>
    <row r="415" spans="2:11" s="1259" customFormat="1" ht="13.5" hidden="1" customHeight="1" outlineLevel="1">
      <c r="B415" s="968" t="s">
        <v>2589</v>
      </c>
      <c r="C415" s="967">
        <v>418500</v>
      </c>
      <c r="D415" s="967" t="s">
        <v>2784</v>
      </c>
      <c r="E415" s="967">
        <v>58826</v>
      </c>
      <c r="F415" s="967">
        <v>24814002045</v>
      </c>
      <c r="G415" s="967">
        <v>426000</v>
      </c>
      <c r="H415" s="967">
        <v>430000</v>
      </c>
      <c r="I415" s="967">
        <v>413500</v>
      </c>
      <c r="J415" s="967">
        <v>12154652</v>
      </c>
      <c r="K415" s="967">
        <v>29043374</v>
      </c>
    </row>
    <row r="416" spans="2:11" s="1259" customFormat="1" ht="13.5" hidden="1" customHeight="1" outlineLevel="1">
      <c r="B416" s="968" t="s">
        <v>2588</v>
      </c>
      <c r="C416" s="967">
        <v>432500</v>
      </c>
      <c r="D416" s="967" t="s">
        <v>2813</v>
      </c>
      <c r="E416" s="967">
        <v>48933</v>
      </c>
      <c r="F416" s="967">
        <v>21420674500</v>
      </c>
      <c r="G416" s="967">
        <v>434000</v>
      </c>
      <c r="H416" s="967">
        <v>443000</v>
      </c>
      <c r="I416" s="967">
        <v>431000</v>
      </c>
      <c r="J416" s="967">
        <v>12561259</v>
      </c>
      <c r="K416" s="967">
        <v>29043374</v>
      </c>
    </row>
    <row r="417" spans="2:11" s="1259" customFormat="1" ht="13.5" hidden="1" customHeight="1" outlineLevel="1">
      <c r="B417" s="968" t="s">
        <v>2587</v>
      </c>
      <c r="C417" s="967">
        <v>441500</v>
      </c>
      <c r="D417" s="967" t="s">
        <v>2783</v>
      </c>
      <c r="E417" s="967">
        <v>70076</v>
      </c>
      <c r="F417" s="967">
        <v>30766207500</v>
      </c>
      <c r="G417" s="967">
        <v>426000</v>
      </c>
      <c r="H417" s="967">
        <v>445500</v>
      </c>
      <c r="I417" s="967">
        <v>426000</v>
      </c>
      <c r="J417" s="967">
        <v>12822650</v>
      </c>
      <c r="K417" s="967">
        <v>29043374</v>
      </c>
    </row>
    <row r="418" spans="2:11" s="1259" customFormat="1" ht="13.5" hidden="1" customHeight="1" outlineLevel="1">
      <c r="B418" s="968" t="s">
        <v>2586</v>
      </c>
      <c r="C418" s="967">
        <v>430000</v>
      </c>
      <c r="D418" s="967" t="s">
        <v>2671</v>
      </c>
      <c r="E418" s="967">
        <v>101600</v>
      </c>
      <c r="F418" s="967">
        <v>44801491000</v>
      </c>
      <c r="G418" s="967">
        <v>439000</v>
      </c>
      <c r="H418" s="967">
        <v>449500</v>
      </c>
      <c r="I418" s="967">
        <v>430000</v>
      </c>
      <c r="J418" s="967">
        <v>12488651</v>
      </c>
      <c r="K418" s="967">
        <v>29043374</v>
      </c>
    </row>
    <row r="419" spans="2:11" s="1259" customFormat="1" ht="13.5" hidden="1" customHeight="1" outlineLevel="1">
      <c r="B419" s="968" t="s">
        <v>2584</v>
      </c>
      <c r="C419" s="967">
        <v>436500</v>
      </c>
      <c r="D419" s="967" t="s">
        <v>2673</v>
      </c>
      <c r="E419" s="967">
        <v>72515</v>
      </c>
      <c r="F419" s="967">
        <v>31468339000</v>
      </c>
      <c r="G419" s="967">
        <v>430000</v>
      </c>
      <c r="H419" s="967">
        <v>437000</v>
      </c>
      <c r="I419" s="967">
        <v>428000</v>
      </c>
      <c r="J419" s="967">
        <v>12677433</v>
      </c>
      <c r="K419" s="967">
        <v>29043374</v>
      </c>
    </row>
    <row r="420" spans="2:11" s="1259" customFormat="1" ht="13.5" hidden="1" customHeight="1" outlineLevel="1">
      <c r="B420" s="968" t="s">
        <v>2583</v>
      </c>
      <c r="C420" s="967">
        <v>430000</v>
      </c>
      <c r="D420" s="967" t="s">
        <v>2783</v>
      </c>
      <c r="E420" s="967">
        <v>121949</v>
      </c>
      <c r="F420" s="967">
        <v>52242048000</v>
      </c>
      <c r="G420" s="967">
        <v>422000</v>
      </c>
      <c r="H420" s="967">
        <v>433500</v>
      </c>
      <c r="I420" s="967">
        <v>418500</v>
      </c>
      <c r="J420" s="967">
        <v>12488651</v>
      </c>
      <c r="K420" s="967">
        <v>29043374</v>
      </c>
    </row>
    <row r="421" spans="2:11" s="1259" customFormat="1" ht="13.5" hidden="1" customHeight="1" outlineLevel="1">
      <c r="B421" s="968" t="s">
        <v>2582</v>
      </c>
      <c r="C421" s="967">
        <v>418500</v>
      </c>
      <c r="D421" s="967" t="s">
        <v>2779</v>
      </c>
      <c r="E421" s="967">
        <v>79338</v>
      </c>
      <c r="F421" s="967">
        <v>32973433500</v>
      </c>
      <c r="G421" s="967">
        <v>415000</v>
      </c>
      <c r="H421" s="967">
        <v>422000</v>
      </c>
      <c r="I421" s="967">
        <v>406000</v>
      </c>
      <c r="J421" s="967">
        <v>12154652</v>
      </c>
      <c r="K421" s="967">
        <v>29043374</v>
      </c>
    </row>
    <row r="422" spans="2:11" s="1259" customFormat="1" ht="13.5" hidden="1" customHeight="1" outlineLevel="1">
      <c r="B422" s="968" t="s">
        <v>2581</v>
      </c>
      <c r="C422" s="967">
        <v>410000</v>
      </c>
      <c r="D422" s="967" t="s">
        <v>2793</v>
      </c>
      <c r="E422" s="967">
        <v>211261</v>
      </c>
      <c r="F422" s="967">
        <v>85407441000</v>
      </c>
      <c r="G422" s="967">
        <v>419000</v>
      </c>
      <c r="H422" s="967">
        <v>422000</v>
      </c>
      <c r="I422" s="967">
        <v>396500</v>
      </c>
      <c r="J422" s="967">
        <v>11907783</v>
      </c>
      <c r="K422" s="967">
        <v>29043374</v>
      </c>
    </row>
    <row r="423" spans="2:11" s="1259" customFormat="1" ht="13.5" hidden="1" customHeight="1" outlineLevel="1">
      <c r="B423" s="968" t="s">
        <v>2580</v>
      </c>
      <c r="C423" s="967">
        <v>423000</v>
      </c>
      <c r="D423" s="967" t="s">
        <v>2796</v>
      </c>
      <c r="E423" s="967">
        <v>104946</v>
      </c>
      <c r="F423" s="967">
        <v>45053175000</v>
      </c>
      <c r="G423" s="967">
        <v>434000</v>
      </c>
      <c r="H423" s="967">
        <v>443000</v>
      </c>
      <c r="I423" s="967">
        <v>423000</v>
      </c>
      <c r="J423" s="967">
        <v>12285347</v>
      </c>
      <c r="K423" s="967">
        <v>29043374</v>
      </c>
    </row>
    <row r="424" spans="2:11" s="1259" customFormat="1" ht="13.5" hidden="1" customHeight="1" outlineLevel="1">
      <c r="B424" s="968" t="s">
        <v>2578</v>
      </c>
      <c r="C424" s="967">
        <v>437500</v>
      </c>
      <c r="D424" s="967" t="s">
        <v>1814</v>
      </c>
      <c r="E424" s="967">
        <v>97355</v>
      </c>
      <c r="F424" s="967">
        <v>42182151500</v>
      </c>
      <c r="G424" s="967">
        <v>439000</v>
      </c>
      <c r="H424" s="967">
        <v>441000</v>
      </c>
      <c r="I424" s="967">
        <v>428500</v>
      </c>
      <c r="J424" s="967">
        <v>12706476</v>
      </c>
      <c r="K424" s="967">
        <v>29043374</v>
      </c>
    </row>
    <row r="425" spans="2:11" s="1259" customFormat="1" ht="13.5" hidden="1" customHeight="1" outlineLevel="1">
      <c r="B425" s="968" t="s">
        <v>2577</v>
      </c>
      <c r="C425" s="967">
        <v>438000</v>
      </c>
      <c r="D425" s="967" t="s">
        <v>2674</v>
      </c>
      <c r="E425" s="967">
        <v>121998</v>
      </c>
      <c r="F425" s="967">
        <v>53047014500</v>
      </c>
      <c r="G425" s="967">
        <v>445000</v>
      </c>
      <c r="H425" s="967">
        <v>449000</v>
      </c>
      <c r="I425" s="967">
        <v>429500</v>
      </c>
      <c r="J425" s="967">
        <v>12720998</v>
      </c>
      <c r="K425" s="967">
        <v>29043374</v>
      </c>
    </row>
    <row r="426" spans="2:11" s="1259" customFormat="1" ht="13.5" hidden="1" customHeight="1" outlineLevel="1">
      <c r="B426" s="968" t="s">
        <v>2576</v>
      </c>
      <c r="C426" s="967">
        <v>445000</v>
      </c>
      <c r="D426" s="967" t="s">
        <v>2823</v>
      </c>
      <c r="E426" s="967">
        <v>142702</v>
      </c>
      <c r="F426" s="967">
        <v>63334154500</v>
      </c>
      <c r="G426" s="967">
        <v>470000</v>
      </c>
      <c r="H426" s="967">
        <v>470000</v>
      </c>
      <c r="I426" s="967">
        <v>427000</v>
      </c>
      <c r="J426" s="967">
        <v>12924301</v>
      </c>
      <c r="K426" s="967">
        <v>29043374</v>
      </c>
    </row>
    <row r="427" spans="2:11" s="1259" customFormat="1" ht="13.5" hidden="1" customHeight="1" outlineLevel="1">
      <c r="B427" s="968" t="s">
        <v>2575</v>
      </c>
      <c r="C427" s="967">
        <v>470000</v>
      </c>
      <c r="D427" s="967" t="s">
        <v>2822</v>
      </c>
      <c r="E427" s="967">
        <v>94871</v>
      </c>
      <c r="F427" s="967">
        <v>44760735500</v>
      </c>
      <c r="G427" s="967">
        <v>479500</v>
      </c>
      <c r="H427" s="967">
        <v>482000</v>
      </c>
      <c r="I427" s="967">
        <v>467000</v>
      </c>
      <c r="J427" s="967">
        <v>13650386</v>
      </c>
      <c r="K427" s="967">
        <v>29043374</v>
      </c>
    </row>
    <row r="428" spans="2:11" s="1259" customFormat="1" ht="13.5" hidden="1" customHeight="1" outlineLevel="1">
      <c r="B428" s="968" t="s">
        <v>2574</v>
      </c>
      <c r="C428" s="967">
        <v>485000</v>
      </c>
      <c r="D428" s="967" t="s">
        <v>2786</v>
      </c>
      <c r="E428" s="967">
        <v>100470</v>
      </c>
      <c r="F428" s="967">
        <v>47561125875</v>
      </c>
      <c r="G428" s="967">
        <v>470000</v>
      </c>
      <c r="H428" s="967">
        <v>485000</v>
      </c>
      <c r="I428" s="967">
        <v>465000</v>
      </c>
      <c r="J428" s="967">
        <v>14086036</v>
      </c>
      <c r="K428" s="967">
        <v>29043374</v>
      </c>
    </row>
    <row r="429" spans="2:11" s="1259" customFormat="1" ht="13.5" hidden="1" customHeight="1" outlineLevel="1">
      <c r="B429" s="968" t="s">
        <v>2572</v>
      </c>
      <c r="C429" s="967">
        <v>475000</v>
      </c>
      <c r="D429" s="967" t="s">
        <v>2675</v>
      </c>
      <c r="E429" s="967">
        <v>63730</v>
      </c>
      <c r="F429" s="967">
        <v>29822601000</v>
      </c>
      <c r="G429" s="967">
        <v>467000</v>
      </c>
      <c r="H429" s="967">
        <v>479000</v>
      </c>
      <c r="I429" s="967">
        <v>461000</v>
      </c>
      <c r="J429" s="967">
        <v>13795603</v>
      </c>
      <c r="K429" s="967">
        <v>29043374</v>
      </c>
    </row>
    <row r="430" spans="2:11" s="1259" customFormat="1" ht="13.5" hidden="1" customHeight="1" outlineLevel="1">
      <c r="B430" s="968" t="s">
        <v>2571</v>
      </c>
      <c r="C430" s="967">
        <v>467000</v>
      </c>
      <c r="D430" s="967" t="s">
        <v>2288</v>
      </c>
      <c r="E430" s="967">
        <v>80026</v>
      </c>
      <c r="F430" s="967">
        <v>37416385500</v>
      </c>
      <c r="G430" s="967">
        <v>475000</v>
      </c>
      <c r="H430" s="967">
        <v>480500</v>
      </c>
      <c r="I430" s="967">
        <v>463000</v>
      </c>
      <c r="J430" s="967">
        <v>13563256</v>
      </c>
      <c r="K430" s="967">
        <v>29043374</v>
      </c>
    </row>
    <row r="431" spans="2:11" s="1259" customFormat="1" ht="13.5" hidden="1" customHeight="1" outlineLevel="1">
      <c r="B431" s="968" t="s">
        <v>2569</v>
      </c>
      <c r="C431" s="967">
        <v>465000</v>
      </c>
      <c r="D431" s="967" t="s">
        <v>2663</v>
      </c>
      <c r="E431" s="967">
        <v>105051</v>
      </c>
      <c r="F431" s="967">
        <v>48616879500</v>
      </c>
      <c r="G431" s="967">
        <v>458000</v>
      </c>
      <c r="H431" s="967">
        <v>471500</v>
      </c>
      <c r="I431" s="967">
        <v>454000</v>
      </c>
      <c r="J431" s="967">
        <v>13505169</v>
      </c>
      <c r="K431" s="967">
        <v>29043374</v>
      </c>
    </row>
    <row r="432" spans="2:11" s="1259" customFormat="1" ht="13.5" hidden="1" customHeight="1" outlineLevel="1">
      <c r="B432" s="968" t="s">
        <v>2567</v>
      </c>
      <c r="C432" s="967">
        <v>458000</v>
      </c>
      <c r="D432" s="967" t="s">
        <v>2783</v>
      </c>
      <c r="E432" s="967">
        <v>83448</v>
      </c>
      <c r="F432" s="967">
        <v>37769705000</v>
      </c>
      <c r="G432" s="967">
        <v>436000</v>
      </c>
      <c r="H432" s="967">
        <v>460000</v>
      </c>
      <c r="I432" s="967">
        <v>436000</v>
      </c>
      <c r="J432" s="967">
        <v>13301865</v>
      </c>
      <c r="K432" s="967">
        <v>29043374</v>
      </c>
    </row>
    <row r="433" spans="2:11" s="1259" customFormat="1" ht="13.5" hidden="1" customHeight="1" outlineLevel="1">
      <c r="B433" s="968" t="s">
        <v>2566</v>
      </c>
      <c r="C433" s="967">
        <v>446500</v>
      </c>
      <c r="D433" s="967" t="s">
        <v>1826</v>
      </c>
      <c r="E433" s="967">
        <v>129617</v>
      </c>
      <c r="F433" s="967">
        <v>58072061000</v>
      </c>
      <c r="G433" s="967">
        <v>449500</v>
      </c>
      <c r="H433" s="967">
        <v>458000</v>
      </c>
      <c r="I433" s="967">
        <v>435500</v>
      </c>
      <c r="J433" s="967">
        <v>12967866</v>
      </c>
      <c r="K433" s="967">
        <v>29043374</v>
      </c>
    </row>
    <row r="434" spans="2:11" s="1259" customFormat="1" ht="13.5" hidden="1" customHeight="1" outlineLevel="1">
      <c r="B434" s="968" t="s">
        <v>2564</v>
      </c>
      <c r="C434" s="967">
        <v>446000</v>
      </c>
      <c r="D434" s="967" t="s">
        <v>2821</v>
      </c>
      <c r="E434" s="967">
        <v>137501</v>
      </c>
      <c r="F434" s="967">
        <v>61139462500</v>
      </c>
      <c r="G434" s="967">
        <v>451000</v>
      </c>
      <c r="H434" s="967">
        <v>456500</v>
      </c>
      <c r="I434" s="967">
        <v>435000</v>
      </c>
      <c r="J434" s="967">
        <v>12953345</v>
      </c>
      <c r="K434" s="967">
        <v>29043374</v>
      </c>
    </row>
    <row r="435" spans="2:11" s="1259" customFormat="1" ht="13.5" hidden="1" customHeight="1" outlineLevel="1">
      <c r="B435" s="968" t="s">
        <v>2563</v>
      </c>
      <c r="C435" s="967">
        <v>469000</v>
      </c>
      <c r="D435" s="967" t="s">
        <v>2275</v>
      </c>
      <c r="E435" s="967">
        <v>143525</v>
      </c>
      <c r="F435" s="967">
        <v>66615303000</v>
      </c>
      <c r="G435" s="967">
        <v>474000</v>
      </c>
      <c r="H435" s="967">
        <v>475000</v>
      </c>
      <c r="I435" s="967">
        <v>456000</v>
      </c>
      <c r="J435" s="967">
        <v>13621342</v>
      </c>
      <c r="K435" s="967">
        <v>29043374</v>
      </c>
    </row>
    <row r="436" spans="2:11" s="1259" customFormat="1" ht="13.5" hidden="1" customHeight="1" outlineLevel="1">
      <c r="B436" s="968" t="s">
        <v>2562</v>
      </c>
      <c r="C436" s="967">
        <v>474000</v>
      </c>
      <c r="D436" s="967" t="s">
        <v>2805</v>
      </c>
      <c r="E436" s="967">
        <v>133834</v>
      </c>
      <c r="F436" s="967">
        <v>63585788500</v>
      </c>
      <c r="G436" s="967">
        <v>468500</v>
      </c>
      <c r="H436" s="967">
        <v>485000</v>
      </c>
      <c r="I436" s="967">
        <v>466000</v>
      </c>
      <c r="J436" s="967">
        <v>13766559</v>
      </c>
      <c r="K436" s="967">
        <v>29043374</v>
      </c>
    </row>
    <row r="437" spans="2:11" s="1259" customFormat="1" ht="13.5" hidden="1" customHeight="1" outlineLevel="1">
      <c r="B437" s="968" t="s">
        <v>2561</v>
      </c>
      <c r="C437" s="967">
        <v>485000</v>
      </c>
      <c r="D437" s="967" t="s">
        <v>2244</v>
      </c>
      <c r="E437" s="967">
        <v>92643</v>
      </c>
      <c r="F437" s="967">
        <v>45193760500</v>
      </c>
      <c r="G437" s="967">
        <v>486500</v>
      </c>
      <c r="H437" s="967">
        <v>493500</v>
      </c>
      <c r="I437" s="967">
        <v>476500</v>
      </c>
      <c r="J437" s="967">
        <v>14086036</v>
      </c>
      <c r="K437" s="967">
        <v>29043374</v>
      </c>
    </row>
    <row r="438" spans="2:11" s="1259" customFormat="1" ht="13.5" hidden="1" customHeight="1" outlineLevel="1">
      <c r="B438" s="968" t="s">
        <v>2560</v>
      </c>
      <c r="C438" s="967">
        <v>486500</v>
      </c>
      <c r="D438" s="967" t="s">
        <v>2673</v>
      </c>
      <c r="E438" s="967">
        <v>134226</v>
      </c>
      <c r="F438" s="967">
        <v>64752745000</v>
      </c>
      <c r="G438" s="967">
        <v>480000</v>
      </c>
      <c r="H438" s="967">
        <v>486500</v>
      </c>
      <c r="I438" s="967">
        <v>475000</v>
      </c>
      <c r="J438" s="967">
        <v>14129601</v>
      </c>
      <c r="K438" s="967">
        <v>29043374</v>
      </c>
    </row>
    <row r="439" spans="2:11" s="1259" customFormat="1" ht="13.5" hidden="1" customHeight="1" outlineLevel="1">
      <c r="B439" s="968" t="s">
        <v>2559</v>
      </c>
      <c r="C439" s="967">
        <v>480000</v>
      </c>
      <c r="D439" s="967" t="s">
        <v>2809</v>
      </c>
      <c r="E439" s="967">
        <v>214973</v>
      </c>
      <c r="F439" s="967">
        <v>102805678000</v>
      </c>
      <c r="G439" s="967">
        <v>459500</v>
      </c>
      <c r="H439" s="967">
        <v>485000</v>
      </c>
      <c r="I439" s="967">
        <v>459000</v>
      </c>
      <c r="J439" s="967">
        <v>13940820</v>
      </c>
      <c r="K439" s="967">
        <v>29043374</v>
      </c>
    </row>
    <row r="440" spans="2:11" s="1259" customFormat="1" ht="13.5" hidden="1" customHeight="1" outlineLevel="1">
      <c r="B440" s="968" t="s">
        <v>2557</v>
      </c>
      <c r="C440" s="967">
        <v>462500</v>
      </c>
      <c r="D440" s="967" t="s">
        <v>2663</v>
      </c>
      <c r="E440" s="967">
        <v>173129</v>
      </c>
      <c r="F440" s="967">
        <v>80035801500</v>
      </c>
      <c r="G440" s="967">
        <v>455500</v>
      </c>
      <c r="H440" s="967">
        <v>470500</v>
      </c>
      <c r="I440" s="967">
        <v>453500</v>
      </c>
      <c r="J440" s="967">
        <v>13432560</v>
      </c>
      <c r="K440" s="967">
        <v>29043374</v>
      </c>
    </row>
    <row r="441" spans="2:11" s="1259" customFormat="1" ht="13.5" hidden="1" customHeight="1" outlineLevel="1">
      <c r="B441" s="968" t="s">
        <v>2555</v>
      </c>
      <c r="C441" s="967">
        <v>455500</v>
      </c>
      <c r="D441" s="967" t="s">
        <v>2797</v>
      </c>
      <c r="E441" s="967">
        <v>188984</v>
      </c>
      <c r="F441" s="967">
        <v>86808678500</v>
      </c>
      <c r="G441" s="967">
        <v>472000</v>
      </c>
      <c r="H441" s="967">
        <v>472500</v>
      </c>
      <c r="I441" s="967">
        <v>451000</v>
      </c>
      <c r="J441" s="967">
        <v>13229257</v>
      </c>
      <c r="K441" s="967">
        <v>29043374</v>
      </c>
    </row>
    <row r="442" spans="2:11" s="1259" customFormat="1" ht="13.5" hidden="1" customHeight="1" outlineLevel="1">
      <c r="B442" s="968" t="s">
        <v>2554</v>
      </c>
      <c r="C442" s="967">
        <v>472000</v>
      </c>
      <c r="D442" s="967" t="s">
        <v>2813</v>
      </c>
      <c r="E442" s="967">
        <v>64684</v>
      </c>
      <c r="F442" s="967">
        <v>30639059500</v>
      </c>
      <c r="G442" s="967">
        <v>475000</v>
      </c>
      <c r="H442" s="967">
        <v>481000</v>
      </c>
      <c r="I442" s="967">
        <v>472000</v>
      </c>
      <c r="J442" s="967">
        <v>13708473</v>
      </c>
      <c r="K442" s="967">
        <v>29043374</v>
      </c>
    </row>
    <row r="443" spans="2:11" s="1259" customFormat="1" ht="13.5" hidden="1" customHeight="1" outlineLevel="1">
      <c r="B443" s="968" t="s">
        <v>2552</v>
      </c>
      <c r="C443" s="967">
        <v>481000</v>
      </c>
      <c r="D443" s="967" t="s">
        <v>2248</v>
      </c>
      <c r="E443" s="967">
        <v>53250</v>
      </c>
      <c r="F443" s="967">
        <v>25550173000</v>
      </c>
      <c r="G443" s="967">
        <v>480000</v>
      </c>
      <c r="H443" s="967">
        <v>483000</v>
      </c>
      <c r="I443" s="967">
        <v>476500</v>
      </c>
      <c r="J443" s="967">
        <v>13969863</v>
      </c>
      <c r="K443" s="967">
        <v>29043374</v>
      </c>
    </row>
    <row r="444" spans="2:11" s="1259" customFormat="1" ht="13.5" hidden="1" customHeight="1" outlineLevel="1">
      <c r="B444" s="968" t="s">
        <v>2550</v>
      </c>
      <c r="C444" s="967">
        <v>482000</v>
      </c>
      <c r="D444" s="967" t="s">
        <v>2775</v>
      </c>
      <c r="E444" s="967">
        <v>65119</v>
      </c>
      <c r="F444" s="967">
        <v>31140465000</v>
      </c>
      <c r="G444" s="967">
        <v>472000</v>
      </c>
      <c r="H444" s="967">
        <v>482500</v>
      </c>
      <c r="I444" s="967">
        <v>472000</v>
      </c>
      <c r="J444" s="967">
        <v>13998906</v>
      </c>
      <c r="K444" s="967">
        <v>29043374</v>
      </c>
    </row>
    <row r="445" spans="2:11" s="1259" customFormat="1" ht="13.5" hidden="1" customHeight="1" outlineLevel="1">
      <c r="B445" s="968" t="s">
        <v>2549</v>
      </c>
      <c r="C445" s="967">
        <v>473000</v>
      </c>
      <c r="D445" s="967" t="s">
        <v>2813</v>
      </c>
      <c r="E445" s="967">
        <v>82668</v>
      </c>
      <c r="F445" s="967">
        <v>39223343000</v>
      </c>
      <c r="G445" s="967">
        <v>480000</v>
      </c>
      <c r="H445" s="967">
        <v>480500</v>
      </c>
      <c r="I445" s="967">
        <v>472500</v>
      </c>
      <c r="J445" s="967">
        <v>13737516</v>
      </c>
      <c r="K445" s="967">
        <v>29043374</v>
      </c>
    </row>
    <row r="446" spans="2:11" s="1259" customFormat="1" ht="13.5" hidden="1" customHeight="1" outlineLevel="1">
      <c r="B446" s="968" t="s">
        <v>2548</v>
      </c>
      <c r="C446" s="967">
        <v>482000</v>
      </c>
      <c r="D446" s="967" t="s">
        <v>2671</v>
      </c>
      <c r="E446" s="967">
        <v>134956</v>
      </c>
      <c r="F446" s="967">
        <v>64813126500</v>
      </c>
      <c r="G446" s="967">
        <v>486000</v>
      </c>
      <c r="H446" s="967">
        <v>490000</v>
      </c>
      <c r="I446" s="967">
        <v>477000</v>
      </c>
      <c r="J446" s="967">
        <v>13998906</v>
      </c>
      <c r="K446" s="967">
        <v>29043374</v>
      </c>
    </row>
    <row r="447" spans="2:11" s="1259" customFormat="1" ht="13.5" hidden="1" customHeight="1" outlineLevel="1">
      <c r="B447" s="968" t="s">
        <v>2546</v>
      </c>
      <c r="C447" s="967">
        <v>488500</v>
      </c>
      <c r="D447" s="967" t="s">
        <v>2785</v>
      </c>
      <c r="E447" s="967">
        <v>87312</v>
      </c>
      <c r="F447" s="967">
        <v>42438281000</v>
      </c>
      <c r="G447" s="967">
        <v>498500</v>
      </c>
      <c r="H447" s="967">
        <v>498500</v>
      </c>
      <c r="I447" s="967">
        <v>480500</v>
      </c>
      <c r="J447" s="967">
        <v>14187688</v>
      </c>
      <c r="K447" s="967">
        <v>29043374</v>
      </c>
    </row>
    <row r="448" spans="2:11" s="1259" customFormat="1" ht="13.5" hidden="1" customHeight="1" outlineLevel="1">
      <c r="B448" s="968" t="s">
        <v>2545</v>
      </c>
      <c r="C448" s="967">
        <v>498000</v>
      </c>
      <c r="D448" s="967" t="s">
        <v>2245</v>
      </c>
      <c r="E448" s="967">
        <v>71682</v>
      </c>
      <c r="F448" s="967">
        <v>35656555000</v>
      </c>
      <c r="G448" s="967">
        <v>498000</v>
      </c>
      <c r="H448" s="967">
        <v>501000</v>
      </c>
      <c r="I448" s="967">
        <v>495000</v>
      </c>
      <c r="J448" s="967">
        <v>14463600</v>
      </c>
      <c r="K448" s="967">
        <v>29043374</v>
      </c>
    </row>
    <row r="449" spans="2:11" s="1259" customFormat="1" ht="13.5" hidden="1" customHeight="1" outlineLevel="1">
      <c r="B449" s="968" t="s">
        <v>2544</v>
      </c>
      <c r="C449" s="967">
        <v>496500</v>
      </c>
      <c r="D449" s="967" t="s">
        <v>2781</v>
      </c>
      <c r="E449" s="967">
        <v>92117</v>
      </c>
      <c r="F449" s="967">
        <v>45334943000</v>
      </c>
      <c r="G449" s="967">
        <v>485000</v>
      </c>
      <c r="H449" s="967">
        <v>501000</v>
      </c>
      <c r="I449" s="967">
        <v>484000</v>
      </c>
      <c r="J449" s="967">
        <v>14420035</v>
      </c>
      <c r="K449" s="967">
        <v>29043374</v>
      </c>
    </row>
    <row r="450" spans="2:11" s="1259" customFormat="1" ht="13.5" hidden="1" customHeight="1" outlineLevel="1">
      <c r="B450" s="968" t="s">
        <v>2543</v>
      </c>
      <c r="C450" s="967">
        <v>484000</v>
      </c>
      <c r="D450" s="967" t="s">
        <v>2242</v>
      </c>
      <c r="E450" s="967">
        <v>97894</v>
      </c>
      <c r="F450" s="967">
        <v>46853850500</v>
      </c>
      <c r="G450" s="967">
        <v>486500</v>
      </c>
      <c r="H450" s="967">
        <v>487000</v>
      </c>
      <c r="I450" s="967">
        <v>475000</v>
      </c>
      <c r="J450" s="967">
        <v>14056993</v>
      </c>
      <c r="K450" s="967">
        <v>29043374</v>
      </c>
    </row>
    <row r="451" spans="2:11" s="1259" customFormat="1" ht="13.5" hidden="1" customHeight="1" outlineLevel="1">
      <c r="B451" s="968" t="s">
        <v>2541</v>
      </c>
      <c r="C451" s="967">
        <v>486000</v>
      </c>
      <c r="D451" s="967" t="s">
        <v>2276</v>
      </c>
      <c r="E451" s="967">
        <v>73037</v>
      </c>
      <c r="F451" s="967">
        <v>35388958500</v>
      </c>
      <c r="G451" s="967">
        <v>485500</v>
      </c>
      <c r="H451" s="967">
        <v>489500</v>
      </c>
      <c r="I451" s="967">
        <v>481500</v>
      </c>
      <c r="J451" s="967">
        <v>14115080</v>
      </c>
      <c r="K451" s="967">
        <v>29043374</v>
      </c>
    </row>
    <row r="452" spans="2:11" s="1259" customFormat="1" ht="13.5" hidden="1" customHeight="1" outlineLevel="1">
      <c r="B452" s="968" t="s">
        <v>2540</v>
      </c>
      <c r="C452" s="967">
        <v>490000</v>
      </c>
      <c r="D452" s="967" t="s">
        <v>2272</v>
      </c>
      <c r="E452" s="967">
        <v>74445</v>
      </c>
      <c r="F452" s="967">
        <v>36190977000</v>
      </c>
      <c r="G452" s="967">
        <v>494500</v>
      </c>
      <c r="H452" s="967">
        <v>494500</v>
      </c>
      <c r="I452" s="967">
        <v>482000</v>
      </c>
      <c r="J452" s="967">
        <v>14231253</v>
      </c>
      <c r="K452" s="967">
        <v>29043374</v>
      </c>
    </row>
    <row r="453" spans="2:11" s="1259" customFormat="1" ht="13.5" hidden="1" customHeight="1" outlineLevel="1">
      <c r="B453" s="968" t="s">
        <v>2539</v>
      </c>
      <c r="C453" s="967">
        <v>494500</v>
      </c>
      <c r="D453" s="967" t="s">
        <v>2663</v>
      </c>
      <c r="E453" s="967">
        <v>53069</v>
      </c>
      <c r="F453" s="967">
        <v>25943149500</v>
      </c>
      <c r="G453" s="967">
        <v>488500</v>
      </c>
      <c r="H453" s="967">
        <v>497000</v>
      </c>
      <c r="I453" s="967">
        <v>483000</v>
      </c>
      <c r="J453" s="967">
        <v>14361948</v>
      </c>
      <c r="K453" s="967">
        <v>29043374</v>
      </c>
    </row>
    <row r="454" spans="2:11" s="1259" customFormat="1" ht="13.5" hidden="1" customHeight="1" outlineLevel="1">
      <c r="B454" s="968" t="s">
        <v>2538</v>
      </c>
      <c r="C454" s="967">
        <v>487500</v>
      </c>
      <c r="D454" s="967" t="s">
        <v>2278</v>
      </c>
      <c r="E454" s="967">
        <v>76395</v>
      </c>
      <c r="F454" s="967">
        <v>37498047000</v>
      </c>
      <c r="G454" s="967">
        <v>487000</v>
      </c>
      <c r="H454" s="967">
        <v>495000</v>
      </c>
      <c r="I454" s="967">
        <v>487000</v>
      </c>
      <c r="J454" s="967">
        <v>14158645</v>
      </c>
      <c r="K454" s="967">
        <v>29043374</v>
      </c>
    </row>
    <row r="455" spans="2:11" s="1259" customFormat="1" ht="13.5" hidden="1" customHeight="1" outlineLevel="1">
      <c r="B455" s="968" t="s">
        <v>2537</v>
      </c>
      <c r="C455" s="967">
        <v>490500</v>
      </c>
      <c r="D455" s="967" t="s">
        <v>2820</v>
      </c>
      <c r="E455" s="967">
        <v>60405</v>
      </c>
      <c r="F455" s="967">
        <v>29828906250</v>
      </c>
      <c r="G455" s="967">
        <v>501000</v>
      </c>
      <c r="H455" s="967">
        <v>502000</v>
      </c>
      <c r="I455" s="967">
        <v>490500</v>
      </c>
      <c r="J455" s="967">
        <v>14245775</v>
      </c>
      <c r="K455" s="967">
        <v>29043374</v>
      </c>
    </row>
    <row r="456" spans="2:11" s="1259" customFormat="1" ht="13.5" hidden="1" customHeight="1" outlineLevel="1">
      <c r="B456" s="968" t="s">
        <v>2536</v>
      </c>
      <c r="C456" s="967">
        <v>502000</v>
      </c>
      <c r="D456" s="967" t="s">
        <v>2644</v>
      </c>
      <c r="E456" s="967">
        <v>97098</v>
      </c>
      <c r="F456" s="967">
        <v>48408995000</v>
      </c>
      <c r="G456" s="967">
        <v>500000</v>
      </c>
      <c r="H456" s="967">
        <v>505000</v>
      </c>
      <c r="I456" s="967">
        <v>492500</v>
      </c>
      <c r="J456" s="967">
        <v>14579774</v>
      </c>
      <c r="K456" s="967">
        <v>29043374</v>
      </c>
    </row>
    <row r="457" spans="2:11" s="1259" customFormat="1" ht="13.5" hidden="1" customHeight="1" outlineLevel="1">
      <c r="B457" s="968" t="s">
        <v>2535</v>
      </c>
      <c r="C457" s="967">
        <v>497500</v>
      </c>
      <c r="D457" s="967" t="s">
        <v>2786</v>
      </c>
      <c r="E457" s="967">
        <v>100504</v>
      </c>
      <c r="F457" s="967">
        <v>49650814000</v>
      </c>
      <c r="G457" s="967">
        <v>486000</v>
      </c>
      <c r="H457" s="967">
        <v>499000</v>
      </c>
      <c r="I457" s="967">
        <v>485500</v>
      </c>
      <c r="J457" s="967">
        <v>14449079</v>
      </c>
      <c r="K457" s="967">
        <v>29043374</v>
      </c>
    </row>
    <row r="458" spans="2:11" s="1259" customFormat="1" ht="13.5" hidden="1" customHeight="1" outlineLevel="1">
      <c r="B458" s="968" t="s">
        <v>2534</v>
      </c>
      <c r="C458" s="967">
        <v>487500</v>
      </c>
      <c r="D458" s="967" t="s">
        <v>2242</v>
      </c>
      <c r="E458" s="967">
        <v>61338</v>
      </c>
      <c r="F458" s="967">
        <v>29768541000</v>
      </c>
      <c r="G458" s="967">
        <v>491500</v>
      </c>
      <c r="H458" s="967">
        <v>491500</v>
      </c>
      <c r="I458" s="967">
        <v>483000</v>
      </c>
      <c r="J458" s="967">
        <v>14158645</v>
      </c>
      <c r="K458" s="967">
        <v>29043374</v>
      </c>
    </row>
    <row r="459" spans="2:11" s="1259" customFormat="1" ht="13.5" hidden="1" customHeight="1" outlineLevel="1">
      <c r="B459" s="968" t="s">
        <v>2533</v>
      </c>
      <c r="C459" s="967">
        <v>489500</v>
      </c>
      <c r="D459" s="967" t="s">
        <v>2779</v>
      </c>
      <c r="E459" s="967">
        <v>80361</v>
      </c>
      <c r="F459" s="967">
        <v>39199214670</v>
      </c>
      <c r="G459" s="967">
        <v>483500</v>
      </c>
      <c r="H459" s="967">
        <v>489500</v>
      </c>
      <c r="I459" s="967">
        <v>483500</v>
      </c>
      <c r="J459" s="967">
        <v>14216732</v>
      </c>
      <c r="K459" s="967">
        <v>29043374</v>
      </c>
    </row>
    <row r="460" spans="2:11" s="1259" customFormat="1" ht="13.5" hidden="1" customHeight="1" outlineLevel="1">
      <c r="B460" s="968" t="s">
        <v>2532</v>
      </c>
      <c r="C460" s="967">
        <v>481000</v>
      </c>
      <c r="D460" s="967" t="s">
        <v>2817</v>
      </c>
      <c r="E460" s="967">
        <v>190563</v>
      </c>
      <c r="F460" s="967">
        <v>92365340000</v>
      </c>
      <c r="G460" s="967">
        <v>498500</v>
      </c>
      <c r="H460" s="967">
        <v>504000</v>
      </c>
      <c r="I460" s="967">
        <v>478000</v>
      </c>
      <c r="J460" s="967">
        <v>13969863</v>
      </c>
      <c r="K460" s="967">
        <v>29043374</v>
      </c>
    </row>
    <row r="461" spans="2:11" s="1259" customFormat="1" ht="13.5" hidden="1" customHeight="1" outlineLevel="1">
      <c r="B461" s="968" t="s">
        <v>2531</v>
      </c>
      <c r="C461" s="967">
        <v>498500</v>
      </c>
      <c r="D461" s="967" t="s">
        <v>2780</v>
      </c>
      <c r="E461" s="967">
        <v>107892</v>
      </c>
      <c r="F461" s="967">
        <v>53861196500</v>
      </c>
      <c r="G461" s="967">
        <v>511000</v>
      </c>
      <c r="H461" s="967">
        <v>512000</v>
      </c>
      <c r="I461" s="967">
        <v>491500</v>
      </c>
      <c r="J461" s="967">
        <v>14478122</v>
      </c>
      <c r="K461" s="967">
        <v>29043374</v>
      </c>
    </row>
    <row r="462" spans="2:11" s="1259" customFormat="1" ht="13.5" hidden="1" customHeight="1" outlineLevel="1">
      <c r="B462" s="968" t="s">
        <v>2530</v>
      </c>
      <c r="C462" s="967">
        <v>509000</v>
      </c>
      <c r="D462" s="967" t="s">
        <v>2288</v>
      </c>
      <c r="E462" s="967">
        <v>53144</v>
      </c>
      <c r="F462" s="967">
        <v>26952911800</v>
      </c>
      <c r="G462" s="967">
        <v>510000</v>
      </c>
      <c r="H462" s="967">
        <v>510000</v>
      </c>
      <c r="I462" s="967">
        <v>502000</v>
      </c>
      <c r="J462" s="967">
        <v>14783077</v>
      </c>
      <c r="K462" s="967">
        <v>29043374</v>
      </c>
    </row>
    <row r="463" spans="2:11" s="1259" customFormat="1" ht="13.5" hidden="1" customHeight="1" outlineLevel="1">
      <c r="B463" s="968" t="s">
        <v>2528</v>
      </c>
      <c r="C463" s="967">
        <v>507000</v>
      </c>
      <c r="D463" s="967" t="s">
        <v>2288</v>
      </c>
      <c r="E463" s="967">
        <v>62185</v>
      </c>
      <c r="F463" s="967">
        <v>31737367000</v>
      </c>
      <c r="G463" s="967">
        <v>508000</v>
      </c>
      <c r="H463" s="967">
        <v>516000</v>
      </c>
      <c r="I463" s="967">
        <v>506000</v>
      </c>
      <c r="J463" s="967">
        <v>14724991</v>
      </c>
      <c r="K463" s="967">
        <v>29043374</v>
      </c>
    </row>
    <row r="464" spans="2:11" s="1259" customFormat="1" ht="13.5" hidden="1" customHeight="1" outlineLevel="1">
      <c r="B464" s="968" t="s">
        <v>2527</v>
      </c>
      <c r="C464" s="967">
        <v>505000</v>
      </c>
      <c r="D464" s="967" t="s">
        <v>2236</v>
      </c>
      <c r="E464" s="967">
        <v>57352</v>
      </c>
      <c r="F464" s="967">
        <v>29264557000</v>
      </c>
      <c r="G464" s="967">
        <v>511000</v>
      </c>
      <c r="H464" s="967">
        <v>516000</v>
      </c>
      <c r="I464" s="967">
        <v>505000</v>
      </c>
      <c r="J464" s="967">
        <v>14666904</v>
      </c>
      <c r="K464" s="967">
        <v>29043374</v>
      </c>
    </row>
    <row r="465" spans="2:11" s="1259" customFormat="1" ht="13.5" hidden="1" customHeight="1" outlineLevel="1">
      <c r="B465" s="968" t="s">
        <v>2525</v>
      </c>
      <c r="C465" s="967">
        <v>504000</v>
      </c>
      <c r="D465" s="967" t="s">
        <v>2275</v>
      </c>
      <c r="E465" s="967">
        <v>41778</v>
      </c>
      <c r="F465" s="967">
        <v>20969064500</v>
      </c>
      <c r="G465" s="967">
        <v>507000</v>
      </c>
      <c r="H465" s="967">
        <v>507000</v>
      </c>
      <c r="I465" s="967">
        <v>499000</v>
      </c>
      <c r="J465" s="967">
        <v>14637860</v>
      </c>
      <c r="K465" s="967">
        <v>29043374</v>
      </c>
    </row>
    <row r="466" spans="2:11" s="1259" customFormat="1" ht="13.5" hidden="1" customHeight="1" outlineLevel="1">
      <c r="B466" s="968" t="s">
        <v>2524</v>
      </c>
      <c r="C466" s="967">
        <v>509000</v>
      </c>
      <c r="D466" s="967" t="s">
        <v>2778</v>
      </c>
      <c r="E466" s="967">
        <v>66924</v>
      </c>
      <c r="F466" s="967">
        <v>33875550500</v>
      </c>
      <c r="G466" s="967">
        <v>496000</v>
      </c>
      <c r="H466" s="967">
        <v>509000</v>
      </c>
      <c r="I466" s="967">
        <v>496000</v>
      </c>
      <c r="J466" s="967">
        <v>14783077</v>
      </c>
      <c r="K466" s="967">
        <v>29043374</v>
      </c>
    </row>
    <row r="467" spans="2:11" s="1259" customFormat="1" ht="13.5" hidden="1" customHeight="1" outlineLevel="1">
      <c r="B467" s="968" t="s">
        <v>2523</v>
      </c>
      <c r="C467" s="967">
        <v>498500</v>
      </c>
      <c r="D467" s="967" t="s">
        <v>1814</v>
      </c>
      <c r="E467" s="967">
        <v>61648</v>
      </c>
      <c r="F467" s="967">
        <v>30688728500</v>
      </c>
      <c r="G467" s="967">
        <v>501000</v>
      </c>
      <c r="H467" s="967">
        <v>507000</v>
      </c>
      <c r="I467" s="967">
        <v>492000</v>
      </c>
      <c r="J467" s="967">
        <v>14478122</v>
      </c>
      <c r="K467" s="967">
        <v>29043374</v>
      </c>
    </row>
    <row r="468" spans="2:11" s="1259" customFormat="1" ht="13.5" hidden="1" customHeight="1" outlineLevel="1">
      <c r="B468" s="968" t="s">
        <v>2522</v>
      </c>
      <c r="C468" s="967">
        <v>499000</v>
      </c>
      <c r="D468" s="967" t="s">
        <v>2819</v>
      </c>
      <c r="E468" s="967">
        <v>100297</v>
      </c>
      <c r="F468" s="967">
        <v>49665318000</v>
      </c>
      <c r="G468" s="967">
        <v>487000</v>
      </c>
      <c r="H468" s="967">
        <v>500000</v>
      </c>
      <c r="I468" s="967">
        <v>484000</v>
      </c>
      <c r="J468" s="967">
        <v>14492644</v>
      </c>
      <c r="K468" s="967">
        <v>29043374</v>
      </c>
    </row>
    <row r="469" spans="2:11" s="1259" customFormat="1" ht="13.5" hidden="1" customHeight="1" outlineLevel="1">
      <c r="B469" s="968" t="s">
        <v>2521</v>
      </c>
      <c r="C469" s="967">
        <v>484000</v>
      </c>
      <c r="D469" s="967" t="s">
        <v>2278</v>
      </c>
      <c r="E469" s="967">
        <v>127882</v>
      </c>
      <c r="F469" s="967">
        <v>61656642500</v>
      </c>
      <c r="G469" s="967">
        <v>489500</v>
      </c>
      <c r="H469" s="967">
        <v>492000</v>
      </c>
      <c r="I469" s="967">
        <v>472500</v>
      </c>
      <c r="J469" s="967">
        <v>14056993</v>
      </c>
      <c r="K469" s="967">
        <v>29043374</v>
      </c>
    </row>
    <row r="470" spans="2:11" s="1259" customFormat="1" ht="13.5" hidden="1" customHeight="1" outlineLevel="1">
      <c r="B470" s="968" t="s">
        <v>2520</v>
      </c>
      <c r="C470" s="967">
        <v>487000</v>
      </c>
      <c r="D470" s="967" t="s">
        <v>2242</v>
      </c>
      <c r="E470" s="967">
        <v>125378</v>
      </c>
      <c r="F470" s="967">
        <v>60855126500</v>
      </c>
      <c r="G470" s="967">
        <v>492000</v>
      </c>
      <c r="H470" s="967">
        <v>492500</v>
      </c>
      <c r="I470" s="967">
        <v>481500</v>
      </c>
      <c r="J470" s="967">
        <v>14144123</v>
      </c>
      <c r="K470" s="967">
        <v>29043374</v>
      </c>
    </row>
    <row r="471" spans="2:11" s="1259" customFormat="1" ht="13.5" hidden="1" customHeight="1" outlineLevel="1">
      <c r="B471" s="968" t="s">
        <v>2519</v>
      </c>
      <c r="C471" s="967">
        <v>489000</v>
      </c>
      <c r="D471" s="967" t="s">
        <v>2288</v>
      </c>
      <c r="E471" s="967">
        <v>230311</v>
      </c>
      <c r="F471" s="967">
        <v>111916409000</v>
      </c>
      <c r="G471" s="967">
        <v>493500</v>
      </c>
      <c r="H471" s="967">
        <v>495500</v>
      </c>
      <c r="I471" s="967">
        <v>477500</v>
      </c>
      <c r="J471" s="967">
        <v>14202210</v>
      </c>
      <c r="K471" s="967">
        <v>29043374</v>
      </c>
    </row>
    <row r="472" spans="2:11" s="1259" customFormat="1" ht="13.5" hidden="1" customHeight="1" outlineLevel="1">
      <c r="B472" s="968" t="s">
        <v>2517</v>
      </c>
      <c r="C472" s="967">
        <v>487000</v>
      </c>
      <c r="D472" s="967" t="s">
        <v>2818</v>
      </c>
      <c r="E472" s="967">
        <v>405988</v>
      </c>
      <c r="F472" s="967">
        <v>196530659000</v>
      </c>
      <c r="G472" s="967">
        <v>490500</v>
      </c>
      <c r="H472" s="967">
        <v>491000</v>
      </c>
      <c r="I472" s="967">
        <v>478000</v>
      </c>
      <c r="J472" s="967">
        <v>14144123</v>
      </c>
      <c r="K472" s="967">
        <v>29043374</v>
      </c>
    </row>
    <row r="473" spans="2:11" s="1259" customFormat="1" ht="13.5" hidden="1" customHeight="1" outlineLevel="1">
      <c r="B473" s="968" t="s">
        <v>2516</v>
      </c>
      <c r="C473" s="967">
        <v>525000</v>
      </c>
      <c r="D473" s="967" t="s">
        <v>2275</v>
      </c>
      <c r="E473" s="967">
        <v>50086</v>
      </c>
      <c r="F473" s="967">
        <v>26009743000</v>
      </c>
      <c r="G473" s="967">
        <v>538000</v>
      </c>
      <c r="H473" s="967">
        <v>538000</v>
      </c>
      <c r="I473" s="967">
        <v>511000</v>
      </c>
      <c r="J473" s="967">
        <v>15247771</v>
      </c>
      <c r="K473" s="967">
        <v>29043374</v>
      </c>
    </row>
    <row r="474" spans="2:11" s="1259" customFormat="1" ht="13.5" hidden="1" customHeight="1" outlineLevel="1">
      <c r="B474" s="968" t="s">
        <v>2515</v>
      </c>
      <c r="C474" s="967">
        <v>530000</v>
      </c>
      <c r="D474" s="967" t="s">
        <v>2242</v>
      </c>
      <c r="E474" s="967">
        <v>59168</v>
      </c>
      <c r="F474" s="967">
        <v>31647018000</v>
      </c>
      <c r="G474" s="967">
        <v>532000</v>
      </c>
      <c r="H474" s="967">
        <v>540000</v>
      </c>
      <c r="I474" s="967">
        <v>529000</v>
      </c>
      <c r="J474" s="967">
        <v>15392988</v>
      </c>
      <c r="K474" s="967">
        <v>29043374</v>
      </c>
    </row>
    <row r="475" spans="2:11" s="1259" customFormat="1" ht="13.5" hidden="1" customHeight="1" outlineLevel="1">
      <c r="B475" s="968" t="s">
        <v>2514</v>
      </c>
      <c r="C475" s="967">
        <v>532000</v>
      </c>
      <c r="D475" s="967" t="s">
        <v>2792</v>
      </c>
      <c r="E475" s="967">
        <v>57080</v>
      </c>
      <c r="F475" s="967">
        <v>29573739000</v>
      </c>
      <c r="G475" s="967">
        <v>508000</v>
      </c>
      <c r="H475" s="967">
        <v>534000</v>
      </c>
      <c r="I475" s="967">
        <v>505000</v>
      </c>
      <c r="J475" s="967">
        <v>15451075</v>
      </c>
      <c r="K475" s="967">
        <v>29043374</v>
      </c>
    </row>
    <row r="476" spans="2:11" s="1259" customFormat="1" ht="13.5" hidden="1" customHeight="1" outlineLevel="1">
      <c r="B476" s="968" t="s">
        <v>2513</v>
      </c>
      <c r="C476" s="967">
        <v>516000</v>
      </c>
      <c r="D476" s="967" t="s">
        <v>2776</v>
      </c>
      <c r="E476" s="967">
        <v>57067</v>
      </c>
      <c r="F476" s="967">
        <v>29520378815</v>
      </c>
      <c r="G476" s="967">
        <v>530000</v>
      </c>
      <c r="H476" s="967">
        <v>535000</v>
      </c>
      <c r="I476" s="967">
        <v>512000</v>
      </c>
      <c r="J476" s="967">
        <v>14986381</v>
      </c>
      <c r="K476" s="967">
        <v>29043374</v>
      </c>
    </row>
    <row r="477" spans="2:11" s="1259" customFormat="1" ht="13.5" hidden="1" customHeight="1" outlineLevel="1">
      <c r="B477" s="968" t="s">
        <v>2512</v>
      </c>
      <c r="C477" s="967">
        <v>524000</v>
      </c>
      <c r="D477" s="967" t="s">
        <v>2236</v>
      </c>
      <c r="E477" s="967">
        <v>127714</v>
      </c>
      <c r="F477" s="967">
        <v>67422429000</v>
      </c>
      <c r="G477" s="967">
        <v>528000</v>
      </c>
      <c r="H477" s="967">
        <v>536000</v>
      </c>
      <c r="I477" s="967">
        <v>516000</v>
      </c>
      <c r="J477" s="967">
        <v>15218728</v>
      </c>
      <c r="K477" s="967">
        <v>29043374</v>
      </c>
    </row>
    <row r="478" spans="2:11" s="1259" customFormat="1" ht="13.5" hidden="1" customHeight="1" outlineLevel="1">
      <c r="B478" s="968" t="s">
        <v>2511</v>
      </c>
      <c r="C478" s="967">
        <v>523000</v>
      </c>
      <c r="D478" s="967" t="s">
        <v>2792</v>
      </c>
      <c r="E478" s="967">
        <v>126491</v>
      </c>
      <c r="F478" s="967">
        <v>65711217000</v>
      </c>
      <c r="G478" s="967">
        <v>513000</v>
      </c>
      <c r="H478" s="967">
        <v>528000</v>
      </c>
      <c r="I478" s="967">
        <v>507000</v>
      </c>
      <c r="J478" s="967">
        <v>15189685</v>
      </c>
      <c r="K478" s="967">
        <v>29043374</v>
      </c>
    </row>
    <row r="479" spans="2:11" s="1259" customFormat="1" ht="13.5" hidden="1" customHeight="1" outlineLevel="1">
      <c r="B479" s="968" t="s">
        <v>2510</v>
      </c>
      <c r="C479" s="967">
        <v>507000</v>
      </c>
      <c r="D479" s="967" t="s">
        <v>2781</v>
      </c>
      <c r="E479" s="967">
        <v>98055</v>
      </c>
      <c r="F479" s="967">
        <v>49156615500</v>
      </c>
      <c r="G479" s="967">
        <v>493500</v>
      </c>
      <c r="H479" s="967">
        <v>511000</v>
      </c>
      <c r="I479" s="967">
        <v>491000</v>
      </c>
      <c r="J479" s="967">
        <v>14724991</v>
      </c>
      <c r="K479" s="967">
        <v>29043374</v>
      </c>
    </row>
    <row r="480" spans="2:11" s="1259" customFormat="1" ht="13.5" hidden="1" customHeight="1" outlineLevel="1">
      <c r="B480" s="968" t="s">
        <v>2509</v>
      </c>
      <c r="C480" s="967">
        <v>494500</v>
      </c>
      <c r="D480" s="967" t="s">
        <v>2783</v>
      </c>
      <c r="E480" s="967">
        <v>77798</v>
      </c>
      <c r="F480" s="967">
        <v>38302506000</v>
      </c>
      <c r="G480" s="967">
        <v>489000</v>
      </c>
      <c r="H480" s="967">
        <v>499000</v>
      </c>
      <c r="I480" s="967">
        <v>481000</v>
      </c>
      <c r="J480" s="967">
        <v>14361948</v>
      </c>
      <c r="K480" s="967">
        <v>29043374</v>
      </c>
    </row>
    <row r="481" spans="2:11" s="1259" customFormat="1" ht="13.5" hidden="1" customHeight="1" outlineLevel="1">
      <c r="B481" s="968" t="s">
        <v>2508</v>
      </c>
      <c r="C481" s="967">
        <v>483000</v>
      </c>
      <c r="D481" s="967" t="s">
        <v>2235</v>
      </c>
      <c r="E481" s="967">
        <v>43703</v>
      </c>
      <c r="F481" s="967">
        <v>20977087000</v>
      </c>
      <c r="G481" s="967">
        <v>479500</v>
      </c>
      <c r="H481" s="967">
        <v>489500</v>
      </c>
      <c r="I481" s="967">
        <v>472500</v>
      </c>
      <c r="J481" s="967">
        <v>14027950</v>
      </c>
      <c r="K481" s="967">
        <v>29043374</v>
      </c>
    </row>
    <row r="482" spans="2:11" s="1259" customFormat="1" ht="13.5" hidden="1" customHeight="1" outlineLevel="1">
      <c r="B482" s="968" t="s">
        <v>2507</v>
      </c>
      <c r="C482" s="967">
        <v>485500</v>
      </c>
      <c r="D482" s="967" t="s">
        <v>2796</v>
      </c>
      <c r="E482" s="967">
        <v>59771</v>
      </c>
      <c r="F482" s="967">
        <v>29151831500</v>
      </c>
      <c r="G482" s="967">
        <v>496000</v>
      </c>
      <c r="H482" s="967">
        <v>498000</v>
      </c>
      <c r="I482" s="967">
        <v>483000</v>
      </c>
      <c r="J482" s="967">
        <v>14100558</v>
      </c>
      <c r="K482" s="967">
        <v>29043374</v>
      </c>
    </row>
    <row r="483" spans="2:11" s="1259" customFormat="1" ht="13.5" hidden="1" customHeight="1" outlineLevel="1">
      <c r="B483" s="968" t="s">
        <v>2506</v>
      </c>
      <c r="C483" s="967">
        <v>500000</v>
      </c>
      <c r="D483" s="967" t="s">
        <v>2277</v>
      </c>
      <c r="E483" s="967">
        <v>93966</v>
      </c>
      <c r="F483" s="967">
        <v>46554198000</v>
      </c>
      <c r="G483" s="967">
        <v>497000</v>
      </c>
      <c r="H483" s="967">
        <v>505000</v>
      </c>
      <c r="I483" s="967">
        <v>487500</v>
      </c>
      <c r="J483" s="967">
        <v>14521687</v>
      </c>
      <c r="K483" s="967">
        <v>29043374</v>
      </c>
    </row>
    <row r="484" spans="2:11" s="1259" customFormat="1" ht="13.5" hidden="1" customHeight="1" outlineLevel="1">
      <c r="B484" s="968" t="s">
        <v>2504</v>
      </c>
      <c r="C484" s="967">
        <v>497000</v>
      </c>
      <c r="D484" s="967" t="s">
        <v>2644</v>
      </c>
      <c r="E484" s="967">
        <v>36186</v>
      </c>
      <c r="F484" s="967">
        <v>17975411000</v>
      </c>
      <c r="G484" s="967">
        <v>490500</v>
      </c>
      <c r="H484" s="967">
        <v>501000</v>
      </c>
      <c r="I484" s="967">
        <v>486500</v>
      </c>
      <c r="J484" s="967">
        <v>14434557</v>
      </c>
      <c r="K484" s="967">
        <v>29043374</v>
      </c>
    </row>
    <row r="485" spans="2:11" s="1259" customFormat="1" ht="13.5" hidden="1" customHeight="1" outlineLevel="1">
      <c r="B485" s="968" t="s">
        <v>2503</v>
      </c>
      <c r="C485" s="967">
        <v>492500</v>
      </c>
      <c r="D485" s="967" t="s">
        <v>2812</v>
      </c>
      <c r="E485" s="967">
        <v>110087</v>
      </c>
      <c r="F485" s="967">
        <v>53721303500</v>
      </c>
      <c r="G485" s="967">
        <v>470000</v>
      </c>
      <c r="H485" s="967">
        <v>498000</v>
      </c>
      <c r="I485" s="967">
        <v>468500</v>
      </c>
      <c r="J485" s="967">
        <v>14303862</v>
      </c>
      <c r="K485" s="967">
        <v>29043374</v>
      </c>
    </row>
    <row r="486" spans="2:11" s="1259" customFormat="1" ht="13.5" hidden="1" customHeight="1" outlineLevel="1">
      <c r="B486" s="968" t="s">
        <v>2502</v>
      </c>
      <c r="C486" s="967">
        <v>472500</v>
      </c>
      <c r="D486" s="967" t="s">
        <v>2670</v>
      </c>
      <c r="E486" s="967">
        <v>97457</v>
      </c>
      <c r="F486" s="967">
        <v>45964342500</v>
      </c>
      <c r="G486" s="967">
        <v>473500</v>
      </c>
      <c r="H486" s="967">
        <v>476000</v>
      </c>
      <c r="I486" s="967">
        <v>467000</v>
      </c>
      <c r="J486" s="967">
        <v>13722994</v>
      </c>
      <c r="K486" s="967">
        <v>29043374</v>
      </c>
    </row>
    <row r="487" spans="2:11" s="1259" customFormat="1" ht="13.5" hidden="1" customHeight="1" outlineLevel="1">
      <c r="B487" s="968" t="s">
        <v>2501</v>
      </c>
      <c r="C487" s="967">
        <v>467500</v>
      </c>
      <c r="D487" s="967" t="s">
        <v>2817</v>
      </c>
      <c r="E487" s="967">
        <v>79352</v>
      </c>
      <c r="F487" s="967">
        <v>37643563000</v>
      </c>
      <c r="G487" s="967">
        <v>482500</v>
      </c>
      <c r="H487" s="967">
        <v>486000</v>
      </c>
      <c r="I487" s="967">
        <v>467500</v>
      </c>
      <c r="J487" s="967">
        <v>13577777</v>
      </c>
      <c r="K487" s="967">
        <v>29043374</v>
      </c>
    </row>
    <row r="488" spans="2:11" s="1259" customFormat="1" ht="13.5" hidden="1" customHeight="1" outlineLevel="1">
      <c r="B488" s="968" t="s">
        <v>2500</v>
      </c>
      <c r="C488" s="967">
        <v>485000</v>
      </c>
      <c r="D488" s="967" t="s">
        <v>2242</v>
      </c>
      <c r="E488" s="967">
        <v>51358</v>
      </c>
      <c r="F488" s="967">
        <v>24835361500</v>
      </c>
      <c r="G488" s="967">
        <v>490000</v>
      </c>
      <c r="H488" s="967">
        <v>491000</v>
      </c>
      <c r="I488" s="967">
        <v>476500</v>
      </c>
      <c r="J488" s="967">
        <v>14086036</v>
      </c>
      <c r="K488" s="967">
        <v>29043374</v>
      </c>
    </row>
    <row r="489" spans="2:11" s="1259" customFormat="1" ht="13.5" hidden="1" customHeight="1" outlineLevel="1">
      <c r="B489" s="968" t="s">
        <v>2499</v>
      </c>
      <c r="C489" s="967">
        <v>487000</v>
      </c>
      <c r="D489" s="967" t="s">
        <v>2816</v>
      </c>
      <c r="E489" s="967">
        <v>59955</v>
      </c>
      <c r="F489" s="967">
        <v>29175551000</v>
      </c>
      <c r="G489" s="967">
        <v>493000</v>
      </c>
      <c r="H489" s="967">
        <v>499500</v>
      </c>
      <c r="I489" s="967">
        <v>478500</v>
      </c>
      <c r="J489" s="967">
        <v>14144123</v>
      </c>
      <c r="K489" s="967">
        <v>29043374</v>
      </c>
    </row>
    <row r="490" spans="2:11" s="1259" customFormat="1" ht="13.5" hidden="1" customHeight="1" outlineLevel="1">
      <c r="B490" s="968" t="s">
        <v>2498</v>
      </c>
      <c r="C490" s="967">
        <v>503000</v>
      </c>
      <c r="D490" s="967" t="s">
        <v>2810</v>
      </c>
      <c r="E490" s="967">
        <v>42144</v>
      </c>
      <c r="F490" s="967">
        <v>21017991500</v>
      </c>
      <c r="G490" s="967">
        <v>489000</v>
      </c>
      <c r="H490" s="967">
        <v>504000</v>
      </c>
      <c r="I490" s="967">
        <v>488500</v>
      </c>
      <c r="J490" s="967">
        <v>14608817</v>
      </c>
      <c r="K490" s="967">
        <v>29043374</v>
      </c>
    </row>
    <row r="491" spans="2:11" s="1259" customFormat="1" ht="13.5" hidden="1" customHeight="1" outlineLevel="1">
      <c r="B491" s="968" t="s">
        <v>2497</v>
      </c>
      <c r="C491" s="967">
        <v>489000</v>
      </c>
      <c r="D491" s="967" t="s">
        <v>2244</v>
      </c>
      <c r="E491" s="967">
        <v>70689</v>
      </c>
      <c r="F491" s="967">
        <v>34748863500</v>
      </c>
      <c r="G491" s="967">
        <v>498000</v>
      </c>
      <c r="H491" s="967">
        <v>499000</v>
      </c>
      <c r="I491" s="967">
        <v>484000</v>
      </c>
      <c r="J491" s="967">
        <v>14202210</v>
      </c>
      <c r="K491" s="967">
        <v>29043374</v>
      </c>
    </row>
    <row r="492" spans="2:11" s="1259" customFormat="1" ht="13.5" hidden="1" customHeight="1" outlineLevel="1">
      <c r="B492" s="968" t="s">
        <v>2496</v>
      </c>
      <c r="C492" s="967">
        <v>490500</v>
      </c>
      <c r="D492" s="967" t="s">
        <v>2780</v>
      </c>
      <c r="E492" s="967">
        <v>100329</v>
      </c>
      <c r="F492" s="967">
        <v>49096118500</v>
      </c>
      <c r="G492" s="967">
        <v>501000</v>
      </c>
      <c r="H492" s="967">
        <v>502000</v>
      </c>
      <c r="I492" s="967">
        <v>486000</v>
      </c>
      <c r="J492" s="967">
        <v>14245775</v>
      </c>
      <c r="K492" s="967">
        <v>29043374</v>
      </c>
    </row>
    <row r="493" spans="2:11" s="1259" customFormat="1" ht="13.5" hidden="1" customHeight="1" outlineLevel="1">
      <c r="B493" s="968" t="s">
        <v>2495</v>
      </c>
      <c r="C493" s="967">
        <v>501000</v>
      </c>
      <c r="D493" s="967" t="s">
        <v>2788</v>
      </c>
      <c r="E493" s="967">
        <v>68811</v>
      </c>
      <c r="F493" s="967">
        <v>34732193500</v>
      </c>
      <c r="G493" s="967">
        <v>506000</v>
      </c>
      <c r="H493" s="967">
        <v>515000</v>
      </c>
      <c r="I493" s="967">
        <v>499000</v>
      </c>
      <c r="J493" s="967">
        <v>14550730</v>
      </c>
      <c r="K493" s="967">
        <v>29043374</v>
      </c>
    </row>
    <row r="494" spans="2:11" s="1259" customFormat="1" ht="13.5" hidden="1" customHeight="1" outlineLevel="1">
      <c r="B494" s="968" t="s">
        <v>2494</v>
      </c>
      <c r="C494" s="967">
        <v>511000</v>
      </c>
      <c r="D494" s="967" t="s">
        <v>2775</v>
      </c>
      <c r="E494" s="967">
        <v>78827</v>
      </c>
      <c r="F494" s="967">
        <v>39869886900</v>
      </c>
      <c r="G494" s="967">
        <v>497000</v>
      </c>
      <c r="H494" s="967">
        <v>518000</v>
      </c>
      <c r="I494" s="967">
        <v>493000</v>
      </c>
      <c r="J494" s="967">
        <v>14841164</v>
      </c>
      <c r="K494" s="967">
        <v>29043374</v>
      </c>
    </row>
    <row r="495" spans="2:11" s="1259" customFormat="1" ht="13.5" hidden="1" customHeight="1" outlineLevel="1">
      <c r="B495" s="968" t="s">
        <v>2493</v>
      </c>
      <c r="C495" s="967">
        <v>502000</v>
      </c>
      <c r="D495" s="967" t="s">
        <v>2809</v>
      </c>
      <c r="E495" s="967">
        <v>55383</v>
      </c>
      <c r="F495" s="967">
        <v>27277023500</v>
      </c>
      <c r="G495" s="967">
        <v>482000</v>
      </c>
      <c r="H495" s="967">
        <v>505000</v>
      </c>
      <c r="I495" s="967">
        <v>475000</v>
      </c>
      <c r="J495" s="967">
        <v>14579774</v>
      </c>
      <c r="K495" s="967">
        <v>29043374</v>
      </c>
    </row>
    <row r="496" spans="2:11" s="1259" customFormat="1" ht="13.5" hidden="1" customHeight="1" outlineLevel="1">
      <c r="B496" s="968" t="s">
        <v>2492</v>
      </c>
      <c r="C496" s="967">
        <v>484500</v>
      </c>
      <c r="D496" s="967" t="s">
        <v>2674</v>
      </c>
      <c r="E496" s="967">
        <v>101207</v>
      </c>
      <c r="F496" s="967">
        <v>49169725000</v>
      </c>
      <c r="G496" s="967">
        <v>485000</v>
      </c>
      <c r="H496" s="967">
        <v>493500</v>
      </c>
      <c r="I496" s="967">
        <v>478500</v>
      </c>
      <c r="J496" s="967">
        <v>14071515</v>
      </c>
      <c r="K496" s="967">
        <v>29043374</v>
      </c>
    </row>
    <row r="497" spans="2:11" s="1259" customFormat="1" ht="13.5" hidden="1" customHeight="1" outlineLevel="1">
      <c r="B497" s="968" t="s">
        <v>2491</v>
      </c>
      <c r="C497" s="967">
        <v>491500</v>
      </c>
      <c r="D497" s="967" t="s">
        <v>2781</v>
      </c>
      <c r="E497" s="967">
        <v>69148</v>
      </c>
      <c r="F497" s="967">
        <v>33748826500</v>
      </c>
      <c r="G497" s="967">
        <v>476000</v>
      </c>
      <c r="H497" s="967">
        <v>495000</v>
      </c>
      <c r="I497" s="967">
        <v>475500</v>
      </c>
      <c r="J497" s="967">
        <v>14274818</v>
      </c>
      <c r="K497" s="967">
        <v>29043374</v>
      </c>
    </row>
    <row r="498" spans="2:11" s="1259" customFormat="1" ht="13.5" hidden="1" customHeight="1" outlineLevel="1">
      <c r="B498" s="968" t="s">
        <v>2490</v>
      </c>
      <c r="C498" s="967">
        <v>479000</v>
      </c>
      <c r="D498" s="967" t="s">
        <v>2815</v>
      </c>
      <c r="E498" s="967">
        <v>73519</v>
      </c>
      <c r="F498" s="967">
        <v>35317171000</v>
      </c>
      <c r="G498" s="967">
        <v>488000</v>
      </c>
      <c r="H498" s="967">
        <v>495000</v>
      </c>
      <c r="I498" s="967">
        <v>477000</v>
      </c>
      <c r="J498" s="967">
        <v>13911776</v>
      </c>
      <c r="K498" s="967">
        <v>29043374</v>
      </c>
    </row>
    <row r="499" spans="2:11" s="1259" customFormat="1" ht="13.5" hidden="1" customHeight="1" outlineLevel="1">
      <c r="B499" s="968" t="s">
        <v>2489</v>
      </c>
      <c r="C499" s="967">
        <v>494500</v>
      </c>
      <c r="D499" s="967" t="s">
        <v>2221</v>
      </c>
      <c r="E499" s="967">
        <v>81017</v>
      </c>
      <c r="F499" s="967">
        <v>39669236000</v>
      </c>
      <c r="G499" s="967">
        <v>486000</v>
      </c>
      <c r="H499" s="967">
        <v>496500</v>
      </c>
      <c r="I499" s="967">
        <v>478000</v>
      </c>
      <c r="J499" s="967">
        <v>14361948</v>
      </c>
      <c r="K499" s="967">
        <v>29043374</v>
      </c>
    </row>
    <row r="500" spans="2:11" s="1259" customFormat="1" ht="13.5" hidden="1" customHeight="1" outlineLevel="1">
      <c r="B500" s="968" t="s">
        <v>2488</v>
      </c>
      <c r="C500" s="967">
        <v>494500</v>
      </c>
      <c r="D500" s="967" t="s">
        <v>2780</v>
      </c>
      <c r="E500" s="967">
        <v>58601</v>
      </c>
      <c r="F500" s="967">
        <v>29108154500</v>
      </c>
      <c r="G500" s="967">
        <v>505000</v>
      </c>
      <c r="H500" s="967">
        <v>505000</v>
      </c>
      <c r="I500" s="967">
        <v>491000</v>
      </c>
      <c r="J500" s="967">
        <v>14361948</v>
      </c>
      <c r="K500" s="967">
        <v>29043374</v>
      </c>
    </row>
    <row r="501" spans="2:11" s="1259" customFormat="1" ht="13.5" hidden="1" customHeight="1" outlineLevel="1">
      <c r="B501" s="968" t="s">
        <v>2487</v>
      </c>
      <c r="C501" s="967">
        <v>505000</v>
      </c>
      <c r="D501" s="967" t="s">
        <v>2669</v>
      </c>
      <c r="E501" s="967">
        <v>75779</v>
      </c>
      <c r="F501" s="967">
        <v>37964566500</v>
      </c>
      <c r="G501" s="967">
        <v>498500</v>
      </c>
      <c r="H501" s="967">
        <v>508000</v>
      </c>
      <c r="I501" s="967">
        <v>492500</v>
      </c>
      <c r="J501" s="967">
        <v>14666904</v>
      </c>
      <c r="K501" s="967">
        <v>29043374</v>
      </c>
    </row>
    <row r="502" spans="2:11" s="1259" customFormat="1" ht="13.5" hidden="1" customHeight="1" outlineLevel="1">
      <c r="B502" s="968" t="s">
        <v>2485</v>
      </c>
      <c r="C502" s="967">
        <v>499000</v>
      </c>
      <c r="D502" s="967" t="s">
        <v>2778</v>
      </c>
      <c r="E502" s="967">
        <v>94506</v>
      </c>
      <c r="F502" s="967">
        <v>47107089500</v>
      </c>
      <c r="G502" s="967">
        <v>485000</v>
      </c>
      <c r="H502" s="967">
        <v>501000</v>
      </c>
      <c r="I502" s="967">
        <v>485000</v>
      </c>
      <c r="J502" s="967">
        <v>14492644</v>
      </c>
      <c r="K502" s="967">
        <v>29043374</v>
      </c>
    </row>
    <row r="503" spans="2:11" s="1259" customFormat="1" ht="13.5" hidden="1" customHeight="1" outlineLevel="1">
      <c r="B503" s="966" t="s">
        <v>2484</v>
      </c>
      <c r="C503" s="965">
        <v>488500</v>
      </c>
      <c r="D503" s="965" t="s">
        <v>2220</v>
      </c>
      <c r="E503" s="965">
        <v>70458</v>
      </c>
      <c r="F503" s="965">
        <v>34273518000</v>
      </c>
      <c r="G503" s="965">
        <v>485500</v>
      </c>
      <c r="H503" s="965">
        <v>488500</v>
      </c>
      <c r="I503" s="965">
        <v>482000</v>
      </c>
      <c r="J503" s="965">
        <v>14187688</v>
      </c>
      <c r="K503" s="965">
        <v>29043374</v>
      </c>
    </row>
    <row r="504" spans="2:11" s="1259" customFormat="1" ht="13.5" hidden="1" customHeight="1" outlineLevel="1">
      <c r="B504" s="966" t="s">
        <v>2483</v>
      </c>
      <c r="C504" s="965">
        <v>486000</v>
      </c>
      <c r="D504" s="965" t="s">
        <v>2221</v>
      </c>
      <c r="E504" s="965">
        <v>86466</v>
      </c>
      <c r="F504" s="965">
        <v>41949159500</v>
      </c>
      <c r="G504" s="965">
        <v>479500</v>
      </c>
      <c r="H504" s="965">
        <v>489000</v>
      </c>
      <c r="I504" s="965">
        <v>478000</v>
      </c>
      <c r="J504" s="965">
        <v>14115080</v>
      </c>
      <c r="K504" s="965">
        <v>29043374</v>
      </c>
    </row>
    <row r="505" spans="2:11" s="1259" customFormat="1" ht="13.5" hidden="1" customHeight="1" outlineLevel="1">
      <c r="B505" s="966" t="s">
        <v>2482</v>
      </c>
      <c r="C505" s="965">
        <v>486000</v>
      </c>
      <c r="D505" s="965" t="s">
        <v>2801</v>
      </c>
      <c r="E505" s="965">
        <v>162393</v>
      </c>
      <c r="F505" s="965">
        <v>78269964000</v>
      </c>
      <c r="G505" s="965">
        <v>466000</v>
      </c>
      <c r="H505" s="965">
        <v>489500</v>
      </c>
      <c r="I505" s="965">
        <v>465500</v>
      </c>
      <c r="J505" s="965">
        <v>14115080</v>
      </c>
      <c r="K505" s="965">
        <v>29043374</v>
      </c>
    </row>
    <row r="506" spans="2:11" s="1259" customFormat="1" ht="13.5" hidden="1" customHeight="1" outlineLevel="1">
      <c r="B506" s="966" t="s">
        <v>2481</v>
      </c>
      <c r="C506" s="965">
        <v>465000</v>
      </c>
      <c r="D506" s="965" t="s">
        <v>2275</v>
      </c>
      <c r="E506" s="965">
        <v>68640</v>
      </c>
      <c r="F506" s="965">
        <v>31941144500</v>
      </c>
      <c r="G506" s="965">
        <v>472500</v>
      </c>
      <c r="H506" s="965">
        <v>472500</v>
      </c>
      <c r="I506" s="965">
        <v>461500</v>
      </c>
      <c r="J506" s="965">
        <v>13505169</v>
      </c>
      <c r="K506" s="965">
        <v>29043374</v>
      </c>
    </row>
    <row r="507" spans="2:11" s="1259" customFormat="1" ht="13.5" hidden="1" customHeight="1" outlineLevel="1">
      <c r="B507" s="966" t="s">
        <v>2479</v>
      </c>
      <c r="C507" s="965">
        <v>470000</v>
      </c>
      <c r="D507" s="965" t="s">
        <v>2783</v>
      </c>
      <c r="E507" s="965">
        <v>110243</v>
      </c>
      <c r="F507" s="965">
        <v>51524931000</v>
      </c>
      <c r="G507" s="965">
        <v>458500</v>
      </c>
      <c r="H507" s="965">
        <v>471000</v>
      </c>
      <c r="I507" s="965">
        <v>454500</v>
      </c>
      <c r="J507" s="965">
        <v>13650386</v>
      </c>
      <c r="K507" s="965">
        <v>29043374</v>
      </c>
    </row>
    <row r="508" spans="2:11" s="1259" customFormat="1" ht="13.5" hidden="1" customHeight="1" outlineLevel="1">
      <c r="B508" s="966" t="s">
        <v>2478</v>
      </c>
      <c r="C508" s="965">
        <v>458500</v>
      </c>
      <c r="D508" s="965" t="s">
        <v>2248</v>
      </c>
      <c r="E508" s="965">
        <v>112195</v>
      </c>
      <c r="F508" s="965">
        <v>51110667000</v>
      </c>
      <c r="G508" s="965">
        <v>453500</v>
      </c>
      <c r="H508" s="965">
        <v>464500</v>
      </c>
      <c r="I508" s="965">
        <v>448000</v>
      </c>
      <c r="J508" s="965">
        <v>13316387</v>
      </c>
      <c r="K508" s="965">
        <v>29043374</v>
      </c>
    </row>
    <row r="509" spans="2:11" s="1259" customFormat="1" ht="13.5" hidden="1" customHeight="1" outlineLevel="1">
      <c r="B509" s="966" t="s">
        <v>2477</v>
      </c>
      <c r="C509" s="965">
        <v>459500</v>
      </c>
      <c r="D509" s="965" t="s">
        <v>2814</v>
      </c>
      <c r="E509" s="965">
        <v>168286</v>
      </c>
      <c r="F509" s="965">
        <v>75811347000</v>
      </c>
      <c r="G509" s="965">
        <v>433000</v>
      </c>
      <c r="H509" s="965">
        <v>460000</v>
      </c>
      <c r="I509" s="965">
        <v>433000</v>
      </c>
      <c r="J509" s="965">
        <v>13345430</v>
      </c>
      <c r="K509" s="965">
        <v>29043374</v>
      </c>
    </row>
    <row r="510" spans="2:11" s="1259" customFormat="1" ht="13.5" hidden="1" customHeight="1" outlineLevel="1">
      <c r="B510" s="966" t="s">
        <v>2476</v>
      </c>
      <c r="C510" s="965">
        <v>433000</v>
      </c>
      <c r="D510" s="965" t="s">
        <v>2783</v>
      </c>
      <c r="E510" s="965">
        <v>131150</v>
      </c>
      <c r="F510" s="965">
        <v>55878299000</v>
      </c>
      <c r="G510" s="965">
        <v>426000</v>
      </c>
      <c r="H510" s="965">
        <v>433500</v>
      </c>
      <c r="I510" s="965">
        <v>420000</v>
      </c>
      <c r="J510" s="965">
        <v>12575781</v>
      </c>
      <c r="K510" s="965">
        <v>29043374</v>
      </c>
    </row>
    <row r="511" spans="2:11" s="1259" customFormat="1" ht="13.5" hidden="1" customHeight="1" outlineLevel="1">
      <c r="B511" s="966" t="s">
        <v>2475</v>
      </c>
      <c r="C511" s="965">
        <v>421500</v>
      </c>
      <c r="D511" s="965" t="s">
        <v>2788</v>
      </c>
      <c r="E511" s="965">
        <v>92993</v>
      </c>
      <c r="F511" s="965">
        <v>39373263500</v>
      </c>
      <c r="G511" s="965">
        <v>431500</v>
      </c>
      <c r="H511" s="965">
        <v>434000</v>
      </c>
      <c r="I511" s="965">
        <v>418500</v>
      </c>
      <c r="J511" s="965">
        <v>12241782</v>
      </c>
      <c r="K511" s="965">
        <v>29043374</v>
      </c>
    </row>
    <row r="512" spans="2:11" s="1259" customFormat="1" ht="13.5" hidden="1" customHeight="1" outlineLevel="1">
      <c r="B512" s="966" t="s">
        <v>2474</v>
      </c>
      <c r="C512" s="965">
        <v>431500</v>
      </c>
      <c r="D512" s="965" t="s">
        <v>2671</v>
      </c>
      <c r="E512" s="965">
        <v>79787</v>
      </c>
      <c r="F512" s="965">
        <v>34532157050</v>
      </c>
      <c r="G512" s="965">
        <v>438000</v>
      </c>
      <c r="H512" s="965">
        <v>445000</v>
      </c>
      <c r="I512" s="965">
        <v>427500</v>
      </c>
      <c r="J512" s="965">
        <v>12532216</v>
      </c>
      <c r="K512" s="965">
        <v>29043374</v>
      </c>
    </row>
    <row r="513" spans="2:11" s="1259" customFormat="1" ht="13.5" hidden="1" customHeight="1" outlineLevel="1">
      <c r="B513" s="966" t="s">
        <v>2473</v>
      </c>
      <c r="C513" s="965">
        <v>438000</v>
      </c>
      <c r="D513" s="965" t="s">
        <v>2676</v>
      </c>
      <c r="E513" s="965">
        <v>95495</v>
      </c>
      <c r="F513" s="965">
        <v>41642535000</v>
      </c>
      <c r="G513" s="965">
        <v>444500</v>
      </c>
      <c r="H513" s="965">
        <v>445000</v>
      </c>
      <c r="I513" s="965">
        <v>433000</v>
      </c>
      <c r="J513" s="965">
        <v>12720998</v>
      </c>
      <c r="K513" s="965">
        <v>29043374</v>
      </c>
    </row>
    <row r="514" spans="2:11" s="1259" customFormat="1" ht="13.5" hidden="1" customHeight="1" outlineLevel="1">
      <c r="B514" s="966" t="s">
        <v>2472</v>
      </c>
      <c r="C514" s="965">
        <v>445500</v>
      </c>
      <c r="D514" s="965" t="s">
        <v>2671</v>
      </c>
      <c r="E514" s="965">
        <v>104433</v>
      </c>
      <c r="F514" s="965">
        <v>46240295500</v>
      </c>
      <c r="G514" s="965">
        <v>453000</v>
      </c>
      <c r="H514" s="965">
        <v>453000</v>
      </c>
      <c r="I514" s="965">
        <v>438500</v>
      </c>
      <c r="J514" s="965">
        <v>12938823</v>
      </c>
      <c r="K514" s="965">
        <v>29043374</v>
      </c>
    </row>
    <row r="515" spans="2:11" s="1259" customFormat="1" ht="13.5" hidden="1" customHeight="1" outlineLevel="1">
      <c r="B515" s="966" t="s">
        <v>2471</v>
      </c>
      <c r="C515" s="965">
        <v>452000</v>
      </c>
      <c r="D515" s="965" t="s">
        <v>2778</v>
      </c>
      <c r="E515" s="965">
        <v>81250</v>
      </c>
      <c r="F515" s="965">
        <v>36164107500</v>
      </c>
      <c r="G515" s="965">
        <v>442500</v>
      </c>
      <c r="H515" s="965">
        <v>452000</v>
      </c>
      <c r="I515" s="965">
        <v>438000</v>
      </c>
      <c r="J515" s="965">
        <v>13127605</v>
      </c>
      <c r="K515" s="965">
        <v>29043374</v>
      </c>
    </row>
    <row r="516" spans="2:11" s="1259" customFormat="1" ht="13.5" hidden="1" customHeight="1" outlineLevel="1">
      <c r="B516" s="966" t="s">
        <v>2470</v>
      </c>
      <c r="C516" s="965">
        <v>441500</v>
      </c>
      <c r="D516" s="965" t="s">
        <v>2676</v>
      </c>
      <c r="E516" s="965">
        <v>87398</v>
      </c>
      <c r="F516" s="965">
        <v>38722853000</v>
      </c>
      <c r="G516" s="965">
        <v>450000</v>
      </c>
      <c r="H516" s="965">
        <v>452500</v>
      </c>
      <c r="I516" s="965">
        <v>439000</v>
      </c>
      <c r="J516" s="965">
        <v>12822650</v>
      </c>
      <c r="K516" s="965">
        <v>29043374</v>
      </c>
    </row>
    <row r="517" spans="2:11" s="1259" customFormat="1" ht="13.5" hidden="1" customHeight="1" outlineLevel="1">
      <c r="B517" s="966" t="s">
        <v>2468</v>
      </c>
      <c r="C517" s="965">
        <v>449000</v>
      </c>
      <c r="D517" s="965" t="s">
        <v>2774</v>
      </c>
      <c r="E517" s="965">
        <v>96315</v>
      </c>
      <c r="F517" s="965">
        <v>43109746500</v>
      </c>
      <c r="G517" s="965">
        <v>456000</v>
      </c>
      <c r="H517" s="965">
        <v>456000</v>
      </c>
      <c r="I517" s="965">
        <v>444000</v>
      </c>
      <c r="J517" s="965">
        <v>13040475</v>
      </c>
      <c r="K517" s="965">
        <v>29043374</v>
      </c>
    </row>
    <row r="518" spans="2:11" s="1259" customFormat="1" ht="13.5" hidden="1" customHeight="1" outlineLevel="1">
      <c r="B518" s="966" t="s">
        <v>2467</v>
      </c>
      <c r="C518" s="965">
        <v>454500</v>
      </c>
      <c r="D518" s="965" t="s">
        <v>2249</v>
      </c>
      <c r="E518" s="965">
        <v>118844</v>
      </c>
      <c r="F518" s="965">
        <v>53688377000</v>
      </c>
      <c r="G518" s="965">
        <v>457500</v>
      </c>
      <c r="H518" s="965">
        <v>459000</v>
      </c>
      <c r="I518" s="965">
        <v>448000</v>
      </c>
      <c r="J518" s="965">
        <v>13200213</v>
      </c>
      <c r="K518" s="965">
        <v>29043374</v>
      </c>
    </row>
    <row r="519" spans="2:11" s="1259" customFormat="1" ht="13.5" hidden="1" customHeight="1" outlineLevel="1">
      <c r="B519" s="966" t="s">
        <v>2466</v>
      </c>
      <c r="C519" s="965">
        <v>460500</v>
      </c>
      <c r="D519" s="965" t="s">
        <v>1826</v>
      </c>
      <c r="E519" s="965">
        <v>75369</v>
      </c>
      <c r="F519" s="965">
        <v>34603618500</v>
      </c>
      <c r="G519" s="965">
        <v>459500</v>
      </c>
      <c r="H519" s="965">
        <v>465500</v>
      </c>
      <c r="I519" s="965">
        <v>453000</v>
      </c>
      <c r="J519" s="965">
        <v>13374474</v>
      </c>
      <c r="K519" s="965">
        <v>29043374</v>
      </c>
    </row>
    <row r="520" spans="2:11" s="1259" customFormat="1" ht="13.5" hidden="1" customHeight="1" outlineLevel="1">
      <c r="B520" s="966" t="s">
        <v>2465</v>
      </c>
      <c r="C520" s="965">
        <v>460000</v>
      </c>
      <c r="D520" s="965" t="s">
        <v>2813</v>
      </c>
      <c r="E520" s="965">
        <v>63665</v>
      </c>
      <c r="F520" s="965">
        <v>29485517500</v>
      </c>
      <c r="G520" s="965">
        <v>466000</v>
      </c>
      <c r="H520" s="965">
        <v>473500</v>
      </c>
      <c r="I520" s="965">
        <v>457000</v>
      </c>
      <c r="J520" s="965">
        <v>13359952</v>
      </c>
      <c r="K520" s="965">
        <v>29043374</v>
      </c>
    </row>
    <row r="521" spans="2:11" s="1259" customFormat="1" ht="13.5" hidden="1" customHeight="1" outlineLevel="1">
      <c r="B521" s="966" t="s">
        <v>2464</v>
      </c>
      <c r="C521" s="965">
        <v>469000</v>
      </c>
      <c r="D521" s="965" t="s">
        <v>2805</v>
      </c>
      <c r="E521" s="965">
        <v>79791</v>
      </c>
      <c r="F521" s="965">
        <v>37456692500</v>
      </c>
      <c r="G521" s="965">
        <v>479500</v>
      </c>
      <c r="H521" s="965">
        <v>482000</v>
      </c>
      <c r="I521" s="965">
        <v>465000</v>
      </c>
      <c r="J521" s="965">
        <v>13621342</v>
      </c>
      <c r="K521" s="965">
        <v>29043374</v>
      </c>
    </row>
    <row r="522" spans="2:11" s="1259" customFormat="1" ht="13.5" hidden="1" customHeight="1" outlineLevel="1">
      <c r="B522" s="966" t="s">
        <v>2463</v>
      </c>
      <c r="C522" s="965">
        <v>480000</v>
      </c>
      <c r="D522" s="965" t="s">
        <v>2812</v>
      </c>
      <c r="E522" s="965">
        <v>132374</v>
      </c>
      <c r="F522" s="965">
        <v>62762051500</v>
      </c>
      <c r="G522" s="965">
        <v>460000</v>
      </c>
      <c r="H522" s="965">
        <v>480000</v>
      </c>
      <c r="I522" s="965">
        <v>460000</v>
      </c>
      <c r="J522" s="965">
        <v>13940820</v>
      </c>
      <c r="K522" s="965">
        <v>29043374</v>
      </c>
    </row>
    <row r="523" spans="2:11" s="1259" customFormat="1" ht="13.5" hidden="1" customHeight="1" outlineLevel="1">
      <c r="B523" s="966" t="s">
        <v>2461</v>
      </c>
      <c r="C523" s="965">
        <v>460000</v>
      </c>
      <c r="D523" s="965" t="s">
        <v>2811</v>
      </c>
      <c r="E523" s="965">
        <v>149515</v>
      </c>
      <c r="F523" s="965">
        <v>68501674500</v>
      </c>
      <c r="G523" s="965">
        <v>450000</v>
      </c>
      <c r="H523" s="965">
        <v>463500</v>
      </c>
      <c r="I523" s="965">
        <v>442500</v>
      </c>
      <c r="J523" s="965">
        <v>13359952</v>
      </c>
      <c r="K523" s="965">
        <v>29043374</v>
      </c>
    </row>
    <row r="524" spans="2:11" s="1259" customFormat="1" ht="13.5" hidden="1" customHeight="1" outlineLevel="1">
      <c r="B524" s="966" t="s">
        <v>2459</v>
      </c>
      <c r="C524" s="965">
        <v>449000</v>
      </c>
      <c r="D524" s="965" t="s">
        <v>2810</v>
      </c>
      <c r="E524" s="965">
        <v>77727</v>
      </c>
      <c r="F524" s="965">
        <v>34407278500</v>
      </c>
      <c r="G524" s="965">
        <v>443000</v>
      </c>
      <c r="H524" s="965">
        <v>449000</v>
      </c>
      <c r="I524" s="965">
        <v>435000</v>
      </c>
      <c r="J524" s="965">
        <v>13040475</v>
      </c>
      <c r="K524" s="965">
        <v>29043374</v>
      </c>
    </row>
    <row r="525" spans="2:11" s="1259" customFormat="1" ht="13.5" hidden="1" customHeight="1" outlineLevel="1">
      <c r="B525" s="966" t="s">
        <v>2457</v>
      </c>
      <c r="C525" s="965">
        <v>435000</v>
      </c>
      <c r="D525" s="965" t="s">
        <v>2809</v>
      </c>
      <c r="E525" s="965">
        <v>105039</v>
      </c>
      <c r="F525" s="965">
        <v>45176007000</v>
      </c>
      <c r="G525" s="965">
        <v>420000</v>
      </c>
      <c r="H525" s="965">
        <v>435000</v>
      </c>
      <c r="I525" s="965">
        <v>418500</v>
      </c>
      <c r="J525" s="965">
        <v>12633868</v>
      </c>
      <c r="K525" s="965">
        <v>29043374</v>
      </c>
    </row>
    <row r="526" spans="2:11" s="1259" customFormat="1" ht="13.5" hidden="1" customHeight="1" outlineLevel="1">
      <c r="B526" s="966" t="s">
        <v>2455</v>
      </c>
      <c r="C526" s="965">
        <v>417500</v>
      </c>
      <c r="D526" s="965" t="s">
        <v>2671</v>
      </c>
      <c r="E526" s="965">
        <v>86394</v>
      </c>
      <c r="F526" s="965">
        <v>35964277500</v>
      </c>
      <c r="G526" s="965">
        <v>422000</v>
      </c>
      <c r="H526" s="965">
        <v>424000</v>
      </c>
      <c r="I526" s="965">
        <v>414000</v>
      </c>
      <c r="J526" s="965">
        <v>12125609</v>
      </c>
      <c r="K526" s="965">
        <v>29043374</v>
      </c>
    </row>
    <row r="527" spans="2:11" s="1259" customFormat="1" ht="13.5" hidden="1" customHeight="1" outlineLevel="1">
      <c r="B527" s="966" t="s">
        <v>2454</v>
      </c>
      <c r="C527" s="965">
        <v>424000</v>
      </c>
      <c r="D527" s="965" t="s">
        <v>2249</v>
      </c>
      <c r="E527" s="965">
        <v>86944</v>
      </c>
      <c r="F527" s="965">
        <v>36419946000</v>
      </c>
      <c r="G527" s="965">
        <v>426500</v>
      </c>
      <c r="H527" s="965">
        <v>426500</v>
      </c>
      <c r="I527" s="965">
        <v>415000</v>
      </c>
      <c r="J527" s="965">
        <v>12314391</v>
      </c>
      <c r="K527" s="965">
        <v>29043374</v>
      </c>
    </row>
    <row r="528" spans="2:11" s="1259" customFormat="1" ht="13.5" hidden="1" customHeight="1" outlineLevel="1">
      <c r="B528" s="966" t="s">
        <v>2453</v>
      </c>
      <c r="C528" s="965">
        <v>430000</v>
      </c>
      <c r="D528" s="965" t="s">
        <v>2799</v>
      </c>
      <c r="E528" s="965">
        <v>54140</v>
      </c>
      <c r="F528" s="965">
        <v>23389478000</v>
      </c>
      <c r="G528" s="965">
        <v>440500</v>
      </c>
      <c r="H528" s="965">
        <v>443000</v>
      </c>
      <c r="I528" s="965">
        <v>428000</v>
      </c>
      <c r="J528" s="965">
        <v>12488651</v>
      </c>
      <c r="K528" s="965">
        <v>29043374</v>
      </c>
    </row>
    <row r="529" spans="2:11" s="1259" customFormat="1" ht="13.5" hidden="1" customHeight="1" outlineLevel="1">
      <c r="B529" s="966" t="s">
        <v>2451</v>
      </c>
      <c r="C529" s="965">
        <v>438500</v>
      </c>
      <c r="D529" s="965" t="s">
        <v>2236</v>
      </c>
      <c r="E529" s="965">
        <v>39829</v>
      </c>
      <c r="F529" s="965">
        <v>17341729000</v>
      </c>
      <c r="G529" s="965">
        <v>439500</v>
      </c>
      <c r="H529" s="965">
        <v>443000</v>
      </c>
      <c r="I529" s="965">
        <v>430500</v>
      </c>
      <c r="J529" s="965">
        <v>12735519</v>
      </c>
      <c r="K529" s="965">
        <v>29043374</v>
      </c>
    </row>
    <row r="530" spans="2:11" s="1259" customFormat="1" ht="13.5" hidden="1" customHeight="1" outlineLevel="1">
      <c r="B530" s="966" t="s">
        <v>2450</v>
      </c>
      <c r="C530" s="965">
        <v>437500</v>
      </c>
      <c r="D530" s="965" t="s">
        <v>2221</v>
      </c>
      <c r="E530" s="965">
        <v>52076</v>
      </c>
      <c r="F530" s="965">
        <v>22852459000</v>
      </c>
      <c r="G530" s="965">
        <v>440000</v>
      </c>
      <c r="H530" s="965">
        <v>443500</v>
      </c>
      <c r="I530" s="965">
        <v>435000</v>
      </c>
      <c r="J530" s="965">
        <v>12706476</v>
      </c>
      <c r="K530" s="965">
        <v>29043374</v>
      </c>
    </row>
    <row r="531" spans="2:11" s="1259" customFormat="1" ht="13.5" hidden="1" customHeight="1" outlineLevel="1">
      <c r="B531" s="966" t="s">
        <v>2449</v>
      </c>
      <c r="C531" s="965">
        <v>437500</v>
      </c>
      <c r="D531" s="965" t="s">
        <v>2792</v>
      </c>
      <c r="E531" s="965">
        <v>91373</v>
      </c>
      <c r="F531" s="965">
        <v>39621048500</v>
      </c>
      <c r="G531" s="965">
        <v>423000</v>
      </c>
      <c r="H531" s="965">
        <v>438500</v>
      </c>
      <c r="I531" s="965">
        <v>423000</v>
      </c>
      <c r="J531" s="965">
        <v>12706476</v>
      </c>
      <c r="K531" s="965">
        <v>29043374</v>
      </c>
    </row>
    <row r="532" spans="2:11" s="1259" customFormat="1" ht="13.5" hidden="1" customHeight="1" outlineLevel="1">
      <c r="B532" s="966" t="s">
        <v>2448</v>
      </c>
      <c r="C532" s="965">
        <v>421500</v>
      </c>
      <c r="D532" s="965" t="s">
        <v>2808</v>
      </c>
      <c r="E532" s="965">
        <v>91646</v>
      </c>
      <c r="F532" s="965">
        <v>38139739500</v>
      </c>
      <c r="G532" s="965">
        <v>405000</v>
      </c>
      <c r="H532" s="965">
        <v>428000</v>
      </c>
      <c r="I532" s="965">
        <v>399500</v>
      </c>
      <c r="J532" s="965">
        <v>12241782</v>
      </c>
      <c r="K532" s="965">
        <v>29043374</v>
      </c>
    </row>
    <row r="533" spans="2:11" s="1259" customFormat="1" ht="13.5" hidden="1" customHeight="1" outlineLevel="1">
      <c r="B533" s="966" t="s">
        <v>2447</v>
      </c>
      <c r="C533" s="965">
        <v>405000</v>
      </c>
      <c r="D533" s="965" t="s">
        <v>2799</v>
      </c>
      <c r="E533" s="965">
        <v>75569</v>
      </c>
      <c r="F533" s="965">
        <v>30765607500</v>
      </c>
      <c r="G533" s="965">
        <v>413000</v>
      </c>
      <c r="H533" s="965">
        <v>415500</v>
      </c>
      <c r="I533" s="965">
        <v>405000</v>
      </c>
      <c r="J533" s="965">
        <v>11762566</v>
      </c>
      <c r="K533" s="965">
        <v>29043374</v>
      </c>
    </row>
    <row r="534" spans="2:11" s="1259" customFormat="1" ht="13.5" hidden="1" customHeight="1" outlineLevel="1">
      <c r="B534" s="966" t="s">
        <v>2446</v>
      </c>
      <c r="C534" s="965">
        <v>413500</v>
      </c>
      <c r="D534" s="965" t="s">
        <v>2805</v>
      </c>
      <c r="E534" s="965">
        <v>47301</v>
      </c>
      <c r="F534" s="965">
        <v>19539629000</v>
      </c>
      <c r="G534" s="965">
        <v>419500</v>
      </c>
      <c r="H534" s="965">
        <v>419500</v>
      </c>
      <c r="I534" s="965">
        <v>408500</v>
      </c>
      <c r="J534" s="965">
        <v>12009435</v>
      </c>
      <c r="K534" s="965">
        <v>29043374</v>
      </c>
    </row>
    <row r="535" spans="2:11" s="1259" customFormat="1" ht="13.5" hidden="1" customHeight="1" outlineLevel="1">
      <c r="B535" s="966" t="s">
        <v>2445</v>
      </c>
      <c r="C535" s="965">
        <v>424500</v>
      </c>
      <c r="D535" s="965" t="s">
        <v>2273</v>
      </c>
      <c r="E535" s="965">
        <v>48302</v>
      </c>
      <c r="F535" s="965">
        <v>20477862500</v>
      </c>
      <c r="G535" s="965">
        <v>424000</v>
      </c>
      <c r="H535" s="965">
        <v>430000</v>
      </c>
      <c r="I535" s="965">
        <v>413000</v>
      </c>
      <c r="J535" s="965">
        <v>12328912</v>
      </c>
      <c r="K535" s="965">
        <v>29043374</v>
      </c>
    </row>
    <row r="536" spans="2:11" s="1259" customFormat="1" ht="13.5" hidden="1" customHeight="1" outlineLevel="1">
      <c r="B536" s="966" t="s">
        <v>2443</v>
      </c>
      <c r="C536" s="965">
        <v>419000</v>
      </c>
      <c r="D536" s="965" t="s">
        <v>1814</v>
      </c>
      <c r="E536" s="965">
        <v>95847</v>
      </c>
      <c r="F536" s="965">
        <v>39678648000</v>
      </c>
      <c r="G536" s="965">
        <v>412000</v>
      </c>
      <c r="H536" s="965">
        <v>423500</v>
      </c>
      <c r="I536" s="965">
        <v>403500</v>
      </c>
      <c r="J536" s="965">
        <v>12169174</v>
      </c>
      <c r="K536" s="965">
        <v>29043374</v>
      </c>
    </row>
    <row r="537" spans="2:11" s="1259" customFormat="1" ht="13.5" hidden="1" customHeight="1" outlineLevel="1">
      <c r="B537" s="966" t="s">
        <v>2441</v>
      </c>
      <c r="C537" s="965">
        <v>419500</v>
      </c>
      <c r="D537" s="965" t="s">
        <v>2676</v>
      </c>
      <c r="E537" s="965">
        <v>163980</v>
      </c>
      <c r="F537" s="965">
        <v>66415332500</v>
      </c>
      <c r="G537" s="965">
        <v>411000</v>
      </c>
      <c r="H537" s="965">
        <v>420000</v>
      </c>
      <c r="I537" s="965">
        <v>390500</v>
      </c>
      <c r="J537" s="965">
        <v>12183695</v>
      </c>
      <c r="K537" s="965">
        <v>29043374</v>
      </c>
    </row>
    <row r="538" spans="2:11" s="1259" customFormat="1" ht="13.5" hidden="1" customHeight="1" outlineLevel="1">
      <c r="B538" s="966" t="s">
        <v>2439</v>
      </c>
      <c r="C538" s="965">
        <v>427000</v>
      </c>
      <c r="D538" s="965" t="s">
        <v>1814</v>
      </c>
      <c r="E538" s="965">
        <v>46114</v>
      </c>
      <c r="F538" s="965">
        <v>19664982500</v>
      </c>
      <c r="G538" s="965">
        <v>420500</v>
      </c>
      <c r="H538" s="965">
        <v>432500</v>
      </c>
      <c r="I538" s="965">
        <v>419500</v>
      </c>
      <c r="J538" s="965">
        <v>12401521</v>
      </c>
      <c r="K538" s="965">
        <v>29043374</v>
      </c>
    </row>
    <row r="539" spans="2:11" s="1259" customFormat="1" ht="13.5" hidden="1" customHeight="1" outlineLevel="1">
      <c r="B539" s="966" t="s">
        <v>2438</v>
      </c>
      <c r="C539" s="965">
        <v>427500</v>
      </c>
      <c r="D539" s="965" t="s">
        <v>2235</v>
      </c>
      <c r="E539" s="965">
        <v>67236</v>
      </c>
      <c r="F539" s="965">
        <v>28669342500</v>
      </c>
      <c r="G539" s="965">
        <v>422500</v>
      </c>
      <c r="H539" s="965">
        <v>429500</v>
      </c>
      <c r="I539" s="965">
        <v>422000</v>
      </c>
      <c r="J539" s="965">
        <v>12416042</v>
      </c>
      <c r="K539" s="965">
        <v>29043374</v>
      </c>
    </row>
    <row r="540" spans="2:11" s="1259" customFormat="1" ht="13.5" hidden="1" customHeight="1" outlineLevel="1">
      <c r="B540" s="966" t="s">
        <v>2436</v>
      </c>
      <c r="C540" s="965">
        <v>430000</v>
      </c>
      <c r="D540" s="965" t="s">
        <v>2663</v>
      </c>
      <c r="E540" s="965">
        <v>69815</v>
      </c>
      <c r="F540" s="965">
        <v>29636521000</v>
      </c>
      <c r="G540" s="965">
        <v>427000</v>
      </c>
      <c r="H540" s="965">
        <v>430000</v>
      </c>
      <c r="I540" s="965">
        <v>415500</v>
      </c>
      <c r="J540" s="965">
        <v>12488651</v>
      </c>
      <c r="K540" s="965">
        <v>29043374</v>
      </c>
    </row>
    <row r="541" spans="2:11" s="1259" customFormat="1" ht="13.5" hidden="1" customHeight="1" outlineLevel="1">
      <c r="B541" s="966" t="s">
        <v>2435</v>
      </c>
      <c r="C541" s="965">
        <v>423000</v>
      </c>
      <c r="D541" s="965" t="s">
        <v>2675</v>
      </c>
      <c r="E541" s="965">
        <v>56228</v>
      </c>
      <c r="F541" s="965">
        <v>23631837500</v>
      </c>
      <c r="G541" s="965">
        <v>417500</v>
      </c>
      <c r="H541" s="965">
        <v>423500</v>
      </c>
      <c r="I541" s="965">
        <v>407500</v>
      </c>
      <c r="J541" s="965">
        <v>12285347</v>
      </c>
      <c r="K541" s="965">
        <v>29043374</v>
      </c>
    </row>
    <row r="542" spans="2:11" s="1259" customFormat="1" ht="13.5" hidden="1" customHeight="1" outlineLevel="1">
      <c r="B542" s="966" t="s">
        <v>2433</v>
      </c>
      <c r="C542" s="965">
        <v>415000</v>
      </c>
      <c r="D542" s="965" t="s">
        <v>2667</v>
      </c>
      <c r="E542" s="965">
        <v>123027</v>
      </c>
      <c r="F542" s="965">
        <v>51529287000</v>
      </c>
      <c r="G542" s="965">
        <v>407500</v>
      </c>
      <c r="H542" s="965">
        <v>423000</v>
      </c>
      <c r="I542" s="965">
        <v>407500</v>
      </c>
      <c r="J542" s="965">
        <v>12053000</v>
      </c>
      <c r="K542" s="965">
        <v>29043374</v>
      </c>
    </row>
    <row r="543" spans="2:11" s="1259" customFormat="1" ht="13.5" hidden="1" customHeight="1" outlineLevel="1">
      <c r="B543" s="966" t="s">
        <v>2431</v>
      </c>
      <c r="C543" s="965">
        <v>407500</v>
      </c>
      <c r="D543" s="965" t="s">
        <v>2807</v>
      </c>
      <c r="E543" s="965">
        <v>145850</v>
      </c>
      <c r="F543" s="965">
        <v>58661980000</v>
      </c>
      <c r="G543" s="965">
        <v>390000</v>
      </c>
      <c r="H543" s="965">
        <v>410000</v>
      </c>
      <c r="I543" s="965">
        <v>386000</v>
      </c>
      <c r="J543" s="965">
        <v>11835175</v>
      </c>
      <c r="K543" s="965">
        <v>29043374</v>
      </c>
    </row>
    <row r="544" spans="2:11" s="1259" customFormat="1" ht="13.5" hidden="1" customHeight="1" outlineLevel="1">
      <c r="B544" s="966" t="s">
        <v>2430</v>
      </c>
      <c r="C544" s="965">
        <v>382500</v>
      </c>
      <c r="D544" s="965" t="s">
        <v>2644</v>
      </c>
      <c r="E544" s="965">
        <v>99154</v>
      </c>
      <c r="F544" s="965">
        <v>37790107500</v>
      </c>
      <c r="G544" s="965">
        <v>382000</v>
      </c>
      <c r="H544" s="965">
        <v>384500</v>
      </c>
      <c r="I544" s="965">
        <v>376500</v>
      </c>
      <c r="J544" s="965">
        <v>11109091</v>
      </c>
      <c r="K544" s="965">
        <v>29043374</v>
      </c>
    </row>
    <row r="545" spans="2:11" s="1259" customFormat="1" ht="13.5" hidden="1" customHeight="1" outlineLevel="1">
      <c r="B545" s="966" t="s">
        <v>2428</v>
      </c>
      <c r="C545" s="965">
        <v>378000</v>
      </c>
      <c r="D545" s="965" t="s">
        <v>2784</v>
      </c>
      <c r="E545" s="965">
        <v>143953</v>
      </c>
      <c r="F545" s="965">
        <v>54599625000</v>
      </c>
      <c r="G545" s="965">
        <v>386000</v>
      </c>
      <c r="H545" s="965">
        <v>389500</v>
      </c>
      <c r="I545" s="965">
        <v>374500</v>
      </c>
      <c r="J545" s="965">
        <v>10978395</v>
      </c>
      <c r="K545" s="965">
        <v>29043374</v>
      </c>
    </row>
    <row r="546" spans="2:11" s="1259" customFormat="1" ht="13.5" hidden="1" customHeight="1" outlineLevel="1">
      <c r="B546" s="966" t="s">
        <v>2427</v>
      </c>
      <c r="C546" s="965">
        <v>392000</v>
      </c>
      <c r="D546" s="965" t="s">
        <v>2806</v>
      </c>
      <c r="E546" s="965">
        <v>63579</v>
      </c>
      <c r="F546" s="965">
        <v>25039893500</v>
      </c>
      <c r="G546" s="965">
        <v>403500</v>
      </c>
      <c r="H546" s="965">
        <v>403500</v>
      </c>
      <c r="I546" s="965">
        <v>389500</v>
      </c>
      <c r="J546" s="965">
        <v>11385003</v>
      </c>
      <c r="K546" s="965">
        <v>29043374</v>
      </c>
    </row>
    <row r="547" spans="2:11" s="1259" customFormat="1" ht="13.5" hidden="1" customHeight="1" outlineLevel="1">
      <c r="B547" s="966" t="s">
        <v>2425</v>
      </c>
      <c r="C547" s="965">
        <v>404500</v>
      </c>
      <c r="D547" s="965" t="s">
        <v>2777</v>
      </c>
      <c r="E547" s="965">
        <v>71664</v>
      </c>
      <c r="F547" s="965">
        <v>28808707000</v>
      </c>
      <c r="G547" s="965">
        <v>391000</v>
      </c>
      <c r="H547" s="965">
        <v>407500</v>
      </c>
      <c r="I547" s="965">
        <v>391000</v>
      </c>
      <c r="J547" s="965">
        <v>11748045</v>
      </c>
      <c r="K547" s="965">
        <v>29043374</v>
      </c>
    </row>
    <row r="548" spans="2:11" s="1259" customFormat="1" ht="13.5" hidden="1" customHeight="1" outlineLevel="1">
      <c r="B548" s="966" t="s">
        <v>2423</v>
      </c>
      <c r="C548" s="965">
        <v>395000</v>
      </c>
      <c r="D548" s="965" t="s">
        <v>2249</v>
      </c>
      <c r="E548" s="965">
        <v>78428</v>
      </c>
      <c r="F548" s="965">
        <v>31085706000</v>
      </c>
      <c r="G548" s="965">
        <v>401000</v>
      </c>
      <c r="H548" s="965">
        <v>401000</v>
      </c>
      <c r="I548" s="965">
        <v>389500</v>
      </c>
      <c r="J548" s="965">
        <v>11472133</v>
      </c>
      <c r="K548" s="965">
        <v>29043374</v>
      </c>
    </row>
    <row r="549" spans="2:11" s="1259" customFormat="1" ht="13.5" hidden="1" customHeight="1" outlineLevel="1">
      <c r="B549" s="966" t="s">
        <v>2422</v>
      </c>
      <c r="C549" s="965">
        <v>401000</v>
      </c>
      <c r="D549" s="965" t="s">
        <v>2788</v>
      </c>
      <c r="E549" s="965">
        <v>95490</v>
      </c>
      <c r="F549" s="965">
        <v>38410302500</v>
      </c>
      <c r="G549" s="965">
        <v>404500</v>
      </c>
      <c r="H549" s="965">
        <v>410000</v>
      </c>
      <c r="I549" s="965">
        <v>400500</v>
      </c>
      <c r="J549" s="965">
        <v>11646393</v>
      </c>
      <c r="K549" s="965">
        <v>29043374</v>
      </c>
    </row>
    <row r="550" spans="2:11" s="1259" customFormat="1" ht="13.5" hidden="1" customHeight="1" outlineLevel="1">
      <c r="B550" s="966" t="s">
        <v>2420</v>
      </c>
      <c r="C550" s="965">
        <v>411000</v>
      </c>
      <c r="D550" s="965" t="s">
        <v>2805</v>
      </c>
      <c r="E550" s="965">
        <v>50122</v>
      </c>
      <c r="F550" s="965">
        <v>20755248000</v>
      </c>
      <c r="G550" s="965">
        <v>420000</v>
      </c>
      <c r="H550" s="965">
        <v>421500</v>
      </c>
      <c r="I550" s="965">
        <v>410000</v>
      </c>
      <c r="J550" s="965">
        <v>11936827</v>
      </c>
      <c r="K550" s="965">
        <v>29043374</v>
      </c>
    </row>
    <row r="551" spans="2:11" s="1259" customFormat="1" ht="13.5" hidden="1" customHeight="1" outlineLevel="1">
      <c r="B551" s="966" t="s">
        <v>2418</v>
      </c>
      <c r="C551" s="965">
        <v>422000</v>
      </c>
      <c r="D551" s="965" t="s">
        <v>2272</v>
      </c>
      <c r="E551" s="965">
        <v>71495</v>
      </c>
      <c r="F551" s="965">
        <v>30140113500</v>
      </c>
      <c r="G551" s="965">
        <v>422500</v>
      </c>
      <c r="H551" s="965">
        <v>428000</v>
      </c>
      <c r="I551" s="965">
        <v>415000</v>
      </c>
      <c r="J551" s="965">
        <v>12256304</v>
      </c>
      <c r="K551" s="965">
        <v>29043374</v>
      </c>
    </row>
    <row r="552" spans="2:11" s="1259" customFormat="1" ht="13.5" hidden="1" customHeight="1" outlineLevel="1">
      <c r="B552" s="966" t="s">
        <v>2417</v>
      </c>
      <c r="C552" s="965">
        <v>426500</v>
      </c>
      <c r="D552" s="965" t="s">
        <v>2288</v>
      </c>
      <c r="E552" s="965">
        <v>49482</v>
      </c>
      <c r="F552" s="965">
        <v>21244575500</v>
      </c>
      <c r="G552" s="965">
        <v>422000</v>
      </c>
      <c r="H552" s="965">
        <v>432000</v>
      </c>
      <c r="I552" s="965">
        <v>422000</v>
      </c>
      <c r="J552" s="965">
        <v>12386999</v>
      </c>
      <c r="K552" s="965">
        <v>29043374</v>
      </c>
    </row>
    <row r="553" spans="2:11" s="1259" customFormat="1" ht="13.5" hidden="1" customHeight="1" outlineLevel="1">
      <c r="B553" s="966" t="s">
        <v>2416</v>
      </c>
      <c r="C553" s="965">
        <v>424500</v>
      </c>
      <c r="D553" s="965" t="s">
        <v>2786</v>
      </c>
      <c r="E553" s="965">
        <v>70525</v>
      </c>
      <c r="F553" s="965">
        <v>29758242500</v>
      </c>
      <c r="G553" s="965">
        <v>415500</v>
      </c>
      <c r="H553" s="965">
        <v>424500</v>
      </c>
      <c r="I553" s="965">
        <v>415500</v>
      </c>
      <c r="J553" s="965">
        <v>12328912</v>
      </c>
      <c r="K553" s="965">
        <v>29043374</v>
      </c>
    </row>
    <row r="554" spans="2:11" s="1259" customFormat="1" ht="13.5" hidden="1" customHeight="1" outlineLevel="1">
      <c r="B554" s="966" t="s">
        <v>2414</v>
      </c>
      <c r="C554" s="965">
        <v>414500</v>
      </c>
      <c r="D554" s="965" t="s">
        <v>2776</v>
      </c>
      <c r="E554" s="965">
        <v>71620</v>
      </c>
      <c r="F554" s="965">
        <v>29842130000</v>
      </c>
      <c r="G554" s="965">
        <v>417500</v>
      </c>
      <c r="H554" s="965">
        <v>424500</v>
      </c>
      <c r="I554" s="965">
        <v>411000</v>
      </c>
      <c r="J554" s="965">
        <v>12038479</v>
      </c>
      <c r="K554" s="965">
        <v>29043374</v>
      </c>
    </row>
    <row r="555" spans="2:11" s="1259" customFormat="1" ht="13.5" hidden="1" customHeight="1" outlineLevel="1">
      <c r="B555" s="966" t="s">
        <v>2412</v>
      </c>
      <c r="C555" s="965">
        <v>422500</v>
      </c>
      <c r="D555" s="965" t="s">
        <v>2235</v>
      </c>
      <c r="E555" s="965">
        <v>63962</v>
      </c>
      <c r="F555" s="965">
        <v>26922075500</v>
      </c>
      <c r="G555" s="965">
        <v>419500</v>
      </c>
      <c r="H555" s="965">
        <v>427500</v>
      </c>
      <c r="I555" s="965">
        <v>415000</v>
      </c>
      <c r="J555" s="965">
        <v>12270826</v>
      </c>
      <c r="K555" s="965">
        <v>29043374</v>
      </c>
    </row>
    <row r="556" spans="2:11" s="1259" customFormat="1" ht="13.5" hidden="1" customHeight="1" outlineLevel="1">
      <c r="B556" s="966" t="s">
        <v>2410</v>
      </c>
      <c r="C556" s="965">
        <v>425000</v>
      </c>
      <c r="D556" s="965" t="s">
        <v>2804</v>
      </c>
      <c r="E556" s="965">
        <v>69330</v>
      </c>
      <c r="F556" s="965">
        <v>29089544000</v>
      </c>
      <c r="G556" s="965">
        <v>407000</v>
      </c>
      <c r="H556" s="965">
        <v>426000</v>
      </c>
      <c r="I556" s="965">
        <v>406500</v>
      </c>
      <c r="J556" s="965">
        <v>12343434</v>
      </c>
      <c r="K556" s="965">
        <v>29043374</v>
      </c>
    </row>
    <row r="557" spans="2:11" s="1259" customFormat="1" ht="13.5" hidden="1" customHeight="1" outlineLevel="1">
      <c r="B557" s="966" t="s">
        <v>2409</v>
      </c>
      <c r="C557" s="965">
        <v>405500</v>
      </c>
      <c r="D557" s="965" t="s">
        <v>1814</v>
      </c>
      <c r="E557" s="965">
        <v>103091</v>
      </c>
      <c r="F557" s="965">
        <v>42321566500</v>
      </c>
      <c r="G557" s="965">
        <v>405500</v>
      </c>
      <c r="H557" s="965">
        <v>416000</v>
      </c>
      <c r="I557" s="965">
        <v>404000</v>
      </c>
      <c r="J557" s="965">
        <v>11777088</v>
      </c>
      <c r="K557" s="965">
        <v>29043374</v>
      </c>
    </row>
    <row r="558" spans="2:11" s="1259" customFormat="1" ht="13.5" hidden="1" customHeight="1" outlineLevel="1">
      <c r="B558" s="966" t="s">
        <v>2407</v>
      </c>
      <c r="C558" s="965">
        <v>406000</v>
      </c>
      <c r="D558" s="965" t="s">
        <v>2803</v>
      </c>
      <c r="E558" s="965">
        <v>148118</v>
      </c>
      <c r="F558" s="965">
        <v>60622604500</v>
      </c>
      <c r="G558" s="965">
        <v>420000</v>
      </c>
      <c r="H558" s="965">
        <v>425000</v>
      </c>
      <c r="I558" s="965">
        <v>401500</v>
      </c>
      <c r="J558" s="965">
        <v>11791610</v>
      </c>
      <c r="K558" s="965">
        <v>29043374</v>
      </c>
    </row>
    <row r="559" spans="2:11" s="1259" customFormat="1" ht="13.5" hidden="1" customHeight="1" outlineLevel="1">
      <c r="B559" s="966" t="s">
        <v>2406</v>
      </c>
      <c r="C559" s="965">
        <v>425000</v>
      </c>
      <c r="D559" s="965" t="s">
        <v>2235</v>
      </c>
      <c r="E559" s="965">
        <v>64390</v>
      </c>
      <c r="F559" s="965">
        <v>27445655500</v>
      </c>
      <c r="G559" s="965">
        <v>426000</v>
      </c>
      <c r="H559" s="965">
        <v>433000</v>
      </c>
      <c r="I559" s="965">
        <v>421000</v>
      </c>
      <c r="J559" s="965">
        <v>12343434</v>
      </c>
      <c r="K559" s="965">
        <v>29043374</v>
      </c>
    </row>
    <row r="560" spans="2:11" s="1259" customFormat="1" ht="13.5" hidden="1" customHeight="1" outlineLevel="1">
      <c r="B560" s="966" t="s">
        <v>2404</v>
      </c>
      <c r="C560" s="965">
        <v>427500</v>
      </c>
      <c r="D560" s="965" t="s">
        <v>2274</v>
      </c>
      <c r="E560" s="965">
        <v>76331</v>
      </c>
      <c r="F560" s="965">
        <v>32773092000</v>
      </c>
      <c r="G560" s="965">
        <v>433000</v>
      </c>
      <c r="H560" s="965">
        <v>436000</v>
      </c>
      <c r="I560" s="965">
        <v>426000</v>
      </c>
      <c r="J560" s="965">
        <v>12416042</v>
      </c>
      <c r="K560" s="965">
        <v>29043374</v>
      </c>
    </row>
    <row r="561" spans="2:11" s="1259" customFormat="1" ht="13.5" hidden="1" customHeight="1" outlineLevel="1">
      <c r="B561" s="966" t="s">
        <v>2403</v>
      </c>
      <c r="C561" s="965">
        <v>431000</v>
      </c>
      <c r="D561" s="965" t="s">
        <v>2802</v>
      </c>
      <c r="E561" s="965">
        <v>79002</v>
      </c>
      <c r="F561" s="965">
        <v>34391134000</v>
      </c>
      <c r="G561" s="965">
        <v>444000</v>
      </c>
      <c r="H561" s="965">
        <v>449500</v>
      </c>
      <c r="I561" s="965">
        <v>430500</v>
      </c>
      <c r="J561" s="965">
        <v>12517694</v>
      </c>
      <c r="K561" s="965">
        <v>29043374</v>
      </c>
    </row>
    <row r="562" spans="2:11" s="1259" customFormat="1" ht="13.5" hidden="1" customHeight="1" outlineLevel="1">
      <c r="B562" s="966" t="s">
        <v>2401</v>
      </c>
      <c r="C562" s="965">
        <v>448000</v>
      </c>
      <c r="D562" s="965" t="s">
        <v>2275</v>
      </c>
      <c r="E562" s="965">
        <v>78529</v>
      </c>
      <c r="F562" s="965">
        <v>34747737000</v>
      </c>
      <c r="G562" s="965">
        <v>450500</v>
      </c>
      <c r="H562" s="965">
        <v>452500</v>
      </c>
      <c r="I562" s="965">
        <v>437000</v>
      </c>
      <c r="J562" s="965">
        <v>13011432</v>
      </c>
      <c r="K562" s="965">
        <v>29043374</v>
      </c>
    </row>
    <row r="563" spans="2:11" s="1259" customFormat="1" ht="13.5" hidden="1" customHeight="1" outlineLevel="1">
      <c r="B563" s="966" t="s">
        <v>2399</v>
      </c>
      <c r="C563" s="965">
        <v>453000</v>
      </c>
      <c r="D563" s="965" t="s">
        <v>2774</v>
      </c>
      <c r="E563" s="965">
        <v>64069</v>
      </c>
      <c r="F563" s="965">
        <v>28861906500</v>
      </c>
      <c r="G563" s="965">
        <v>456000</v>
      </c>
      <c r="H563" s="965">
        <v>457000</v>
      </c>
      <c r="I563" s="965">
        <v>445000</v>
      </c>
      <c r="J563" s="965">
        <v>13156648</v>
      </c>
      <c r="K563" s="965">
        <v>29043374</v>
      </c>
    </row>
    <row r="564" spans="2:11" s="1259" customFormat="1" ht="13.5" hidden="1" customHeight="1" outlineLevel="1">
      <c r="B564" s="966" t="s">
        <v>2397</v>
      </c>
      <c r="C564" s="965">
        <v>458500</v>
      </c>
      <c r="D564" s="965" t="s">
        <v>2783</v>
      </c>
      <c r="E564" s="965">
        <v>146219</v>
      </c>
      <c r="F564" s="965">
        <v>66832010000</v>
      </c>
      <c r="G564" s="965">
        <v>449000</v>
      </c>
      <c r="H564" s="965">
        <v>462500</v>
      </c>
      <c r="I564" s="965">
        <v>449000</v>
      </c>
      <c r="J564" s="965">
        <v>13316387</v>
      </c>
      <c r="K564" s="965">
        <v>29043374</v>
      </c>
    </row>
    <row r="565" spans="2:11" s="1259" customFormat="1" ht="13.5" hidden="1" customHeight="1" outlineLevel="1">
      <c r="B565" s="966" t="s">
        <v>2395</v>
      </c>
      <c r="C565" s="965">
        <v>447000</v>
      </c>
      <c r="D565" s="965" t="s">
        <v>2801</v>
      </c>
      <c r="E565" s="965">
        <v>150507</v>
      </c>
      <c r="F565" s="965">
        <v>66383385000</v>
      </c>
      <c r="G565" s="965">
        <v>430000</v>
      </c>
      <c r="H565" s="965">
        <v>447000</v>
      </c>
      <c r="I565" s="965">
        <v>430000</v>
      </c>
      <c r="J565" s="965">
        <v>12982388</v>
      </c>
      <c r="K565" s="965">
        <v>29043374</v>
      </c>
    </row>
    <row r="566" spans="2:11" s="1259" customFormat="1" ht="13.5" hidden="1" customHeight="1" outlineLevel="1">
      <c r="B566" s="966" t="s">
        <v>2394</v>
      </c>
      <c r="C566" s="965">
        <v>426000</v>
      </c>
      <c r="D566" s="965" t="s">
        <v>2800</v>
      </c>
      <c r="E566" s="965">
        <v>93893</v>
      </c>
      <c r="F566" s="965">
        <v>40400910500</v>
      </c>
      <c r="G566" s="965">
        <v>442500</v>
      </c>
      <c r="H566" s="965">
        <v>445000</v>
      </c>
      <c r="I566" s="965">
        <v>426000</v>
      </c>
      <c r="J566" s="965">
        <v>12372477</v>
      </c>
      <c r="K566" s="965">
        <v>29043374</v>
      </c>
    </row>
    <row r="567" spans="2:11" s="1259" customFormat="1" ht="13.5" hidden="1" customHeight="1" outlineLevel="1">
      <c r="B567" s="966" t="s">
        <v>2393</v>
      </c>
      <c r="C567" s="965">
        <v>444000</v>
      </c>
      <c r="D567" s="965" t="s">
        <v>2669</v>
      </c>
      <c r="E567" s="965">
        <v>101948</v>
      </c>
      <c r="F567" s="965">
        <v>45525674000</v>
      </c>
      <c r="G567" s="965">
        <v>435000</v>
      </c>
      <c r="H567" s="965">
        <v>451000</v>
      </c>
      <c r="I567" s="965">
        <v>435000</v>
      </c>
      <c r="J567" s="965">
        <v>12895258</v>
      </c>
      <c r="K567" s="965">
        <v>29043374</v>
      </c>
    </row>
    <row r="568" spans="2:11" s="1259" customFormat="1" ht="13.5" hidden="1" customHeight="1" outlineLevel="1">
      <c r="B568" s="966" t="s">
        <v>2391</v>
      </c>
      <c r="C568" s="965">
        <v>438000</v>
      </c>
      <c r="D568" s="965" t="s">
        <v>2778</v>
      </c>
      <c r="E568" s="965">
        <v>48914</v>
      </c>
      <c r="F568" s="965">
        <v>21208638500</v>
      </c>
      <c r="G568" s="965">
        <v>429500</v>
      </c>
      <c r="H568" s="965">
        <v>438000</v>
      </c>
      <c r="I568" s="965">
        <v>420500</v>
      </c>
      <c r="J568" s="965">
        <v>12720998</v>
      </c>
      <c r="K568" s="965">
        <v>29043374</v>
      </c>
    </row>
    <row r="569" spans="2:11" s="1259" customFormat="1" ht="13.5" hidden="1" customHeight="1" outlineLevel="1">
      <c r="B569" s="966" t="s">
        <v>2389</v>
      </c>
      <c r="C569" s="965">
        <v>427500</v>
      </c>
      <c r="D569" s="965" t="s">
        <v>2275</v>
      </c>
      <c r="E569" s="965">
        <v>48782</v>
      </c>
      <c r="F569" s="965">
        <v>21184661500</v>
      </c>
      <c r="G569" s="965">
        <v>438000</v>
      </c>
      <c r="H569" s="965">
        <v>439000</v>
      </c>
      <c r="I569" s="965">
        <v>427000</v>
      </c>
      <c r="J569" s="965">
        <v>12416042</v>
      </c>
      <c r="K569" s="965">
        <v>29043374</v>
      </c>
    </row>
    <row r="570" spans="2:11" s="1259" customFormat="1" ht="13.5" hidden="1" customHeight="1" outlineLevel="1">
      <c r="B570" s="966" t="s">
        <v>2388</v>
      </c>
      <c r="C570" s="965">
        <v>432500</v>
      </c>
      <c r="D570" s="965" t="s">
        <v>2672</v>
      </c>
      <c r="E570" s="965">
        <v>71291</v>
      </c>
      <c r="F570" s="965">
        <v>30964774000</v>
      </c>
      <c r="G570" s="965">
        <v>429500</v>
      </c>
      <c r="H570" s="965">
        <v>437500</v>
      </c>
      <c r="I570" s="965">
        <v>429500</v>
      </c>
      <c r="J570" s="965">
        <v>12561259</v>
      </c>
      <c r="K570" s="965">
        <v>29043374</v>
      </c>
    </row>
    <row r="571" spans="2:11" s="1259" customFormat="1" ht="13.5" hidden="1" customHeight="1" outlineLevel="1">
      <c r="B571" s="966" t="s">
        <v>2386</v>
      </c>
      <c r="C571" s="965">
        <v>429000</v>
      </c>
      <c r="D571" s="965" t="s">
        <v>2275</v>
      </c>
      <c r="E571" s="965">
        <v>124303</v>
      </c>
      <c r="F571" s="965">
        <v>52557802000</v>
      </c>
      <c r="G571" s="965">
        <v>434500</v>
      </c>
      <c r="H571" s="965">
        <v>434500</v>
      </c>
      <c r="I571" s="965">
        <v>418500</v>
      </c>
      <c r="J571" s="965">
        <v>12459607</v>
      </c>
      <c r="K571" s="965">
        <v>29043374</v>
      </c>
    </row>
    <row r="572" spans="2:11" s="1259" customFormat="1" ht="13.5" hidden="1" customHeight="1" outlineLevel="1">
      <c r="B572" s="966" t="s">
        <v>2385</v>
      </c>
      <c r="C572" s="965">
        <v>434000</v>
      </c>
      <c r="D572" s="965" t="s">
        <v>2788</v>
      </c>
      <c r="E572" s="965">
        <v>97724</v>
      </c>
      <c r="F572" s="965">
        <v>42399670500</v>
      </c>
      <c r="G572" s="965">
        <v>442000</v>
      </c>
      <c r="H572" s="965">
        <v>444000</v>
      </c>
      <c r="I572" s="965">
        <v>428000</v>
      </c>
      <c r="J572" s="965">
        <v>12604824</v>
      </c>
      <c r="K572" s="965">
        <v>29043374</v>
      </c>
    </row>
    <row r="573" spans="2:11" s="1259" customFormat="1" ht="13.5" hidden="1" customHeight="1" outlineLevel="1">
      <c r="B573" s="966" t="s">
        <v>2383</v>
      </c>
      <c r="C573" s="965">
        <v>444000</v>
      </c>
      <c r="D573" s="965" t="s">
        <v>2666</v>
      </c>
      <c r="E573" s="965">
        <v>75030</v>
      </c>
      <c r="F573" s="965">
        <v>33384829000</v>
      </c>
      <c r="G573" s="965">
        <v>445000</v>
      </c>
      <c r="H573" s="965">
        <v>448000</v>
      </c>
      <c r="I573" s="965">
        <v>442500</v>
      </c>
      <c r="J573" s="965">
        <v>12895258</v>
      </c>
      <c r="K573" s="965">
        <v>29043374</v>
      </c>
    </row>
    <row r="574" spans="2:11" s="1259" customFormat="1" ht="13.5" hidden="1" customHeight="1" outlineLevel="1">
      <c r="B574" s="966" t="s">
        <v>2382</v>
      </c>
      <c r="C574" s="965">
        <v>440000</v>
      </c>
      <c r="D574" s="965" t="s">
        <v>2799</v>
      </c>
      <c r="E574" s="965">
        <v>138318</v>
      </c>
      <c r="F574" s="965">
        <v>60890717000</v>
      </c>
      <c r="G574" s="965">
        <v>448500</v>
      </c>
      <c r="H574" s="965">
        <v>448500</v>
      </c>
      <c r="I574" s="965">
        <v>437500</v>
      </c>
      <c r="J574" s="965">
        <v>12779085</v>
      </c>
      <c r="K574" s="965">
        <v>29043374</v>
      </c>
    </row>
    <row r="575" spans="2:11" s="1259" customFormat="1" ht="13.5" hidden="1" customHeight="1" outlineLevel="1">
      <c r="B575" s="966" t="s">
        <v>2380</v>
      </c>
      <c r="C575" s="965">
        <v>448500</v>
      </c>
      <c r="D575" s="965" t="s">
        <v>2674</v>
      </c>
      <c r="E575" s="965">
        <v>97808</v>
      </c>
      <c r="F575" s="965">
        <v>44026858500</v>
      </c>
      <c r="G575" s="965">
        <v>454000</v>
      </c>
      <c r="H575" s="965">
        <v>457500</v>
      </c>
      <c r="I575" s="965">
        <v>448000</v>
      </c>
      <c r="J575" s="965">
        <v>13025953</v>
      </c>
      <c r="K575" s="965">
        <v>29043374</v>
      </c>
    </row>
    <row r="576" spans="2:11" s="1259" customFormat="1" ht="13.5" hidden="1" customHeight="1" outlineLevel="1">
      <c r="B576" s="966" t="s">
        <v>2379</v>
      </c>
      <c r="C576" s="965">
        <v>455500</v>
      </c>
      <c r="D576" s="965" t="s">
        <v>2799</v>
      </c>
      <c r="E576" s="965">
        <v>88370</v>
      </c>
      <c r="F576" s="965">
        <v>40277959500</v>
      </c>
      <c r="G576" s="965">
        <v>467500</v>
      </c>
      <c r="H576" s="965">
        <v>468000</v>
      </c>
      <c r="I576" s="965">
        <v>452500</v>
      </c>
      <c r="J576" s="965">
        <v>13229257</v>
      </c>
      <c r="K576" s="965">
        <v>29043374</v>
      </c>
    </row>
    <row r="577" spans="2:11" s="1259" customFormat="1" ht="13.5" hidden="1" customHeight="1" outlineLevel="1">
      <c r="B577" s="966" t="s">
        <v>2377</v>
      </c>
      <c r="C577" s="965">
        <v>464000</v>
      </c>
      <c r="D577" s="965" t="s">
        <v>2288</v>
      </c>
      <c r="E577" s="965">
        <v>77171</v>
      </c>
      <c r="F577" s="965">
        <v>35360119000</v>
      </c>
      <c r="G577" s="965">
        <v>459000</v>
      </c>
      <c r="H577" s="965">
        <v>464000</v>
      </c>
      <c r="I577" s="965">
        <v>452500</v>
      </c>
      <c r="J577" s="965">
        <v>13476126</v>
      </c>
      <c r="K577" s="965">
        <v>29043374</v>
      </c>
    </row>
    <row r="578" spans="2:11" s="1259" customFormat="1" ht="13.5" hidden="1" customHeight="1" outlineLevel="1">
      <c r="B578" s="966" t="s">
        <v>2376</v>
      </c>
      <c r="C578" s="965">
        <v>462000</v>
      </c>
      <c r="D578" s="965" t="s">
        <v>2273</v>
      </c>
      <c r="E578" s="965">
        <v>57381</v>
      </c>
      <c r="F578" s="965">
        <v>26111619000</v>
      </c>
      <c r="G578" s="965">
        <v>458500</v>
      </c>
      <c r="H578" s="965">
        <v>462000</v>
      </c>
      <c r="I578" s="965">
        <v>451000</v>
      </c>
      <c r="J578" s="965">
        <v>13418039</v>
      </c>
      <c r="K578" s="965">
        <v>29043374</v>
      </c>
    </row>
    <row r="579" spans="2:11" s="1259" customFormat="1" ht="13.5" hidden="1" customHeight="1" outlineLevel="1">
      <c r="B579" s="966" t="s">
        <v>2374</v>
      </c>
      <c r="C579" s="965">
        <v>456500</v>
      </c>
      <c r="D579" s="965" t="s">
        <v>2673</v>
      </c>
      <c r="E579" s="965">
        <v>112787</v>
      </c>
      <c r="F579" s="965">
        <v>51634966000</v>
      </c>
      <c r="G579" s="965">
        <v>450000</v>
      </c>
      <c r="H579" s="965">
        <v>465000</v>
      </c>
      <c r="I579" s="965">
        <v>450000</v>
      </c>
      <c r="J579" s="965">
        <v>13258300</v>
      </c>
      <c r="K579" s="965">
        <v>29043374</v>
      </c>
    </row>
    <row r="580" spans="2:11" s="1259" customFormat="1" ht="13.5" hidden="1" customHeight="1" outlineLevel="1">
      <c r="B580" s="966" t="s">
        <v>2373</v>
      </c>
      <c r="C580" s="965">
        <v>450000</v>
      </c>
      <c r="D580" s="965" t="s">
        <v>2788</v>
      </c>
      <c r="E580" s="965">
        <v>88934</v>
      </c>
      <c r="F580" s="965">
        <v>40381638500</v>
      </c>
      <c r="G580" s="965">
        <v>461000</v>
      </c>
      <c r="H580" s="965">
        <v>464500</v>
      </c>
      <c r="I580" s="965">
        <v>450000</v>
      </c>
      <c r="J580" s="965">
        <v>13069518</v>
      </c>
      <c r="K580" s="965">
        <v>29043374</v>
      </c>
    </row>
    <row r="581" spans="2:11" s="1259" customFormat="1" ht="13.5" hidden="1" customHeight="1" outlineLevel="1">
      <c r="B581" s="966" t="s">
        <v>2371</v>
      </c>
      <c r="C581" s="965">
        <v>460000</v>
      </c>
      <c r="D581" s="965" t="s">
        <v>2782</v>
      </c>
      <c r="E581" s="965">
        <v>101464</v>
      </c>
      <c r="F581" s="965">
        <v>46740038000</v>
      </c>
      <c r="G581" s="965">
        <v>470000</v>
      </c>
      <c r="H581" s="965">
        <v>470500</v>
      </c>
      <c r="I581" s="965">
        <v>455500</v>
      </c>
      <c r="J581" s="965">
        <v>13359952</v>
      </c>
      <c r="K581" s="965">
        <v>29043374</v>
      </c>
    </row>
    <row r="582" spans="2:11" s="1259" customFormat="1" ht="13.5" hidden="1" customHeight="1" outlineLevel="1">
      <c r="B582" s="966" t="s">
        <v>2369</v>
      </c>
      <c r="C582" s="965">
        <v>472000</v>
      </c>
      <c r="D582" s="965" t="s">
        <v>2242</v>
      </c>
      <c r="E582" s="965">
        <v>99550</v>
      </c>
      <c r="F582" s="965">
        <v>46428944500</v>
      </c>
      <c r="G582" s="965">
        <v>472500</v>
      </c>
      <c r="H582" s="965">
        <v>474000</v>
      </c>
      <c r="I582" s="965">
        <v>462000</v>
      </c>
      <c r="J582" s="965">
        <v>13708473</v>
      </c>
      <c r="K582" s="965">
        <v>29043374</v>
      </c>
    </row>
    <row r="583" spans="2:11" s="1259" customFormat="1" ht="13.5" hidden="1" customHeight="1" outlineLevel="1">
      <c r="B583" s="966" t="s">
        <v>2367</v>
      </c>
      <c r="C583" s="965">
        <v>474000</v>
      </c>
      <c r="D583" s="965" t="s">
        <v>2236</v>
      </c>
      <c r="E583" s="965">
        <v>41326</v>
      </c>
      <c r="F583" s="965">
        <v>19560275500</v>
      </c>
      <c r="G583" s="965">
        <v>473500</v>
      </c>
      <c r="H583" s="965">
        <v>477500</v>
      </c>
      <c r="I583" s="965">
        <v>469000</v>
      </c>
      <c r="J583" s="965">
        <v>13766559</v>
      </c>
      <c r="K583" s="965">
        <v>29043374</v>
      </c>
    </row>
    <row r="584" spans="2:11" s="1259" customFormat="1" ht="13.5" hidden="1" customHeight="1" outlineLevel="1">
      <c r="B584" s="966" t="s">
        <v>2365</v>
      </c>
      <c r="C584" s="965">
        <v>473000</v>
      </c>
      <c r="D584" s="965" t="s">
        <v>1814</v>
      </c>
      <c r="E584" s="965">
        <v>36060</v>
      </c>
      <c r="F584" s="965">
        <v>17058961000</v>
      </c>
      <c r="G584" s="965">
        <v>478500</v>
      </c>
      <c r="H584" s="965">
        <v>479000</v>
      </c>
      <c r="I584" s="965">
        <v>467500</v>
      </c>
      <c r="J584" s="965">
        <v>13737516</v>
      </c>
      <c r="K584" s="965">
        <v>29043374</v>
      </c>
    </row>
    <row r="585" spans="2:11" s="1259" customFormat="1" ht="13.5" hidden="1" customHeight="1" outlineLevel="1">
      <c r="B585" s="966" t="s">
        <v>2364</v>
      </c>
      <c r="C585" s="965">
        <v>473500</v>
      </c>
      <c r="D585" s="965" t="s">
        <v>2670</v>
      </c>
      <c r="E585" s="965">
        <v>49231</v>
      </c>
      <c r="F585" s="965">
        <v>23476304000</v>
      </c>
      <c r="G585" s="965">
        <v>468500</v>
      </c>
      <c r="H585" s="965">
        <v>482500</v>
      </c>
      <c r="I585" s="965">
        <v>468500</v>
      </c>
      <c r="J585" s="965">
        <v>13752038</v>
      </c>
      <c r="K585" s="965">
        <v>29043374</v>
      </c>
    </row>
    <row r="586" spans="2:11" s="1259" customFormat="1" ht="13.5" hidden="1" customHeight="1" outlineLevel="1">
      <c r="B586" s="966" t="s">
        <v>2362</v>
      </c>
      <c r="C586" s="965">
        <v>468500</v>
      </c>
      <c r="D586" s="965" t="s">
        <v>2244</v>
      </c>
      <c r="E586" s="965">
        <v>34113</v>
      </c>
      <c r="F586" s="965">
        <v>16009152500</v>
      </c>
      <c r="G586" s="965">
        <v>467000</v>
      </c>
      <c r="H586" s="965">
        <v>472500</v>
      </c>
      <c r="I586" s="965">
        <v>463000</v>
      </c>
      <c r="J586" s="965">
        <v>13606821</v>
      </c>
      <c r="K586" s="965">
        <v>29043374</v>
      </c>
    </row>
    <row r="587" spans="2:11" s="1259" customFormat="1" ht="13.5" hidden="1" customHeight="1" outlineLevel="1">
      <c r="B587" s="966" t="s">
        <v>2360</v>
      </c>
      <c r="C587" s="965">
        <v>470000</v>
      </c>
      <c r="D587" s="965" t="s">
        <v>2221</v>
      </c>
      <c r="E587" s="965">
        <v>23677</v>
      </c>
      <c r="F587" s="965">
        <v>11168152000</v>
      </c>
      <c r="G587" s="965">
        <v>466500</v>
      </c>
      <c r="H587" s="965">
        <v>475000</v>
      </c>
      <c r="I587" s="965">
        <v>466500</v>
      </c>
      <c r="J587" s="965">
        <v>13650386</v>
      </c>
      <c r="K587" s="965">
        <v>29043374</v>
      </c>
    </row>
    <row r="588" spans="2:11" s="1259" customFormat="1" ht="13.5" hidden="1" customHeight="1" outlineLevel="1">
      <c r="B588" s="966" t="s">
        <v>2358</v>
      </c>
      <c r="C588" s="965">
        <v>470000</v>
      </c>
      <c r="D588" s="965" t="s">
        <v>2274</v>
      </c>
      <c r="E588" s="965">
        <v>44807</v>
      </c>
      <c r="F588" s="965">
        <v>21164541500</v>
      </c>
      <c r="G588" s="965">
        <v>469000</v>
      </c>
      <c r="H588" s="965">
        <v>479500</v>
      </c>
      <c r="I588" s="965">
        <v>467000</v>
      </c>
      <c r="J588" s="965">
        <v>13650386</v>
      </c>
      <c r="K588" s="965">
        <v>29043374</v>
      </c>
    </row>
    <row r="589" spans="2:11" s="1259" customFormat="1" ht="13.5" hidden="1" customHeight="1" outlineLevel="1">
      <c r="B589" s="966" t="s">
        <v>2357</v>
      </c>
      <c r="C589" s="965">
        <v>473500</v>
      </c>
      <c r="D589" s="965" t="s">
        <v>2248</v>
      </c>
      <c r="E589" s="965">
        <v>44398</v>
      </c>
      <c r="F589" s="965">
        <v>20794032000</v>
      </c>
      <c r="G589" s="965">
        <v>473500</v>
      </c>
      <c r="H589" s="965">
        <v>473500</v>
      </c>
      <c r="I589" s="965">
        <v>465000</v>
      </c>
      <c r="J589" s="965">
        <v>13752038</v>
      </c>
      <c r="K589" s="965">
        <v>29043374</v>
      </c>
    </row>
    <row r="590" spans="2:11" s="1259" customFormat="1" ht="13.5" hidden="1" customHeight="1" outlineLevel="1">
      <c r="B590" s="966" t="s">
        <v>2656</v>
      </c>
      <c r="C590" s="965">
        <v>474500</v>
      </c>
      <c r="D590" s="965" t="s">
        <v>2783</v>
      </c>
      <c r="E590" s="965">
        <v>74637</v>
      </c>
      <c r="F590" s="965">
        <v>35083890000</v>
      </c>
      <c r="G590" s="965">
        <v>468000</v>
      </c>
      <c r="H590" s="965">
        <v>474500</v>
      </c>
      <c r="I590" s="965">
        <v>462500</v>
      </c>
      <c r="J590" s="965">
        <v>13781081</v>
      </c>
      <c r="K590" s="965">
        <v>29043374</v>
      </c>
    </row>
    <row r="591" spans="2:11" s="1259" customFormat="1" ht="13.5" hidden="1" customHeight="1" outlineLevel="1">
      <c r="B591" s="966" t="s">
        <v>2655</v>
      </c>
      <c r="C591" s="965">
        <v>463000</v>
      </c>
      <c r="D591" s="965" t="s">
        <v>2670</v>
      </c>
      <c r="E591" s="965">
        <v>33327</v>
      </c>
      <c r="F591" s="965">
        <v>15388239500</v>
      </c>
      <c r="G591" s="965">
        <v>462500</v>
      </c>
      <c r="H591" s="965">
        <v>464500</v>
      </c>
      <c r="I591" s="965">
        <v>459500</v>
      </c>
      <c r="J591" s="965">
        <v>13447082</v>
      </c>
      <c r="K591" s="965">
        <v>29043374</v>
      </c>
    </row>
    <row r="592" spans="2:11" s="1259" customFormat="1" ht="13.5" hidden="1" customHeight="1" outlineLevel="1">
      <c r="B592" s="966" t="s">
        <v>2654</v>
      </c>
      <c r="C592" s="965">
        <v>458000</v>
      </c>
      <c r="D592" s="965" t="s">
        <v>2787</v>
      </c>
      <c r="E592" s="965">
        <v>67125</v>
      </c>
      <c r="F592" s="965">
        <v>30707830500</v>
      </c>
      <c r="G592" s="965">
        <v>465000</v>
      </c>
      <c r="H592" s="965">
        <v>468000</v>
      </c>
      <c r="I592" s="965">
        <v>455000</v>
      </c>
      <c r="J592" s="965">
        <v>13301865</v>
      </c>
      <c r="K592" s="965">
        <v>29043374</v>
      </c>
    </row>
    <row r="593" spans="2:11" s="1259" customFormat="1" ht="13.5" hidden="1" customHeight="1" outlineLevel="1">
      <c r="B593" s="966" t="s">
        <v>2653</v>
      </c>
      <c r="C593" s="965">
        <v>471500</v>
      </c>
      <c r="D593" s="965" t="s">
        <v>2236</v>
      </c>
      <c r="E593" s="965">
        <v>59553</v>
      </c>
      <c r="F593" s="965">
        <v>28030235000</v>
      </c>
      <c r="G593" s="965">
        <v>475500</v>
      </c>
      <c r="H593" s="965">
        <v>478000</v>
      </c>
      <c r="I593" s="965">
        <v>466500</v>
      </c>
      <c r="J593" s="965">
        <v>13693951</v>
      </c>
      <c r="K593" s="965">
        <v>29043374</v>
      </c>
    </row>
    <row r="594" spans="2:11" s="1259" customFormat="1" ht="13.5" hidden="1" customHeight="1" outlineLevel="1">
      <c r="B594" s="966" t="s">
        <v>2652</v>
      </c>
      <c r="C594" s="965">
        <v>470500</v>
      </c>
      <c r="D594" s="965" t="s">
        <v>2274</v>
      </c>
      <c r="E594" s="965">
        <v>41096</v>
      </c>
      <c r="F594" s="965">
        <v>19382420500</v>
      </c>
      <c r="G594" s="965">
        <v>469000</v>
      </c>
      <c r="H594" s="965">
        <v>476000</v>
      </c>
      <c r="I594" s="965">
        <v>468500</v>
      </c>
      <c r="J594" s="965">
        <v>13664907</v>
      </c>
      <c r="K594" s="965">
        <v>29043374</v>
      </c>
    </row>
    <row r="595" spans="2:11" s="1259" customFormat="1" ht="13.5" hidden="1" customHeight="1" outlineLevel="1">
      <c r="B595" s="966" t="s">
        <v>2651</v>
      </c>
      <c r="C595" s="965">
        <v>474000</v>
      </c>
      <c r="D595" s="965" t="s">
        <v>2781</v>
      </c>
      <c r="E595" s="965">
        <v>44939</v>
      </c>
      <c r="F595" s="965">
        <v>21136930500</v>
      </c>
      <c r="G595" s="965">
        <v>464000</v>
      </c>
      <c r="H595" s="965">
        <v>474000</v>
      </c>
      <c r="I595" s="965">
        <v>462000</v>
      </c>
      <c r="J595" s="965">
        <v>13766559</v>
      </c>
      <c r="K595" s="965">
        <v>29043374</v>
      </c>
    </row>
    <row r="596" spans="2:11" s="1259" customFormat="1" ht="13.5" hidden="1" customHeight="1" outlineLevel="1">
      <c r="B596" s="966" t="s">
        <v>2650</v>
      </c>
      <c r="C596" s="965">
        <v>461500</v>
      </c>
      <c r="D596" s="965" t="s">
        <v>2248</v>
      </c>
      <c r="E596" s="965">
        <v>37303</v>
      </c>
      <c r="F596" s="965">
        <v>17262811500</v>
      </c>
      <c r="G596" s="965">
        <v>465000</v>
      </c>
      <c r="H596" s="965">
        <v>469500</v>
      </c>
      <c r="I596" s="965">
        <v>460000</v>
      </c>
      <c r="J596" s="965">
        <v>13403517</v>
      </c>
      <c r="K596" s="965">
        <v>29043374</v>
      </c>
    </row>
    <row r="597" spans="2:11" s="1259" customFormat="1" ht="13.5" hidden="1" customHeight="1" outlineLevel="1">
      <c r="B597" s="966" t="s">
        <v>2648</v>
      </c>
      <c r="C597" s="965">
        <v>462500</v>
      </c>
      <c r="D597" s="965" t="s">
        <v>2272</v>
      </c>
      <c r="E597" s="965">
        <v>48190</v>
      </c>
      <c r="F597" s="965">
        <v>22210103500</v>
      </c>
      <c r="G597" s="965">
        <v>467000</v>
      </c>
      <c r="H597" s="965">
        <v>468000</v>
      </c>
      <c r="I597" s="965">
        <v>457000</v>
      </c>
      <c r="J597" s="965">
        <v>13432560</v>
      </c>
      <c r="K597" s="965">
        <v>29043374</v>
      </c>
    </row>
    <row r="598" spans="2:11" s="1259" customFormat="1" ht="13.5" hidden="1" customHeight="1" outlineLevel="1">
      <c r="B598" s="966" t="s">
        <v>2647</v>
      </c>
      <c r="C598" s="965">
        <v>467000</v>
      </c>
      <c r="D598" s="965" t="s">
        <v>2776</v>
      </c>
      <c r="E598" s="965">
        <v>58940</v>
      </c>
      <c r="F598" s="965">
        <v>27500235500</v>
      </c>
      <c r="G598" s="965">
        <v>469500</v>
      </c>
      <c r="H598" s="965">
        <v>471000</v>
      </c>
      <c r="I598" s="965">
        <v>464000</v>
      </c>
      <c r="J598" s="965">
        <v>13563256</v>
      </c>
      <c r="K598" s="965">
        <v>29043374</v>
      </c>
    </row>
    <row r="599" spans="2:11" s="1259" customFormat="1" ht="13.5" hidden="1" customHeight="1" outlineLevel="1">
      <c r="B599" s="966" t="s">
        <v>2646</v>
      </c>
      <c r="C599" s="965">
        <v>475000</v>
      </c>
      <c r="D599" s="965" t="s">
        <v>2798</v>
      </c>
      <c r="E599" s="965">
        <v>90929</v>
      </c>
      <c r="F599" s="965">
        <v>42366122500</v>
      </c>
      <c r="G599" s="965">
        <v>455500</v>
      </c>
      <c r="H599" s="965">
        <v>475000</v>
      </c>
      <c r="I599" s="965">
        <v>453000</v>
      </c>
      <c r="J599" s="965">
        <v>13795603</v>
      </c>
      <c r="K599" s="965">
        <v>29043374</v>
      </c>
    </row>
    <row r="600" spans="2:11" s="1259" customFormat="1" ht="13.5" hidden="1" customHeight="1" outlineLevel="1">
      <c r="B600" s="966" t="s">
        <v>2645</v>
      </c>
      <c r="C600" s="965">
        <v>452000</v>
      </c>
      <c r="D600" s="965" t="s">
        <v>2672</v>
      </c>
      <c r="E600" s="965">
        <v>89649</v>
      </c>
      <c r="F600" s="965">
        <v>40423934500</v>
      </c>
      <c r="G600" s="965">
        <v>448000</v>
      </c>
      <c r="H600" s="965">
        <v>457000</v>
      </c>
      <c r="I600" s="965">
        <v>445500</v>
      </c>
      <c r="J600" s="965">
        <v>13127605</v>
      </c>
      <c r="K600" s="965">
        <v>29043374</v>
      </c>
    </row>
    <row r="601" spans="2:11" s="1259" customFormat="1" ht="13.5" hidden="1" customHeight="1" outlineLevel="1">
      <c r="B601" s="966" t="s">
        <v>2643</v>
      </c>
      <c r="C601" s="965">
        <v>448500</v>
      </c>
      <c r="D601" s="965" t="s">
        <v>2797</v>
      </c>
      <c r="E601" s="965">
        <v>127522</v>
      </c>
      <c r="F601" s="965">
        <v>57567654105</v>
      </c>
      <c r="G601" s="965">
        <v>460500</v>
      </c>
      <c r="H601" s="965">
        <v>467000</v>
      </c>
      <c r="I601" s="965">
        <v>444500</v>
      </c>
      <c r="J601" s="965">
        <v>13025953</v>
      </c>
      <c r="K601" s="965">
        <v>29043374</v>
      </c>
    </row>
    <row r="602" spans="2:11" s="1259" customFormat="1" ht="13.5" hidden="1" customHeight="1" outlineLevel="1">
      <c r="B602" s="966" t="s">
        <v>2642</v>
      </c>
      <c r="C602" s="965">
        <v>465000</v>
      </c>
      <c r="D602" s="965" t="s">
        <v>2797</v>
      </c>
      <c r="E602" s="965">
        <v>86629</v>
      </c>
      <c r="F602" s="965">
        <v>40324060000</v>
      </c>
      <c r="G602" s="965">
        <v>484000</v>
      </c>
      <c r="H602" s="965">
        <v>484000</v>
      </c>
      <c r="I602" s="965">
        <v>459500</v>
      </c>
      <c r="J602" s="965">
        <v>13505169</v>
      </c>
      <c r="K602" s="965">
        <v>29043374</v>
      </c>
    </row>
    <row r="603" spans="2:11" s="1259" customFormat="1" ht="13.5" hidden="1" customHeight="1" outlineLevel="1">
      <c r="B603" s="966" t="s">
        <v>2640</v>
      </c>
      <c r="C603" s="965">
        <v>481500</v>
      </c>
      <c r="D603" s="965" t="s">
        <v>2220</v>
      </c>
      <c r="E603" s="965">
        <v>50012</v>
      </c>
      <c r="F603" s="965">
        <v>23992944500</v>
      </c>
      <c r="G603" s="965">
        <v>480000</v>
      </c>
      <c r="H603" s="965">
        <v>487000</v>
      </c>
      <c r="I603" s="965">
        <v>474500</v>
      </c>
      <c r="J603" s="965">
        <v>13984385</v>
      </c>
      <c r="K603" s="965">
        <v>29043374</v>
      </c>
    </row>
    <row r="604" spans="2:11" s="1259" customFormat="1" ht="13.5" hidden="1" customHeight="1" outlineLevel="1">
      <c r="B604" s="966" t="s">
        <v>2639</v>
      </c>
      <c r="C604" s="965">
        <v>479000</v>
      </c>
      <c r="D604" s="965" t="s">
        <v>2276</v>
      </c>
      <c r="E604" s="965">
        <v>36592</v>
      </c>
      <c r="F604" s="965">
        <v>17631688500</v>
      </c>
      <c r="G604" s="965">
        <v>489500</v>
      </c>
      <c r="H604" s="965">
        <v>489500</v>
      </c>
      <c r="I604" s="965">
        <v>479000</v>
      </c>
      <c r="J604" s="965">
        <v>13911776</v>
      </c>
      <c r="K604" s="965">
        <v>29043374</v>
      </c>
    </row>
    <row r="605" spans="2:11" s="1259" customFormat="1" ht="13.5" hidden="1" customHeight="1" outlineLevel="1">
      <c r="B605" s="966" t="s">
        <v>2637</v>
      </c>
      <c r="C605" s="965">
        <v>483000</v>
      </c>
      <c r="D605" s="965" t="s">
        <v>2777</v>
      </c>
      <c r="E605" s="965">
        <v>56368</v>
      </c>
      <c r="F605" s="965">
        <v>27240090439</v>
      </c>
      <c r="G605" s="965">
        <v>478000</v>
      </c>
      <c r="H605" s="965">
        <v>488500</v>
      </c>
      <c r="I605" s="965">
        <v>470000</v>
      </c>
      <c r="J605" s="965">
        <v>14027950</v>
      </c>
      <c r="K605" s="965">
        <v>29043374</v>
      </c>
    </row>
    <row r="606" spans="2:11" s="1259" customFormat="1" ht="13.5" hidden="1" customHeight="1" outlineLevel="1">
      <c r="B606" s="966" t="s">
        <v>2636</v>
      </c>
      <c r="C606" s="965">
        <v>473500</v>
      </c>
      <c r="D606" s="965" t="s">
        <v>1814</v>
      </c>
      <c r="E606" s="965">
        <v>84315</v>
      </c>
      <c r="F606" s="965">
        <v>39533707882</v>
      </c>
      <c r="G606" s="965">
        <v>470500</v>
      </c>
      <c r="H606" s="965">
        <v>474000</v>
      </c>
      <c r="I606" s="965">
        <v>465000</v>
      </c>
      <c r="J606" s="965">
        <v>13752038</v>
      </c>
      <c r="K606" s="965">
        <v>29043374</v>
      </c>
    </row>
    <row r="607" spans="2:11" s="1259" customFormat="1" ht="13.5" hidden="1" customHeight="1" outlineLevel="1">
      <c r="B607" s="966" t="s">
        <v>2635</v>
      </c>
      <c r="C607" s="965">
        <v>474000</v>
      </c>
      <c r="D607" s="965" t="s">
        <v>2796</v>
      </c>
      <c r="E607" s="965">
        <v>41135</v>
      </c>
      <c r="F607" s="965">
        <v>19583764602</v>
      </c>
      <c r="G607" s="965">
        <v>488500</v>
      </c>
      <c r="H607" s="965">
        <v>492000</v>
      </c>
      <c r="I607" s="965">
        <v>471500</v>
      </c>
      <c r="J607" s="965">
        <v>13766559</v>
      </c>
      <c r="K607" s="965">
        <v>29043374</v>
      </c>
    </row>
    <row r="608" spans="2:11" s="1259" customFormat="1" ht="13.5" hidden="1" customHeight="1" outlineLevel="1">
      <c r="B608" s="966" t="s">
        <v>2633</v>
      </c>
      <c r="C608" s="965">
        <v>488500</v>
      </c>
      <c r="D608" s="965" t="s">
        <v>2674</v>
      </c>
      <c r="E608" s="965">
        <v>36518</v>
      </c>
      <c r="F608" s="965">
        <v>17845072000</v>
      </c>
      <c r="G608" s="965">
        <v>498000</v>
      </c>
      <c r="H608" s="965">
        <v>498000</v>
      </c>
      <c r="I608" s="965">
        <v>483500</v>
      </c>
      <c r="J608" s="965">
        <v>14187688</v>
      </c>
      <c r="K608" s="965">
        <v>29043374</v>
      </c>
    </row>
    <row r="609" spans="2:11" s="1259" customFormat="1" ht="13.5" hidden="1" customHeight="1" outlineLevel="1">
      <c r="B609" s="966" t="s">
        <v>2632</v>
      </c>
      <c r="C609" s="965">
        <v>495500</v>
      </c>
      <c r="D609" s="965" t="s">
        <v>2795</v>
      </c>
      <c r="E609" s="965">
        <v>46350</v>
      </c>
      <c r="F609" s="965">
        <v>22547305000</v>
      </c>
      <c r="G609" s="965">
        <v>484000</v>
      </c>
      <c r="H609" s="965">
        <v>496000</v>
      </c>
      <c r="I609" s="965">
        <v>476500</v>
      </c>
      <c r="J609" s="965">
        <v>14390992</v>
      </c>
      <c r="K609" s="965">
        <v>29043374</v>
      </c>
    </row>
    <row r="610" spans="2:11" s="1259" customFormat="1" ht="13.5" hidden="1" customHeight="1" outlineLevel="1">
      <c r="B610" s="966" t="s">
        <v>2631</v>
      </c>
      <c r="C610" s="965">
        <v>482000</v>
      </c>
      <c r="D610" s="965" t="s">
        <v>2249</v>
      </c>
      <c r="E610" s="965">
        <v>44374</v>
      </c>
      <c r="F610" s="965">
        <v>21395547500</v>
      </c>
      <c r="G610" s="965">
        <v>483000</v>
      </c>
      <c r="H610" s="965">
        <v>488000</v>
      </c>
      <c r="I610" s="965">
        <v>478000</v>
      </c>
      <c r="J610" s="965">
        <v>13998906</v>
      </c>
      <c r="K610" s="965">
        <v>29043374</v>
      </c>
    </row>
    <row r="611" spans="2:11" s="1259" customFormat="1" ht="13.5" hidden="1" customHeight="1" outlineLevel="1">
      <c r="B611" s="966" t="s">
        <v>2630</v>
      </c>
      <c r="C611" s="965">
        <v>488000</v>
      </c>
      <c r="D611" s="965" t="s">
        <v>2776</v>
      </c>
      <c r="E611" s="965">
        <v>90551</v>
      </c>
      <c r="F611" s="965">
        <v>43517130500</v>
      </c>
      <c r="G611" s="965">
        <v>496000</v>
      </c>
      <c r="H611" s="965">
        <v>497500</v>
      </c>
      <c r="I611" s="965">
        <v>471000</v>
      </c>
      <c r="J611" s="965">
        <v>14173167</v>
      </c>
      <c r="K611" s="965">
        <v>29043374</v>
      </c>
    </row>
    <row r="612" spans="2:11" s="1259" customFormat="1" ht="13.5" hidden="1" customHeight="1" outlineLevel="1">
      <c r="B612" s="966" t="s">
        <v>2629</v>
      </c>
      <c r="C612" s="965">
        <v>496000</v>
      </c>
      <c r="D612" s="965" t="s">
        <v>2793</v>
      </c>
      <c r="E612" s="965">
        <v>44918</v>
      </c>
      <c r="F612" s="965">
        <v>22446493634</v>
      </c>
      <c r="G612" s="965">
        <v>508000</v>
      </c>
      <c r="H612" s="965">
        <v>510000</v>
      </c>
      <c r="I612" s="965">
        <v>496000</v>
      </c>
      <c r="J612" s="965">
        <v>14405514</v>
      </c>
      <c r="K612" s="965">
        <v>29043374</v>
      </c>
    </row>
    <row r="613" spans="2:11" s="1259" customFormat="1" ht="13.5" hidden="1" customHeight="1" outlineLevel="1">
      <c r="B613" s="966" t="s">
        <v>2628</v>
      </c>
      <c r="C613" s="965">
        <v>509000</v>
      </c>
      <c r="D613" s="965" t="s">
        <v>2794</v>
      </c>
      <c r="E613" s="965">
        <v>60407</v>
      </c>
      <c r="F613" s="965">
        <v>30595654130</v>
      </c>
      <c r="G613" s="965">
        <v>496500</v>
      </c>
      <c r="H613" s="965">
        <v>511000</v>
      </c>
      <c r="I613" s="965">
        <v>496000</v>
      </c>
      <c r="J613" s="965">
        <v>14783077</v>
      </c>
      <c r="K613" s="965">
        <v>29043374</v>
      </c>
    </row>
    <row r="614" spans="2:11" s="1259" customFormat="1" ht="13.5" hidden="1" customHeight="1" outlineLevel="1">
      <c r="B614" s="966" t="s">
        <v>2626</v>
      </c>
      <c r="C614" s="965">
        <v>494500</v>
      </c>
      <c r="D614" s="965" t="s">
        <v>2672</v>
      </c>
      <c r="E614" s="965">
        <v>59030</v>
      </c>
      <c r="F614" s="965">
        <v>29149499500</v>
      </c>
      <c r="G614" s="965">
        <v>486500</v>
      </c>
      <c r="H614" s="965">
        <v>499500</v>
      </c>
      <c r="I614" s="965">
        <v>486500</v>
      </c>
      <c r="J614" s="965">
        <v>14361948</v>
      </c>
      <c r="K614" s="965">
        <v>29043374</v>
      </c>
    </row>
    <row r="615" spans="2:11" s="1259" customFormat="1" ht="13.5" hidden="1" customHeight="1" outlineLevel="1">
      <c r="B615" s="966" t="s">
        <v>2624</v>
      </c>
      <c r="C615" s="965">
        <v>491000</v>
      </c>
      <c r="D615" s="965" t="s">
        <v>2244</v>
      </c>
      <c r="E615" s="965">
        <v>53381</v>
      </c>
      <c r="F615" s="965">
        <v>26356132500</v>
      </c>
      <c r="G615" s="965">
        <v>484500</v>
      </c>
      <c r="H615" s="965">
        <v>502000</v>
      </c>
      <c r="I615" s="965">
        <v>484500</v>
      </c>
      <c r="J615" s="965">
        <v>14260297</v>
      </c>
      <c r="K615" s="965">
        <v>29043374</v>
      </c>
    </row>
    <row r="616" spans="2:11" s="1259" customFormat="1" ht="13.5" hidden="1" customHeight="1" outlineLevel="1">
      <c r="B616" s="966" t="s">
        <v>2623</v>
      </c>
      <c r="C616" s="965">
        <v>492500</v>
      </c>
      <c r="D616" s="965" t="s">
        <v>2673</v>
      </c>
      <c r="E616" s="965">
        <v>45465</v>
      </c>
      <c r="F616" s="965">
        <v>22369232500</v>
      </c>
      <c r="G616" s="965">
        <v>496000</v>
      </c>
      <c r="H616" s="965">
        <v>501000</v>
      </c>
      <c r="I616" s="965">
        <v>479500</v>
      </c>
      <c r="J616" s="965">
        <v>14303862</v>
      </c>
      <c r="K616" s="965">
        <v>29043374</v>
      </c>
    </row>
    <row r="617" spans="2:11" s="1259" customFormat="1" ht="13.5" hidden="1" customHeight="1" outlineLevel="1">
      <c r="B617" s="966" t="s">
        <v>2621</v>
      </c>
      <c r="C617" s="965">
        <v>486000</v>
      </c>
      <c r="D617" s="965" t="s">
        <v>2674</v>
      </c>
      <c r="E617" s="965">
        <v>27619</v>
      </c>
      <c r="F617" s="965">
        <v>13563085000</v>
      </c>
      <c r="G617" s="965">
        <v>492000</v>
      </c>
      <c r="H617" s="965">
        <v>499500</v>
      </c>
      <c r="I617" s="965">
        <v>486000</v>
      </c>
      <c r="J617" s="965">
        <v>14115080</v>
      </c>
      <c r="K617" s="965">
        <v>29043374</v>
      </c>
    </row>
    <row r="618" spans="2:11" s="1259" customFormat="1" ht="13.5" hidden="1" customHeight="1" outlineLevel="1">
      <c r="B618" s="966" t="s">
        <v>2619</v>
      </c>
      <c r="C618" s="965">
        <v>493000</v>
      </c>
      <c r="D618" s="965" t="s">
        <v>2674</v>
      </c>
      <c r="E618" s="965">
        <v>78794</v>
      </c>
      <c r="F618" s="965">
        <v>39470684000</v>
      </c>
      <c r="G618" s="965">
        <v>510000</v>
      </c>
      <c r="H618" s="965">
        <v>511000</v>
      </c>
      <c r="I618" s="965">
        <v>490000</v>
      </c>
      <c r="J618" s="965">
        <v>14318383</v>
      </c>
      <c r="K618" s="965">
        <v>29043374</v>
      </c>
    </row>
    <row r="619" spans="2:11" s="1259" customFormat="1" ht="13.5" hidden="1" customHeight="1" outlineLevel="1">
      <c r="B619" s="966" t="s">
        <v>2618</v>
      </c>
      <c r="C619" s="965">
        <v>500000</v>
      </c>
      <c r="D619" s="965" t="s">
        <v>2793</v>
      </c>
      <c r="E619" s="965">
        <v>90745</v>
      </c>
      <c r="F619" s="965">
        <v>46002241000</v>
      </c>
      <c r="G619" s="965">
        <v>513000</v>
      </c>
      <c r="H619" s="965">
        <v>525000</v>
      </c>
      <c r="I619" s="965">
        <v>500000</v>
      </c>
      <c r="J619" s="965">
        <v>14521687</v>
      </c>
      <c r="K619" s="965">
        <v>29043374</v>
      </c>
    </row>
    <row r="620" spans="2:11" s="1259" customFormat="1" ht="13.5" hidden="1" customHeight="1" outlineLevel="1">
      <c r="B620" s="966" t="s">
        <v>2617</v>
      </c>
      <c r="C620" s="965">
        <v>513000</v>
      </c>
      <c r="D620" s="965" t="s">
        <v>2248</v>
      </c>
      <c r="E620" s="965">
        <v>53008</v>
      </c>
      <c r="F620" s="965">
        <v>27148487000</v>
      </c>
      <c r="G620" s="965">
        <v>508000</v>
      </c>
      <c r="H620" s="965">
        <v>515000</v>
      </c>
      <c r="I620" s="965">
        <v>508000</v>
      </c>
      <c r="J620" s="965">
        <v>14899251</v>
      </c>
      <c r="K620" s="965">
        <v>29043374</v>
      </c>
    </row>
    <row r="621" spans="2:11" s="1259" customFormat="1" ht="13.5" hidden="1" customHeight="1" outlineLevel="1">
      <c r="B621" s="966" t="s">
        <v>2616</v>
      </c>
      <c r="C621" s="965">
        <v>514000</v>
      </c>
      <c r="D621" s="965" t="s">
        <v>2792</v>
      </c>
      <c r="E621" s="965">
        <v>36422</v>
      </c>
      <c r="F621" s="965">
        <v>18512197500</v>
      </c>
      <c r="G621" s="965">
        <v>495000</v>
      </c>
      <c r="H621" s="965">
        <v>514000</v>
      </c>
      <c r="I621" s="965">
        <v>494000</v>
      </c>
      <c r="J621" s="965">
        <v>14928294</v>
      </c>
      <c r="K621" s="965">
        <v>29043374</v>
      </c>
    </row>
    <row r="622" spans="2:11" s="1259" customFormat="1" ht="13.5" hidden="1" customHeight="1" outlineLevel="1">
      <c r="B622" s="966" t="s">
        <v>2615</v>
      </c>
      <c r="C622" s="965">
        <v>498000</v>
      </c>
      <c r="D622" s="965" t="s">
        <v>1826</v>
      </c>
      <c r="E622" s="965">
        <v>36429</v>
      </c>
      <c r="F622" s="965">
        <v>18029420500</v>
      </c>
      <c r="G622" s="965">
        <v>500000</v>
      </c>
      <c r="H622" s="965">
        <v>502000</v>
      </c>
      <c r="I622" s="965">
        <v>487000</v>
      </c>
      <c r="J622" s="965">
        <v>14463600</v>
      </c>
      <c r="K622" s="965">
        <v>29043374</v>
      </c>
    </row>
    <row r="623" spans="2:11" s="1259" customFormat="1" ht="13.5" hidden="1" customHeight="1" outlineLevel="1">
      <c r="B623" s="966" t="s">
        <v>2614</v>
      </c>
      <c r="C623" s="965">
        <v>497500</v>
      </c>
      <c r="D623" s="965" t="s">
        <v>2785</v>
      </c>
      <c r="E623" s="965">
        <v>43527</v>
      </c>
      <c r="F623" s="965">
        <v>21911771000</v>
      </c>
      <c r="G623" s="965">
        <v>507000</v>
      </c>
      <c r="H623" s="965">
        <v>515000</v>
      </c>
      <c r="I623" s="965">
        <v>497500</v>
      </c>
      <c r="J623" s="965">
        <v>14449079</v>
      </c>
      <c r="K623" s="965">
        <v>29043374</v>
      </c>
    </row>
    <row r="624" spans="2:11" s="1259" customFormat="1" ht="13.5" hidden="1" customHeight="1" outlineLevel="1">
      <c r="B624" s="966" t="s">
        <v>2613</v>
      </c>
      <c r="C624" s="965">
        <v>507000</v>
      </c>
      <c r="D624" s="965" t="s">
        <v>2249</v>
      </c>
      <c r="E624" s="965">
        <v>48827</v>
      </c>
      <c r="F624" s="965">
        <v>24783694000</v>
      </c>
      <c r="G624" s="965">
        <v>512000</v>
      </c>
      <c r="H624" s="965">
        <v>516000</v>
      </c>
      <c r="I624" s="965">
        <v>503000</v>
      </c>
      <c r="J624" s="965">
        <v>14724991</v>
      </c>
      <c r="K624" s="965">
        <v>29043374</v>
      </c>
    </row>
    <row r="625" spans="2:11" s="1259" customFormat="1" ht="13.5" hidden="1" customHeight="1" outlineLevel="1">
      <c r="B625" s="966" t="s">
        <v>2612</v>
      </c>
      <c r="C625" s="965">
        <v>513000</v>
      </c>
      <c r="D625" s="965" t="s">
        <v>2791</v>
      </c>
      <c r="E625" s="965">
        <v>99274</v>
      </c>
      <c r="F625" s="965">
        <v>49808561500</v>
      </c>
      <c r="G625" s="965">
        <v>480000</v>
      </c>
      <c r="H625" s="965">
        <v>515000</v>
      </c>
      <c r="I625" s="965">
        <v>480000</v>
      </c>
      <c r="J625" s="965">
        <v>14899251</v>
      </c>
      <c r="K625" s="965">
        <v>29043374</v>
      </c>
    </row>
    <row r="626" spans="2:11" s="1259" customFormat="1" ht="13.5" hidden="1" customHeight="1" outlineLevel="1">
      <c r="B626" s="966" t="s">
        <v>2611</v>
      </c>
      <c r="C626" s="965">
        <v>483000</v>
      </c>
      <c r="D626" s="965" t="s">
        <v>2221</v>
      </c>
      <c r="E626" s="965">
        <v>66072</v>
      </c>
      <c r="F626" s="965">
        <v>31587075000</v>
      </c>
      <c r="G626" s="965">
        <v>478000</v>
      </c>
      <c r="H626" s="965">
        <v>486500</v>
      </c>
      <c r="I626" s="965">
        <v>472000</v>
      </c>
      <c r="J626" s="965">
        <v>14027950</v>
      </c>
      <c r="K626" s="965">
        <v>29043374</v>
      </c>
    </row>
    <row r="627" spans="2:11" s="1259" customFormat="1" ht="13.5" hidden="1" customHeight="1" outlineLevel="1">
      <c r="B627" s="966" t="s">
        <v>2610</v>
      </c>
      <c r="C627" s="965">
        <v>483000</v>
      </c>
      <c r="D627" s="965" t="s">
        <v>2790</v>
      </c>
      <c r="E627" s="965">
        <v>68261</v>
      </c>
      <c r="F627" s="965">
        <v>32351938600</v>
      </c>
      <c r="G627" s="965">
        <v>463000</v>
      </c>
      <c r="H627" s="965">
        <v>485000</v>
      </c>
      <c r="I627" s="965">
        <v>456000</v>
      </c>
      <c r="J627" s="965">
        <v>14027950</v>
      </c>
      <c r="K627" s="965">
        <v>29043374</v>
      </c>
    </row>
    <row r="628" spans="2:11" ht="15" collapsed="1" thickBot="1">
      <c r="B628" s="960" t="s">
        <v>2609</v>
      </c>
      <c r="C628" s="959"/>
      <c r="D628" s="961"/>
      <c r="E628" s="959"/>
      <c r="F628" s="959"/>
      <c r="G628" s="959"/>
      <c r="H628" s="959"/>
      <c r="I628" s="959"/>
      <c r="J628" s="960">
        <f>AVERAGE(J380:J502)</f>
        <v>13277780.512195121</v>
      </c>
      <c r="K628" s="959"/>
    </row>
    <row r="630" spans="2:11">
      <c r="B630" s="971" t="s">
        <v>2789</v>
      </c>
    </row>
    <row r="631" spans="2:11" hidden="1" outlineLevel="1"/>
    <row r="632" spans="2:11" ht="16" hidden="1" outlineLevel="1">
      <c r="B632" s="969" t="s">
        <v>1839</v>
      </c>
      <c r="C632" s="969" t="s">
        <v>1838</v>
      </c>
      <c r="D632" s="970" t="s">
        <v>1837</v>
      </c>
      <c r="E632" s="969" t="s">
        <v>1836</v>
      </c>
      <c r="F632" s="969" t="s">
        <v>1835</v>
      </c>
      <c r="G632" s="969" t="s">
        <v>1834</v>
      </c>
      <c r="H632" s="969" t="s">
        <v>1833</v>
      </c>
      <c r="I632" s="969" t="s">
        <v>1832</v>
      </c>
      <c r="J632" s="969" t="s">
        <v>1785</v>
      </c>
      <c r="K632" s="969" t="s">
        <v>1831</v>
      </c>
    </row>
    <row r="633" spans="2:11" ht="16" hidden="1" outlineLevel="1">
      <c r="B633" s="968" t="s">
        <v>1830</v>
      </c>
      <c r="C633" s="967">
        <v>170000</v>
      </c>
      <c r="D633" s="967" t="s">
        <v>1840</v>
      </c>
      <c r="E633" s="967">
        <v>99505</v>
      </c>
      <c r="F633" s="967">
        <v>17053998000</v>
      </c>
      <c r="G633" s="967">
        <v>174000</v>
      </c>
      <c r="H633" s="967">
        <v>174500</v>
      </c>
      <c r="I633" s="967">
        <v>167000</v>
      </c>
      <c r="J633" s="967">
        <v>3978415</v>
      </c>
      <c r="K633" s="967">
        <v>23402441</v>
      </c>
    </row>
    <row r="634" spans="2:11" ht="16" hidden="1" outlineLevel="1">
      <c r="B634" s="968" t="s">
        <v>1828</v>
      </c>
      <c r="C634" s="967">
        <v>171500</v>
      </c>
      <c r="D634" s="967" t="s">
        <v>1846</v>
      </c>
      <c r="E634" s="967">
        <v>214624</v>
      </c>
      <c r="F634" s="967">
        <v>36834646000</v>
      </c>
      <c r="G634" s="967">
        <v>171500</v>
      </c>
      <c r="H634" s="967">
        <v>174500</v>
      </c>
      <c r="I634" s="967">
        <v>168500</v>
      </c>
      <c r="J634" s="967">
        <v>4013519</v>
      </c>
      <c r="K634" s="967">
        <v>23402441</v>
      </c>
    </row>
    <row r="635" spans="2:11" ht="16" hidden="1" outlineLevel="1">
      <c r="B635" s="968" t="s">
        <v>1827</v>
      </c>
      <c r="C635" s="967">
        <v>169000</v>
      </c>
      <c r="D635" s="967" t="s">
        <v>1822</v>
      </c>
      <c r="E635" s="967">
        <v>134326</v>
      </c>
      <c r="F635" s="967">
        <v>22696974000</v>
      </c>
      <c r="G635" s="967">
        <v>167500</v>
      </c>
      <c r="H635" s="967">
        <v>172000</v>
      </c>
      <c r="I635" s="967">
        <v>167500</v>
      </c>
      <c r="J635" s="967">
        <v>3955013</v>
      </c>
      <c r="K635" s="967">
        <v>23402441</v>
      </c>
    </row>
    <row r="636" spans="2:11" ht="16" hidden="1" outlineLevel="1">
      <c r="B636" s="968" t="s">
        <v>1825</v>
      </c>
      <c r="C636" s="967">
        <v>170000</v>
      </c>
      <c r="D636" s="967" t="s">
        <v>1841</v>
      </c>
      <c r="E636" s="967">
        <v>180286</v>
      </c>
      <c r="F636" s="967">
        <v>30407473500</v>
      </c>
      <c r="G636" s="967">
        <v>167500</v>
      </c>
      <c r="H636" s="967">
        <v>170500</v>
      </c>
      <c r="I636" s="967">
        <v>166000</v>
      </c>
      <c r="J636" s="967">
        <v>3978415</v>
      </c>
      <c r="K636" s="967">
        <v>23402441</v>
      </c>
    </row>
    <row r="637" spans="2:11" ht="16" hidden="1" outlineLevel="1">
      <c r="B637" s="968" t="s">
        <v>1823</v>
      </c>
      <c r="C637" s="967">
        <v>166500</v>
      </c>
      <c r="D637" s="967" t="s">
        <v>1844</v>
      </c>
      <c r="E637" s="967">
        <v>193135</v>
      </c>
      <c r="F637" s="967">
        <v>32534101500</v>
      </c>
      <c r="G637" s="967">
        <v>170000</v>
      </c>
      <c r="H637" s="967">
        <v>174000</v>
      </c>
      <c r="I637" s="967">
        <v>166000</v>
      </c>
      <c r="J637" s="967">
        <v>3896506</v>
      </c>
      <c r="K637" s="967">
        <v>23402441</v>
      </c>
    </row>
    <row r="638" spans="2:11" ht="16" hidden="1" outlineLevel="1">
      <c r="B638" s="968" t="s">
        <v>1821</v>
      </c>
      <c r="C638" s="967">
        <v>170000</v>
      </c>
      <c r="D638" s="967" t="s">
        <v>1845</v>
      </c>
      <c r="E638" s="967">
        <v>196941</v>
      </c>
      <c r="F638" s="967">
        <v>33579168000</v>
      </c>
      <c r="G638" s="967">
        <v>176500</v>
      </c>
      <c r="H638" s="967">
        <v>178500</v>
      </c>
      <c r="I638" s="967">
        <v>168500</v>
      </c>
      <c r="J638" s="967">
        <v>3978415</v>
      </c>
      <c r="K638" s="967">
        <v>23402441</v>
      </c>
    </row>
    <row r="639" spans="2:11" ht="16" hidden="1" outlineLevel="1">
      <c r="B639" s="968" t="s">
        <v>1819</v>
      </c>
      <c r="C639" s="967">
        <v>178500</v>
      </c>
      <c r="D639" s="967" t="s">
        <v>1844</v>
      </c>
      <c r="E639" s="967">
        <v>74112</v>
      </c>
      <c r="F639" s="967">
        <v>13145372000</v>
      </c>
      <c r="G639" s="967">
        <v>181500</v>
      </c>
      <c r="H639" s="967">
        <v>184000</v>
      </c>
      <c r="I639" s="967">
        <v>173500</v>
      </c>
      <c r="J639" s="967">
        <v>4177336</v>
      </c>
      <c r="K639" s="967">
        <v>23402441</v>
      </c>
    </row>
    <row r="640" spans="2:11" ht="16" hidden="1" outlineLevel="1">
      <c r="B640" s="968" t="s">
        <v>1817</v>
      </c>
      <c r="C640" s="967">
        <v>182000</v>
      </c>
      <c r="D640" s="967">
        <v>0</v>
      </c>
      <c r="E640" s="967">
        <v>43150</v>
      </c>
      <c r="F640" s="967">
        <v>7826867500</v>
      </c>
      <c r="G640" s="967">
        <v>182500</v>
      </c>
      <c r="H640" s="967">
        <v>183500</v>
      </c>
      <c r="I640" s="967">
        <v>179000</v>
      </c>
      <c r="J640" s="967">
        <v>4259244</v>
      </c>
      <c r="K640" s="967">
        <v>23402441</v>
      </c>
    </row>
    <row r="641" spans="2:11" ht="16" hidden="1" outlineLevel="1">
      <c r="B641" s="968" t="s">
        <v>1815</v>
      </c>
      <c r="C641" s="967">
        <v>182000</v>
      </c>
      <c r="D641" s="967" t="s">
        <v>1842</v>
      </c>
      <c r="E641" s="967">
        <v>78614</v>
      </c>
      <c r="F641" s="967">
        <v>14339697500</v>
      </c>
      <c r="G641" s="967">
        <v>177000</v>
      </c>
      <c r="H641" s="967">
        <v>188500</v>
      </c>
      <c r="I641" s="967">
        <v>176000</v>
      </c>
      <c r="J641" s="967">
        <v>4259244</v>
      </c>
      <c r="K641" s="967">
        <v>23402441</v>
      </c>
    </row>
    <row r="642" spans="2:11" ht="16" hidden="1" outlineLevel="1">
      <c r="B642" s="968" t="s">
        <v>1813</v>
      </c>
      <c r="C642" s="967">
        <v>179000</v>
      </c>
      <c r="D642" s="967" t="s">
        <v>1840</v>
      </c>
      <c r="E642" s="967">
        <v>46292</v>
      </c>
      <c r="F642" s="967">
        <v>8397868000</v>
      </c>
      <c r="G642" s="967">
        <v>180500</v>
      </c>
      <c r="H642" s="967">
        <v>187000</v>
      </c>
      <c r="I642" s="967">
        <v>179000</v>
      </c>
      <c r="J642" s="967">
        <v>4189037</v>
      </c>
      <c r="K642" s="967">
        <v>23402441</v>
      </c>
    </row>
    <row r="643" spans="2:11" ht="16" hidden="1" outlineLevel="1">
      <c r="B643" s="968" t="s">
        <v>1812</v>
      </c>
      <c r="C643" s="967">
        <v>180500</v>
      </c>
      <c r="D643" s="967" t="s">
        <v>1816</v>
      </c>
      <c r="E643" s="967">
        <v>54939</v>
      </c>
      <c r="F643" s="967">
        <v>10039002000</v>
      </c>
      <c r="G643" s="967">
        <v>187000</v>
      </c>
      <c r="H643" s="967">
        <v>187500</v>
      </c>
      <c r="I643" s="967">
        <v>180500</v>
      </c>
      <c r="J643" s="967">
        <v>4224141</v>
      </c>
      <c r="K643" s="967">
        <v>23402441</v>
      </c>
    </row>
    <row r="644" spans="2:11" ht="16" hidden="1" outlineLevel="1">
      <c r="B644" s="968" t="s">
        <v>1810</v>
      </c>
      <c r="C644" s="967">
        <v>183000</v>
      </c>
      <c r="D644" s="967" t="s">
        <v>1843</v>
      </c>
      <c r="E644" s="967">
        <v>64098</v>
      </c>
      <c r="F644" s="967">
        <v>11482036500</v>
      </c>
      <c r="G644" s="967">
        <v>174500</v>
      </c>
      <c r="H644" s="967">
        <v>185500</v>
      </c>
      <c r="I644" s="967">
        <v>174000</v>
      </c>
      <c r="J644" s="967">
        <v>4282647</v>
      </c>
      <c r="K644" s="967">
        <v>23402441</v>
      </c>
    </row>
    <row r="645" spans="2:11" ht="16" hidden="1" outlineLevel="1">
      <c r="B645" s="968" t="s">
        <v>1809</v>
      </c>
      <c r="C645" s="967">
        <v>175000</v>
      </c>
      <c r="D645" s="967" t="s">
        <v>1842</v>
      </c>
      <c r="E645" s="967">
        <v>60180</v>
      </c>
      <c r="F645" s="967">
        <v>10298507000</v>
      </c>
      <c r="G645" s="967">
        <v>172000</v>
      </c>
      <c r="H645" s="967">
        <v>175000</v>
      </c>
      <c r="I645" s="967">
        <v>170000</v>
      </c>
      <c r="J645" s="967">
        <v>4095427</v>
      </c>
      <c r="K645" s="967">
        <v>23402441</v>
      </c>
    </row>
    <row r="646" spans="2:11" ht="16" hidden="1" outlineLevel="1">
      <c r="B646" s="968" t="s">
        <v>1807</v>
      </c>
      <c r="C646" s="967">
        <v>172000</v>
      </c>
      <c r="D646" s="967" t="s">
        <v>1790</v>
      </c>
      <c r="E646" s="967">
        <v>66112</v>
      </c>
      <c r="F646" s="967">
        <v>11280121000</v>
      </c>
      <c r="G646" s="967">
        <v>169000</v>
      </c>
      <c r="H646" s="967">
        <v>175000</v>
      </c>
      <c r="I646" s="967">
        <v>166000</v>
      </c>
      <c r="J646" s="967">
        <v>4025220</v>
      </c>
      <c r="K646" s="967">
        <v>23402441</v>
      </c>
    </row>
    <row r="647" spans="2:11" ht="16" hidden="1" outlineLevel="1">
      <c r="B647" s="968" t="s">
        <v>1805</v>
      </c>
      <c r="C647" s="967">
        <v>164500</v>
      </c>
      <c r="D647" s="967" t="s">
        <v>1840</v>
      </c>
      <c r="E647" s="967">
        <v>47191</v>
      </c>
      <c r="F647" s="967">
        <v>7902261000</v>
      </c>
      <c r="G647" s="967">
        <v>165000</v>
      </c>
      <c r="H647" s="967">
        <v>171000</v>
      </c>
      <c r="I647" s="967">
        <v>163000</v>
      </c>
      <c r="J647" s="967">
        <v>3849702</v>
      </c>
      <c r="K647" s="967">
        <v>23402441</v>
      </c>
    </row>
    <row r="648" spans="2:11" ht="16" hidden="1" outlineLevel="1">
      <c r="B648" s="968" t="s">
        <v>1803</v>
      </c>
      <c r="C648" s="967">
        <v>166000</v>
      </c>
      <c r="D648" s="967" t="s">
        <v>1818</v>
      </c>
      <c r="E648" s="967">
        <v>97995</v>
      </c>
      <c r="F648" s="967">
        <v>16388940000</v>
      </c>
      <c r="G648" s="967">
        <v>160000</v>
      </c>
      <c r="H648" s="967">
        <v>169500</v>
      </c>
      <c r="I648" s="967">
        <v>160000</v>
      </c>
      <c r="J648" s="967">
        <v>3884805</v>
      </c>
      <c r="K648" s="967">
        <v>23402441</v>
      </c>
    </row>
    <row r="649" spans="2:11" ht="16" hidden="1" outlineLevel="1">
      <c r="B649" s="968" t="s">
        <v>1801</v>
      </c>
      <c r="C649" s="967">
        <v>159000</v>
      </c>
      <c r="D649" s="967" t="s">
        <v>1841</v>
      </c>
      <c r="E649" s="967">
        <v>97454</v>
      </c>
      <c r="F649" s="967">
        <v>15495477500</v>
      </c>
      <c r="G649" s="967">
        <v>158000</v>
      </c>
      <c r="H649" s="967">
        <v>162000</v>
      </c>
      <c r="I649" s="967">
        <v>156500</v>
      </c>
      <c r="J649" s="967">
        <v>3720988</v>
      </c>
      <c r="K649" s="967">
        <v>23402441</v>
      </c>
    </row>
    <row r="650" spans="2:11" ht="16" hidden="1" outlineLevel="1">
      <c r="B650" s="968" t="s">
        <v>1799</v>
      </c>
      <c r="C650" s="967">
        <v>155500</v>
      </c>
      <c r="D650" s="967">
        <v>0</v>
      </c>
      <c r="E650" s="967">
        <v>128956</v>
      </c>
      <c r="F650" s="967">
        <v>20193259500</v>
      </c>
      <c r="G650" s="967">
        <v>156500</v>
      </c>
      <c r="H650" s="967">
        <v>159500</v>
      </c>
      <c r="I650" s="967">
        <v>153000</v>
      </c>
      <c r="J650" s="967">
        <v>3639080</v>
      </c>
      <c r="K650" s="967">
        <v>23402441</v>
      </c>
    </row>
    <row r="651" spans="2:11" ht="16" hidden="1" outlineLevel="1">
      <c r="B651" s="968" t="s">
        <v>1797</v>
      </c>
      <c r="C651" s="967">
        <v>155500</v>
      </c>
      <c r="D651" s="967" t="s">
        <v>1798</v>
      </c>
      <c r="E651" s="967">
        <v>188893</v>
      </c>
      <c r="F651" s="967">
        <v>29283755584</v>
      </c>
      <c r="G651" s="967">
        <v>161000</v>
      </c>
      <c r="H651" s="967">
        <v>163000</v>
      </c>
      <c r="I651" s="967">
        <v>150000</v>
      </c>
      <c r="J651" s="967">
        <v>3639080</v>
      </c>
      <c r="K651" s="967">
        <v>23402441</v>
      </c>
    </row>
    <row r="652" spans="2:11" ht="16" hidden="1" outlineLevel="1">
      <c r="B652" s="968" t="s">
        <v>1795</v>
      </c>
      <c r="C652" s="967">
        <v>168000</v>
      </c>
      <c r="D652" s="967">
        <v>0</v>
      </c>
      <c r="E652" s="967">
        <v>128188</v>
      </c>
      <c r="F652" s="967">
        <v>21536889218</v>
      </c>
      <c r="G652" s="967">
        <v>168000</v>
      </c>
      <c r="H652" s="967">
        <v>170500</v>
      </c>
      <c r="I652" s="967">
        <v>166000</v>
      </c>
      <c r="J652" s="967">
        <v>3931610</v>
      </c>
      <c r="K652" s="967">
        <v>23402441</v>
      </c>
    </row>
    <row r="653" spans="2:11" ht="16" hidden="1" outlineLevel="1">
      <c r="B653" s="968" t="s">
        <v>1793</v>
      </c>
      <c r="C653" s="967">
        <v>168000</v>
      </c>
      <c r="D653" s="967" t="s">
        <v>1824</v>
      </c>
      <c r="E653" s="967">
        <v>107294</v>
      </c>
      <c r="F653" s="967">
        <v>17903566500</v>
      </c>
      <c r="G653" s="967">
        <v>168000</v>
      </c>
      <c r="H653" s="967">
        <v>170000</v>
      </c>
      <c r="I653" s="967">
        <v>163500</v>
      </c>
      <c r="J653" s="967">
        <v>3931610</v>
      </c>
      <c r="K653" s="967">
        <v>23402441</v>
      </c>
    </row>
    <row r="654" spans="2:11" ht="16" hidden="1" outlineLevel="1">
      <c r="B654" s="968" t="s">
        <v>1791</v>
      </c>
      <c r="C654" s="967">
        <v>170000</v>
      </c>
      <c r="D654" s="967" t="s">
        <v>1840</v>
      </c>
      <c r="E654" s="967">
        <v>123623</v>
      </c>
      <c r="F654" s="967">
        <v>21267537500</v>
      </c>
      <c r="G654" s="967">
        <v>173000</v>
      </c>
      <c r="H654" s="967">
        <v>174000</v>
      </c>
      <c r="I654" s="967">
        <v>169000</v>
      </c>
      <c r="J654" s="967">
        <v>3978415</v>
      </c>
      <c r="K654" s="967">
        <v>23402441</v>
      </c>
    </row>
    <row r="655" spans="2:11" s="1258" customFormat="1" ht="16" hidden="1" outlineLevel="1">
      <c r="B655" s="968" t="s">
        <v>2607</v>
      </c>
      <c r="C655" s="967">
        <v>171500</v>
      </c>
      <c r="D655" s="967" t="s">
        <v>2778</v>
      </c>
      <c r="E655" s="967">
        <v>121424</v>
      </c>
      <c r="F655" s="967">
        <v>20710913000</v>
      </c>
      <c r="G655" s="967">
        <v>165000</v>
      </c>
      <c r="H655" s="967">
        <v>174000</v>
      </c>
      <c r="I655" s="967">
        <v>163500</v>
      </c>
      <c r="J655" s="967">
        <v>4013519</v>
      </c>
      <c r="K655" s="967">
        <v>23402441</v>
      </c>
    </row>
    <row r="656" spans="2:11" s="1258" customFormat="1" ht="16" hidden="1" outlineLevel="1">
      <c r="B656" s="968" t="s">
        <v>2605</v>
      </c>
      <c r="C656" s="967">
        <v>161000</v>
      </c>
      <c r="D656" s="967" t="s">
        <v>2236</v>
      </c>
      <c r="E656" s="967">
        <v>124172</v>
      </c>
      <c r="F656" s="967">
        <v>19953096000</v>
      </c>
      <c r="G656" s="967">
        <v>160000</v>
      </c>
      <c r="H656" s="967">
        <v>164000</v>
      </c>
      <c r="I656" s="967">
        <v>155500</v>
      </c>
      <c r="J656" s="967">
        <v>3767793</v>
      </c>
      <c r="K656" s="967">
        <v>23402441</v>
      </c>
    </row>
    <row r="657" spans="2:11" s="1258" customFormat="1" ht="16" hidden="1" outlineLevel="1">
      <c r="B657" s="968" t="s">
        <v>2603</v>
      </c>
      <c r="C657" s="967">
        <v>160000</v>
      </c>
      <c r="D657" s="967" t="s">
        <v>2221</v>
      </c>
      <c r="E657" s="967">
        <v>206375</v>
      </c>
      <c r="F657" s="967">
        <v>32793548500</v>
      </c>
      <c r="G657" s="967">
        <v>153000</v>
      </c>
      <c r="H657" s="967">
        <v>164000</v>
      </c>
      <c r="I657" s="967">
        <v>152000</v>
      </c>
      <c r="J657" s="967">
        <v>3744391</v>
      </c>
      <c r="K657" s="967">
        <v>23402441</v>
      </c>
    </row>
    <row r="658" spans="2:11" s="1258" customFormat="1" ht="16" hidden="1" outlineLevel="1">
      <c r="B658" s="968" t="s">
        <v>2601</v>
      </c>
      <c r="C658" s="967">
        <v>160000</v>
      </c>
      <c r="D658" s="967" t="s">
        <v>2249</v>
      </c>
      <c r="E658" s="967">
        <v>319990</v>
      </c>
      <c r="F658" s="967">
        <v>50696463500</v>
      </c>
      <c r="G658" s="967">
        <v>161500</v>
      </c>
      <c r="H658" s="967">
        <v>164000</v>
      </c>
      <c r="I658" s="967">
        <v>153000</v>
      </c>
      <c r="J658" s="967">
        <v>3744391</v>
      </c>
      <c r="K658" s="967">
        <v>23402441</v>
      </c>
    </row>
    <row r="659" spans="2:11" s="1258" customFormat="1" ht="16" hidden="1" outlineLevel="1">
      <c r="B659" s="968" t="s">
        <v>2599</v>
      </c>
      <c r="C659" s="967">
        <v>166000</v>
      </c>
      <c r="D659" s="967" t="s">
        <v>2278</v>
      </c>
      <c r="E659" s="967">
        <v>243465</v>
      </c>
      <c r="F659" s="967">
        <v>40434882576</v>
      </c>
      <c r="G659" s="967">
        <v>170500</v>
      </c>
      <c r="H659" s="967">
        <v>171000</v>
      </c>
      <c r="I659" s="967">
        <v>164000</v>
      </c>
      <c r="J659" s="967">
        <v>3884805</v>
      </c>
      <c r="K659" s="967">
        <v>23402441</v>
      </c>
    </row>
    <row r="660" spans="2:11" s="1258" customFormat="1" ht="16" hidden="1" outlineLevel="1">
      <c r="B660" s="968" t="s">
        <v>2598</v>
      </c>
      <c r="C660" s="967">
        <v>169000</v>
      </c>
      <c r="D660" s="967" t="s">
        <v>2774</v>
      </c>
      <c r="E660" s="967">
        <v>147182</v>
      </c>
      <c r="F660" s="967">
        <v>24964038000</v>
      </c>
      <c r="G660" s="967">
        <v>175000</v>
      </c>
      <c r="H660" s="967">
        <v>176500</v>
      </c>
      <c r="I660" s="967">
        <v>167500</v>
      </c>
      <c r="J660" s="967">
        <v>3955013</v>
      </c>
      <c r="K660" s="967">
        <v>23402441</v>
      </c>
    </row>
    <row r="661" spans="2:11" s="1258" customFormat="1" ht="16" hidden="1" outlineLevel="1">
      <c r="B661" s="968" t="s">
        <v>2597</v>
      </c>
      <c r="C661" s="967">
        <v>174500</v>
      </c>
      <c r="D661" s="967" t="s">
        <v>1826</v>
      </c>
      <c r="E661" s="967">
        <v>79737</v>
      </c>
      <c r="F661" s="967">
        <v>14078596500</v>
      </c>
      <c r="G661" s="967">
        <v>178000</v>
      </c>
      <c r="H661" s="967">
        <v>181000</v>
      </c>
      <c r="I661" s="967">
        <v>173000</v>
      </c>
      <c r="J661" s="967">
        <v>4083726</v>
      </c>
      <c r="K661" s="967">
        <v>23402441</v>
      </c>
    </row>
    <row r="662" spans="2:11" s="1258" customFormat="1" ht="16" hidden="1" outlineLevel="1">
      <c r="B662" s="968" t="s">
        <v>2596</v>
      </c>
      <c r="C662" s="967">
        <v>174000</v>
      </c>
      <c r="D662" s="967" t="s">
        <v>2220</v>
      </c>
      <c r="E662" s="967">
        <v>73144</v>
      </c>
      <c r="F662" s="967">
        <v>12868081000</v>
      </c>
      <c r="G662" s="967">
        <v>174000</v>
      </c>
      <c r="H662" s="967">
        <v>178000</v>
      </c>
      <c r="I662" s="967">
        <v>173000</v>
      </c>
      <c r="J662" s="967">
        <v>4072025</v>
      </c>
      <c r="K662" s="967">
        <v>23402441</v>
      </c>
    </row>
    <row r="663" spans="2:11" s="1258" customFormat="1" ht="16" hidden="1" outlineLevel="1">
      <c r="B663" s="968" t="s">
        <v>2595</v>
      </c>
      <c r="C663" s="967">
        <v>171500</v>
      </c>
      <c r="D663" s="967" t="s">
        <v>2272</v>
      </c>
      <c r="E663" s="967">
        <v>113306</v>
      </c>
      <c r="F663" s="967">
        <v>19740771000</v>
      </c>
      <c r="G663" s="967">
        <v>178500</v>
      </c>
      <c r="H663" s="967">
        <v>181500</v>
      </c>
      <c r="I663" s="967">
        <v>170500</v>
      </c>
      <c r="J663" s="967">
        <v>4013519</v>
      </c>
      <c r="K663" s="967">
        <v>23402441</v>
      </c>
    </row>
    <row r="664" spans="2:11" s="1258" customFormat="1" ht="16" hidden="1" outlineLevel="1">
      <c r="B664" s="968" t="s">
        <v>2594</v>
      </c>
      <c r="C664" s="967">
        <v>176000</v>
      </c>
      <c r="D664" s="967" t="s">
        <v>2776</v>
      </c>
      <c r="E664" s="967">
        <v>90924</v>
      </c>
      <c r="F664" s="967">
        <v>16112599000</v>
      </c>
      <c r="G664" s="967">
        <v>182000</v>
      </c>
      <c r="H664" s="967">
        <v>184500</v>
      </c>
      <c r="I664" s="967">
        <v>172500</v>
      </c>
      <c r="J664" s="967">
        <v>4118830</v>
      </c>
      <c r="K664" s="967">
        <v>23402441</v>
      </c>
    </row>
    <row r="665" spans="2:11" s="1258" customFormat="1" ht="16" hidden="1" outlineLevel="1">
      <c r="B665" s="968" t="s">
        <v>2592</v>
      </c>
      <c r="C665" s="967">
        <v>184000</v>
      </c>
      <c r="D665" s="967" t="s">
        <v>2288</v>
      </c>
      <c r="E665" s="967">
        <v>127014</v>
      </c>
      <c r="F665" s="967">
        <v>23296656000</v>
      </c>
      <c r="G665" s="967">
        <v>180000</v>
      </c>
      <c r="H665" s="967">
        <v>188000</v>
      </c>
      <c r="I665" s="967">
        <v>178000</v>
      </c>
      <c r="J665" s="967">
        <v>4306049</v>
      </c>
      <c r="K665" s="967">
        <v>23402441</v>
      </c>
    </row>
    <row r="666" spans="2:11" s="1258" customFormat="1" ht="16" hidden="1" outlineLevel="1">
      <c r="B666" s="968" t="s">
        <v>2591</v>
      </c>
      <c r="C666" s="967">
        <v>182000</v>
      </c>
      <c r="D666" s="967" t="s">
        <v>2244</v>
      </c>
      <c r="E666" s="967">
        <v>109882</v>
      </c>
      <c r="F666" s="967">
        <v>19824417500</v>
      </c>
      <c r="G666" s="967">
        <v>186500</v>
      </c>
      <c r="H666" s="967">
        <v>186500</v>
      </c>
      <c r="I666" s="967">
        <v>176000</v>
      </c>
      <c r="J666" s="967">
        <v>4259244</v>
      </c>
      <c r="K666" s="967">
        <v>23402441</v>
      </c>
    </row>
    <row r="667" spans="2:11" s="1258" customFormat="1" ht="16" hidden="1" outlineLevel="1">
      <c r="B667" s="968" t="s">
        <v>2590</v>
      </c>
      <c r="C667" s="967">
        <v>183500</v>
      </c>
      <c r="D667" s="967" t="s">
        <v>2273</v>
      </c>
      <c r="E667" s="967">
        <v>158944</v>
      </c>
      <c r="F667" s="967">
        <v>28921917000</v>
      </c>
      <c r="G667" s="967">
        <v>182000</v>
      </c>
      <c r="H667" s="967">
        <v>184500</v>
      </c>
      <c r="I667" s="967">
        <v>178000</v>
      </c>
      <c r="J667" s="967">
        <v>4294348</v>
      </c>
      <c r="K667" s="967">
        <v>23402441</v>
      </c>
    </row>
    <row r="668" spans="2:11" s="1258" customFormat="1" ht="16" hidden="1" outlineLevel="1">
      <c r="B668" s="968" t="s">
        <v>2589</v>
      </c>
      <c r="C668" s="967">
        <v>178000</v>
      </c>
      <c r="D668" s="967" t="s">
        <v>2272</v>
      </c>
      <c r="E668" s="967">
        <v>87154</v>
      </c>
      <c r="F668" s="967">
        <v>15684942500</v>
      </c>
      <c r="G668" s="967">
        <v>180000</v>
      </c>
      <c r="H668" s="967">
        <v>184500</v>
      </c>
      <c r="I668" s="967">
        <v>173500</v>
      </c>
      <c r="J668" s="967">
        <v>4165634</v>
      </c>
      <c r="K668" s="967">
        <v>23402441</v>
      </c>
    </row>
    <row r="669" spans="2:11" s="1258" customFormat="1" ht="16" hidden="1" outlineLevel="1">
      <c r="B669" s="968" t="s">
        <v>2588</v>
      </c>
      <c r="C669" s="967">
        <v>182500</v>
      </c>
      <c r="D669" s="967" t="s">
        <v>2244</v>
      </c>
      <c r="E669" s="967">
        <v>103405</v>
      </c>
      <c r="F669" s="967">
        <v>19034313000</v>
      </c>
      <c r="G669" s="967">
        <v>182000</v>
      </c>
      <c r="H669" s="967">
        <v>187000</v>
      </c>
      <c r="I669" s="967">
        <v>177000</v>
      </c>
      <c r="J669" s="967">
        <v>4270945</v>
      </c>
      <c r="K669" s="967">
        <v>23402441</v>
      </c>
    </row>
    <row r="670" spans="2:11" s="1258" customFormat="1" ht="16" hidden="1" outlineLevel="1">
      <c r="B670" s="968" t="s">
        <v>2587</v>
      </c>
      <c r="C670" s="967">
        <v>184000</v>
      </c>
      <c r="D670" s="967" t="s">
        <v>2666</v>
      </c>
      <c r="E670" s="967">
        <v>114724</v>
      </c>
      <c r="F670" s="967">
        <v>21270415000</v>
      </c>
      <c r="G670" s="967">
        <v>183500</v>
      </c>
      <c r="H670" s="967">
        <v>190500</v>
      </c>
      <c r="I670" s="967">
        <v>182500</v>
      </c>
      <c r="J670" s="967">
        <v>4306049</v>
      </c>
      <c r="K670" s="967">
        <v>23402441</v>
      </c>
    </row>
    <row r="671" spans="2:11" s="1258" customFormat="1" ht="16" hidden="1" outlineLevel="1">
      <c r="B671" s="968" t="s">
        <v>2586</v>
      </c>
      <c r="C671" s="967">
        <v>180000</v>
      </c>
      <c r="D671" s="967" t="s">
        <v>2221</v>
      </c>
      <c r="E671" s="967">
        <v>118880</v>
      </c>
      <c r="F671" s="967">
        <v>21846858500</v>
      </c>
      <c r="G671" s="967">
        <v>181000</v>
      </c>
      <c r="H671" s="967">
        <v>187000</v>
      </c>
      <c r="I671" s="967">
        <v>178500</v>
      </c>
      <c r="J671" s="967">
        <v>4212439</v>
      </c>
      <c r="K671" s="967">
        <v>23402441</v>
      </c>
    </row>
    <row r="672" spans="2:11" s="1258" customFormat="1" ht="16" hidden="1" outlineLevel="1">
      <c r="B672" s="968" t="s">
        <v>2584</v>
      </c>
      <c r="C672" s="967">
        <v>180000</v>
      </c>
      <c r="D672" s="967" t="s">
        <v>2673</v>
      </c>
      <c r="E672" s="967">
        <v>163582</v>
      </c>
      <c r="F672" s="967">
        <v>29364895000</v>
      </c>
      <c r="G672" s="967">
        <v>174500</v>
      </c>
      <c r="H672" s="967">
        <v>187500</v>
      </c>
      <c r="I672" s="967">
        <v>173500</v>
      </c>
      <c r="J672" s="967">
        <v>4212439</v>
      </c>
      <c r="K672" s="967">
        <v>23402441</v>
      </c>
    </row>
    <row r="673" spans="2:11" s="1258" customFormat="1" ht="16" hidden="1" outlineLevel="1">
      <c r="B673" s="968" t="s">
        <v>2583</v>
      </c>
      <c r="C673" s="967">
        <v>173500</v>
      </c>
      <c r="D673" s="967" t="s">
        <v>2673</v>
      </c>
      <c r="E673" s="967">
        <v>90356</v>
      </c>
      <c r="F673" s="967">
        <v>15669921000</v>
      </c>
      <c r="G673" s="967">
        <v>171000</v>
      </c>
      <c r="H673" s="967">
        <v>176500</v>
      </c>
      <c r="I673" s="967">
        <v>169000</v>
      </c>
      <c r="J673" s="967">
        <v>4060324</v>
      </c>
      <c r="K673" s="967">
        <v>23402441</v>
      </c>
    </row>
    <row r="674" spans="2:11" s="1258" customFormat="1" ht="16" hidden="1" outlineLevel="1">
      <c r="B674" s="968" t="s">
        <v>2582</v>
      </c>
      <c r="C674" s="967">
        <v>167000</v>
      </c>
      <c r="D674" s="967" t="s">
        <v>2672</v>
      </c>
      <c r="E674" s="967">
        <v>118983</v>
      </c>
      <c r="F674" s="967">
        <v>19873967000</v>
      </c>
      <c r="G674" s="967">
        <v>164500</v>
      </c>
      <c r="H674" s="967">
        <v>170000</v>
      </c>
      <c r="I674" s="967">
        <v>162000</v>
      </c>
      <c r="J674" s="967">
        <v>3908208</v>
      </c>
      <c r="K674" s="967">
        <v>23402441</v>
      </c>
    </row>
    <row r="675" spans="2:11" s="1258" customFormat="1" ht="16" hidden="1" outlineLevel="1">
      <c r="B675" s="968" t="s">
        <v>2581</v>
      </c>
      <c r="C675" s="967">
        <v>163500</v>
      </c>
      <c r="D675" s="967" t="s">
        <v>2788</v>
      </c>
      <c r="E675" s="967">
        <v>205061</v>
      </c>
      <c r="F675" s="967">
        <v>33651644000</v>
      </c>
      <c r="G675" s="967">
        <v>170500</v>
      </c>
      <c r="H675" s="967">
        <v>173500</v>
      </c>
      <c r="I675" s="967">
        <v>161000</v>
      </c>
      <c r="J675" s="967">
        <v>3826299</v>
      </c>
      <c r="K675" s="967">
        <v>23402441</v>
      </c>
    </row>
    <row r="676" spans="2:11" s="1258" customFormat="1" ht="16" hidden="1" outlineLevel="1">
      <c r="B676" s="968" t="s">
        <v>2580</v>
      </c>
      <c r="C676" s="967">
        <v>173500</v>
      </c>
      <c r="D676" s="967" t="s">
        <v>2272</v>
      </c>
      <c r="E676" s="967">
        <v>113806</v>
      </c>
      <c r="F676" s="967">
        <v>20316326520</v>
      </c>
      <c r="G676" s="967">
        <v>178000</v>
      </c>
      <c r="H676" s="967">
        <v>184500</v>
      </c>
      <c r="I676" s="967">
        <v>170000</v>
      </c>
      <c r="J676" s="967">
        <v>4060324</v>
      </c>
      <c r="K676" s="967">
        <v>23402441</v>
      </c>
    </row>
    <row r="677" spans="2:11" s="1258" customFormat="1" ht="16" hidden="1" outlineLevel="1">
      <c r="B677" s="968" t="s">
        <v>2578</v>
      </c>
      <c r="C677" s="967">
        <v>178000</v>
      </c>
      <c r="D677" s="967" t="s">
        <v>2236</v>
      </c>
      <c r="E677" s="967">
        <v>66296</v>
      </c>
      <c r="F677" s="967">
        <v>11821392000</v>
      </c>
      <c r="G677" s="967">
        <v>178500</v>
      </c>
      <c r="H677" s="967">
        <v>182000</v>
      </c>
      <c r="I677" s="967">
        <v>175000</v>
      </c>
      <c r="J677" s="967">
        <v>4165634</v>
      </c>
      <c r="K677" s="967">
        <v>23402441</v>
      </c>
    </row>
    <row r="678" spans="2:11" s="1258" customFormat="1" ht="16" hidden="1" outlineLevel="1">
      <c r="B678" s="968" t="s">
        <v>2577</v>
      </c>
      <c r="C678" s="967">
        <v>177000</v>
      </c>
      <c r="D678" s="967" t="s">
        <v>2669</v>
      </c>
      <c r="E678" s="967">
        <v>105211</v>
      </c>
      <c r="F678" s="967">
        <v>18612099500</v>
      </c>
      <c r="G678" s="967">
        <v>175000</v>
      </c>
      <c r="H678" s="967">
        <v>184000</v>
      </c>
      <c r="I678" s="967">
        <v>167500</v>
      </c>
      <c r="J678" s="967">
        <v>4142232</v>
      </c>
      <c r="K678" s="967">
        <v>23402441</v>
      </c>
    </row>
    <row r="679" spans="2:11" s="1258" customFormat="1" ht="16" hidden="1" outlineLevel="1">
      <c r="B679" s="968" t="s">
        <v>2576</v>
      </c>
      <c r="C679" s="967">
        <v>171000</v>
      </c>
      <c r="D679" s="967" t="s">
        <v>2674</v>
      </c>
      <c r="E679" s="967">
        <v>134391</v>
      </c>
      <c r="F679" s="967">
        <v>23266307000</v>
      </c>
      <c r="G679" s="967">
        <v>178500</v>
      </c>
      <c r="H679" s="967">
        <v>185000</v>
      </c>
      <c r="I679" s="967">
        <v>167000</v>
      </c>
      <c r="J679" s="967">
        <v>4001817</v>
      </c>
      <c r="K679" s="967">
        <v>23402441</v>
      </c>
    </row>
    <row r="680" spans="2:11" s="1258" customFormat="1" ht="16" hidden="1" outlineLevel="1">
      <c r="B680" s="968" t="s">
        <v>2575</v>
      </c>
      <c r="C680" s="967">
        <v>178000</v>
      </c>
      <c r="D680" s="967" t="s">
        <v>2787</v>
      </c>
      <c r="E680" s="967">
        <v>220383</v>
      </c>
      <c r="F680" s="967">
        <v>41526441000</v>
      </c>
      <c r="G680" s="967">
        <v>186000</v>
      </c>
      <c r="H680" s="967">
        <v>197500</v>
      </c>
      <c r="I680" s="967">
        <v>175500</v>
      </c>
      <c r="J680" s="967">
        <v>4165634</v>
      </c>
      <c r="K680" s="967">
        <v>23402441</v>
      </c>
    </row>
    <row r="681" spans="2:11" s="1258" customFormat="1" ht="16" hidden="1" outlineLevel="1">
      <c r="B681" s="968" t="s">
        <v>2574</v>
      </c>
      <c r="C681" s="967">
        <v>191500</v>
      </c>
      <c r="D681" s="967" t="s">
        <v>2786</v>
      </c>
      <c r="E681" s="967">
        <v>175948</v>
      </c>
      <c r="F681" s="967">
        <v>33672146000</v>
      </c>
      <c r="G681" s="967">
        <v>183000</v>
      </c>
      <c r="H681" s="967">
        <v>196000</v>
      </c>
      <c r="I681" s="967">
        <v>181500</v>
      </c>
      <c r="J681" s="967">
        <v>4481567</v>
      </c>
      <c r="K681" s="967">
        <v>23402441</v>
      </c>
    </row>
    <row r="682" spans="2:11" s="1258" customFormat="1" ht="16" hidden="1" outlineLevel="1">
      <c r="B682" s="968" t="s">
        <v>2572</v>
      </c>
      <c r="C682" s="967">
        <v>181500</v>
      </c>
      <c r="D682" s="967" t="s">
        <v>2245</v>
      </c>
      <c r="E682" s="967">
        <v>89156</v>
      </c>
      <c r="F682" s="967">
        <v>16175810000</v>
      </c>
      <c r="G682" s="967">
        <v>178500</v>
      </c>
      <c r="H682" s="967">
        <v>184500</v>
      </c>
      <c r="I682" s="967">
        <v>177500</v>
      </c>
      <c r="J682" s="967">
        <v>4247543</v>
      </c>
      <c r="K682" s="967">
        <v>23402441</v>
      </c>
    </row>
    <row r="683" spans="2:11" s="1258" customFormat="1" ht="16" hidden="1" outlineLevel="1">
      <c r="B683" s="968" t="s">
        <v>2571</v>
      </c>
      <c r="C683" s="967">
        <v>180000</v>
      </c>
      <c r="D683" s="967" t="s">
        <v>2673</v>
      </c>
      <c r="E683" s="967">
        <v>121970</v>
      </c>
      <c r="F683" s="967">
        <v>21940392000</v>
      </c>
      <c r="G683" s="967">
        <v>182000</v>
      </c>
      <c r="H683" s="967">
        <v>182000</v>
      </c>
      <c r="I683" s="967">
        <v>177000</v>
      </c>
      <c r="J683" s="967">
        <v>4212439</v>
      </c>
      <c r="K683" s="967">
        <v>23402441</v>
      </c>
    </row>
    <row r="684" spans="2:11" s="1258" customFormat="1" ht="16" hidden="1" outlineLevel="1">
      <c r="B684" s="968" t="s">
        <v>2569</v>
      </c>
      <c r="C684" s="967">
        <v>173500</v>
      </c>
      <c r="D684" s="967" t="s">
        <v>2672</v>
      </c>
      <c r="E684" s="967">
        <v>176109</v>
      </c>
      <c r="F684" s="967">
        <v>30596204064</v>
      </c>
      <c r="G684" s="967">
        <v>174000</v>
      </c>
      <c r="H684" s="967">
        <v>176000</v>
      </c>
      <c r="I684" s="967">
        <v>169500</v>
      </c>
      <c r="J684" s="967">
        <v>4060324</v>
      </c>
      <c r="K684" s="967">
        <v>23402441</v>
      </c>
    </row>
    <row r="685" spans="2:11" s="1258" customFormat="1" ht="16" hidden="1" outlineLevel="1">
      <c r="B685" s="968" t="s">
        <v>2567</v>
      </c>
      <c r="C685" s="967">
        <v>170000</v>
      </c>
      <c r="D685" s="967" t="s">
        <v>2235</v>
      </c>
      <c r="E685" s="967">
        <v>135071</v>
      </c>
      <c r="F685" s="967">
        <v>22956822000</v>
      </c>
      <c r="G685" s="967">
        <v>164000</v>
      </c>
      <c r="H685" s="967">
        <v>173000</v>
      </c>
      <c r="I685" s="967">
        <v>164000</v>
      </c>
      <c r="J685" s="967">
        <v>3978415</v>
      </c>
      <c r="K685" s="967">
        <v>23402441</v>
      </c>
    </row>
    <row r="686" spans="2:11" s="1258" customFormat="1" ht="16" hidden="1" outlineLevel="1">
      <c r="B686" s="968" t="s">
        <v>2566</v>
      </c>
      <c r="C686" s="967">
        <v>172500</v>
      </c>
      <c r="D686" s="967" t="s">
        <v>2667</v>
      </c>
      <c r="E686" s="967">
        <v>182665</v>
      </c>
      <c r="F686" s="967">
        <v>30949162500</v>
      </c>
      <c r="G686" s="967">
        <v>171500</v>
      </c>
      <c r="H686" s="967">
        <v>173000</v>
      </c>
      <c r="I686" s="967">
        <v>164000</v>
      </c>
      <c r="J686" s="967">
        <v>4036921</v>
      </c>
      <c r="K686" s="967">
        <v>23402441</v>
      </c>
    </row>
    <row r="687" spans="2:11" s="1258" customFormat="1" ht="16" hidden="1" outlineLevel="1">
      <c r="B687" s="968" t="s">
        <v>2564</v>
      </c>
      <c r="C687" s="967">
        <v>165000</v>
      </c>
      <c r="D687" s="967" t="s">
        <v>2785</v>
      </c>
      <c r="E687" s="967">
        <v>185962</v>
      </c>
      <c r="F687" s="967">
        <v>30875238000</v>
      </c>
      <c r="G687" s="967">
        <v>167500</v>
      </c>
      <c r="H687" s="967">
        <v>174000</v>
      </c>
      <c r="I687" s="967">
        <v>159000</v>
      </c>
      <c r="J687" s="967">
        <v>3861403</v>
      </c>
      <c r="K687" s="967">
        <v>23402441</v>
      </c>
    </row>
    <row r="688" spans="2:11" s="1258" customFormat="1" ht="16" hidden="1" outlineLevel="1">
      <c r="B688" s="968" t="s">
        <v>2563</v>
      </c>
      <c r="C688" s="967">
        <v>174500</v>
      </c>
      <c r="D688" s="967" t="s">
        <v>2784</v>
      </c>
      <c r="E688" s="967">
        <v>152336</v>
      </c>
      <c r="F688" s="967">
        <v>27271014000</v>
      </c>
      <c r="G688" s="967">
        <v>189000</v>
      </c>
      <c r="H688" s="967">
        <v>189000</v>
      </c>
      <c r="I688" s="967">
        <v>170000</v>
      </c>
      <c r="J688" s="967">
        <v>4083726</v>
      </c>
      <c r="K688" s="967">
        <v>23402441</v>
      </c>
    </row>
    <row r="689" spans="2:11" s="1258" customFormat="1" ht="16" hidden="1" outlineLevel="1">
      <c r="B689" s="968" t="s">
        <v>2562</v>
      </c>
      <c r="C689" s="967">
        <v>188500</v>
      </c>
      <c r="D689" s="967" t="s">
        <v>2249</v>
      </c>
      <c r="E689" s="967">
        <v>215674</v>
      </c>
      <c r="F689" s="967">
        <v>40004914000</v>
      </c>
      <c r="G689" s="967">
        <v>183000</v>
      </c>
      <c r="H689" s="967">
        <v>188500</v>
      </c>
      <c r="I689" s="967">
        <v>180000</v>
      </c>
      <c r="J689" s="967">
        <v>4411360</v>
      </c>
      <c r="K689" s="967">
        <v>23402441</v>
      </c>
    </row>
    <row r="690" spans="2:11" s="1258" customFormat="1" ht="16" hidden="1" outlineLevel="1">
      <c r="B690" s="968" t="s">
        <v>2561</v>
      </c>
      <c r="C690" s="967">
        <v>194500</v>
      </c>
      <c r="D690" s="967" t="s">
        <v>2774</v>
      </c>
      <c r="E690" s="967">
        <v>177465</v>
      </c>
      <c r="F690" s="967">
        <v>34675842498</v>
      </c>
      <c r="G690" s="967">
        <v>201000</v>
      </c>
      <c r="H690" s="967">
        <v>201500</v>
      </c>
      <c r="I690" s="967">
        <v>191000</v>
      </c>
      <c r="J690" s="967">
        <v>4551775</v>
      </c>
      <c r="K690" s="967">
        <v>23402441</v>
      </c>
    </row>
    <row r="691" spans="2:11" s="1258" customFormat="1" ht="16" hidden="1" outlineLevel="1">
      <c r="B691" s="968" t="s">
        <v>2560</v>
      </c>
      <c r="C691" s="967">
        <v>200000</v>
      </c>
      <c r="D691" s="967" t="s">
        <v>2221</v>
      </c>
      <c r="E691" s="967">
        <v>210654</v>
      </c>
      <c r="F691" s="967">
        <v>41614164500</v>
      </c>
      <c r="G691" s="967">
        <v>200500</v>
      </c>
      <c r="H691" s="967">
        <v>203500</v>
      </c>
      <c r="I691" s="967">
        <v>189500</v>
      </c>
      <c r="J691" s="967">
        <v>4680488</v>
      </c>
      <c r="K691" s="967">
        <v>23402441</v>
      </c>
    </row>
    <row r="692" spans="2:11" s="1258" customFormat="1" ht="16" hidden="1" outlineLevel="1">
      <c r="B692" s="968" t="s">
        <v>2559</v>
      </c>
      <c r="C692" s="967">
        <v>200000</v>
      </c>
      <c r="D692" s="967" t="s">
        <v>2777</v>
      </c>
      <c r="E692" s="967">
        <v>213655</v>
      </c>
      <c r="F692" s="967">
        <v>42287222000</v>
      </c>
      <c r="G692" s="967">
        <v>190500</v>
      </c>
      <c r="H692" s="967">
        <v>201000</v>
      </c>
      <c r="I692" s="967">
        <v>190000</v>
      </c>
      <c r="J692" s="967">
        <v>4680488</v>
      </c>
      <c r="K692" s="967">
        <v>23402441</v>
      </c>
    </row>
    <row r="693" spans="2:11" s="1258" customFormat="1" ht="16" hidden="1" outlineLevel="1">
      <c r="B693" s="968" t="s">
        <v>2557</v>
      </c>
      <c r="C693" s="967">
        <v>190500</v>
      </c>
      <c r="D693" s="967" t="s">
        <v>2673</v>
      </c>
      <c r="E693" s="967">
        <v>59088</v>
      </c>
      <c r="F693" s="967">
        <v>11106208500</v>
      </c>
      <c r="G693" s="967">
        <v>185000</v>
      </c>
      <c r="H693" s="967">
        <v>190500</v>
      </c>
      <c r="I693" s="967">
        <v>185000</v>
      </c>
      <c r="J693" s="967">
        <v>4458165</v>
      </c>
      <c r="K693" s="967">
        <v>23402441</v>
      </c>
    </row>
    <row r="694" spans="2:11" s="1258" customFormat="1" ht="16" hidden="1" outlineLevel="1">
      <c r="B694" s="968" t="s">
        <v>2555</v>
      </c>
      <c r="C694" s="967">
        <v>184000</v>
      </c>
      <c r="D694" s="967" t="s">
        <v>2278</v>
      </c>
      <c r="E694" s="967">
        <v>94448</v>
      </c>
      <c r="F694" s="967">
        <v>17453870500</v>
      </c>
      <c r="G694" s="967">
        <v>186000</v>
      </c>
      <c r="H694" s="967">
        <v>187500</v>
      </c>
      <c r="I694" s="967">
        <v>183000</v>
      </c>
      <c r="J694" s="967">
        <v>4306049</v>
      </c>
      <c r="K694" s="967">
        <v>23402441</v>
      </c>
    </row>
    <row r="695" spans="2:11" s="1258" customFormat="1" ht="16" hidden="1" outlineLevel="1">
      <c r="B695" s="968" t="s">
        <v>2554</v>
      </c>
      <c r="C695" s="967">
        <v>187000</v>
      </c>
      <c r="D695" s="967" t="s">
        <v>2276</v>
      </c>
      <c r="E695" s="967">
        <v>93160</v>
      </c>
      <c r="F695" s="967">
        <v>17452693500</v>
      </c>
      <c r="G695" s="967">
        <v>185500</v>
      </c>
      <c r="H695" s="967">
        <v>190500</v>
      </c>
      <c r="I695" s="967">
        <v>185000</v>
      </c>
      <c r="J695" s="967">
        <v>4376256</v>
      </c>
      <c r="K695" s="967">
        <v>23402441</v>
      </c>
    </row>
    <row r="696" spans="2:11" s="1258" customFormat="1" ht="16" hidden="1" outlineLevel="1">
      <c r="B696" s="968" t="s">
        <v>2552</v>
      </c>
      <c r="C696" s="967">
        <v>191000</v>
      </c>
      <c r="D696" s="967" t="s">
        <v>2248</v>
      </c>
      <c r="E696" s="967">
        <v>83112</v>
      </c>
      <c r="F696" s="967">
        <v>15880670500</v>
      </c>
      <c r="G696" s="967">
        <v>192500</v>
      </c>
      <c r="H696" s="967">
        <v>193500</v>
      </c>
      <c r="I696" s="967">
        <v>188000</v>
      </c>
      <c r="J696" s="967">
        <v>4469866</v>
      </c>
      <c r="K696" s="967">
        <v>23402441</v>
      </c>
    </row>
    <row r="697" spans="2:11" s="1258" customFormat="1" ht="16" hidden="1" outlineLevel="1">
      <c r="B697" s="968" t="s">
        <v>2550</v>
      </c>
      <c r="C697" s="967">
        <v>192000</v>
      </c>
      <c r="D697" s="967" t="s">
        <v>2245</v>
      </c>
      <c r="E697" s="967">
        <v>171117</v>
      </c>
      <c r="F697" s="967">
        <v>32332469000</v>
      </c>
      <c r="G697" s="967">
        <v>190000</v>
      </c>
      <c r="H697" s="967">
        <v>194000</v>
      </c>
      <c r="I697" s="967">
        <v>182000</v>
      </c>
      <c r="J697" s="967">
        <v>4493269</v>
      </c>
      <c r="K697" s="967">
        <v>23402441</v>
      </c>
    </row>
    <row r="698" spans="2:11" s="1258" customFormat="1" ht="16" hidden="1" outlineLevel="1">
      <c r="B698" s="968" t="s">
        <v>2549</v>
      </c>
      <c r="C698" s="967">
        <v>190500</v>
      </c>
      <c r="D698" s="967" t="s">
        <v>2672</v>
      </c>
      <c r="E698" s="967">
        <v>86355</v>
      </c>
      <c r="F698" s="967">
        <v>16109643500</v>
      </c>
      <c r="G698" s="967">
        <v>184000</v>
      </c>
      <c r="H698" s="967">
        <v>191500</v>
      </c>
      <c r="I698" s="967">
        <v>182500</v>
      </c>
      <c r="J698" s="967">
        <v>4458165</v>
      </c>
      <c r="K698" s="967">
        <v>23402441</v>
      </c>
    </row>
    <row r="699" spans="2:11" s="1258" customFormat="1" ht="16" hidden="1" outlineLevel="1">
      <c r="B699" s="968" t="s">
        <v>2548</v>
      </c>
      <c r="C699" s="967">
        <v>187000</v>
      </c>
      <c r="D699" s="967" t="s">
        <v>2278</v>
      </c>
      <c r="E699" s="967">
        <v>91478</v>
      </c>
      <c r="F699" s="967">
        <v>16975346500</v>
      </c>
      <c r="G699" s="967">
        <v>189000</v>
      </c>
      <c r="H699" s="967">
        <v>190000</v>
      </c>
      <c r="I699" s="967">
        <v>183000</v>
      </c>
      <c r="J699" s="967">
        <v>4376256</v>
      </c>
      <c r="K699" s="967">
        <v>23402441</v>
      </c>
    </row>
    <row r="700" spans="2:11" s="1258" customFormat="1" ht="16" hidden="1" outlineLevel="1">
      <c r="B700" s="968" t="s">
        <v>2546</v>
      </c>
      <c r="C700" s="967">
        <v>190000</v>
      </c>
      <c r="D700" s="967" t="s">
        <v>2245</v>
      </c>
      <c r="E700" s="967">
        <v>49130</v>
      </c>
      <c r="F700" s="967">
        <v>9386948500</v>
      </c>
      <c r="G700" s="967">
        <v>189500</v>
      </c>
      <c r="H700" s="967">
        <v>194500</v>
      </c>
      <c r="I700" s="967">
        <v>188500</v>
      </c>
      <c r="J700" s="967">
        <v>4446464</v>
      </c>
      <c r="K700" s="967">
        <v>23402441</v>
      </c>
    </row>
    <row r="701" spans="2:11" s="1258" customFormat="1" ht="16" hidden="1" outlineLevel="1">
      <c r="B701" s="968" t="s">
        <v>2545</v>
      </c>
      <c r="C701" s="967">
        <v>188500</v>
      </c>
      <c r="D701" s="967" t="s">
        <v>2277</v>
      </c>
      <c r="E701" s="967">
        <v>59843</v>
      </c>
      <c r="F701" s="967">
        <v>11183140000</v>
      </c>
      <c r="G701" s="967">
        <v>185500</v>
      </c>
      <c r="H701" s="967">
        <v>189000</v>
      </c>
      <c r="I701" s="967">
        <v>183500</v>
      </c>
      <c r="J701" s="967">
        <v>4411360</v>
      </c>
      <c r="K701" s="967">
        <v>23402441</v>
      </c>
    </row>
    <row r="702" spans="2:11" s="1258" customFormat="1" ht="16" hidden="1" outlineLevel="1">
      <c r="B702" s="968" t="s">
        <v>2544</v>
      </c>
      <c r="C702" s="967">
        <v>185500</v>
      </c>
      <c r="D702" s="967" t="s">
        <v>2245</v>
      </c>
      <c r="E702" s="967">
        <v>82641</v>
      </c>
      <c r="F702" s="967">
        <v>15442465000</v>
      </c>
      <c r="G702" s="967">
        <v>184000</v>
      </c>
      <c r="H702" s="967">
        <v>188500</v>
      </c>
      <c r="I702" s="967">
        <v>181500</v>
      </c>
      <c r="J702" s="967">
        <v>4341153</v>
      </c>
      <c r="K702" s="967">
        <v>23402441</v>
      </c>
    </row>
    <row r="703" spans="2:11" s="1258" customFormat="1" ht="16" hidden="1" outlineLevel="1">
      <c r="B703" s="968" t="s">
        <v>2543</v>
      </c>
      <c r="C703" s="967">
        <v>184000</v>
      </c>
      <c r="D703" s="967" t="s">
        <v>2672</v>
      </c>
      <c r="E703" s="967">
        <v>118737</v>
      </c>
      <c r="F703" s="967">
        <v>21347193000</v>
      </c>
      <c r="G703" s="967">
        <v>179000</v>
      </c>
      <c r="H703" s="967">
        <v>186500</v>
      </c>
      <c r="I703" s="967">
        <v>178000</v>
      </c>
      <c r="J703" s="967">
        <v>4306049</v>
      </c>
      <c r="K703" s="967">
        <v>23402441</v>
      </c>
    </row>
    <row r="704" spans="2:11" s="1258" customFormat="1" ht="16" hidden="1" outlineLevel="1">
      <c r="B704" s="968" t="s">
        <v>2541</v>
      </c>
      <c r="C704" s="967">
        <v>180500</v>
      </c>
      <c r="D704" s="967" t="s">
        <v>2670</v>
      </c>
      <c r="E704" s="967">
        <v>125599</v>
      </c>
      <c r="F704" s="967">
        <v>22528817500</v>
      </c>
      <c r="G704" s="967">
        <v>174500</v>
      </c>
      <c r="H704" s="967">
        <v>182000</v>
      </c>
      <c r="I704" s="967">
        <v>173000</v>
      </c>
      <c r="J704" s="967">
        <v>4099466</v>
      </c>
      <c r="K704" s="967">
        <v>22711722</v>
      </c>
    </row>
    <row r="705" spans="2:11" s="1258" customFormat="1" ht="16" hidden="1" outlineLevel="1">
      <c r="B705" s="968" t="s">
        <v>2540</v>
      </c>
      <c r="C705" s="967">
        <v>175500</v>
      </c>
      <c r="D705" s="967" t="s">
        <v>2278</v>
      </c>
      <c r="E705" s="967">
        <v>131222</v>
      </c>
      <c r="F705" s="967">
        <v>23243164000</v>
      </c>
      <c r="G705" s="967">
        <v>178000</v>
      </c>
      <c r="H705" s="967">
        <v>180500</v>
      </c>
      <c r="I705" s="967">
        <v>174500</v>
      </c>
      <c r="J705" s="967">
        <v>3985907</v>
      </c>
      <c r="K705" s="967">
        <v>22711722</v>
      </c>
    </row>
    <row r="706" spans="2:11" s="1258" customFormat="1" ht="16" hidden="1" outlineLevel="1">
      <c r="B706" s="968" t="s">
        <v>2539</v>
      </c>
      <c r="C706" s="967">
        <v>178500</v>
      </c>
      <c r="D706" s="967" t="s">
        <v>2675</v>
      </c>
      <c r="E706" s="967">
        <v>84458</v>
      </c>
      <c r="F706" s="967">
        <v>14746168000</v>
      </c>
      <c r="G706" s="967">
        <v>171500</v>
      </c>
      <c r="H706" s="967">
        <v>179000</v>
      </c>
      <c r="I706" s="967">
        <v>170500</v>
      </c>
      <c r="J706" s="967">
        <v>4054042</v>
      </c>
      <c r="K706" s="967">
        <v>22711722</v>
      </c>
    </row>
    <row r="707" spans="2:11" s="1258" customFormat="1" ht="16" hidden="1" outlineLevel="1">
      <c r="B707" s="968" t="s">
        <v>2538</v>
      </c>
      <c r="C707" s="967">
        <v>170500</v>
      </c>
      <c r="D707" s="967" t="s">
        <v>2249</v>
      </c>
      <c r="E707" s="967">
        <v>100709</v>
      </c>
      <c r="F707" s="967">
        <v>17387142500</v>
      </c>
      <c r="G707" s="967">
        <v>175000</v>
      </c>
      <c r="H707" s="967">
        <v>177500</v>
      </c>
      <c r="I707" s="967">
        <v>170000</v>
      </c>
      <c r="J707" s="967">
        <v>3872349</v>
      </c>
      <c r="K707" s="967">
        <v>22711722</v>
      </c>
    </row>
    <row r="708" spans="2:11" s="1258" customFormat="1" ht="16" hidden="1" outlineLevel="1">
      <c r="B708" s="968" t="s">
        <v>2537</v>
      </c>
      <c r="C708" s="967">
        <v>176500</v>
      </c>
      <c r="D708" s="967" t="s">
        <v>2249</v>
      </c>
      <c r="E708" s="967">
        <v>101334</v>
      </c>
      <c r="F708" s="967">
        <v>18070932500</v>
      </c>
      <c r="G708" s="967">
        <v>182500</v>
      </c>
      <c r="H708" s="967">
        <v>182500</v>
      </c>
      <c r="I708" s="967">
        <v>176000</v>
      </c>
      <c r="J708" s="967">
        <v>4008619</v>
      </c>
      <c r="K708" s="967">
        <v>22711722</v>
      </c>
    </row>
    <row r="709" spans="2:11" s="1258" customFormat="1" ht="16" hidden="1" outlineLevel="1">
      <c r="B709" s="968" t="s">
        <v>2536</v>
      </c>
      <c r="C709" s="967">
        <v>182500</v>
      </c>
      <c r="D709" s="967" t="s">
        <v>2278</v>
      </c>
      <c r="E709" s="967">
        <v>101999</v>
      </c>
      <c r="F709" s="967">
        <v>18658708000</v>
      </c>
      <c r="G709" s="967">
        <v>186000</v>
      </c>
      <c r="H709" s="967">
        <v>186000</v>
      </c>
      <c r="I709" s="967">
        <v>181500</v>
      </c>
      <c r="J709" s="967">
        <v>4144889</v>
      </c>
      <c r="K709" s="967">
        <v>22711722</v>
      </c>
    </row>
    <row r="710" spans="2:11" s="1258" customFormat="1" ht="16" hidden="1" outlineLevel="1">
      <c r="B710" s="968" t="s">
        <v>2535</v>
      </c>
      <c r="C710" s="967">
        <v>185500</v>
      </c>
      <c r="D710" s="967" t="s">
        <v>2783</v>
      </c>
      <c r="E710" s="967">
        <v>235777</v>
      </c>
      <c r="F710" s="967">
        <v>43138460627</v>
      </c>
      <c r="G710" s="967">
        <v>174000</v>
      </c>
      <c r="H710" s="967">
        <v>187500</v>
      </c>
      <c r="I710" s="967">
        <v>173500</v>
      </c>
      <c r="J710" s="967">
        <v>4213024</v>
      </c>
      <c r="K710" s="967">
        <v>22711722</v>
      </c>
    </row>
    <row r="711" spans="2:11" s="1258" customFormat="1" ht="16" hidden="1" outlineLevel="1">
      <c r="B711" s="968" t="s">
        <v>2534</v>
      </c>
      <c r="C711" s="967">
        <v>174000</v>
      </c>
      <c r="D711" s="967" t="s">
        <v>2236</v>
      </c>
      <c r="E711" s="967">
        <v>60103</v>
      </c>
      <c r="F711" s="967">
        <v>10393715500</v>
      </c>
      <c r="G711" s="967">
        <v>174000</v>
      </c>
      <c r="H711" s="967">
        <v>174000</v>
      </c>
      <c r="I711" s="967">
        <v>172000</v>
      </c>
      <c r="J711" s="967">
        <v>3951840</v>
      </c>
      <c r="K711" s="967">
        <v>22711722</v>
      </c>
    </row>
    <row r="712" spans="2:11" s="1258" customFormat="1" ht="16" hidden="1" outlineLevel="1">
      <c r="B712" s="968" t="s">
        <v>2533</v>
      </c>
      <c r="C712" s="967">
        <v>173000</v>
      </c>
      <c r="D712" s="967" t="s">
        <v>2288</v>
      </c>
      <c r="E712" s="967">
        <v>100852</v>
      </c>
      <c r="F712" s="967">
        <v>17477921000</v>
      </c>
      <c r="G712" s="967">
        <v>172500</v>
      </c>
      <c r="H712" s="967">
        <v>175000</v>
      </c>
      <c r="I712" s="967">
        <v>171500</v>
      </c>
      <c r="J712" s="967">
        <v>3929128</v>
      </c>
      <c r="K712" s="967">
        <v>22711722</v>
      </c>
    </row>
    <row r="713" spans="2:11" s="1258" customFormat="1" ht="16" hidden="1" outlineLevel="1">
      <c r="B713" s="968" t="s">
        <v>2532</v>
      </c>
      <c r="C713" s="967">
        <v>171000</v>
      </c>
      <c r="D713" s="967" t="s">
        <v>1826</v>
      </c>
      <c r="E713" s="967">
        <v>145978</v>
      </c>
      <c r="F713" s="967">
        <v>24831074500</v>
      </c>
      <c r="G713" s="967">
        <v>172500</v>
      </c>
      <c r="H713" s="967">
        <v>173500</v>
      </c>
      <c r="I713" s="967">
        <v>168000</v>
      </c>
      <c r="J713" s="967">
        <v>3883704</v>
      </c>
      <c r="K713" s="967">
        <v>22711722</v>
      </c>
    </row>
    <row r="714" spans="2:11" s="1258" customFormat="1" ht="16" hidden="1" outlineLevel="1">
      <c r="B714" s="968" t="s">
        <v>2531</v>
      </c>
      <c r="C714" s="967">
        <v>170500</v>
      </c>
      <c r="D714" s="967" t="s">
        <v>2278</v>
      </c>
      <c r="E714" s="967">
        <v>109054</v>
      </c>
      <c r="F714" s="967">
        <v>18695347500</v>
      </c>
      <c r="G714" s="967">
        <v>175500</v>
      </c>
      <c r="H714" s="967">
        <v>177000</v>
      </c>
      <c r="I714" s="967">
        <v>169500</v>
      </c>
      <c r="J714" s="967">
        <v>3872349</v>
      </c>
      <c r="K714" s="967">
        <v>22711722</v>
      </c>
    </row>
    <row r="715" spans="2:11" s="1258" customFormat="1" ht="16" hidden="1" outlineLevel="1">
      <c r="B715" s="968" t="s">
        <v>2530</v>
      </c>
      <c r="C715" s="967">
        <v>173500</v>
      </c>
      <c r="D715" s="967" t="s">
        <v>2235</v>
      </c>
      <c r="E715" s="967">
        <v>126338</v>
      </c>
      <c r="F715" s="967">
        <v>21904027500</v>
      </c>
      <c r="G715" s="967">
        <v>176500</v>
      </c>
      <c r="H715" s="967">
        <v>178000</v>
      </c>
      <c r="I715" s="967">
        <v>171000</v>
      </c>
      <c r="J715" s="967">
        <v>3940484</v>
      </c>
      <c r="K715" s="967">
        <v>22711722</v>
      </c>
    </row>
    <row r="716" spans="2:11" s="1258" customFormat="1" ht="16" hidden="1" outlineLevel="1">
      <c r="B716" s="968" t="s">
        <v>2528</v>
      </c>
      <c r="C716" s="967">
        <v>176000</v>
      </c>
      <c r="D716" s="967" t="s">
        <v>2248</v>
      </c>
      <c r="E716" s="967">
        <v>109743</v>
      </c>
      <c r="F716" s="967">
        <v>19554740000</v>
      </c>
      <c r="G716" s="967">
        <v>179500</v>
      </c>
      <c r="H716" s="967">
        <v>180500</v>
      </c>
      <c r="I716" s="967">
        <v>175500</v>
      </c>
      <c r="J716" s="967">
        <v>3997263</v>
      </c>
      <c r="K716" s="967">
        <v>22711722</v>
      </c>
    </row>
    <row r="717" spans="2:11" s="1258" customFormat="1" ht="16" hidden="1" outlineLevel="1">
      <c r="B717" s="968" t="s">
        <v>2527</v>
      </c>
      <c r="C717" s="967">
        <v>177000</v>
      </c>
      <c r="D717" s="967" t="s">
        <v>1826</v>
      </c>
      <c r="E717" s="967">
        <v>58923</v>
      </c>
      <c r="F717" s="967">
        <v>10496592000</v>
      </c>
      <c r="G717" s="967">
        <v>177000</v>
      </c>
      <c r="H717" s="967">
        <v>180000</v>
      </c>
      <c r="I717" s="967">
        <v>175500</v>
      </c>
      <c r="J717" s="967">
        <v>4019975</v>
      </c>
      <c r="K717" s="967">
        <v>22711722</v>
      </c>
    </row>
    <row r="718" spans="2:11" s="1258" customFormat="1" ht="16" hidden="1" outlineLevel="1">
      <c r="B718" s="968" t="s">
        <v>2525</v>
      </c>
      <c r="C718" s="967">
        <v>176500</v>
      </c>
      <c r="D718" s="967" t="s">
        <v>2274</v>
      </c>
      <c r="E718" s="967">
        <v>42116</v>
      </c>
      <c r="F718" s="967">
        <v>7426921500</v>
      </c>
      <c r="G718" s="967">
        <v>178500</v>
      </c>
      <c r="H718" s="967">
        <v>178500</v>
      </c>
      <c r="I718" s="967">
        <v>174500</v>
      </c>
      <c r="J718" s="967">
        <v>4008619</v>
      </c>
      <c r="K718" s="967">
        <v>22711722</v>
      </c>
    </row>
    <row r="719" spans="2:11" s="1258" customFormat="1" ht="16" hidden="1" outlineLevel="1">
      <c r="B719" s="968" t="s">
        <v>2524</v>
      </c>
      <c r="C719" s="967">
        <v>180000</v>
      </c>
      <c r="D719" s="967" t="s">
        <v>2644</v>
      </c>
      <c r="E719" s="967">
        <v>111095</v>
      </c>
      <c r="F719" s="967">
        <v>19942154500</v>
      </c>
      <c r="G719" s="967">
        <v>175000</v>
      </c>
      <c r="H719" s="967">
        <v>181500</v>
      </c>
      <c r="I719" s="967">
        <v>175000</v>
      </c>
      <c r="J719" s="967">
        <v>4088110</v>
      </c>
      <c r="K719" s="967">
        <v>22711722</v>
      </c>
    </row>
    <row r="720" spans="2:11" s="1258" customFormat="1" ht="16" hidden="1" outlineLevel="1">
      <c r="B720" s="968" t="s">
        <v>2523</v>
      </c>
      <c r="C720" s="967">
        <v>175500</v>
      </c>
      <c r="D720" s="967" t="s">
        <v>2274</v>
      </c>
      <c r="E720" s="967">
        <v>72069</v>
      </c>
      <c r="F720" s="967">
        <v>12823752288</v>
      </c>
      <c r="G720" s="967">
        <v>180000</v>
      </c>
      <c r="H720" s="967">
        <v>180000</v>
      </c>
      <c r="I720" s="967">
        <v>174500</v>
      </c>
      <c r="J720" s="967">
        <v>3985907</v>
      </c>
      <c r="K720" s="967">
        <v>22711722</v>
      </c>
    </row>
    <row r="721" spans="2:11" s="1258" customFormat="1" ht="16" hidden="1" outlineLevel="1">
      <c r="B721" s="968" t="s">
        <v>2522</v>
      </c>
      <c r="C721" s="967">
        <v>179000</v>
      </c>
      <c r="D721" s="967" t="s">
        <v>2673</v>
      </c>
      <c r="E721" s="967">
        <v>100706</v>
      </c>
      <c r="F721" s="967">
        <v>17879076500</v>
      </c>
      <c r="G721" s="967">
        <v>178000</v>
      </c>
      <c r="H721" s="967">
        <v>179500</v>
      </c>
      <c r="I721" s="967">
        <v>174500</v>
      </c>
      <c r="J721" s="967">
        <v>4065398</v>
      </c>
      <c r="K721" s="967">
        <v>22711722</v>
      </c>
    </row>
    <row r="722" spans="2:11" s="1258" customFormat="1" ht="16" hidden="1" outlineLevel="1">
      <c r="B722" s="968" t="s">
        <v>2521</v>
      </c>
      <c r="C722" s="967">
        <v>172500</v>
      </c>
      <c r="D722" s="967" t="s">
        <v>2276</v>
      </c>
      <c r="E722" s="967">
        <v>109014</v>
      </c>
      <c r="F722" s="967">
        <v>18766620000</v>
      </c>
      <c r="G722" s="967">
        <v>177000</v>
      </c>
      <c r="H722" s="967">
        <v>177000</v>
      </c>
      <c r="I722" s="967">
        <v>169000</v>
      </c>
      <c r="J722" s="967">
        <v>3917772</v>
      </c>
      <c r="K722" s="967">
        <v>22711722</v>
      </c>
    </row>
    <row r="723" spans="2:11" s="1258" customFormat="1" ht="16" hidden="1" outlineLevel="1">
      <c r="B723" s="968" t="s">
        <v>2520</v>
      </c>
      <c r="C723" s="967">
        <v>176500</v>
      </c>
      <c r="D723" s="967" t="s">
        <v>2779</v>
      </c>
      <c r="E723" s="967">
        <v>161260</v>
      </c>
      <c r="F723" s="967">
        <v>28005538000</v>
      </c>
      <c r="G723" s="967">
        <v>169500</v>
      </c>
      <c r="H723" s="967">
        <v>177000</v>
      </c>
      <c r="I723" s="967">
        <v>168500</v>
      </c>
      <c r="J723" s="967">
        <v>4008619</v>
      </c>
      <c r="K723" s="967">
        <v>22711722</v>
      </c>
    </row>
    <row r="724" spans="2:11" s="1258" customFormat="1" ht="16" hidden="1" outlineLevel="1">
      <c r="B724" s="968" t="s">
        <v>2519</v>
      </c>
      <c r="C724" s="967">
        <v>168000</v>
      </c>
      <c r="D724" s="967" t="s">
        <v>2782</v>
      </c>
      <c r="E724" s="967">
        <v>275951</v>
      </c>
      <c r="F724" s="967">
        <v>47665461000</v>
      </c>
      <c r="G724" s="967">
        <v>179000</v>
      </c>
      <c r="H724" s="967">
        <v>180000</v>
      </c>
      <c r="I724" s="967">
        <v>167500</v>
      </c>
      <c r="J724" s="967">
        <v>3815569</v>
      </c>
      <c r="K724" s="967">
        <v>22711722</v>
      </c>
    </row>
    <row r="725" spans="2:11" s="1258" customFormat="1" ht="16" hidden="1" outlineLevel="1">
      <c r="B725" s="968" t="s">
        <v>2517</v>
      </c>
      <c r="C725" s="967">
        <v>180000</v>
      </c>
      <c r="D725" s="967" t="s">
        <v>2278</v>
      </c>
      <c r="E725" s="967">
        <v>190943</v>
      </c>
      <c r="F725" s="967">
        <v>33945756500</v>
      </c>
      <c r="G725" s="967">
        <v>181500</v>
      </c>
      <c r="H725" s="967">
        <v>181500</v>
      </c>
      <c r="I725" s="967">
        <v>174500</v>
      </c>
      <c r="J725" s="967">
        <v>4088110</v>
      </c>
      <c r="K725" s="967">
        <v>22711722</v>
      </c>
    </row>
    <row r="726" spans="2:11" s="1258" customFormat="1" ht="16" hidden="1" outlineLevel="1">
      <c r="B726" s="968" t="s">
        <v>2516</v>
      </c>
      <c r="C726" s="967">
        <v>183000</v>
      </c>
      <c r="D726" s="967" t="s">
        <v>2276</v>
      </c>
      <c r="E726" s="967">
        <v>136362</v>
      </c>
      <c r="F726" s="967">
        <v>24770910500</v>
      </c>
      <c r="G726" s="967">
        <v>187500</v>
      </c>
      <c r="H726" s="967">
        <v>188500</v>
      </c>
      <c r="I726" s="967">
        <v>179500</v>
      </c>
      <c r="J726" s="967">
        <v>4156245</v>
      </c>
      <c r="K726" s="967">
        <v>22711722</v>
      </c>
    </row>
    <row r="727" spans="2:11" s="1258" customFormat="1" ht="16" hidden="1" outlineLevel="1">
      <c r="B727" s="968" t="s">
        <v>2515</v>
      </c>
      <c r="C727" s="967">
        <v>187000</v>
      </c>
      <c r="D727" s="967" t="s">
        <v>2781</v>
      </c>
      <c r="E727" s="967">
        <v>173290</v>
      </c>
      <c r="F727" s="967">
        <v>31557698000</v>
      </c>
      <c r="G727" s="967">
        <v>175000</v>
      </c>
      <c r="H727" s="967">
        <v>187000</v>
      </c>
      <c r="I727" s="967">
        <v>174500</v>
      </c>
      <c r="J727" s="967">
        <v>4247092</v>
      </c>
      <c r="K727" s="967">
        <v>22711722</v>
      </c>
    </row>
    <row r="728" spans="2:11" s="1258" customFormat="1" ht="16" hidden="1" outlineLevel="1">
      <c r="B728" s="968" t="s">
        <v>2514</v>
      </c>
      <c r="C728" s="967">
        <v>174500</v>
      </c>
      <c r="D728" s="967" t="s">
        <v>2278</v>
      </c>
      <c r="E728" s="967">
        <v>161029</v>
      </c>
      <c r="F728" s="967">
        <v>27982412500</v>
      </c>
      <c r="G728" s="967">
        <v>175500</v>
      </c>
      <c r="H728" s="967">
        <v>177500</v>
      </c>
      <c r="I728" s="967">
        <v>170500</v>
      </c>
      <c r="J728" s="967">
        <v>3963195</v>
      </c>
      <c r="K728" s="967">
        <v>22711722</v>
      </c>
    </row>
    <row r="729" spans="2:11" s="1258" customFormat="1" ht="16" hidden="1" outlineLevel="1">
      <c r="B729" s="968" t="s">
        <v>2513</v>
      </c>
      <c r="C729" s="967">
        <v>177500</v>
      </c>
      <c r="D729" s="967" t="s">
        <v>1814</v>
      </c>
      <c r="E729" s="967">
        <v>173525</v>
      </c>
      <c r="F729" s="967">
        <v>30879195852</v>
      </c>
      <c r="G729" s="967">
        <v>182000</v>
      </c>
      <c r="H729" s="967">
        <v>182000</v>
      </c>
      <c r="I729" s="967">
        <v>175000</v>
      </c>
      <c r="J729" s="967">
        <v>4031331</v>
      </c>
      <c r="K729" s="967">
        <v>22711722</v>
      </c>
    </row>
    <row r="730" spans="2:11" s="1258" customFormat="1" ht="16" hidden="1" outlineLevel="1">
      <c r="B730" s="968" t="s">
        <v>2512</v>
      </c>
      <c r="C730" s="967">
        <v>178000</v>
      </c>
      <c r="D730" s="967" t="s">
        <v>2244</v>
      </c>
      <c r="E730" s="967">
        <v>229048</v>
      </c>
      <c r="F730" s="967">
        <v>41290651500</v>
      </c>
      <c r="G730" s="967">
        <v>180500</v>
      </c>
      <c r="H730" s="967">
        <v>185000</v>
      </c>
      <c r="I730" s="967">
        <v>175500</v>
      </c>
      <c r="J730" s="967">
        <v>4042687</v>
      </c>
      <c r="K730" s="967">
        <v>22711722</v>
      </c>
    </row>
    <row r="731" spans="2:11" s="1258" customFormat="1" ht="16" hidden="1" outlineLevel="1">
      <c r="B731" s="968" t="s">
        <v>2511</v>
      </c>
      <c r="C731" s="967">
        <v>179500</v>
      </c>
      <c r="D731" s="967" t="s">
        <v>2780</v>
      </c>
      <c r="E731" s="967">
        <v>169165</v>
      </c>
      <c r="F731" s="967">
        <v>30850612000</v>
      </c>
      <c r="G731" s="967">
        <v>189000</v>
      </c>
      <c r="H731" s="967">
        <v>191500</v>
      </c>
      <c r="I731" s="967">
        <v>179000</v>
      </c>
      <c r="J731" s="967">
        <v>4076754</v>
      </c>
      <c r="K731" s="967">
        <v>22711722</v>
      </c>
    </row>
    <row r="732" spans="2:11" s="1258" customFormat="1" ht="16" hidden="1" outlineLevel="1">
      <c r="B732" s="968" t="s">
        <v>2510</v>
      </c>
      <c r="C732" s="967">
        <v>190000</v>
      </c>
      <c r="D732" s="967" t="s">
        <v>2779</v>
      </c>
      <c r="E732" s="967">
        <v>205116</v>
      </c>
      <c r="F732" s="967">
        <v>38549150133</v>
      </c>
      <c r="G732" s="967">
        <v>182500</v>
      </c>
      <c r="H732" s="967">
        <v>193000</v>
      </c>
      <c r="I732" s="967">
        <v>179500</v>
      </c>
      <c r="J732" s="967">
        <v>4315227</v>
      </c>
      <c r="K732" s="967">
        <v>22711722</v>
      </c>
    </row>
    <row r="733" spans="2:11" s="1258" customFormat="1" ht="16" hidden="1" outlineLevel="1">
      <c r="B733" s="968" t="s">
        <v>2509</v>
      </c>
      <c r="C733" s="967">
        <v>181500</v>
      </c>
      <c r="D733" s="967" t="s">
        <v>2667</v>
      </c>
      <c r="E733" s="967">
        <v>118565</v>
      </c>
      <c r="F733" s="967">
        <v>21650947500</v>
      </c>
      <c r="G733" s="967">
        <v>175500</v>
      </c>
      <c r="H733" s="967">
        <v>186000</v>
      </c>
      <c r="I733" s="967">
        <v>174000</v>
      </c>
      <c r="J733" s="967">
        <v>4122178</v>
      </c>
      <c r="K733" s="967">
        <v>22711722</v>
      </c>
    </row>
    <row r="734" spans="2:11" s="1258" customFormat="1" ht="16" hidden="1" outlineLevel="1">
      <c r="B734" s="968" t="s">
        <v>2508</v>
      </c>
      <c r="C734" s="967">
        <v>174000</v>
      </c>
      <c r="D734" s="967" t="s">
        <v>2276</v>
      </c>
      <c r="E734" s="967">
        <v>147038</v>
      </c>
      <c r="F734" s="967">
        <v>25952957500</v>
      </c>
      <c r="G734" s="967">
        <v>178500</v>
      </c>
      <c r="H734" s="967">
        <v>180500</v>
      </c>
      <c r="I734" s="967">
        <v>173000</v>
      </c>
      <c r="J734" s="967">
        <v>3951840</v>
      </c>
      <c r="K734" s="967">
        <v>22711722</v>
      </c>
    </row>
    <row r="735" spans="2:11" s="1258" customFormat="1" ht="16" hidden="1" outlineLevel="1">
      <c r="B735" s="968" t="s">
        <v>2507</v>
      </c>
      <c r="C735" s="967">
        <v>178000</v>
      </c>
      <c r="D735" s="967" t="s">
        <v>2774</v>
      </c>
      <c r="E735" s="967">
        <v>147415</v>
      </c>
      <c r="F735" s="967">
        <v>26541633500</v>
      </c>
      <c r="G735" s="967">
        <v>183500</v>
      </c>
      <c r="H735" s="967">
        <v>184000</v>
      </c>
      <c r="I735" s="967">
        <v>175000</v>
      </c>
      <c r="J735" s="967">
        <v>4042687</v>
      </c>
      <c r="K735" s="967">
        <v>22711722</v>
      </c>
    </row>
    <row r="736" spans="2:11" s="1258" customFormat="1" ht="16" hidden="1" outlineLevel="1">
      <c r="B736" s="968" t="s">
        <v>2506</v>
      </c>
      <c r="C736" s="967">
        <v>183500</v>
      </c>
      <c r="D736" s="967" t="s">
        <v>2273</v>
      </c>
      <c r="E736" s="967">
        <v>87906</v>
      </c>
      <c r="F736" s="967">
        <v>15949027000</v>
      </c>
      <c r="G736" s="967">
        <v>178500</v>
      </c>
      <c r="H736" s="967">
        <v>186000</v>
      </c>
      <c r="I736" s="967">
        <v>177500</v>
      </c>
      <c r="J736" s="967">
        <v>4167601</v>
      </c>
      <c r="K736" s="967">
        <v>22711722</v>
      </c>
    </row>
    <row r="737" spans="2:11" s="1258" customFormat="1" ht="16" hidden="1" outlineLevel="1">
      <c r="B737" s="968" t="s">
        <v>2504</v>
      </c>
      <c r="C737" s="967">
        <v>178000</v>
      </c>
      <c r="D737" s="967" t="s">
        <v>2221</v>
      </c>
      <c r="E737" s="967">
        <v>64922</v>
      </c>
      <c r="F737" s="967">
        <v>11491643000</v>
      </c>
      <c r="G737" s="967">
        <v>179000</v>
      </c>
      <c r="H737" s="967">
        <v>179000</v>
      </c>
      <c r="I737" s="967">
        <v>174500</v>
      </c>
      <c r="J737" s="967">
        <v>4042687</v>
      </c>
      <c r="K737" s="967">
        <v>22711722</v>
      </c>
    </row>
    <row r="738" spans="2:11" s="1258" customFormat="1" ht="16" hidden="1" outlineLevel="1">
      <c r="B738" s="968" t="s">
        <v>2503</v>
      </c>
      <c r="C738" s="967">
        <v>178000</v>
      </c>
      <c r="D738" s="967" t="s">
        <v>2273</v>
      </c>
      <c r="E738" s="967">
        <v>152748</v>
      </c>
      <c r="F738" s="967">
        <v>27329419000</v>
      </c>
      <c r="G738" s="967">
        <v>172500</v>
      </c>
      <c r="H738" s="967">
        <v>183500</v>
      </c>
      <c r="I738" s="967">
        <v>172000</v>
      </c>
      <c r="J738" s="967">
        <v>4042687</v>
      </c>
      <c r="K738" s="967">
        <v>22711722</v>
      </c>
    </row>
    <row r="739" spans="2:11" s="1258" customFormat="1" ht="16" hidden="1" outlineLevel="1">
      <c r="B739" s="968" t="s">
        <v>2502</v>
      </c>
      <c r="C739" s="967">
        <v>172500</v>
      </c>
      <c r="D739" s="967" t="s">
        <v>1814</v>
      </c>
      <c r="E739" s="967">
        <v>103784</v>
      </c>
      <c r="F739" s="967">
        <v>17899633500</v>
      </c>
      <c r="G739" s="967">
        <v>172500</v>
      </c>
      <c r="H739" s="967">
        <v>174000</v>
      </c>
      <c r="I739" s="967">
        <v>170000</v>
      </c>
      <c r="J739" s="967">
        <v>3917772</v>
      </c>
      <c r="K739" s="967">
        <v>22711722</v>
      </c>
    </row>
    <row r="740" spans="2:11" s="1258" customFormat="1" ht="16" hidden="1" outlineLevel="1">
      <c r="B740" s="968" t="s">
        <v>2501</v>
      </c>
      <c r="C740" s="967">
        <v>173000</v>
      </c>
      <c r="D740" s="967" t="s">
        <v>2242</v>
      </c>
      <c r="E740" s="967">
        <v>121059</v>
      </c>
      <c r="F740" s="967">
        <v>20953005000</v>
      </c>
      <c r="G740" s="967">
        <v>179000</v>
      </c>
      <c r="H740" s="967">
        <v>181000</v>
      </c>
      <c r="I740" s="967">
        <v>169000</v>
      </c>
      <c r="J740" s="967">
        <v>3929128</v>
      </c>
      <c r="K740" s="967">
        <v>22711722</v>
      </c>
    </row>
    <row r="741" spans="2:11" s="1258" customFormat="1" ht="16" hidden="1" outlineLevel="1">
      <c r="B741" s="968" t="s">
        <v>2500</v>
      </c>
      <c r="C741" s="967">
        <v>175000</v>
      </c>
      <c r="D741" s="967" t="s">
        <v>2775</v>
      </c>
      <c r="E741" s="967">
        <v>94190</v>
      </c>
      <c r="F741" s="967">
        <v>16193952000</v>
      </c>
      <c r="G741" s="967">
        <v>166000</v>
      </c>
      <c r="H741" s="967">
        <v>176000</v>
      </c>
      <c r="I741" s="967">
        <v>166000</v>
      </c>
      <c r="J741" s="967">
        <v>3974551</v>
      </c>
      <c r="K741" s="967">
        <v>22711722</v>
      </c>
    </row>
    <row r="742" spans="2:11" s="1258" customFormat="1" ht="16" hidden="1" outlineLevel="1">
      <c r="B742" s="968" t="s">
        <v>2499</v>
      </c>
      <c r="C742" s="967">
        <v>166000</v>
      </c>
      <c r="D742" s="967" t="s">
        <v>2275</v>
      </c>
      <c r="E742" s="967">
        <v>77736</v>
      </c>
      <c r="F742" s="967">
        <v>13241487746</v>
      </c>
      <c r="G742" s="967">
        <v>172000</v>
      </c>
      <c r="H742" s="967">
        <v>175000</v>
      </c>
      <c r="I742" s="967">
        <v>165000</v>
      </c>
      <c r="J742" s="967">
        <v>3770146</v>
      </c>
      <c r="K742" s="967">
        <v>22711722</v>
      </c>
    </row>
    <row r="743" spans="2:11" s="1258" customFormat="1" ht="16" hidden="1" outlineLevel="1">
      <c r="B743" s="968" t="s">
        <v>2498</v>
      </c>
      <c r="C743" s="967">
        <v>171000</v>
      </c>
      <c r="D743" s="967" t="s">
        <v>2673</v>
      </c>
      <c r="E743" s="967">
        <v>140471</v>
      </c>
      <c r="F743" s="967">
        <v>24126517000</v>
      </c>
      <c r="G743" s="967">
        <v>167000</v>
      </c>
      <c r="H743" s="967">
        <v>177000</v>
      </c>
      <c r="I743" s="967">
        <v>164500</v>
      </c>
      <c r="J743" s="967">
        <v>3883704</v>
      </c>
      <c r="K743" s="967">
        <v>22711722</v>
      </c>
    </row>
    <row r="744" spans="2:11" s="1258" customFormat="1" ht="16" hidden="1" outlineLevel="1">
      <c r="B744" s="968" t="s">
        <v>2497</v>
      </c>
      <c r="C744" s="967">
        <v>164500</v>
      </c>
      <c r="D744" s="967" t="s">
        <v>2248</v>
      </c>
      <c r="E744" s="967">
        <v>229161</v>
      </c>
      <c r="F744" s="967">
        <v>37385390500</v>
      </c>
      <c r="G744" s="967">
        <v>164000</v>
      </c>
      <c r="H744" s="967">
        <v>167000</v>
      </c>
      <c r="I744" s="967">
        <v>158500</v>
      </c>
      <c r="J744" s="967">
        <v>3736078</v>
      </c>
      <c r="K744" s="967">
        <v>22711722</v>
      </c>
    </row>
    <row r="745" spans="2:11" s="1258" customFormat="1" ht="16" hidden="1" outlineLevel="1">
      <c r="B745" s="968" t="s">
        <v>2496</v>
      </c>
      <c r="C745" s="967">
        <v>165500</v>
      </c>
      <c r="D745" s="967" t="s">
        <v>2272</v>
      </c>
      <c r="E745" s="967">
        <v>165509</v>
      </c>
      <c r="F745" s="967">
        <v>27183731500</v>
      </c>
      <c r="G745" s="967">
        <v>171000</v>
      </c>
      <c r="H745" s="967">
        <v>171500</v>
      </c>
      <c r="I745" s="967">
        <v>162000</v>
      </c>
      <c r="J745" s="967">
        <v>3758790</v>
      </c>
      <c r="K745" s="967">
        <v>22711722</v>
      </c>
    </row>
    <row r="746" spans="2:11" s="1258" customFormat="1" ht="16" hidden="1" outlineLevel="1">
      <c r="B746" s="968" t="s">
        <v>2495</v>
      </c>
      <c r="C746" s="967">
        <v>170000</v>
      </c>
      <c r="D746" s="967" t="s">
        <v>2245</v>
      </c>
      <c r="E746" s="967">
        <v>156247</v>
      </c>
      <c r="F746" s="967">
        <v>26774452500</v>
      </c>
      <c r="G746" s="967">
        <v>168500</v>
      </c>
      <c r="H746" s="967">
        <v>174500</v>
      </c>
      <c r="I746" s="967">
        <v>166500</v>
      </c>
      <c r="J746" s="967">
        <v>3860993</v>
      </c>
      <c r="K746" s="967">
        <v>22711722</v>
      </c>
    </row>
    <row r="747" spans="2:11" s="1258" customFormat="1" ht="16" hidden="1" outlineLevel="1">
      <c r="B747" s="968" t="s">
        <v>2494</v>
      </c>
      <c r="C747" s="967">
        <v>168500</v>
      </c>
      <c r="D747" s="967" t="s">
        <v>2778</v>
      </c>
      <c r="E747" s="967">
        <v>161973</v>
      </c>
      <c r="F747" s="967">
        <v>27037861000</v>
      </c>
      <c r="G747" s="967">
        <v>159500</v>
      </c>
      <c r="H747" s="967">
        <v>172000</v>
      </c>
      <c r="I747" s="967">
        <v>158500</v>
      </c>
      <c r="J747" s="967">
        <v>3826925</v>
      </c>
      <c r="K747" s="967">
        <v>22711722</v>
      </c>
    </row>
    <row r="748" spans="2:11" s="1258" customFormat="1" ht="16" hidden="1" outlineLevel="1">
      <c r="B748" s="968" t="s">
        <v>2493</v>
      </c>
      <c r="C748" s="967">
        <v>158000</v>
      </c>
      <c r="D748" s="967" t="s">
        <v>1826</v>
      </c>
      <c r="E748" s="967">
        <v>65791</v>
      </c>
      <c r="F748" s="967">
        <v>10402827000</v>
      </c>
      <c r="G748" s="967">
        <v>157500</v>
      </c>
      <c r="H748" s="967">
        <v>161000</v>
      </c>
      <c r="I748" s="967">
        <v>156500</v>
      </c>
      <c r="J748" s="967">
        <v>3588452</v>
      </c>
      <c r="K748" s="967">
        <v>22711722</v>
      </c>
    </row>
    <row r="749" spans="2:11" s="1258" customFormat="1" ht="16" hidden="1" outlineLevel="1">
      <c r="B749" s="968" t="s">
        <v>2492</v>
      </c>
      <c r="C749" s="967">
        <v>157500</v>
      </c>
      <c r="D749" s="967" t="s">
        <v>2235</v>
      </c>
      <c r="E749" s="967">
        <v>82004</v>
      </c>
      <c r="F749" s="967">
        <v>12965337500</v>
      </c>
      <c r="G749" s="967">
        <v>159500</v>
      </c>
      <c r="H749" s="967">
        <v>160000</v>
      </c>
      <c r="I749" s="967">
        <v>156000</v>
      </c>
      <c r="J749" s="967">
        <v>3577096</v>
      </c>
      <c r="K749" s="967">
        <v>22711722</v>
      </c>
    </row>
    <row r="750" spans="2:11" s="1258" customFormat="1" ht="16" hidden="1" outlineLevel="1">
      <c r="B750" s="968" t="s">
        <v>2491</v>
      </c>
      <c r="C750" s="967">
        <v>160000</v>
      </c>
      <c r="D750" s="967" t="s">
        <v>2288</v>
      </c>
      <c r="E750" s="967">
        <v>57636</v>
      </c>
      <c r="F750" s="967">
        <v>9231012500</v>
      </c>
      <c r="G750" s="967">
        <v>161000</v>
      </c>
      <c r="H750" s="967">
        <v>162000</v>
      </c>
      <c r="I750" s="967">
        <v>158000</v>
      </c>
      <c r="J750" s="967">
        <v>3633876</v>
      </c>
      <c r="K750" s="967">
        <v>22711722</v>
      </c>
    </row>
    <row r="751" spans="2:11" s="1258" customFormat="1" ht="16" hidden="1" outlineLevel="1">
      <c r="B751" s="968" t="s">
        <v>2490</v>
      </c>
      <c r="C751" s="967">
        <v>158000</v>
      </c>
      <c r="D751" s="967" t="s">
        <v>2235</v>
      </c>
      <c r="E751" s="967">
        <v>89595</v>
      </c>
      <c r="F751" s="967">
        <v>14243827520</v>
      </c>
      <c r="G751" s="967">
        <v>160000</v>
      </c>
      <c r="H751" s="967">
        <v>162500</v>
      </c>
      <c r="I751" s="967">
        <v>156500</v>
      </c>
      <c r="J751" s="967">
        <v>3588452</v>
      </c>
      <c r="K751" s="967">
        <v>22711722</v>
      </c>
    </row>
    <row r="752" spans="2:11" s="1258" customFormat="1" ht="16" hidden="1" outlineLevel="1">
      <c r="B752" s="968" t="s">
        <v>2489</v>
      </c>
      <c r="C752" s="967">
        <v>160500</v>
      </c>
      <c r="D752" s="967" t="s">
        <v>2245</v>
      </c>
      <c r="E752" s="967">
        <v>199679</v>
      </c>
      <c r="F752" s="967">
        <v>32532889500</v>
      </c>
      <c r="G752" s="967">
        <v>161000</v>
      </c>
      <c r="H752" s="967">
        <v>166500</v>
      </c>
      <c r="I752" s="967">
        <v>159500</v>
      </c>
      <c r="J752" s="967">
        <v>3645231</v>
      </c>
      <c r="K752" s="967">
        <v>22711722</v>
      </c>
    </row>
    <row r="753" spans="2:11" s="1258" customFormat="1" ht="16" hidden="1" outlineLevel="1">
      <c r="B753" s="968" t="s">
        <v>2488</v>
      </c>
      <c r="C753" s="967">
        <v>159000</v>
      </c>
      <c r="D753" s="967" t="s">
        <v>2249</v>
      </c>
      <c r="E753" s="967">
        <v>137707</v>
      </c>
      <c r="F753" s="967">
        <v>22114831500</v>
      </c>
      <c r="G753" s="967">
        <v>161500</v>
      </c>
      <c r="H753" s="967">
        <v>165500</v>
      </c>
      <c r="I753" s="967">
        <v>157000</v>
      </c>
      <c r="J753" s="967">
        <v>3611164</v>
      </c>
      <c r="K753" s="967">
        <v>22711722</v>
      </c>
    </row>
    <row r="754" spans="2:11" s="1258" customFormat="1" ht="16" hidden="1" outlineLevel="1">
      <c r="B754" s="968" t="s">
        <v>2487</v>
      </c>
      <c r="C754" s="967">
        <v>165000</v>
      </c>
      <c r="D754" s="967" t="s">
        <v>2244</v>
      </c>
      <c r="E754" s="967">
        <v>84862</v>
      </c>
      <c r="F754" s="967">
        <v>14202506000</v>
      </c>
      <c r="G754" s="967">
        <v>169000</v>
      </c>
      <c r="H754" s="967">
        <v>173000</v>
      </c>
      <c r="I754" s="967">
        <v>164500</v>
      </c>
      <c r="J754" s="967">
        <v>3747434</v>
      </c>
      <c r="K754" s="967">
        <v>22711722</v>
      </c>
    </row>
    <row r="755" spans="2:11" s="1258" customFormat="1" ht="16" hidden="1" outlineLevel="1">
      <c r="B755" s="968" t="s">
        <v>2485</v>
      </c>
      <c r="C755" s="967">
        <v>166500</v>
      </c>
      <c r="D755" s="967" t="s">
        <v>2777</v>
      </c>
      <c r="E755" s="967">
        <v>79399</v>
      </c>
      <c r="F755" s="967">
        <v>13057601000</v>
      </c>
      <c r="G755" s="967">
        <v>156000</v>
      </c>
      <c r="H755" s="967">
        <v>168000</v>
      </c>
      <c r="I755" s="967">
        <v>156000</v>
      </c>
      <c r="J755" s="967">
        <v>3781502</v>
      </c>
      <c r="K755" s="967">
        <v>22711722</v>
      </c>
    </row>
    <row r="756" spans="2:11" s="1258" customFormat="1" ht="16" hidden="1" outlineLevel="1">
      <c r="B756" s="966" t="s">
        <v>2484</v>
      </c>
      <c r="C756" s="965">
        <v>157000</v>
      </c>
      <c r="D756" s="965" t="s">
        <v>2776</v>
      </c>
      <c r="E756" s="965">
        <v>109546</v>
      </c>
      <c r="F756" s="965">
        <v>17548034000</v>
      </c>
      <c r="G756" s="965">
        <v>163000</v>
      </c>
      <c r="H756" s="965">
        <v>163500</v>
      </c>
      <c r="I756" s="965">
        <v>157000</v>
      </c>
      <c r="J756" s="965">
        <v>3565740</v>
      </c>
      <c r="K756" s="965">
        <v>22711722</v>
      </c>
    </row>
    <row r="757" spans="2:11" s="1258" customFormat="1" ht="16" hidden="1" outlineLevel="1">
      <c r="B757" s="966" t="s">
        <v>2483</v>
      </c>
      <c r="C757" s="965">
        <v>165000</v>
      </c>
      <c r="D757" s="965" t="s">
        <v>2669</v>
      </c>
      <c r="E757" s="965">
        <v>101344</v>
      </c>
      <c r="F757" s="965">
        <v>16706032000</v>
      </c>
      <c r="G757" s="965">
        <v>159000</v>
      </c>
      <c r="H757" s="965">
        <v>168500</v>
      </c>
      <c r="I757" s="965">
        <v>159000</v>
      </c>
      <c r="J757" s="965">
        <v>3747434</v>
      </c>
      <c r="K757" s="965">
        <v>22711722</v>
      </c>
    </row>
    <row r="758" spans="2:11" s="1258" customFormat="1" ht="16" hidden="1" outlineLevel="1">
      <c r="B758" s="966" t="s">
        <v>2482</v>
      </c>
      <c r="C758" s="965">
        <v>159000</v>
      </c>
      <c r="D758" s="965" t="s">
        <v>2670</v>
      </c>
      <c r="E758" s="965">
        <v>193598</v>
      </c>
      <c r="F758" s="965">
        <v>31157387500</v>
      </c>
      <c r="G758" s="965">
        <v>159500</v>
      </c>
      <c r="H758" s="965">
        <v>166000</v>
      </c>
      <c r="I758" s="965">
        <v>157000</v>
      </c>
      <c r="J758" s="965">
        <v>3611164</v>
      </c>
      <c r="K758" s="965">
        <v>22711722</v>
      </c>
    </row>
    <row r="759" spans="2:11" s="1258" customFormat="1" ht="16" hidden="1" outlineLevel="1">
      <c r="B759" s="966" t="s">
        <v>2481</v>
      </c>
      <c r="C759" s="965">
        <v>154000</v>
      </c>
      <c r="D759" s="965" t="s">
        <v>2220</v>
      </c>
      <c r="E759" s="965">
        <v>78113</v>
      </c>
      <c r="F759" s="965">
        <v>11934053000</v>
      </c>
      <c r="G759" s="965">
        <v>154000</v>
      </c>
      <c r="H759" s="965">
        <v>156000</v>
      </c>
      <c r="I759" s="965">
        <v>151000</v>
      </c>
      <c r="J759" s="965">
        <v>3497605</v>
      </c>
      <c r="K759" s="965">
        <v>22711722</v>
      </c>
    </row>
    <row r="760" spans="2:11" s="1258" customFormat="1" ht="16" hidden="1" outlineLevel="1">
      <c r="B760" s="966" t="s">
        <v>2479</v>
      </c>
      <c r="C760" s="965">
        <v>151500</v>
      </c>
      <c r="D760" s="965" t="s">
        <v>2670</v>
      </c>
      <c r="E760" s="965">
        <v>86150</v>
      </c>
      <c r="F760" s="965">
        <v>12940351000</v>
      </c>
      <c r="G760" s="965">
        <v>147000</v>
      </c>
      <c r="H760" s="965">
        <v>154000</v>
      </c>
      <c r="I760" s="965">
        <v>145500</v>
      </c>
      <c r="J760" s="965">
        <v>3440826</v>
      </c>
      <c r="K760" s="965">
        <v>22711722</v>
      </c>
    </row>
    <row r="761" spans="2:11" s="1258" customFormat="1" ht="16" hidden="1" outlineLevel="1">
      <c r="B761" s="966" t="s">
        <v>2478</v>
      </c>
      <c r="C761" s="965">
        <v>146500</v>
      </c>
      <c r="D761" s="965" t="s">
        <v>2249</v>
      </c>
      <c r="E761" s="965">
        <v>93047</v>
      </c>
      <c r="F761" s="965">
        <v>13691833000</v>
      </c>
      <c r="G761" s="965">
        <v>151500</v>
      </c>
      <c r="H761" s="965">
        <v>152000</v>
      </c>
      <c r="I761" s="965">
        <v>145000</v>
      </c>
      <c r="J761" s="965">
        <v>3327267</v>
      </c>
      <c r="K761" s="965">
        <v>22711722</v>
      </c>
    </row>
    <row r="762" spans="2:11" s="1258" customFormat="1" ht="16" hidden="1" outlineLevel="1">
      <c r="B762" s="966" t="s">
        <v>2477</v>
      </c>
      <c r="C762" s="965">
        <v>152500</v>
      </c>
      <c r="D762" s="965" t="s">
        <v>2245</v>
      </c>
      <c r="E762" s="965">
        <v>169479</v>
      </c>
      <c r="F762" s="965">
        <v>25964916000</v>
      </c>
      <c r="G762" s="965">
        <v>151000</v>
      </c>
      <c r="H762" s="965">
        <v>156000</v>
      </c>
      <c r="I762" s="965">
        <v>151000</v>
      </c>
      <c r="J762" s="965">
        <v>3463538</v>
      </c>
      <c r="K762" s="965">
        <v>22711722</v>
      </c>
    </row>
    <row r="763" spans="2:11" s="1258" customFormat="1" ht="16" hidden="1" outlineLevel="1">
      <c r="B763" s="966" t="s">
        <v>2476</v>
      </c>
      <c r="C763" s="965">
        <v>151000</v>
      </c>
      <c r="D763" s="965" t="s">
        <v>2245</v>
      </c>
      <c r="E763" s="965">
        <v>64060</v>
      </c>
      <c r="F763" s="965">
        <v>9611915000</v>
      </c>
      <c r="G763" s="965">
        <v>149500</v>
      </c>
      <c r="H763" s="965">
        <v>152000</v>
      </c>
      <c r="I763" s="965">
        <v>148500</v>
      </c>
      <c r="J763" s="965">
        <v>3429470</v>
      </c>
      <c r="K763" s="965">
        <v>22711722</v>
      </c>
    </row>
    <row r="764" spans="2:11" s="1258" customFormat="1" ht="16" hidden="1" outlineLevel="1">
      <c r="B764" s="966" t="s">
        <v>2475</v>
      </c>
      <c r="C764" s="965">
        <v>149500</v>
      </c>
      <c r="D764" s="965" t="s">
        <v>1826</v>
      </c>
      <c r="E764" s="965">
        <v>80212</v>
      </c>
      <c r="F764" s="965">
        <v>11980148500</v>
      </c>
      <c r="G764" s="965">
        <v>148500</v>
      </c>
      <c r="H764" s="965">
        <v>151500</v>
      </c>
      <c r="I764" s="965">
        <v>147000</v>
      </c>
      <c r="J764" s="965">
        <v>3395402</v>
      </c>
      <c r="K764" s="965">
        <v>22711722</v>
      </c>
    </row>
    <row r="765" spans="2:11" s="1258" customFormat="1" ht="16" hidden="1" outlineLevel="1">
      <c r="B765" s="966" t="s">
        <v>2474</v>
      </c>
      <c r="C765" s="965">
        <v>149000</v>
      </c>
      <c r="D765" s="965" t="s">
        <v>1814</v>
      </c>
      <c r="E765" s="965">
        <v>52738</v>
      </c>
      <c r="F765" s="965">
        <v>7810994000</v>
      </c>
      <c r="G765" s="965">
        <v>151000</v>
      </c>
      <c r="H765" s="965">
        <v>153000</v>
      </c>
      <c r="I765" s="965">
        <v>146000</v>
      </c>
      <c r="J765" s="965">
        <v>3384047</v>
      </c>
      <c r="K765" s="965">
        <v>22711722</v>
      </c>
    </row>
    <row r="766" spans="2:11" s="1258" customFormat="1" ht="16" hidden="1" outlineLevel="1">
      <c r="B766" s="966" t="s">
        <v>2473</v>
      </c>
      <c r="C766" s="965">
        <v>149500</v>
      </c>
      <c r="D766" s="965" t="s">
        <v>2670</v>
      </c>
      <c r="E766" s="965">
        <v>80646</v>
      </c>
      <c r="F766" s="965">
        <v>11845584000</v>
      </c>
      <c r="G766" s="965">
        <v>144500</v>
      </c>
      <c r="H766" s="965">
        <v>149500</v>
      </c>
      <c r="I766" s="965">
        <v>143500</v>
      </c>
      <c r="J766" s="965">
        <v>3395402</v>
      </c>
      <c r="K766" s="965">
        <v>22711722</v>
      </c>
    </row>
    <row r="767" spans="2:11" s="1258" customFormat="1" ht="16" hidden="1" outlineLevel="1">
      <c r="B767" s="966" t="s">
        <v>2472</v>
      </c>
      <c r="C767" s="965">
        <v>144500</v>
      </c>
      <c r="D767" s="965" t="s">
        <v>2672</v>
      </c>
      <c r="E767" s="965">
        <v>75055</v>
      </c>
      <c r="F767" s="965">
        <v>10583992000</v>
      </c>
      <c r="G767" s="965">
        <v>139000</v>
      </c>
      <c r="H767" s="965">
        <v>144500</v>
      </c>
      <c r="I767" s="965">
        <v>138500</v>
      </c>
      <c r="J767" s="965">
        <v>3281844</v>
      </c>
      <c r="K767" s="965">
        <v>22711722</v>
      </c>
    </row>
    <row r="768" spans="2:11" s="1258" customFormat="1" ht="16" hidden="1" outlineLevel="1">
      <c r="B768" s="966" t="s">
        <v>2471</v>
      </c>
      <c r="C768" s="965">
        <v>141000</v>
      </c>
      <c r="D768" s="965" t="s">
        <v>2248</v>
      </c>
      <c r="E768" s="965">
        <v>80086</v>
      </c>
      <c r="F768" s="965">
        <v>11192510000</v>
      </c>
      <c r="G768" s="965">
        <v>142000</v>
      </c>
      <c r="H768" s="965">
        <v>143000</v>
      </c>
      <c r="I768" s="965">
        <v>137500</v>
      </c>
      <c r="J768" s="965">
        <v>3202353</v>
      </c>
      <c r="K768" s="965">
        <v>22711722</v>
      </c>
    </row>
    <row r="769" spans="2:11" s="1258" customFormat="1" ht="16" hidden="1" outlineLevel="1">
      <c r="B769" s="966" t="s">
        <v>2470</v>
      </c>
      <c r="C769" s="965">
        <v>142000</v>
      </c>
      <c r="D769" s="965" t="s">
        <v>2244</v>
      </c>
      <c r="E769" s="965">
        <v>83503</v>
      </c>
      <c r="F769" s="965">
        <v>11920470148</v>
      </c>
      <c r="G769" s="965">
        <v>143000</v>
      </c>
      <c r="H769" s="965">
        <v>144500</v>
      </c>
      <c r="I769" s="965">
        <v>141000</v>
      </c>
      <c r="J769" s="965">
        <v>3225065</v>
      </c>
      <c r="K769" s="965">
        <v>22711722</v>
      </c>
    </row>
    <row r="770" spans="2:11" s="1258" customFormat="1" ht="16" hidden="1" outlineLevel="1">
      <c r="B770" s="966" t="s">
        <v>2468</v>
      </c>
      <c r="C770" s="965">
        <v>143500</v>
      </c>
      <c r="D770" s="965" t="s">
        <v>2235</v>
      </c>
      <c r="E770" s="965">
        <v>155619</v>
      </c>
      <c r="F770" s="965">
        <v>22389305000</v>
      </c>
      <c r="G770" s="965">
        <v>145000</v>
      </c>
      <c r="H770" s="965">
        <v>148500</v>
      </c>
      <c r="I770" s="965">
        <v>142500</v>
      </c>
      <c r="J770" s="965">
        <v>3259132</v>
      </c>
      <c r="K770" s="965">
        <v>22711722</v>
      </c>
    </row>
    <row r="771" spans="2:11" s="1258" customFormat="1" ht="16" hidden="1" outlineLevel="1">
      <c r="B771" s="966" t="s">
        <v>2467</v>
      </c>
      <c r="C771" s="965">
        <v>146000</v>
      </c>
      <c r="D771" s="965" t="s">
        <v>2236</v>
      </c>
      <c r="E771" s="965">
        <v>78385</v>
      </c>
      <c r="F771" s="965">
        <v>11467141000</v>
      </c>
      <c r="G771" s="965">
        <v>144500</v>
      </c>
      <c r="H771" s="965">
        <v>150000</v>
      </c>
      <c r="I771" s="965">
        <v>144000</v>
      </c>
      <c r="J771" s="965">
        <v>3315911</v>
      </c>
      <c r="K771" s="965">
        <v>22711722</v>
      </c>
    </row>
    <row r="772" spans="2:11" s="1258" customFormat="1" ht="16" hidden="1" outlineLevel="1">
      <c r="B772" s="966" t="s">
        <v>2466</v>
      </c>
      <c r="C772" s="965">
        <v>145000</v>
      </c>
      <c r="D772" s="965" t="s">
        <v>2288</v>
      </c>
      <c r="E772" s="965">
        <v>80540</v>
      </c>
      <c r="F772" s="965">
        <v>11557800000</v>
      </c>
      <c r="G772" s="965">
        <v>143000</v>
      </c>
      <c r="H772" s="965">
        <v>145000</v>
      </c>
      <c r="I772" s="965">
        <v>141000</v>
      </c>
      <c r="J772" s="965">
        <v>3293200</v>
      </c>
      <c r="K772" s="965">
        <v>22711722</v>
      </c>
    </row>
    <row r="773" spans="2:11" s="1258" customFormat="1" ht="16" hidden="1" outlineLevel="1">
      <c r="B773" s="966" t="s">
        <v>2465</v>
      </c>
      <c r="C773" s="965">
        <v>143000</v>
      </c>
      <c r="D773" s="965" t="s">
        <v>2244</v>
      </c>
      <c r="E773" s="965">
        <v>162330</v>
      </c>
      <c r="F773" s="965">
        <v>23079431000</v>
      </c>
      <c r="G773" s="965">
        <v>145000</v>
      </c>
      <c r="H773" s="965">
        <v>145500</v>
      </c>
      <c r="I773" s="965">
        <v>140500</v>
      </c>
      <c r="J773" s="965">
        <v>3247776</v>
      </c>
      <c r="K773" s="965">
        <v>22711722</v>
      </c>
    </row>
    <row r="774" spans="2:11" s="1258" customFormat="1" ht="16" hidden="1" outlineLevel="1">
      <c r="B774" s="966" t="s">
        <v>2464</v>
      </c>
      <c r="C774" s="965">
        <v>144500</v>
      </c>
      <c r="D774" s="965" t="s">
        <v>2774</v>
      </c>
      <c r="E774" s="965">
        <v>105120</v>
      </c>
      <c r="F774" s="965">
        <v>15317862500</v>
      </c>
      <c r="G774" s="965">
        <v>149000</v>
      </c>
      <c r="H774" s="965">
        <v>151500</v>
      </c>
      <c r="I774" s="965">
        <v>143500</v>
      </c>
      <c r="J774" s="965">
        <v>3281844</v>
      </c>
      <c r="K774" s="965">
        <v>22711722</v>
      </c>
    </row>
    <row r="775" spans="2:11" s="1258" customFormat="1" ht="16" hidden="1" outlineLevel="1">
      <c r="B775" s="966" t="s">
        <v>2463</v>
      </c>
      <c r="C775" s="965">
        <v>150000</v>
      </c>
      <c r="D775" s="965" t="s">
        <v>2672</v>
      </c>
      <c r="E775" s="965">
        <v>89285</v>
      </c>
      <c r="F775" s="965">
        <v>13271012500</v>
      </c>
      <c r="G775" s="965">
        <v>147000</v>
      </c>
      <c r="H775" s="965">
        <v>150000</v>
      </c>
      <c r="I775" s="965">
        <v>147000</v>
      </c>
      <c r="J775" s="965">
        <v>3406758</v>
      </c>
      <c r="K775" s="965">
        <v>22711722</v>
      </c>
    </row>
    <row r="776" spans="2:11" s="1258" customFormat="1" ht="16" hidden="1" outlineLevel="1">
      <c r="B776" s="966" t="s">
        <v>2461</v>
      </c>
      <c r="C776" s="965">
        <v>146500</v>
      </c>
      <c r="D776" s="965" t="s">
        <v>2644</v>
      </c>
      <c r="E776" s="965">
        <v>187587</v>
      </c>
      <c r="F776" s="965">
        <v>27374785768</v>
      </c>
      <c r="G776" s="965">
        <v>141500</v>
      </c>
      <c r="H776" s="965">
        <v>148500</v>
      </c>
      <c r="I776" s="965">
        <v>140000</v>
      </c>
      <c r="J776" s="965">
        <v>3327267</v>
      </c>
      <c r="K776" s="965">
        <v>22711722</v>
      </c>
    </row>
    <row r="777" spans="2:11" s="1258" customFormat="1" ht="16" hidden="1" outlineLevel="1">
      <c r="B777" s="966" t="s">
        <v>2459</v>
      </c>
      <c r="C777" s="965">
        <v>142000</v>
      </c>
      <c r="D777" s="965" t="s">
        <v>2288</v>
      </c>
      <c r="E777" s="965">
        <v>122745</v>
      </c>
      <c r="F777" s="965">
        <v>17211179500</v>
      </c>
      <c r="G777" s="965">
        <v>140500</v>
      </c>
      <c r="H777" s="965">
        <v>142500</v>
      </c>
      <c r="I777" s="965">
        <v>137500</v>
      </c>
      <c r="J777" s="965">
        <v>3225065</v>
      </c>
      <c r="K777" s="965">
        <v>22711722</v>
      </c>
    </row>
    <row r="778" spans="2:11" s="1258" customFormat="1" ht="16" hidden="1" outlineLevel="1">
      <c r="B778" s="966" t="s">
        <v>2457</v>
      </c>
      <c r="C778" s="965">
        <v>140000</v>
      </c>
      <c r="D778" s="965" t="s">
        <v>1826</v>
      </c>
      <c r="E778" s="965">
        <v>164371</v>
      </c>
      <c r="F778" s="965">
        <v>23490441500</v>
      </c>
      <c r="G778" s="965">
        <v>139000</v>
      </c>
      <c r="H778" s="965">
        <v>145500</v>
      </c>
      <c r="I778" s="965">
        <v>139000</v>
      </c>
      <c r="J778" s="965">
        <v>3179641</v>
      </c>
      <c r="K778" s="965">
        <v>22711722</v>
      </c>
    </row>
    <row r="779" spans="2:11" s="1258" customFormat="1" ht="16" hidden="1" outlineLevel="1">
      <c r="B779" s="966" t="s">
        <v>2455</v>
      </c>
      <c r="C779" s="965">
        <v>139500</v>
      </c>
      <c r="D779" s="965" t="s">
        <v>2277</v>
      </c>
      <c r="E779" s="965">
        <v>129885</v>
      </c>
      <c r="F779" s="965">
        <v>18051752000</v>
      </c>
      <c r="G779" s="965">
        <v>136500</v>
      </c>
      <c r="H779" s="965">
        <v>140500</v>
      </c>
      <c r="I779" s="965">
        <v>135500</v>
      </c>
      <c r="J779" s="965">
        <v>3168285</v>
      </c>
      <c r="K779" s="965">
        <v>22711722</v>
      </c>
    </row>
    <row r="780" spans="2:11" s="1258" customFormat="1" ht="16" hidden="1" outlineLevel="1">
      <c r="B780" s="966" t="s">
        <v>2454</v>
      </c>
      <c r="C780" s="965">
        <v>136500</v>
      </c>
      <c r="D780" s="965" t="s">
        <v>2669</v>
      </c>
      <c r="E780" s="965">
        <v>151775</v>
      </c>
      <c r="F780" s="965">
        <v>20403531500</v>
      </c>
      <c r="G780" s="965">
        <v>130500</v>
      </c>
      <c r="H780" s="965">
        <v>137000</v>
      </c>
      <c r="I780" s="965">
        <v>130500</v>
      </c>
      <c r="J780" s="965">
        <v>3100150</v>
      </c>
      <c r="K780" s="965">
        <v>22711722</v>
      </c>
    </row>
    <row r="781" spans="2:11" s="1258" customFormat="1" ht="16" hidden="1" outlineLevel="1">
      <c r="B781" s="966" t="s">
        <v>2453</v>
      </c>
      <c r="C781" s="965">
        <v>130500</v>
      </c>
      <c r="D781" s="965" t="s">
        <v>2244</v>
      </c>
      <c r="E781" s="965">
        <v>97250</v>
      </c>
      <c r="F781" s="965">
        <v>12670763000</v>
      </c>
      <c r="G781" s="965">
        <v>133500</v>
      </c>
      <c r="H781" s="965">
        <v>134000</v>
      </c>
      <c r="I781" s="965">
        <v>128500</v>
      </c>
      <c r="J781" s="965">
        <v>2963880</v>
      </c>
      <c r="K781" s="965">
        <v>22711722</v>
      </c>
    </row>
    <row r="782" spans="2:11" s="1258" customFormat="1" ht="16" hidden="1" outlineLevel="1">
      <c r="B782" s="966" t="s">
        <v>2451</v>
      </c>
      <c r="C782" s="965">
        <v>132000</v>
      </c>
      <c r="D782" s="965" t="s">
        <v>2244</v>
      </c>
      <c r="E782" s="965">
        <v>96558</v>
      </c>
      <c r="F782" s="965">
        <v>12642984000</v>
      </c>
      <c r="G782" s="965">
        <v>134000</v>
      </c>
      <c r="H782" s="965">
        <v>134500</v>
      </c>
      <c r="I782" s="965">
        <v>129500</v>
      </c>
      <c r="J782" s="965">
        <v>2997947</v>
      </c>
      <c r="K782" s="965">
        <v>22711722</v>
      </c>
    </row>
    <row r="783" spans="2:11" s="1258" customFormat="1" ht="16" hidden="1" outlineLevel="1">
      <c r="B783" s="966" t="s">
        <v>2450</v>
      </c>
      <c r="C783" s="965">
        <v>133500</v>
      </c>
      <c r="D783" s="965" t="s">
        <v>2245</v>
      </c>
      <c r="E783" s="965">
        <v>112929</v>
      </c>
      <c r="F783" s="965">
        <v>15102568000</v>
      </c>
      <c r="G783" s="965">
        <v>135000</v>
      </c>
      <c r="H783" s="965">
        <v>136500</v>
      </c>
      <c r="I783" s="965">
        <v>131500</v>
      </c>
      <c r="J783" s="965">
        <v>3032015</v>
      </c>
      <c r="K783" s="965">
        <v>22711722</v>
      </c>
    </row>
    <row r="784" spans="2:11" s="1258" customFormat="1" ht="16" hidden="1" outlineLevel="1">
      <c r="B784" s="966" t="s">
        <v>2449</v>
      </c>
      <c r="C784" s="965">
        <v>132000</v>
      </c>
      <c r="D784" s="965" t="s">
        <v>2775</v>
      </c>
      <c r="E784" s="965">
        <v>204662</v>
      </c>
      <c r="F784" s="965">
        <v>26397695500</v>
      </c>
      <c r="G784" s="965">
        <v>124000</v>
      </c>
      <c r="H784" s="965">
        <v>133000</v>
      </c>
      <c r="I784" s="965">
        <v>124000</v>
      </c>
      <c r="J784" s="965">
        <v>2997947</v>
      </c>
      <c r="K784" s="965">
        <v>22711722</v>
      </c>
    </row>
    <row r="785" spans="2:11" s="1258" customFormat="1" ht="16" hidden="1" outlineLevel="1">
      <c r="B785" s="966" t="s">
        <v>2448</v>
      </c>
      <c r="C785" s="965">
        <v>123000</v>
      </c>
      <c r="D785" s="965" t="s">
        <v>1826</v>
      </c>
      <c r="E785" s="965">
        <v>120603</v>
      </c>
      <c r="F785" s="965">
        <v>14862000500</v>
      </c>
      <c r="G785" s="965">
        <v>123000</v>
      </c>
      <c r="H785" s="965">
        <v>124500</v>
      </c>
      <c r="I785" s="965">
        <v>122500</v>
      </c>
      <c r="J785" s="965">
        <v>2793542</v>
      </c>
      <c r="K785" s="965">
        <v>22711722</v>
      </c>
    </row>
    <row r="786" spans="2:11" s="1258" customFormat="1" ht="16" hidden="1" outlineLevel="1">
      <c r="B786" s="966" t="s">
        <v>2447</v>
      </c>
      <c r="C786" s="965">
        <v>122500</v>
      </c>
      <c r="D786" s="965" t="s">
        <v>2242</v>
      </c>
      <c r="E786" s="965">
        <v>100630</v>
      </c>
      <c r="F786" s="965">
        <v>12401422500</v>
      </c>
      <c r="G786" s="965">
        <v>125500</v>
      </c>
      <c r="H786" s="965">
        <v>126000</v>
      </c>
      <c r="I786" s="965">
        <v>122500</v>
      </c>
      <c r="J786" s="965">
        <v>2782186</v>
      </c>
      <c r="K786" s="965">
        <v>22711722</v>
      </c>
    </row>
    <row r="787" spans="2:11" s="1258" customFormat="1" ht="16" hidden="1" outlineLevel="1">
      <c r="B787" s="966" t="s">
        <v>2446</v>
      </c>
      <c r="C787" s="965">
        <v>124500</v>
      </c>
      <c r="D787" s="965" t="s">
        <v>1814</v>
      </c>
      <c r="E787" s="965">
        <v>63956</v>
      </c>
      <c r="F787" s="965">
        <v>8003898000</v>
      </c>
      <c r="G787" s="965">
        <v>125000</v>
      </c>
      <c r="H787" s="965">
        <v>127500</v>
      </c>
      <c r="I787" s="965">
        <v>122500</v>
      </c>
      <c r="J787" s="965">
        <v>2827609</v>
      </c>
      <c r="K787" s="965">
        <v>22711722</v>
      </c>
    </row>
    <row r="788" spans="2:11" s="1258" customFormat="1" ht="16" hidden="1" outlineLevel="1">
      <c r="B788" s="966" t="s">
        <v>2445</v>
      </c>
      <c r="C788" s="965">
        <v>125000</v>
      </c>
      <c r="D788" s="965" t="s">
        <v>2220</v>
      </c>
      <c r="E788" s="965">
        <v>97224</v>
      </c>
      <c r="F788" s="965">
        <v>12293851470</v>
      </c>
      <c r="G788" s="965">
        <v>124000</v>
      </c>
      <c r="H788" s="965">
        <v>127500</v>
      </c>
      <c r="I788" s="965">
        <v>124000</v>
      </c>
      <c r="J788" s="965">
        <v>2838965</v>
      </c>
      <c r="K788" s="965">
        <v>22711722</v>
      </c>
    </row>
    <row r="789" spans="2:11" s="1258" customFormat="1" ht="16" hidden="1" outlineLevel="1">
      <c r="B789" s="966" t="s">
        <v>2443</v>
      </c>
      <c r="C789" s="965">
        <v>122500</v>
      </c>
      <c r="D789" s="965" t="s">
        <v>2272</v>
      </c>
      <c r="E789" s="965">
        <v>109874</v>
      </c>
      <c r="F789" s="965">
        <v>13725217000</v>
      </c>
      <c r="G789" s="965">
        <v>126000</v>
      </c>
      <c r="H789" s="965">
        <v>129000</v>
      </c>
      <c r="I789" s="965">
        <v>122000</v>
      </c>
      <c r="J789" s="965">
        <v>2782186</v>
      </c>
      <c r="K789" s="965">
        <v>22711722</v>
      </c>
    </row>
    <row r="790" spans="2:11" s="1258" customFormat="1" ht="16" hidden="1" outlineLevel="1">
      <c r="B790" s="966" t="s">
        <v>2441</v>
      </c>
      <c r="C790" s="965">
        <v>127000</v>
      </c>
      <c r="D790" s="965" t="s">
        <v>2274</v>
      </c>
      <c r="E790" s="965">
        <v>83716</v>
      </c>
      <c r="F790" s="965">
        <v>10434921000</v>
      </c>
      <c r="G790" s="965">
        <v>128000</v>
      </c>
      <c r="H790" s="965">
        <v>129000</v>
      </c>
      <c r="I790" s="965">
        <v>122500</v>
      </c>
      <c r="J790" s="965">
        <v>2884389</v>
      </c>
      <c r="K790" s="965">
        <v>22711722</v>
      </c>
    </row>
    <row r="791" spans="2:11" s="1258" customFormat="1" ht="16" hidden="1" outlineLevel="1">
      <c r="B791" s="966" t="s">
        <v>2439</v>
      </c>
      <c r="C791" s="965">
        <v>130500</v>
      </c>
      <c r="D791" s="965" t="s">
        <v>2221</v>
      </c>
      <c r="E791" s="965">
        <v>83657</v>
      </c>
      <c r="F791" s="965">
        <v>10804029500</v>
      </c>
      <c r="G791" s="965">
        <v>128500</v>
      </c>
      <c r="H791" s="965">
        <v>132000</v>
      </c>
      <c r="I791" s="965">
        <v>127500</v>
      </c>
      <c r="J791" s="965">
        <v>2963880</v>
      </c>
      <c r="K791" s="965">
        <v>22711722</v>
      </c>
    </row>
    <row r="792" spans="2:11" s="1258" customFormat="1" ht="16" hidden="1" outlineLevel="1">
      <c r="B792" s="966" t="s">
        <v>2438</v>
      </c>
      <c r="C792" s="965">
        <v>130500</v>
      </c>
      <c r="D792" s="965" t="s">
        <v>2278</v>
      </c>
      <c r="E792" s="965">
        <v>112575</v>
      </c>
      <c r="F792" s="965">
        <v>14860260500</v>
      </c>
      <c r="G792" s="965">
        <v>133500</v>
      </c>
      <c r="H792" s="965">
        <v>134000</v>
      </c>
      <c r="I792" s="965">
        <v>130500</v>
      </c>
      <c r="J792" s="965">
        <v>2963880</v>
      </c>
      <c r="K792" s="965">
        <v>22711722</v>
      </c>
    </row>
    <row r="793" spans="2:11" s="1258" customFormat="1" ht="16" hidden="1" outlineLevel="1">
      <c r="B793" s="966" t="s">
        <v>2436</v>
      </c>
      <c r="C793" s="965">
        <v>133500</v>
      </c>
      <c r="D793" s="965" t="s">
        <v>2672</v>
      </c>
      <c r="E793" s="965">
        <v>60088</v>
      </c>
      <c r="F793" s="965">
        <v>7984734500</v>
      </c>
      <c r="G793" s="965">
        <v>130500</v>
      </c>
      <c r="H793" s="965">
        <v>134000</v>
      </c>
      <c r="I793" s="965">
        <v>130500</v>
      </c>
      <c r="J793" s="965">
        <v>3032015</v>
      </c>
      <c r="K793" s="965">
        <v>22711722</v>
      </c>
    </row>
    <row r="794" spans="2:11" s="1258" customFormat="1" ht="16" hidden="1" outlineLevel="1">
      <c r="B794" s="966" t="s">
        <v>2435</v>
      </c>
      <c r="C794" s="965">
        <v>130000</v>
      </c>
      <c r="D794" s="965" t="s">
        <v>2277</v>
      </c>
      <c r="E794" s="965">
        <v>104371</v>
      </c>
      <c r="F794" s="965">
        <v>13712612000</v>
      </c>
      <c r="G794" s="965">
        <v>127500</v>
      </c>
      <c r="H794" s="965">
        <v>134000</v>
      </c>
      <c r="I794" s="965">
        <v>127500</v>
      </c>
      <c r="J794" s="965">
        <v>2952524</v>
      </c>
      <c r="K794" s="965">
        <v>22711722</v>
      </c>
    </row>
    <row r="795" spans="2:11" s="1258" customFormat="1" ht="16" hidden="1" outlineLevel="1">
      <c r="B795" s="966" t="s">
        <v>2433</v>
      </c>
      <c r="C795" s="965">
        <v>127000</v>
      </c>
      <c r="D795" s="965" t="s">
        <v>2242</v>
      </c>
      <c r="E795" s="965">
        <v>101167</v>
      </c>
      <c r="F795" s="965">
        <v>12857402000</v>
      </c>
      <c r="G795" s="965">
        <v>127000</v>
      </c>
      <c r="H795" s="965">
        <v>129000</v>
      </c>
      <c r="I795" s="965">
        <v>125000</v>
      </c>
      <c r="J795" s="965">
        <v>2884389</v>
      </c>
      <c r="K795" s="965">
        <v>22711722</v>
      </c>
    </row>
    <row r="796" spans="2:11" s="1258" customFormat="1" ht="16" hidden="1" outlineLevel="1">
      <c r="B796" s="966" t="s">
        <v>2431</v>
      </c>
      <c r="C796" s="965">
        <v>129000</v>
      </c>
      <c r="D796" s="965" t="s">
        <v>2669</v>
      </c>
      <c r="E796" s="965">
        <v>102969</v>
      </c>
      <c r="F796" s="965">
        <v>13146508500</v>
      </c>
      <c r="G796" s="965">
        <v>124500</v>
      </c>
      <c r="H796" s="965">
        <v>129500</v>
      </c>
      <c r="I796" s="965">
        <v>124000</v>
      </c>
      <c r="J796" s="965">
        <v>2929812</v>
      </c>
      <c r="K796" s="965">
        <v>22711722</v>
      </c>
    </row>
    <row r="797" spans="2:11" s="1258" customFormat="1" ht="16" hidden="1" outlineLevel="1">
      <c r="B797" s="966" t="s">
        <v>2430</v>
      </c>
      <c r="C797" s="965">
        <v>123000</v>
      </c>
      <c r="D797" s="965" t="s">
        <v>2236</v>
      </c>
      <c r="E797" s="965">
        <v>27920</v>
      </c>
      <c r="F797" s="965">
        <v>3433435000</v>
      </c>
      <c r="G797" s="965">
        <v>123500</v>
      </c>
      <c r="H797" s="965">
        <v>123500</v>
      </c>
      <c r="I797" s="965">
        <v>122000</v>
      </c>
      <c r="J797" s="965">
        <v>2793542</v>
      </c>
      <c r="K797" s="965">
        <v>22711722</v>
      </c>
    </row>
    <row r="798" spans="2:11" s="1258" customFormat="1" ht="16" hidden="1" outlineLevel="1">
      <c r="B798" s="966" t="s">
        <v>2428</v>
      </c>
      <c r="C798" s="965">
        <v>122000</v>
      </c>
      <c r="D798" s="965" t="s">
        <v>1826</v>
      </c>
      <c r="E798" s="965">
        <v>93610</v>
      </c>
      <c r="F798" s="965">
        <v>11497200500</v>
      </c>
      <c r="G798" s="965">
        <v>121500</v>
      </c>
      <c r="H798" s="965">
        <v>124000</v>
      </c>
      <c r="I798" s="965">
        <v>121500</v>
      </c>
      <c r="J798" s="965">
        <v>2770830</v>
      </c>
      <c r="K798" s="965">
        <v>22711722</v>
      </c>
    </row>
    <row r="799" spans="2:11" s="1258" customFormat="1" ht="16" hidden="1" outlineLevel="1">
      <c r="B799" s="966" t="s">
        <v>2427</v>
      </c>
      <c r="C799" s="965">
        <v>121500</v>
      </c>
      <c r="D799" s="965" t="s">
        <v>2278</v>
      </c>
      <c r="E799" s="965">
        <v>74966</v>
      </c>
      <c r="F799" s="965">
        <v>9214462500</v>
      </c>
      <c r="G799" s="965">
        <v>124500</v>
      </c>
      <c r="H799" s="965">
        <v>125000</v>
      </c>
      <c r="I799" s="965">
        <v>121500</v>
      </c>
      <c r="J799" s="965">
        <v>2759474</v>
      </c>
      <c r="K799" s="965">
        <v>22711722</v>
      </c>
    </row>
    <row r="800" spans="2:11" s="1258" customFormat="1" ht="16" hidden="1" outlineLevel="1">
      <c r="B800" s="966" t="s">
        <v>2425</v>
      </c>
      <c r="C800" s="965">
        <v>124500</v>
      </c>
      <c r="D800" s="965" t="s">
        <v>2236</v>
      </c>
      <c r="E800" s="965">
        <v>99259</v>
      </c>
      <c r="F800" s="965">
        <v>12343885000</v>
      </c>
      <c r="G800" s="965">
        <v>122500</v>
      </c>
      <c r="H800" s="965">
        <v>126500</v>
      </c>
      <c r="I800" s="965">
        <v>122000</v>
      </c>
      <c r="J800" s="965">
        <v>2827609</v>
      </c>
      <c r="K800" s="965">
        <v>22711722</v>
      </c>
    </row>
    <row r="801" spans="2:11" s="1258" customFormat="1" ht="16" hidden="1" outlineLevel="1">
      <c r="B801" s="966" t="s">
        <v>2423</v>
      </c>
      <c r="C801" s="965">
        <v>123500</v>
      </c>
      <c r="D801" s="965" t="s">
        <v>1826</v>
      </c>
      <c r="E801" s="965">
        <v>87674</v>
      </c>
      <c r="F801" s="965">
        <v>10800332000</v>
      </c>
      <c r="G801" s="965">
        <v>123500</v>
      </c>
      <c r="H801" s="965">
        <v>124000</v>
      </c>
      <c r="I801" s="965">
        <v>122000</v>
      </c>
      <c r="J801" s="965">
        <v>2804898</v>
      </c>
      <c r="K801" s="965">
        <v>22711722</v>
      </c>
    </row>
    <row r="802" spans="2:11" s="1258" customFormat="1" ht="16" hidden="1" outlineLevel="1">
      <c r="B802" s="966" t="s">
        <v>2422</v>
      </c>
      <c r="C802" s="965">
        <v>123000</v>
      </c>
      <c r="D802" s="965" t="s">
        <v>2242</v>
      </c>
      <c r="E802" s="965">
        <v>91774</v>
      </c>
      <c r="F802" s="965">
        <v>11279713000</v>
      </c>
      <c r="G802" s="965">
        <v>124500</v>
      </c>
      <c r="H802" s="965">
        <v>125000</v>
      </c>
      <c r="I802" s="965">
        <v>121500</v>
      </c>
      <c r="J802" s="965">
        <v>2793542</v>
      </c>
      <c r="K802" s="965">
        <v>22711722</v>
      </c>
    </row>
    <row r="803" spans="2:11" s="1258" customFormat="1" ht="16" hidden="1" outlineLevel="1">
      <c r="B803" s="966" t="s">
        <v>2420</v>
      </c>
      <c r="C803" s="965">
        <v>125000</v>
      </c>
      <c r="D803" s="965" t="s">
        <v>2244</v>
      </c>
      <c r="E803" s="965">
        <v>51913</v>
      </c>
      <c r="F803" s="965">
        <v>6528508000</v>
      </c>
      <c r="G803" s="965">
        <v>125000</v>
      </c>
      <c r="H803" s="965">
        <v>127000</v>
      </c>
      <c r="I803" s="965">
        <v>124000</v>
      </c>
      <c r="J803" s="965">
        <v>2838965</v>
      </c>
      <c r="K803" s="965">
        <v>22711722</v>
      </c>
    </row>
    <row r="804" spans="2:11" s="1258" customFormat="1" ht="16" hidden="1" outlineLevel="1">
      <c r="B804" s="966" t="s">
        <v>2418</v>
      </c>
      <c r="C804" s="965">
        <v>126500</v>
      </c>
      <c r="D804" s="965" t="s">
        <v>1826</v>
      </c>
      <c r="E804" s="965">
        <v>38170</v>
      </c>
      <c r="F804" s="965">
        <v>4802162500</v>
      </c>
      <c r="G804" s="965">
        <v>126000</v>
      </c>
      <c r="H804" s="965">
        <v>127500</v>
      </c>
      <c r="I804" s="965">
        <v>124500</v>
      </c>
      <c r="J804" s="965">
        <v>2873033</v>
      </c>
      <c r="K804" s="965">
        <v>22711722</v>
      </c>
    </row>
    <row r="805" spans="2:11" s="1258" customFormat="1" ht="16" hidden="1" outlineLevel="1">
      <c r="B805" s="966" t="s">
        <v>2417</v>
      </c>
      <c r="C805" s="965">
        <v>126000</v>
      </c>
      <c r="D805" s="965" t="s">
        <v>2220</v>
      </c>
      <c r="E805" s="965">
        <v>82339</v>
      </c>
      <c r="F805" s="965">
        <v>10302880500</v>
      </c>
      <c r="G805" s="965">
        <v>125000</v>
      </c>
      <c r="H805" s="965">
        <v>126500</v>
      </c>
      <c r="I805" s="965">
        <v>123500</v>
      </c>
      <c r="J805" s="965">
        <v>2861677</v>
      </c>
      <c r="K805" s="965">
        <v>22711722</v>
      </c>
    </row>
    <row r="806" spans="2:11" s="1258" customFormat="1" ht="16" hidden="1" outlineLevel="1">
      <c r="B806" s="966" t="s">
        <v>2416</v>
      </c>
      <c r="C806" s="965">
        <v>123500</v>
      </c>
      <c r="D806" s="965" t="s">
        <v>2221</v>
      </c>
      <c r="E806" s="965">
        <v>61387</v>
      </c>
      <c r="F806" s="965">
        <v>7615140500</v>
      </c>
      <c r="G806" s="965">
        <v>123000</v>
      </c>
      <c r="H806" s="965">
        <v>125000</v>
      </c>
      <c r="I806" s="965">
        <v>123000</v>
      </c>
      <c r="J806" s="965">
        <v>2804898</v>
      </c>
      <c r="K806" s="965">
        <v>22711722</v>
      </c>
    </row>
    <row r="807" spans="2:11" s="1258" customFormat="1" ht="16" hidden="1" outlineLevel="1">
      <c r="B807" s="966" t="s">
        <v>2414</v>
      </c>
      <c r="C807" s="965">
        <v>123500</v>
      </c>
      <c r="D807" s="965" t="s">
        <v>1814</v>
      </c>
      <c r="E807" s="965">
        <v>52441</v>
      </c>
      <c r="F807" s="965">
        <v>6479197000</v>
      </c>
      <c r="G807" s="965">
        <v>122500</v>
      </c>
      <c r="H807" s="965">
        <v>124500</v>
      </c>
      <c r="I807" s="965">
        <v>122500</v>
      </c>
      <c r="J807" s="965">
        <v>2804898</v>
      </c>
      <c r="K807" s="965">
        <v>22711722</v>
      </c>
    </row>
    <row r="808" spans="2:11" s="1258" customFormat="1" ht="16" hidden="1" outlineLevel="1">
      <c r="B808" s="966" t="s">
        <v>2412</v>
      </c>
      <c r="C808" s="965">
        <v>124000</v>
      </c>
      <c r="D808" s="965" t="s">
        <v>2235</v>
      </c>
      <c r="E808" s="965">
        <v>86999</v>
      </c>
      <c r="F808" s="965">
        <v>10779687500</v>
      </c>
      <c r="G808" s="965">
        <v>123500</v>
      </c>
      <c r="H808" s="965">
        <v>125000</v>
      </c>
      <c r="I808" s="965">
        <v>123000</v>
      </c>
      <c r="J808" s="965">
        <v>2816254</v>
      </c>
      <c r="K808" s="965">
        <v>22711722</v>
      </c>
    </row>
    <row r="809" spans="2:11" s="1258" customFormat="1" ht="16" hidden="1" outlineLevel="1">
      <c r="B809" s="966" t="s">
        <v>2410</v>
      </c>
      <c r="C809" s="965">
        <v>126500</v>
      </c>
      <c r="D809" s="965" t="s">
        <v>2245</v>
      </c>
      <c r="E809" s="965">
        <v>41401</v>
      </c>
      <c r="F809" s="965">
        <v>5192861000</v>
      </c>
      <c r="G809" s="965">
        <v>125000</v>
      </c>
      <c r="H809" s="965">
        <v>126500</v>
      </c>
      <c r="I809" s="965">
        <v>123500</v>
      </c>
      <c r="J809" s="965">
        <v>2873033</v>
      </c>
      <c r="K809" s="965">
        <v>22711722</v>
      </c>
    </row>
    <row r="810" spans="2:11" s="1258" customFormat="1" ht="16" hidden="1" outlineLevel="1">
      <c r="B810" s="966" t="s">
        <v>2409</v>
      </c>
      <c r="C810" s="965">
        <v>125000</v>
      </c>
      <c r="D810" s="965" t="s">
        <v>2236</v>
      </c>
      <c r="E810" s="965">
        <v>108576</v>
      </c>
      <c r="F810" s="965">
        <v>13590541736</v>
      </c>
      <c r="G810" s="965">
        <v>123500</v>
      </c>
      <c r="H810" s="965">
        <v>127000</v>
      </c>
      <c r="I810" s="965">
        <v>121500</v>
      </c>
      <c r="J810" s="965">
        <v>2838965</v>
      </c>
      <c r="K810" s="965">
        <v>22711722</v>
      </c>
    </row>
    <row r="811" spans="2:11" s="1258" customFormat="1" ht="16" hidden="1" outlineLevel="1">
      <c r="B811" s="966" t="s">
        <v>2407</v>
      </c>
      <c r="C811" s="965">
        <v>124000</v>
      </c>
      <c r="D811" s="965" t="s">
        <v>2674</v>
      </c>
      <c r="E811" s="965">
        <v>171417</v>
      </c>
      <c r="F811" s="965">
        <v>21605810000</v>
      </c>
      <c r="G811" s="965">
        <v>128000</v>
      </c>
      <c r="H811" s="965">
        <v>131000</v>
      </c>
      <c r="I811" s="965">
        <v>123500</v>
      </c>
      <c r="J811" s="965">
        <v>2816254</v>
      </c>
      <c r="K811" s="965">
        <v>22711722</v>
      </c>
    </row>
    <row r="812" spans="2:11" s="1258" customFormat="1" ht="16" hidden="1" outlineLevel="1">
      <c r="B812" s="966" t="s">
        <v>2406</v>
      </c>
      <c r="C812" s="965">
        <v>131000</v>
      </c>
      <c r="D812" s="965" t="s">
        <v>2235</v>
      </c>
      <c r="E812" s="965">
        <v>75340</v>
      </c>
      <c r="F812" s="965">
        <v>9909985500</v>
      </c>
      <c r="G812" s="965">
        <v>132500</v>
      </c>
      <c r="H812" s="965">
        <v>134000</v>
      </c>
      <c r="I812" s="965">
        <v>129000</v>
      </c>
      <c r="J812" s="965">
        <v>2975236</v>
      </c>
      <c r="K812" s="965">
        <v>22711722</v>
      </c>
    </row>
    <row r="813" spans="2:11" s="1258" customFormat="1" ht="16" hidden="1" outlineLevel="1">
      <c r="B813" s="966" t="s">
        <v>2404</v>
      </c>
      <c r="C813" s="965">
        <v>133500</v>
      </c>
      <c r="D813" s="965" t="s">
        <v>2277</v>
      </c>
      <c r="E813" s="965">
        <v>185697</v>
      </c>
      <c r="F813" s="965">
        <v>24786714500</v>
      </c>
      <c r="G813" s="965">
        <v>132500</v>
      </c>
      <c r="H813" s="965">
        <v>135500</v>
      </c>
      <c r="I813" s="965">
        <v>131000</v>
      </c>
      <c r="J813" s="965">
        <v>3032015</v>
      </c>
      <c r="K813" s="965">
        <v>22711722</v>
      </c>
    </row>
    <row r="814" spans="2:11" s="1258" customFormat="1" ht="16" hidden="1" outlineLevel="1">
      <c r="B814" s="966" t="s">
        <v>2403</v>
      </c>
      <c r="C814" s="965">
        <v>130500</v>
      </c>
      <c r="D814" s="965" t="s">
        <v>2221</v>
      </c>
      <c r="E814" s="965">
        <v>87460</v>
      </c>
      <c r="F814" s="965">
        <v>11482155500</v>
      </c>
      <c r="G814" s="965">
        <v>132000</v>
      </c>
      <c r="H814" s="965">
        <v>133000</v>
      </c>
      <c r="I814" s="965">
        <v>130000</v>
      </c>
      <c r="J814" s="965">
        <v>2963880</v>
      </c>
      <c r="K814" s="965">
        <v>22711722</v>
      </c>
    </row>
    <row r="815" spans="2:11" s="1258" customFormat="1" ht="16" hidden="1" outlineLevel="1">
      <c r="B815" s="966" t="s">
        <v>2401</v>
      </c>
      <c r="C815" s="965">
        <v>130500</v>
      </c>
      <c r="D815" s="965" t="s">
        <v>1814</v>
      </c>
      <c r="E815" s="965">
        <v>55950</v>
      </c>
      <c r="F815" s="965">
        <v>7292640000</v>
      </c>
      <c r="G815" s="965">
        <v>131000</v>
      </c>
      <c r="H815" s="965">
        <v>131500</v>
      </c>
      <c r="I815" s="965">
        <v>129500</v>
      </c>
      <c r="J815" s="965">
        <v>2963880</v>
      </c>
      <c r="K815" s="965">
        <v>22711722</v>
      </c>
    </row>
    <row r="816" spans="2:11" s="1258" customFormat="1" ht="16" hidden="1" outlineLevel="1">
      <c r="B816" s="966" t="s">
        <v>2399</v>
      </c>
      <c r="C816" s="965">
        <v>131000</v>
      </c>
      <c r="D816" s="965" t="s">
        <v>2248</v>
      </c>
      <c r="E816" s="965">
        <v>91163</v>
      </c>
      <c r="F816" s="965">
        <v>11887354000</v>
      </c>
      <c r="G816" s="965">
        <v>130500</v>
      </c>
      <c r="H816" s="965">
        <v>132000</v>
      </c>
      <c r="I816" s="965">
        <v>128500</v>
      </c>
      <c r="J816" s="965">
        <v>2975236</v>
      </c>
      <c r="K816" s="965">
        <v>22711722</v>
      </c>
    </row>
    <row r="817" spans="2:11" s="1258" customFormat="1" ht="16" hidden="1" outlineLevel="1">
      <c r="B817" s="966" t="s">
        <v>2397</v>
      </c>
      <c r="C817" s="965">
        <v>132000</v>
      </c>
      <c r="D817" s="965" t="s">
        <v>2235</v>
      </c>
      <c r="E817" s="965">
        <v>190082</v>
      </c>
      <c r="F817" s="965">
        <v>25320334000</v>
      </c>
      <c r="G817" s="965">
        <v>135500</v>
      </c>
      <c r="H817" s="965">
        <v>135500</v>
      </c>
      <c r="I817" s="965">
        <v>131500</v>
      </c>
      <c r="J817" s="965">
        <v>2997947</v>
      </c>
      <c r="K817" s="965">
        <v>22711722</v>
      </c>
    </row>
    <row r="818" spans="2:11" s="1258" customFormat="1" ht="16" hidden="1" outlineLevel="1">
      <c r="B818" s="966" t="s">
        <v>2395</v>
      </c>
      <c r="C818" s="965">
        <v>134500</v>
      </c>
      <c r="D818" s="965" t="s">
        <v>2663</v>
      </c>
      <c r="E818" s="965">
        <v>175651</v>
      </c>
      <c r="F818" s="965">
        <v>23151652500</v>
      </c>
      <c r="G818" s="965">
        <v>129000</v>
      </c>
      <c r="H818" s="965">
        <v>134500</v>
      </c>
      <c r="I818" s="965">
        <v>128000</v>
      </c>
      <c r="J818" s="965">
        <v>3054727</v>
      </c>
      <c r="K818" s="965">
        <v>22711722</v>
      </c>
    </row>
    <row r="819" spans="2:11" s="1258" customFormat="1" ht="16" hidden="1" outlineLevel="1">
      <c r="B819" s="966" t="s">
        <v>2394</v>
      </c>
      <c r="C819" s="965">
        <v>127500</v>
      </c>
      <c r="D819" s="965" t="s">
        <v>2277</v>
      </c>
      <c r="E819" s="965">
        <v>124185</v>
      </c>
      <c r="F819" s="965">
        <v>15842410000</v>
      </c>
      <c r="G819" s="965">
        <v>125000</v>
      </c>
      <c r="H819" s="965">
        <v>128500</v>
      </c>
      <c r="I819" s="965">
        <v>125000</v>
      </c>
      <c r="J819" s="965">
        <v>2895745</v>
      </c>
      <c r="K819" s="965">
        <v>22711722</v>
      </c>
    </row>
    <row r="820" spans="2:11" s="1258" customFormat="1" ht="16" hidden="1" outlineLevel="1">
      <c r="B820" s="966" t="s">
        <v>2393</v>
      </c>
      <c r="C820" s="965">
        <v>124500</v>
      </c>
      <c r="D820" s="965" t="s">
        <v>2235</v>
      </c>
      <c r="E820" s="965">
        <v>112465</v>
      </c>
      <c r="F820" s="965">
        <v>14157937500</v>
      </c>
      <c r="G820" s="965">
        <v>128500</v>
      </c>
      <c r="H820" s="965">
        <v>128500</v>
      </c>
      <c r="I820" s="965">
        <v>124500</v>
      </c>
      <c r="J820" s="965">
        <v>2827609</v>
      </c>
      <c r="K820" s="965">
        <v>22711722</v>
      </c>
    </row>
    <row r="821" spans="2:11" s="1258" customFormat="1" ht="16" hidden="1" outlineLevel="1">
      <c r="B821" s="966" t="s">
        <v>2391</v>
      </c>
      <c r="C821" s="965">
        <v>127000</v>
      </c>
      <c r="D821" s="965" t="s">
        <v>2245</v>
      </c>
      <c r="E821" s="965">
        <v>90122</v>
      </c>
      <c r="F821" s="965">
        <v>11330120500</v>
      </c>
      <c r="G821" s="965">
        <v>125500</v>
      </c>
      <c r="H821" s="965">
        <v>127000</v>
      </c>
      <c r="I821" s="965">
        <v>123500</v>
      </c>
      <c r="J821" s="965">
        <v>2884389</v>
      </c>
      <c r="K821" s="965">
        <v>22711722</v>
      </c>
    </row>
    <row r="822" spans="2:11" s="1258" customFormat="1" ht="16" hidden="1" outlineLevel="1">
      <c r="B822" s="966" t="s">
        <v>2389</v>
      </c>
      <c r="C822" s="965">
        <v>125500</v>
      </c>
      <c r="D822" s="965" t="s">
        <v>2276</v>
      </c>
      <c r="E822" s="965">
        <v>168686</v>
      </c>
      <c r="F822" s="965">
        <v>21424415000</v>
      </c>
      <c r="G822" s="965">
        <v>130000</v>
      </c>
      <c r="H822" s="965">
        <v>130500</v>
      </c>
      <c r="I822" s="965">
        <v>125500</v>
      </c>
      <c r="J822" s="965">
        <v>2850321</v>
      </c>
      <c r="K822" s="965">
        <v>22711722</v>
      </c>
    </row>
    <row r="823" spans="2:11" s="1258" customFormat="1" ht="16" hidden="1" outlineLevel="1">
      <c r="B823" s="966" t="s">
        <v>2388</v>
      </c>
      <c r="C823" s="965">
        <v>129500</v>
      </c>
      <c r="D823" s="965" t="s">
        <v>2672</v>
      </c>
      <c r="E823" s="965">
        <v>255165</v>
      </c>
      <c r="F823" s="965">
        <v>32916380720</v>
      </c>
      <c r="G823" s="965">
        <v>126000</v>
      </c>
      <c r="H823" s="965">
        <v>130500</v>
      </c>
      <c r="I823" s="965">
        <v>126000</v>
      </c>
      <c r="J823" s="965">
        <v>2941168</v>
      </c>
      <c r="K823" s="965">
        <v>22711722</v>
      </c>
    </row>
    <row r="824" spans="2:11" s="1258" customFormat="1" ht="16" hidden="1" outlineLevel="1">
      <c r="B824" s="966" t="s">
        <v>2386</v>
      </c>
      <c r="C824" s="965">
        <v>126000</v>
      </c>
      <c r="D824" s="965" t="s">
        <v>2221</v>
      </c>
      <c r="E824" s="965">
        <v>95435</v>
      </c>
      <c r="F824" s="965">
        <v>12012666500</v>
      </c>
      <c r="G824" s="965">
        <v>127500</v>
      </c>
      <c r="H824" s="965">
        <v>128000</v>
      </c>
      <c r="I824" s="965">
        <v>125000</v>
      </c>
      <c r="J824" s="965">
        <v>2861677</v>
      </c>
      <c r="K824" s="965">
        <v>22711722</v>
      </c>
    </row>
    <row r="825" spans="2:11" s="1258" customFormat="1" ht="16" hidden="1" outlineLevel="1">
      <c r="B825" s="966" t="s">
        <v>2385</v>
      </c>
      <c r="C825" s="965">
        <v>126000</v>
      </c>
      <c r="D825" s="965" t="s">
        <v>1814</v>
      </c>
      <c r="E825" s="965">
        <v>124740</v>
      </c>
      <c r="F825" s="965">
        <v>15757405500</v>
      </c>
      <c r="G825" s="965">
        <v>126500</v>
      </c>
      <c r="H825" s="965">
        <v>129000</v>
      </c>
      <c r="I825" s="965">
        <v>125000</v>
      </c>
      <c r="J825" s="965">
        <v>2861677</v>
      </c>
      <c r="K825" s="965">
        <v>22711722</v>
      </c>
    </row>
    <row r="826" spans="2:11" s="1258" customFormat="1" ht="16" hidden="1" outlineLevel="1">
      <c r="B826" s="966" t="s">
        <v>2383</v>
      </c>
      <c r="C826" s="965">
        <v>126500</v>
      </c>
      <c r="D826" s="965" t="s">
        <v>2275</v>
      </c>
      <c r="E826" s="965">
        <v>152555</v>
      </c>
      <c r="F826" s="965">
        <v>19581354500</v>
      </c>
      <c r="G826" s="965">
        <v>131500</v>
      </c>
      <c r="H826" s="965">
        <v>132000</v>
      </c>
      <c r="I826" s="965">
        <v>126000</v>
      </c>
      <c r="J826" s="965">
        <v>2873033</v>
      </c>
      <c r="K826" s="965">
        <v>22711722</v>
      </c>
    </row>
    <row r="827" spans="2:11" s="1258" customFormat="1" ht="16" hidden="1" outlineLevel="1">
      <c r="B827" s="966" t="s">
        <v>2382</v>
      </c>
      <c r="C827" s="965">
        <v>131500</v>
      </c>
      <c r="D827" s="965" t="s">
        <v>1814</v>
      </c>
      <c r="E827" s="965">
        <v>64528</v>
      </c>
      <c r="F827" s="965">
        <v>8453105500</v>
      </c>
      <c r="G827" s="965">
        <v>132000</v>
      </c>
      <c r="H827" s="965">
        <v>132000</v>
      </c>
      <c r="I827" s="965">
        <v>130000</v>
      </c>
      <c r="J827" s="965">
        <v>2986591</v>
      </c>
      <c r="K827" s="965">
        <v>22711722</v>
      </c>
    </row>
    <row r="828" spans="2:11" s="1258" customFormat="1" ht="16" hidden="1" outlineLevel="1">
      <c r="B828" s="966" t="s">
        <v>2380</v>
      </c>
      <c r="C828" s="965">
        <v>132000</v>
      </c>
      <c r="D828" s="965" t="s">
        <v>2278</v>
      </c>
      <c r="E828" s="965">
        <v>126688</v>
      </c>
      <c r="F828" s="965">
        <v>16844708000</v>
      </c>
      <c r="G828" s="965">
        <v>134500</v>
      </c>
      <c r="H828" s="965">
        <v>135500</v>
      </c>
      <c r="I828" s="965">
        <v>132000</v>
      </c>
      <c r="J828" s="965">
        <v>2997947</v>
      </c>
      <c r="K828" s="965">
        <v>22711722</v>
      </c>
    </row>
    <row r="829" spans="2:11" s="1258" customFormat="1" ht="16" hidden="1" outlineLevel="1">
      <c r="B829" s="966" t="s">
        <v>2379</v>
      </c>
      <c r="C829" s="965">
        <v>135000</v>
      </c>
      <c r="D829" s="965" t="s">
        <v>2274</v>
      </c>
      <c r="E829" s="965">
        <v>80179</v>
      </c>
      <c r="F829" s="965">
        <v>10914714500</v>
      </c>
      <c r="G829" s="965">
        <v>138000</v>
      </c>
      <c r="H829" s="965">
        <v>138500</v>
      </c>
      <c r="I829" s="965">
        <v>135000</v>
      </c>
      <c r="J829" s="965">
        <v>3066082</v>
      </c>
      <c r="K829" s="965">
        <v>22711722</v>
      </c>
    </row>
    <row r="830" spans="2:11" s="1258" customFormat="1" ht="16" hidden="1" outlineLevel="1">
      <c r="B830" s="966" t="s">
        <v>2377</v>
      </c>
      <c r="C830" s="965">
        <v>138500</v>
      </c>
      <c r="D830" s="965" t="s">
        <v>2220</v>
      </c>
      <c r="E830" s="965">
        <v>146961</v>
      </c>
      <c r="F830" s="965">
        <v>20249236000</v>
      </c>
      <c r="G830" s="965">
        <v>137500</v>
      </c>
      <c r="H830" s="965">
        <v>139500</v>
      </c>
      <c r="I830" s="965">
        <v>136000</v>
      </c>
      <c r="J830" s="965">
        <v>3145573</v>
      </c>
      <c r="K830" s="965">
        <v>22711722</v>
      </c>
    </row>
    <row r="831" spans="2:11" s="1258" customFormat="1" ht="16" hidden="1" outlineLevel="1">
      <c r="B831" s="966" t="s">
        <v>2376</v>
      </c>
      <c r="C831" s="965">
        <v>136000</v>
      </c>
      <c r="D831" s="965" t="s">
        <v>2221</v>
      </c>
      <c r="E831" s="965">
        <v>56389</v>
      </c>
      <c r="F831" s="965">
        <v>7686478500</v>
      </c>
      <c r="G831" s="965">
        <v>136500</v>
      </c>
      <c r="H831" s="965">
        <v>137000</v>
      </c>
      <c r="I831" s="965">
        <v>135500</v>
      </c>
      <c r="J831" s="965">
        <v>3088794</v>
      </c>
      <c r="K831" s="965">
        <v>22711722</v>
      </c>
    </row>
    <row r="832" spans="2:11" s="1258" customFormat="1" ht="16" hidden="1" outlineLevel="1">
      <c r="B832" s="966" t="s">
        <v>2374</v>
      </c>
      <c r="C832" s="965">
        <v>136000</v>
      </c>
      <c r="D832" s="965" t="s">
        <v>2236</v>
      </c>
      <c r="E832" s="965">
        <v>76207</v>
      </c>
      <c r="F832" s="965">
        <v>10347292500</v>
      </c>
      <c r="G832" s="965">
        <v>134000</v>
      </c>
      <c r="H832" s="965">
        <v>137000</v>
      </c>
      <c r="I832" s="965">
        <v>133500</v>
      </c>
      <c r="J832" s="965">
        <v>3088794</v>
      </c>
      <c r="K832" s="965">
        <v>22711722</v>
      </c>
    </row>
    <row r="833" spans="2:11" s="1258" customFormat="1" ht="16" hidden="1" outlineLevel="1">
      <c r="B833" s="966" t="s">
        <v>2373</v>
      </c>
      <c r="C833" s="965">
        <v>135000</v>
      </c>
      <c r="D833" s="965" t="s">
        <v>2221</v>
      </c>
      <c r="E833" s="965">
        <v>145424</v>
      </c>
      <c r="F833" s="965">
        <v>19566007500</v>
      </c>
      <c r="G833" s="965">
        <v>136500</v>
      </c>
      <c r="H833" s="965">
        <v>137000</v>
      </c>
      <c r="I833" s="965">
        <v>132500</v>
      </c>
      <c r="J833" s="965">
        <v>3066082</v>
      </c>
      <c r="K833" s="965">
        <v>22711722</v>
      </c>
    </row>
    <row r="834" spans="2:11" s="1258" customFormat="1" ht="16" hidden="1" outlineLevel="1">
      <c r="B834" s="966" t="s">
        <v>2371</v>
      </c>
      <c r="C834" s="965">
        <v>135000</v>
      </c>
      <c r="D834" s="965" t="s">
        <v>1814</v>
      </c>
      <c r="E834" s="965">
        <v>138351</v>
      </c>
      <c r="F834" s="965">
        <v>18688904500</v>
      </c>
      <c r="G834" s="965">
        <v>134500</v>
      </c>
      <c r="H834" s="965">
        <v>137000</v>
      </c>
      <c r="I834" s="965">
        <v>133500</v>
      </c>
      <c r="J834" s="965">
        <v>3066082</v>
      </c>
      <c r="K834" s="965">
        <v>22711722</v>
      </c>
    </row>
    <row r="835" spans="2:11" s="1258" customFormat="1" ht="16" hidden="1" outlineLevel="1">
      <c r="B835" s="966" t="s">
        <v>2369</v>
      </c>
      <c r="C835" s="965">
        <v>135500</v>
      </c>
      <c r="D835" s="965" t="s">
        <v>2244</v>
      </c>
      <c r="E835" s="965">
        <v>104091</v>
      </c>
      <c r="F835" s="965">
        <v>14156165000</v>
      </c>
      <c r="G835" s="965">
        <v>137500</v>
      </c>
      <c r="H835" s="965">
        <v>138000</v>
      </c>
      <c r="I835" s="965">
        <v>135000</v>
      </c>
      <c r="J835" s="965">
        <v>3077438</v>
      </c>
      <c r="K835" s="965">
        <v>22711722</v>
      </c>
    </row>
    <row r="836" spans="2:11" s="1258" customFormat="1" ht="16" hidden="1" outlineLevel="1">
      <c r="B836" s="966" t="s">
        <v>2367</v>
      </c>
      <c r="C836" s="965">
        <v>137000</v>
      </c>
      <c r="D836" s="965" t="s">
        <v>2235</v>
      </c>
      <c r="E836" s="965">
        <v>56609</v>
      </c>
      <c r="F836" s="965">
        <v>7753083000</v>
      </c>
      <c r="G836" s="965">
        <v>140000</v>
      </c>
      <c r="H836" s="965">
        <v>140000</v>
      </c>
      <c r="I836" s="965">
        <v>136000</v>
      </c>
      <c r="J836" s="965">
        <v>3111506</v>
      </c>
      <c r="K836" s="965">
        <v>22711722</v>
      </c>
    </row>
    <row r="837" spans="2:11" s="1258" customFormat="1" ht="16" hidden="1" outlineLevel="1">
      <c r="B837" s="966" t="s">
        <v>2365</v>
      </c>
      <c r="C837" s="965">
        <v>139500</v>
      </c>
      <c r="D837" s="965" t="s">
        <v>2220</v>
      </c>
      <c r="E837" s="965">
        <v>118662</v>
      </c>
      <c r="F837" s="965">
        <v>16542106000</v>
      </c>
      <c r="G837" s="965">
        <v>138000</v>
      </c>
      <c r="H837" s="965">
        <v>142000</v>
      </c>
      <c r="I837" s="965">
        <v>137500</v>
      </c>
      <c r="J837" s="965">
        <v>3168285</v>
      </c>
      <c r="K837" s="965">
        <v>22711722</v>
      </c>
    </row>
    <row r="838" spans="2:11" s="1258" customFormat="1" ht="16" hidden="1" outlineLevel="1">
      <c r="B838" s="966" t="s">
        <v>2364</v>
      </c>
      <c r="C838" s="965">
        <v>137000</v>
      </c>
      <c r="D838" s="965" t="s">
        <v>2220</v>
      </c>
      <c r="E838" s="965">
        <v>94451</v>
      </c>
      <c r="F838" s="965">
        <v>12889327500</v>
      </c>
      <c r="G838" s="965">
        <v>133500</v>
      </c>
      <c r="H838" s="965">
        <v>137500</v>
      </c>
      <c r="I838" s="965">
        <v>133500</v>
      </c>
      <c r="J838" s="965">
        <v>3111506</v>
      </c>
      <c r="K838" s="965">
        <v>22711722</v>
      </c>
    </row>
    <row r="839" spans="2:11" s="1258" customFormat="1" ht="16" hidden="1" outlineLevel="1">
      <c r="B839" s="966" t="s">
        <v>2362</v>
      </c>
      <c r="C839" s="965">
        <v>134500</v>
      </c>
      <c r="D839" s="965" t="s">
        <v>1826</v>
      </c>
      <c r="E839" s="965">
        <v>62979</v>
      </c>
      <c r="F839" s="965">
        <v>8481729000</v>
      </c>
      <c r="G839" s="965">
        <v>134000</v>
      </c>
      <c r="H839" s="965">
        <v>136000</v>
      </c>
      <c r="I839" s="965">
        <v>133500</v>
      </c>
      <c r="J839" s="965">
        <v>3054727</v>
      </c>
      <c r="K839" s="965">
        <v>22711722</v>
      </c>
    </row>
    <row r="840" spans="2:11" s="1258" customFormat="1" ht="16" hidden="1" outlineLevel="1">
      <c r="B840" s="966" t="s">
        <v>2360</v>
      </c>
      <c r="C840" s="965">
        <v>134000</v>
      </c>
      <c r="D840" s="965" t="s">
        <v>2236</v>
      </c>
      <c r="E840" s="965">
        <v>38506</v>
      </c>
      <c r="F840" s="965">
        <v>5154658500</v>
      </c>
      <c r="G840" s="965">
        <v>134000</v>
      </c>
      <c r="H840" s="965">
        <v>135000</v>
      </c>
      <c r="I840" s="965">
        <v>132000</v>
      </c>
      <c r="J840" s="965">
        <v>3043371</v>
      </c>
      <c r="K840" s="965">
        <v>22711722</v>
      </c>
    </row>
    <row r="841" spans="2:11" s="1258" customFormat="1" ht="16" hidden="1" outlineLevel="1">
      <c r="B841" s="966" t="s">
        <v>2358</v>
      </c>
      <c r="C841" s="965">
        <v>133000</v>
      </c>
      <c r="D841" s="965" t="s">
        <v>2248</v>
      </c>
      <c r="E841" s="965">
        <v>115805</v>
      </c>
      <c r="F841" s="965">
        <v>15552143500</v>
      </c>
      <c r="G841" s="965">
        <v>134000</v>
      </c>
      <c r="H841" s="965">
        <v>136500</v>
      </c>
      <c r="I841" s="965">
        <v>131500</v>
      </c>
      <c r="J841" s="965">
        <v>3020659</v>
      </c>
      <c r="K841" s="965">
        <v>22711722</v>
      </c>
    </row>
    <row r="842" spans="2:11" s="1258" customFormat="1" ht="16" hidden="1" outlineLevel="1">
      <c r="B842" s="966" t="s">
        <v>2357</v>
      </c>
      <c r="C842" s="965">
        <v>134000</v>
      </c>
      <c r="D842" s="965" t="s">
        <v>2669</v>
      </c>
      <c r="E842" s="965">
        <v>186817</v>
      </c>
      <c r="F842" s="965">
        <v>24770202000</v>
      </c>
      <c r="G842" s="965">
        <v>129500</v>
      </c>
      <c r="H842" s="965">
        <v>134000</v>
      </c>
      <c r="I842" s="965">
        <v>128500</v>
      </c>
      <c r="J842" s="965">
        <v>3043371</v>
      </c>
      <c r="K842" s="965">
        <v>22711722</v>
      </c>
    </row>
    <row r="843" spans="2:11" s="1258" customFormat="1" ht="16" hidden="1" outlineLevel="1">
      <c r="B843" s="966" t="s">
        <v>2656</v>
      </c>
      <c r="C843" s="965">
        <v>128000</v>
      </c>
      <c r="D843" s="965" t="s">
        <v>2242</v>
      </c>
      <c r="E843" s="965">
        <v>95690</v>
      </c>
      <c r="F843" s="965">
        <v>12411289000</v>
      </c>
      <c r="G843" s="965">
        <v>131000</v>
      </c>
      <c r="H843" s="965">
        <v>133000</v>
      </c>
      <c r="I843" s="965">
        <v>127500</v>
      </c>
      <c r="J843" s="965">
        <v>2907100</v>
      </c>
      <c r="K843" s="965">
        <v>22711722</v>
      </c>
    </row>
    <row r="844" spans="2:11" s="1258" customFormat="1" ht="16" hidden="1" outlineLevel="1">
      <c r="B844" s="966" t="s">
        <v>2655</v>
      </c>
      <c r="C844" s="965">
        <v>130000</v>
      </c>
      <c r="D844" s="965" t="s">
        <v>2245</v>
      </c>
      <c r="E844" s="965">
        <v>90704</v>
      </c>
      <c r="F844" s="965">
        <v>11800551000</v>
      </c>
      <c r="G844" s="965">
        <v>129500</v>
      </c>
      <c r="H844" s="965">
        <v>131500</v>
      </c>
      <c r="I844" s="965">
        <v>128500</v>
      </c>
      <c r="J844" s="965">
        <v>2952524</v>
      </c>
      <c r="K844" s="965">
        <v>22711722</v>
      </c>
    </row>
    <row r="845" spans="2:11" s="1258" customFormat="1" ht="16" hidden="1" outlineLevel="1">
      <c r="B845" s="966" t="s">
        <v>2654</v>
      </c>
      <c r="C845" s="965">
        <v>128500</v>
      </c>
      <c r="D845" s="965" t="s">
        <v>2248</v>
      </c>
      <c r="E845" s="965">
        <v>57428</v>
      </c>
      <c r="F845" s="965">
        <v>7323713500</v>
      </c>
      <c r="G845" s="965">
        <v>128000</v>
      </c>
      <c r="H845" s="965">
        <v>129000</v>
      </c>
      <c r="I845" s="965">
        <v>126500</v>
      </c>
      <c r="J845" s="965">
        <v>2918456</v>
      </c>
      <c r="K845" s="965">
        <v>22711722</v>
      </c>
    </row>
    <row r="846" spans="2:11" s="1258" customFormat="1" ht="16" hidden="1" outlineLevel="1">
      <c r="B846" s="966" t="s">
        <v>2653</v>
      </c>
      <c r="C846" s="965">
        <v>129500</v>
      </c>
      <c r="D846" s="965" t="s">
        <v>2236</v>
      </c>
      <c r="E846" s="965">
        <v>97101</v>
      </c>
      <c r="F846" s="965">
        <v>12589150000</v>
      </c>
      <c r="G846" s="965">
        <v>129500</v>
      </c>
      <c r="H846" s="965">
        <v>131000</v>
      </c>
      <c r="I846" s="965">
        <v>129000</v>
      </c>
      <c r="J846" s="965">
        <v>2941168</v>
      </c>
      <c r="K846" s="965">
        <v>22711722</v>
      </c>
    </row>
    <row r="847" spans="2:11" s="1258" customFormat="1" ht="16" hidden="1" outlineLevel="1">
      <c r="B847" s="966" t="s">
        <v>2652</v>
      </c>
      <c r="C847" s="965">
        <v>128500</v>
      </c>
      <c r="D847" s="965" t="s">
        <v>2244</v>
      </c>
      <c r="E847" s="965">
        <v>82560</v>
      </c>
      <c r="F847" s="965">
        <v>10607770000</v>
      </c>
      <c r="G847" s="965">
        <v>130500</v>
      </c>
      <c r="H847" s="965">
        <v>130500</v>
      </c>
      <c r="I847" s="965">
        <v>127500</v>
      </c>
      <c r="J847" s="965">
        <v>2918456</v>
      </c>
      <c r="K847" s="965">
        <v>22711722</v>
      </c>
    </row>
    <row r="848" spans="2:11" s="1258" customFormat="1" ht="16" hidden="1" outlineLevel="1">
      <c r="B848" s="966" t="s">
        <v>2651</v>
      </c>
      <c r="C848" s="965">
        <v>130000</v>
      </c>
      <c r="D848" s="965" t="s">
        <v>2220</v>
      </c>
      <c r="E848" s="965">
        <v>112957</v>
      </c>
      <c r="F848" s="965">
        <v>14647568000</v>
      </c>
      <c r="G848" s="965">
        <v>128500</v>
      </c>
      <c r="H848" s="965">
        <v>131000</v>
      </c>
      <c r="I848" s="965">
        <v>127500</v>
      </c>
      <c r="J848" s="965">
        <v>2952524</v>
      </c>
      <c r="K848" s="965">
        <v>22711722</v>
      </c>
    </row>
    <row r="849" spans="2:11" s="1258" customFormat="1" ht="16" hidden="1" outlineLevel="1">
      <c r="B849" s="966" t="s">
        <v>2650</v>
      </c>
      <c r="C849" s="965">
        <v>127500</v>
      </c>
      <c r="D849" s="965" t="s">
        <v>2221</v>
      </c>
      <c r="E849" s="965">
        <v>92860</v>
      </c>
      <c r="F849" s="965">
        <v>11783761500</v>
      </c>
      <c r="G849" s="965">
        <v>127500</v>
      </c>
      <c r="H849" s="965">
        <v>128500</v>
      </c>
      <c r="I849" s="965">
        <v>126000</v>
      </c>
      <c r="J849" s="965">
        <v>2895745</v>
      </c>
      <c r="K849" s="965">
        <v>22711722</v>
      </c>
    </row>
    <row r="850" spans="2:11" s="1258" customFormat="1" ht="16" hidden="1" outlineLevel="1">
      <c r="B850" s="966" t="s">
        <v>2648</v>
      </c>
      <c r="C850" s="965">
        <v>127500</v>
      </c>
      <c r="D850" s="965" t="s">
        <v>2221</v>
      </c>
      <c r="E850" s="965">
        <v>95785</v>
      </c>
      <c r="F850" s="965">
        <v>12150413500</v>
      </c>
      <c r="G850" s="965">
        <v>127500</v>
      </c>
      <c r="H850" s="965">
        <v>129000</v>
      </c>
      <c r="I850" s="965">
        <v>125500</v>
      </c>
      <c r="J850" s="965">
        <v>2895745</v>
      </c>
      <c r="K850" s="965">
        <v>22711722</v>
      </c>
    </row>
    <row r="851" spans="2:11" s="1258" customFormat="1" ht="16" hidden="1" outlineLevel="1">
      <c r="B851" s="966" t="s">
        <v>2647</v>
      </c>
      <c r="C851" s="965">
        <v>127500</v>
      </c>
      <c r="D851" s="965" t="s">
        <v>2245</v>
      </c>
      <c r="E851" s="965">
        <v>98822</v>
      </c>
      <c r="F851" s="965">
        <v>12502375500</v>
      </c>
      <c r="G851" s="965">
        <v>125000</v>
      </c>
      <c r="H851" s="965">
        <v>127500</v>
      </c>
      <c r="I851" s="965">
        <v>125000</v>
      </c>
      <c r="J851" s="965">
        <v>2895745</v>
      </c>
      <c r="K851" s="965">
        <v>22711722</v>
      </c>
    </row>
    <row r="852" spans="2:11" s="1258" customFormat="1" ht="16" hidden="1" outlineLevel="1">
      <c r="B852" s="966" t="s">
        <v>2646</v>
      </c>
      <c r="C852" s="965">
        <v>126000</v>
      </c>
      <c r="D852" s="965" t="s">
        <v>2245</v>
      </c>
      <c r="E852" s="965">
        <v>93709</v>
      </c>
      <c r="F852" s="965">
        <v>11727975500</v>
      </c>
      <c r="G852" s="965">
        <v>125500</v>
      </c>
      <c r="H852" s="965">
        <v>126000</v>
      </c>
      <c r="I852" s="965">
        <v>124000</v>
      </c>
      <c r="J852" s="965">
        <v>2861677</v>
      </c>
      <c r="K852" s="965">
        <v>22711722</v>
      </c>
    </row>
    <row r="853" spans="2:11" s="1258" customFormat="1" ht="16" hidden="1" outlineLevel="1">
      <c r="B853" s="966" t="s">
        <v>2645</v>
      </c>
      <c r="C853" s="965">
        <v>124500</v>
      </c>
      <c r="D853" s="965" t="s">
        <v>1826</v>
      </c>
      <c r="E853" s="965">
        <v>129261</v>
      </c>
      <c r="F853" s="965">
        <v>16269263000</v>
      </c>
      <c r="G853" s="965">
        <v>124000</v>
      </c>
      <c r="H853" s="965">
        <v>128500</v>
      </c>
      <c r="I853" s="965">
        <v>124000</v>
      </c>
      <c r="J853" s="965">
        <v>2827609</v>
      </c>
      <c r="K853" s="965">
        <v>22711722</v>
      </c>
    </row>
    <row r="854" spans="2:11" s="1258" customFormat="1" ht="16" hidden="1" outlineLevel="1">
      <c r="B854" s="966" t="s">
        <v>2643</v>
      </c>
      <c r="C854" s="965">
        <v>124000</v>
      </c>
      <c r="D854" s="965" t="s">
        <v>2278</v>
      </c>
      <c r="E854" s="965">
        <v>85386</v>
      </c>
      <c r="F854" s="965">
        <v>10669810500</v>
      </c>
      <c r="G854" s="965">
        <v>126500</v>
      </c>
      <c r="H854" s="965">
        <v>127500</v>
      </c>
      <c r="I854" s="965">
        <v>123500</v>
      </c>
      <c r="J854" s="965">
        <v>2816254</v>
      </c>
      <c r="K854" s="965">
        <v>22711722</v>
      </c>
    </row>
    <row r="855" spans="2:11" s="1258" customFormat="1" ht="16" hidden="1" outlineLevel="1">
      <c r="B855" s="966" t="s">
        <v>2642</v>
      </c>
      <c r="C855" s="965">
        <v>127000</v>
      </c>
      <c r="D855" s="965" t="s">
        <v>2248</v>
      </c>
      <c r="E855" s="965">
        <v>87060</v>
      </c>
      <c r="F855" s="965">
        <v>11064647500</v>
      </c>
      <c r="G855" s="965">
        <v>128000</v>
      </c>
      <c r="H855" s="965">
        <v>128000</v>
      </c>
      <c r="I855" s="965">
        <v>126500</v>
      </c>
      <c r="J855" s="965">
        <v>2884389</v>
      </c>
      <c r="K855" s="965">
        <v>22711722</v>
      </c>
    </row>
    <row r="856" spans="2:11" s="1258" customFormat="1" ht="16" hidden="1" outlineLevel="1">
      <c r="B856" s="966" t="s">
        <v>2640</v>
      </c>
      <c r="C856" s="965">
        <v>128000</v>
      </c>
      <c r="D856" s="965" t="s">
        <v>2288</v>
      </c>
      <c r="E856" s="965">
        <v>65245</v>
      </c>
      <c r="F856" s="965">
        <v>8265048000</v>
      </c>
      <c r="G856" s="965">
        <v>127000</v>
      </c>
      <c r="H856" s="965">
        <v>128000</v>
      </c>
      <c r="I856" s="965">
        <v>125000</v>
      </c>
      <c r="J856" s="965">
        <v>2907100</v>
      </c>
      <c r="K856" s="965">
        <v>22711722</v>
      </c>
    </row>
    <row r="857" spans="2:11" s="1258" customFormat="1" ht="16" hidden="1" outlineLevel="1">
      <c r="B857" s="966" t="s">
        <v>2639</v>
      </c>
      <c r="C857" s="965">
        <v>126000</v>
      </c>
      <c r="D857" s="965" t="s">
        <v>2248</v>
      </c>
      <c r="E857" s="965">
        <v>62923</v>
      </c>
      <c r="F857" s="965">
        <v>7917901500</v>
      </c>
      <c r="G857" s="965">
        <v>127000</v>
      </c>
      <c r="H857" s="965">
        <v>127500</v>
      </c>
      <c r="I857" s="965">
        <v>124500</v>
      </c>
      <c r="J857" s="965">
        <v>2861677</v>
      </c>
      <c r="K857" s="965">
        <v>22711722</v>
      </c>
    </row>
    <row r="858" spans="2:11" s="1258" customFormat="1" ht="16" hidden="1" outlineLevel="1">
      <c r="B858" s="966" t="s">
        <v>2637</v>
      </c>
      <c r="C858" s="965">
        <v>127000</v>
      </c>
      <c r="D858" s="965" t="s">
        <v>2663</v>
      </c>
      <c r="E858" s="965">
        <v>156517</v>
      </c>
      <c r="F858" s="965">
        <v>19582175000</v>
      </c>
      <c r="G858" s="965">
        <v>121000</v>
      </c>
      <c r="H858" s="965">
        <v>127000</v>
      </c>
      <c r="I858" s="965">
        <v>120500</v>
      </c>
      <c r="J858" s="965">
        <v>2884389</v>
      </c>
      <c r="K858" s="965">
        <v>22711722</v>
      </c>
    </row>
    <row r="859" spans="2:11" s="1258" customFormat="1" ht="16" hidden="1" outlineLevel="1">
      <c r="B859" s="966" t="s">
        <v>2636</v>
      </c>
      <c r="C859" s="965">
        <v>120000</v>
      </c>
      <c r="D859" s="965" t="s">
        <v>2245</v>
      </c>
      <c r="E859" s="965">
        <v>112913</v>
      </c>
      <c r="F859" s="965">
        <v>13621713500</v>
      </c>
      <c r="G859" s="965">
        <v>118000</v>
      </c>
      <c r="H859" s="965">
        <v>122000</v>
      </c>
      <c r="I859" s="965">
        <v>117500</v>
      </c>
      <c r="J859" s="965">
        <v>2725407</v>
      </c>
      <c r="K859" s="965">
        <v>22711722</v>
      </c>
    </row>
    <row r="860" spans="2:11" s="1258" customFormat="1" ht="16" hidden="1" outlineLevel="1">
      <c r="B860" s="966" t="s">
        <v>2635</v>
      </c>
      <c r="C860" s="965">
        <v>118500</v>
      </c>
      <c r="D860" s="965" t="s">
        <v>2274</v>
      </c>
      <c r="E860" s="965">
        <v>152631</v>
      </c>
      <c r="F860" s="965">
        <v>18158967500</v>
      </c>
      <c r="G860" s="965">
        <v>121500</v>
      </c>
      <c r="H860" s="965">
        <v>122500</v>
      </c>
      <c r="I860" s="965">
        <v>117000</v>
      </c>
      <c r="J860" s="965">
        <v>2691339</v>
      </c>
      <c r="K860" s="965">
        <v>22711722</v>
      </c>
    </row>
    <row r="861" spans="2:11" s="1258" customFormat="1" ht="16" hidden="1" outlineLevel="1">
      <c r="B861" s="966" t="s">
        <v>2633</v>
      </c>
      <c r="C861" s="965">
        <v>122000</v>
      </c>
      <c r="D861" s="965" t="s">
        <v>2236</v>
      </c>
      <c r="E861" s="965">
        <v>80954</v>
      </c>
      <c r="F861" s="965">
        <v>9870724500</v>
      </c>
      <c r="G861" s="965">
        <v>121000</v>
      </c>
      <c r="H861" s="965">
        <v>123500</v>
      </c>
      <c r="I861" s="965">
        <v>121000</v>
      </c>
      <c r="J861" s="965">
        <v>2770830</v>
      </c>
      <c r="K861" s="965">
        <v>22711722</v>
      </c>
    </row>
    <row r="862" spans="2:11" s="1258" customFormat="1" ht="16" hidden="1" outlineLevel="1">
      <c r="B862" s="966" t="s">
        <v>2632</v>
      </c>
      <c r="C862" s="965">
        <v>121000</v>
      </c>
      <c r="D862" s="965" t="s">
        <v>2244</v>
      </c>
      <c r="E862" s="965">
        <v>78783</v>
      </c>
      <c r="F862" s="965">
        <v>9579919500</v>
      </c>
      <c r="G862" s="965">
        <v>123500</v>
      </c>
      <c r="H862" s="965">
        <v>123500</v>
      </c>
      <c r="I862" s="965">
        <v>120500</v>
      </c>
      <c r="J862" s="965">
        <v>2748118</v>
      </c>
      <c r="K862" s="965">
        <v>22711722</v>
      </c>
    </row>
    <row r="863" spans="2:11" s="1258" customFormat="1" ht="16" hidden="1" outlineLevel="1">
      <c r="B863" s="966" t="s">
        <v>2631</v>
      </c>
      <c r="C863" s="965">
        <v>122500</v>
      </c>
      <c r="D863" s="965" t="s">
        <v>2235</v>
      </c>
      <c r="E863" s="965">
        <v>84835</v>
      </c>
      <c r="F863" s="965">
        <v>10431106500</v>
      </c>
      <c r="G863" s="965">
        <v>122000</v>
      </c>
      <c r="H863" s="965">
        <v>125000</v>
      </c>
      <c r="I863" s="965">
        <v>121000</v>
      </c>
      <c r="J863" s="965">
        <v>2782186</v>
      </c>
      <c r="K863" s="965">
        <v>22711722</v>
      </c>
    </row>
    <row r="864" spans="2:11" s="1258" customFormat="1" ht="16" hidden="1" outlineLevel="1">
      <c r="B864" s="966" t="s">
        <v>2630</v>
      </c>
      <c r="C864" s="965">
        <v>125000</v>
      </c>
      <c r="D864" s="965" t="s">
        <v>2244</v>
      </c>
      <c r="E864" s="965">
        <v>84887</v>
      </c>
      <c r="F864" s="965">
        <v>10611146000</v>
      </c>
      <c r="G864" s="965">
        <v>126000</v>
      </c>
      <c r="H864" s="965">
        <v>127000</v>
      </c>
      <c r="I864" s="965">
        <v>124000</v>
      </c>
      <c r="J864" s="965">
        <v>2838965</v>
      </c>
      <c r="K864" s="965">
        <v>22711722</v>
      </c>
    </row>
    <row r="865" spans="2:11" s="1258" customFormat="1" ht="16" hidden="1" outlineLevel="1">
      <c r="B865" s="966" t="s">
        <v>2629</v>
      </c>
      <c r="C865" s="965">
        <v>126500</v>
      </c>
      <c r="D865" s="965" t="s">
        <v>2235</v>
      </c>
      <c r="E865" s="965">
        <v>56602</v>
      </c>
      <c r="F865" s="965">
        <v>7200048500</v>
      </c>
      <c r="G865" s="965">
        <v>129000</v>
      </c>
      <c r="H865" s="965">
        <v>129500</v>
      </c>
      <c r="I865" s="965">
        <v>126000</v>
      </c>
      <c r="J865" s="965">
        <v>2873033</v>
      </c>
      <c r="K865" s="965">
        <v>22711722</v>
      </c>
    </row>
    <row r="866" spans="2:11" s="1258" customFormat="1" ht="16" hidden="1" outlineLevel="1">
      <c r="B866" s="966" t="s">
        <v>2628</v>
      </c>
      <c r="C866" s="965">
        <v>129000</v>
      </c>
      <c r="D866" s="965" t="s">
        <v>2236</v>
      </c>
      <c r="E866" s="965">
        <v>80502</v>
      </c>
      <c r="F866" s="965">
        <v>10297060000</v>
      </c>
      <c r="G866" s="965">
        <v>128500</v>
      </c>
      <c r="H866" s="965">
        <v>129500</v>
      </c>
      <c r="I866" s="965">
        <v>126500</v>
      </c>
      <c r="J866" s="965">
        <v>2929812</v>
      </c>
      <c r="K866" s="965">
        <v>22711722</v>
      </c>
    </row>
    <row r="867" spans="2:11" s="1258" customFormat="1" ht="16" hidden="1" outlineLevel="1">
      <c r="B867" s="966" t="s">
        <v>2626</v>
      </c>
      <c r="C867" s="965">
        <v>128000</v>
      </c>
      <c r="D867" s="965" t="s">
        <v>2277</v>
      </c>
      <c r="E867" s="965">
        <v>102893</v>
      </c>
      <c r="F867" s="965">
        <v>12935637500</v>
      </c>
      <c r="G867" s="965">
        <v>125500</v>
      </c>
      <c r="H867" s="965">
        <v>128500</v>
      </c>
      <c r="I867" s="965">
        <v>123500</v>
      </c>
      <c r="J867" s="965">
        <v>2907100</v>
      </c>
      <c r="K867" s="965">
        <v>22711722</v>
      </c>
    </row>
    <row r="868" spans="2:11" s="1258" customFormat="1" ht="16" hidden="1" outlineLevel="1">
      <c r="B868" s="966" t="s">
        <v>2624</v>
      </c>
      <c r="C868" s="965">
        <v>125000</v>
      </c>
      <c r="D868" s="965" t="s">
        <v>2278</v>
      </c>
      <c r="E868" s="965">
        <v>97859</v>
      </c>
      <c r="F868" s="965">
        <v>12265825000</v>
      </c>
      <c r="G868" s="965">
        <v>127000</v>
      </c>
      <c r="H868" s="965">
        <v>127000</v>
      </c>
      <c r="I868" s="965">
        <v>124500</v>
      </c>
      <c r="J868" s="965">
        <v>2838965</v>
      </c>
      <c r="K868" s="965">
        <v>22711722</v>
      </c>
    </row>
    <row r="869" spans="2:11" s="1258" customFormat="1" ht="16" hidden="1" outlineLevel="1">
      <c r="B869" s="966" t="s">
        <v>2623</v>
      </c>
      <c r="C869" s="965">
        <v>128000</v>
      </c>
      <c r="D869" s="965" t="s">
        <v>1814</v>
      </c>
      <c r="E869" s="965">
        <v>91268</v>
      </c>
      <c r="F869" s="965">
        <v>11562568000</v>
      </c>
      <c r="G869" s="965">
        <v>128500</v>
      </c>
      <c r="H869" s="965">
        <v>129000</v>
      </c>
      <c r="I869" s="965">
        <v>125000</v>
      </c>
      <c r="J869" s="965">
        <v>2907100</v>
      </c>
      <c r="K869" s="965">
        <v>22711722</v>
      </c>
    </row>
    <row r="870" spans="2:11" s="1258" customFormat="1" ht="16" hidden="1" outlineLevel="1">
      <c r="B870" s="966" t="s">
        <v>2621</v>
      </c>
      <c r="C870" s="965">
        <v>128500</v>
      </c>
      <c r="D870" s="965" t="s">
        <v>1826</v>
      </c>
      <c r="E870" s="965">
        <v>66405</v>
      </c>
      <c r="F870" s="965">
        <v>8525193000</v>
      </c>
      <c r="G870" s="965">
        <v>128500</v>
      </c>
      <c r="H870" s="965">
        <v>130500</v>
      </c>
      <c r="I870" s="965">
        <v>127000</v>
      </c>
      <c r="J870" s="965">
        <v>2918456</v>
      </c>
      <c r="K870" s="965">
        <v>22711722</v>
      </c>
    </row>
    <row r="871" spans="2:11" s="1258" customFormat="1" ht="16" hidden="1" outlineLevel="1">
      <c r="B871" s="966" t="s">
        <v>2619</v>
      </c>
      <c r="C871" s="965">
        <v>128000</v>
      </c>
      <c r="D871" s="965" t="s">
        <v>2221</v>
      </c>
      <c r="E871" s="965">
        <v>198614</v>
      </c>
      <c r="F871" s="965">
        <v>25579549000</v>
      </c>
      <c r="G871" s="965">
        <v>131500</v>
      </c>
      <c r="H871" s="965">
        <v>133500</v>
      </c>
      <c r="I871" s="965">
        <v>125000</v>
      </c>
      <c r="J871" s="965">
        <v>2907100</v>
      </c>
      <c r="K871" s="965">
        <v>22711722</v>
      </c>
    </row>
    <row r="872" spans="2:11" s="1258" customFormat="1" ht="16" hidden="1" outlineLevel="1">
      <c r="B872" s="966" t="s">
        <v>2618</v>
      </c>
      <c r="C872" s="965">
        <v>128000</v>
      </c>
      <c r="D872" s="965" t="s">
        <v>2774</v>
      </c>
      <c r="E872" s="965">
        <v>197049</v>
      </c>
      <c r="F872" s="965">
        <v>25890254600</v>
      </c>
      <c r="G872" s="965">
        <v>133000</v>
      </c>
      <c r="H872" s="965">
        <v>134500</v>
      </c>
      <c r="I872" s="965">
        <v>128000</v>
      </c>
      <c r="J872" s="965">
        <v>2907100</v>
      </c>
      <c r="K872" s="965">
        <v>22711722</v>
      </c>
    </row>
    <row r="873" spans="2:11" s="1258" customFormat="1" ht="16" hidden="1" outlineLevel="1">
      <c r="B873" s="966" t="s">
        <v>2617</v>
      </c>
      <c r="C873" s="965">
        <v>133500</v>
      </c>
      <c r="D873" s="965" t="s">
        <v>2670</v>
      </c>
      <c r="E873" s="965">
        <v>205471</v>
      </c>
      <c r="F873" s="965">
        <v>27124441000</v>
      </c>
      <c r="G873" s="965">
        <v>127500</v>
      </c>
      <c r="H873" s="965">
        <v>134000</v>
      </c>
      <c r="I873" s="965">
        <v>127000</v>
      </c>
      <c r="J873" s="965">
        <v>3032015</v>
      </c>
      <c r="K873" s="965">
        <v>22711722</v>
      </c>
    </row>
    <row r="874" spans="2:11" s="1258" customFormat="1" ht="16" hidden="1" outlineLevel="1">
      <c r="B874" s="966" t="s">
        <v>2616</v>
      </c>
      <c r="C874" s="965">
        <v>128500</v>
      </c>
      <c r="D874" s="965" t="s">
        <v>2288</v>
      </c>
      <c r="E874" s="965">
        <v>83126</v>
      </c>
      <c r="F874" s="965">
        <v>10630227000</v>
      </c>
      <c r="G874" s="965">
        <v>128000</v>
      </c>
      <c r="H874" s="965">
        <v>129000</v>
      </c>
      <c r="I874" s="965">
        <v>127000</v>
      </c>
      <c r="J874" s="965">
        <v>2918456</v>
      </c>
      <c r="K874" s="965">
        <v>22711722</v>
      </c>
    </row>
    <row r="875" spans="2:11" s="1258" customFormat="1" ht="16" hidden="1" outlineLevel="1">
      <c r="B875" s="966" t="s">
        <v>2615</v>
      </c>
      <c r="C875" s="965">
        <v>126500</v>
      </c>
      <c r="D875" s="965" t="s">
        <v>1814</v>
      </c>
      <c r="E875" s="965">
        <v>183462</v>
      </c>
      <c r="F875" s="965">
        <v>23202703000</v>
      </c>
      <c r="G875" s="965">
        <v>127000</v>
      </c>
      <c r="H875" s="965">
        <v>128000</v>
      </c>
      <c r="I875" s="965">
        <v>124000</v>
      </c>
      <c r="J875" s="965">
        <v>2873033</v>
      </c>
      <c r="K875" s="965">
        <v>22711722</v>
      </c>
    </row>
    <row r="876" spans="2:11" s="1258" customFormat="1" ht="16" hidden="1" outlineLevel="1">
      <c r="B876" s="966" t="s">
        <v>2614</v>
      </c>
      <c r="C876" s="965">
        <v>127000</v>
      </c>
      <c r="D876" s="965" t="s">
        <v>2221</v>
      </c>
      <c r="E876" s="965">
        <v>213479</v>
      </c>
      <c r="F876" s="965">
        <v>27415749500</v>
      </c>
      <c r="G876" s="965">
        <v>128500</v>
      </c>
      <c r="H876" s="965">
        <v>130500</v>
      </c>
      <c r="I876" s="965">
        <v>126500</v>
      </c>
      <c r="J876" s="965">
        <v>2884389</v>
      </c>
      <c r="K876" s="965">
        <v>22711722</v>
      </c>
    </row>
    <row r="877" spans="2:11" s="1258" customFormat="1" ht="16" hidden="1" outlineLevel="1">
      <c r="B877" s="966" t="s">
        <v>2613</v>
      </c>
      <c r="C877" s="965">
        <v>127000</v>
      </c>
      <c r="D877" s="965" t="s">
        <v>2242</v>
      </c>
      <c r="E877" s="965">
        <v>147764</v>
      </c>
      <c r="F877" s="965">
        <v>18911154000</v>
      </c>
      <c r="G877" s="965">
        <v>130000</v>
      </c>
      <c r="H877" s="965">
        <v>130000</v>
      </c>
      <c r="I877" s="965">
        <v>127000</v>
      </c>
      <c r="J877" s="965">
        <v>2884389</v>
      </c>
      <c r="K877" s="965">
        <v>22711722</v>
      </c>
    </row>
    <row r="878" spans="2:11" s="1258" customFormat="1" ht="16" hidden="1" outlineLevel="1">
      <c r="B878" s="966" t="s">
        <v>2612</v>
      </c>
      <c r="C878" s="965">
        <v>129000</v>
      </c>
      <c r="D878" s="965" t="s">
        <v>2669</v>
      </c>
      <c r="E878" s="965">
        <v>301140</v>
      </c>
      <c r="F878" s="965">
        <v>38184582500</v>
      </c>
      <c r="G878" s="965">
        <v>122500</v>
      </c>
      <c r="H878" s="965">
        <v>129000</v>
      </c>
      <c r="I878" s="965">
        <v>122500</v>
      </c>
      <c r="J878" s="965">
        <v>2929812</v>
      </c>
      <c r="K878" s="965">
        <v>22711722</v>
      </c>
    </row>
    <row r="879" spans="2:11" s="1258" customFormat="1" ht="16" hidden="1" outlineLevel="1">
      <c r="B879" s="966" t="s">
        <v>2611</v>
      </c>
      <c r="C879" s="965">
        <v>123000</v>
      </c>
      <c r="D879" s="965" t="s">
        <v>2236</v>
      </c>
      <c r="E879" s="965">
        <v>251683</v>
      </c>
      <c r="F879" s="965">
        <v>30575861000</v>
      </c>
      <c r="G879" s="965">
        <v>121500</v>
      </c>
      <c r="H879" s="965">
        <v>123000</v>
      </c>
      <c r="I879" s="965">
        <v>119500</v>
      </c>
      <c r="J879" s="965">
        <v>2793542</v>
      </c>
      <c r="K879" s="965">
        <v>22711722</v>
      </c>
    </row>
    <row r="880" spans="2:11" s="1258" customFormat="1" ht="16" hidden="1" outlineLevel="1">
      <c r="B880" s="966" t="s">
        <v>2610</v>
      </c>
      <c r="C880" s="965">
        <v>122000</v>
      </c>
      <c r="D880" s="965" t="s">
        <v>2235</v>
      </c>
      <c r="E880" s="965">
        <v>213302</v>
      </c>
      <c r="F880" s="965">
        <v>26042284000</v>
      </c>
      <c r="G880" s="965">
        <v>123500</v>
      </c>
      <c r="H880" s="965">
        <v>124000</v>
      </c>
      <c r="I880" s="965">
        <v>120500</v>
      </c>
      <c r="J880" s="965">
        <v>2770830</v>
      </c>
      <c r="K880" s="965">
        <v>22711722</v>
      </c>
    </row>
    <row r="881" spans="2:11" ht="15" collapsed="1" thickBot="1">
      <c r="B881" s="960" t="s">
        <v>2609</v>
      </c>
      <c r="C881" s="959"/>
      <c r="D881" s="961"/>
      <c r="E881" s="959"/>
      <c r="F881" s="959"/>
      <c r="G881" s="959"/>
      <c r="H881" s="959"/>
      <c r="I881" s="959"/>
      <c r="J881" s="960">
        <f>AVERAGE(J633:J755)</f>
        <v>4051688.2032520324</v>
      </c>
      <c r="K881" s="959"/>
    </row>
    <row r="883" spans="2:11" hidden="1" outlineLevel="1"/>
    <row r="884" spans="2:11" hidden="1" outlineLevel="1">
      <c r="B884" s="964" t="s">
        <v>1839</v>
      </c>
      <c r="C884" s="964" t="s">
        <v>1838</v>
      </c>
      <c r="D884" s="964" t="s">
        <v>1837</v>
      </c>
      <c r="E884" s="964" t="s">
        <v>1836</v>
      </c>
      <c r="F884" s="964" t="s">
        <v>1835</v>
      </c>
      <c r="G884" s="964" t="s">
        <v>1834</v>
      </c>
      <c r="H884" s="964" t="s">
        <v>1833</v>
      </c>
      <c r="I884" s="964" t="s">
        <v>1832</v>
      </c>
      <c r="J884" s="964" t="s">
        <v>1785</v>
      </c>
      <c r="K884" s="964" t="s">
        <v>1831</v>
      </c>
    </row>
    <row r="885" spans="2:11" ht="16" hidden="1" outlineLevel="1">
      <c r="B885" s="968" t="s">
        <v>1830</v>
      </c>
      <c r="C885" s="967">
        <v>287500</v>
      </c>
      <c r="D885" s="967" t="s">
        <v>1829</v>
      </c>
      <c r="E885" s="967">
        <v>132538</v>
      </c>
      <c r="F885" s="967">
        <v>38135302500</v>
      </c>
      <c r="G885" s="967">
        <v>301500</v>
      </c>
      <c r="H885" s="967">
        <v>302000</v>
      </c>
      <c r="I885" s="967">
        <v>282500</v>
      </c>
      <c r="J885" s="967">
        <v>8014298</v>
      </c>
      <c r="K885" s="967">
        <v>27875819</v>
      </c>
    </row>
    <row r="886" spans="2:11" ht="16" hidden="1" outlineLevel="1">
      <c r="B886" s="968" t="s">
        <v>1828</v>
      </c>
      <c r="C886" s="967">
        <v>297000</v>
      </c>
      <c r="D886" s="967" t="s">
        <v>1814</v>
      </c>
      <c r="E886" s="967">
        <v>38680</v>
      </c>
      <c r="F886" s="967">
        <v>11533872500</v>
      </c>
      <c r="G886" s="967">
        <v>301500</v>
      </c>
      <c r="H886" s="967">
        <v>302000</v>
      </c>
      <c r="I886" s="967">
        <v>296500</v>
      </c>
      <c r="J886" s="967">
        <v>8279118</v>
      </c>
      <c r="K886" s="967">
        <v>27875819</v>
      </c>
    </row>
    <row r="887" spans="2:11" ht="16" hidden="1" outlineLevel="1">
      <c r="B887" s="968" t="s">
        <v>1827</v>
      </c>
      <c r="C887" s="967">
        <v>297500</v>
      </c>
      <c r="D887" s="967" t="s">
        <v>1826</v>
      </c>
      <c r="E887" s="967">
        <v>43563</v>
      </c>
      <c r="F887" s="967">
        <v>12834875500</v>
      </c>
      <c r="G887" s="967">
        <v>295000</v>
      </c>
      <c r="H887" s="967">
        <v>299500</v>
      </c>
      <c r="I887" s="967">
        <v>294000</v>
      </c>
      <c r="J887" s="967">
        <v>8293056</v>
      </c>
      <c r="K887" s="967">
        <v>27875819</v>
      </c>
    </row>
    <row r="888" spans="2:11" ht="16" hidden="1" outlineLevel="1">
      <c r="B888" s="968" t="s">
        <v>1825</v>
      </c>
      <c r="C888" s="967">
        <v>297000</v>
      </c>
      <c r="D888" s="967" t="s">
        <v>1824</v>
      </c>
      <c r="E888" s="967">
        <v>39715</v>
      </c>
      <c r="F888" s="967">
        <v>11822399000</v>
      </c>
      <c r="G888" s="967">
        <v>301500</v>
      </c>
      <c r="H888" s="967">
        <v>305500</v>
      </c>
      <c r="I888" s="967">
        <v>292500</v>
      </c>
      <c r="J888" s="967">
        <v>8279118</v>
      </c>
      <c r="K888" s="967">
        <v>27875819</v>
      </c>
    </row>
    <row r="889" spans="2:11" ht="16" hidden="1" outlineLevel="1">
      <c r="B889" s="968" t="s">
        <v>1823</v>
      </c>
      <c r="C889" s="967">
        <v>299000</v>
      </c>
      <c r="D889" s="967" t="s">
        <v>1822</v>
      </c>
      <c r="E889" s="967">
        <v>39455</v>
      </c>
      <c r="F889" s="967">
        <v>11865053500</v>
      </c>
      <c r="G889" s="967">
        <v>301000</v>
      </c>
      <c r="H889" s="967">
        <v>305000</v>
      </c>
      <c r="I889" s="967">
        <v>298000</v>
      </c>
      <c r="J889" s="967">
        <v>8334870</v>
      </c>
      <c r="K889" s="967">
        <v>27875819</v>
      </c>
    </row>
    <row r="890" spans="2:11" hidden="1" outlineLevel="1">
      <c r="B890" s="963" t="s">
        <v>1821</v>
      </c>
      <c r="C890" s="962">
        <v>300000</v>
      </c>
      <c r="D890" s="962" t="s">
        <v>1820</v>
      </c>
      <c r="E890" s="962">
        <v>40209</v>
      </c>
      <c r="F890" s="962">
        <v>12239806500</v>
      </c>
      <c r="G890" s="962">
        <v>309000</v>
      </c>
      <c r="H890" s="962">
        <v>309000</v>
      </c>
      <c r="I890" s="962">
        <v>300000</v>
      </c>
      <c r="J890" s="962">
        <v>8362746</v>
      </c>
      <c r="K890" s="962">
        <v>27875819</v>
      </c>
    </row>
    <row r="891" spans="2:11" hidden="1" outlineLevel="1">
      <c r="B891" s="963" t="s">
        <v>1819</v>
      </c>
      <c r="C891" s="962">
        <v>304000</v>
      </c>
      <c r="D891" s="962" t="s">
        <v>1818</v>
      </c>
      <c r="E891" s="962">
        <v>52877</v>
      </c>
      <c r="F891" s="962">
        <v>15975479000</v>
      </c>
      <c r="G891" s="962">
        <v>291000</v>
      </c>
      <c r="H891" s="962">
        <v>308500</v>
      </c>
      <c r="I891" s="962">
        <v>291000</v>
      </c>
      <c r="J891" s="962">
        <v>8474249</v>
      </c>
      <c r="K891" s="962">
        <v>27875819</v>
      </c>
    </row>
    <row r="892" spans="2:11" hidden="1" outlineLevel="1">
      <c r="B892" s="963" t="s">
        <v>1817</v>
      </c>
      <c r="C892" s="962">
        <v>297000</v>
      </c>
      <c r="D892" s="962" t="s">
        <v>1816</v>
      </c>
      <c r="E892" s="962">
        <v>51684</v>
      </c>
      <c r="F892" s="962">
        <v>15230298500</v>
      </c>
      <c r="G892" s="962">
        <v>299500</v>
      </c>
      <c r="H892" s="962">
        <v>300000</v>
      </c>
      <c r="I892" s="962">
        <v>291500</v>
      </c>
      <c r="J892" s="962">
        <v>8279118</v>
      </c>
      <c r="K892" s="962">
        <v>27875819</v>
      </c>
    </row>
    <row r="893" spans="2:11" hidden="1" outlineLevel="1">
      <c r="B893" s="963" t="s">
        <v>1815</v>
      </c>
      <c r="C893" s="962">
        <v>299500</v>
      </c>
      <c r="D893" s="962" t="s">
        <v>1814</v>
      </c>
      <c r="E893" s="962">
        <v>37423</v>
      </c>
      <c r="F893" s="962">
        <v>11076019212</v>
      </c>
      <c r="G893" s="962">
        <v>290500</v>
      </c>
      <c r="H893" s="962">
        <v>299500</v>
      </c>
      <c r="I893" s="962">
        <v>290500</v>
      </c>
      <c r="J893" s="962">
        <v>8348808</v>
      </c>
      <c r="K893" s="962">
        <v>27875819</v>
      </c>
    </row>
    <row r="894" spans="2:11" hidden="1" outlineLevel="1">
      <c r="B894" s="963" t="s">
        <v>1813</v>
      </c>
      <c r="C894" s="962">
        <v>300000</v>
      </c>
      <c r="D894" s="962">
        <v>0</v>
      </c>
      <c r="E894" s="962">
        <v>73702</v>
      </c>
      <c r="F894" s="962">
        <v>22045436000</v>
      </c>
      <c r="G894" s="962">
        <v>299000</v>
      </c>
      <c r="H894" s="962">
        <v>304500</v>
      </c>
      <c r="I894" s="962">
        <v>291000</v>
      </c>
      <c r="J894" s="962">
        <v>8362746</v>
      </c>
      <c r="K894" s="962">
        <v>27875819</v>
      </c>
    </row>
    <row r="895" spans="2:11" hidden="1" outlineLevel="1">
      <c r="B895" s="963" t="s">
        <v>1812</v>
      </c>
      <c r="C895" s="962">
        <v>300000</v>
      </c>
      <c r="D895" s="962" t="s">
        <v>1811</v>
      </c>
      <c r="E895" s="962">
        <v>60735</v>
      </c>
      <c r="F895" s="962">
        <v>18039458000</v>
      </c>
      <c r="G895" s="962">
        <v>298000</v>
      </c>
      <c r="H895" s="962">
        <v>300000</v>
      </c>
      <c r="I895" s="962">
        <v>292000</v>
      </c>
      <c r="J895" s="962">
        <v>8362746</v>
      </c>
      <c r="K895" s="962">
        <v>27875819</v>
      </c>
    </row>
    <row r="896" spans="2:11" hidden="1" outlineLevel="1">
      <c r="B896" s="963" t="s">
        <v>1810</v>
      </c>
      <c r="C896" s="962">
        <v>289000</v>
      </c>
      <c r="D896" s="962" t="s">
        <v>1796</v>
      </c>
      <c r="E896" s="962">
        <v>69730</v>
      </c>
      <c r="F896" s="962">
        <v>19954904500</v>
      </c>
      <c r="G896" s="962">
        <v>283000</v>
      </c>
      <c r="H896" s="962">
        <v>290000</v>
      </c>
      <c r="I896" s="962">
        <v>281000</v>
      </c>
      <c r="J896" s="962">
        <v>8056112</v>
      </c>
      <c r="K896" s="962">
        <v>27875819</v>
      </c>
    </row>
    <row r="897" spans="2:11" hidden="1" outlineLevel="1">
      <c r="B897" s="963" t="s">
        <v>1809</v>
      </c>
      <c r="C897" s="962">
        <v>285000</v>
      </c>
      <c r="D897" s="962" t="s">
        <v>1808</v>
      </c>
      <c r="E897" s="962">
        <v>61882</v>
      </c>
      <c r="F897" s="962">
        <v>17155643000</v>
      </c>
      <c r="G897" s="962">
        <v>282500</v>
      </c>
      <c r="H897" s="962">
        <v>286000</v>
      </c>
      <c r="I897" s="962">
        <v>277000</v>
      </c>
      <c r="J897" s="962">
        <v>7944608</v>
      </c>
      <c r="K897" s="962">
        <v>27875819</v>
      </c>
    </row>
    <row r="898" spans="2:11" hidden="1" outlineLevel="1">
      <c r="B898" s="963" t="s">
        <v>1807</v>
      </c>
      <c r="C898" s="962">
        <v>280000</v>
      </c>
      <c r="D898" s="962" t="s">
        <v>1806</v>
      </c>
      <c r="E898" s="962">
        <v>104441</v>
      </c>
      <c r="F898" s="962">
        <v>29516096000</v>
      </c>
      <c r="G898" s="962">
        <v>298000</v>
      </c>
      <c r="H898" s="962">
        <v>299000</v>
      </c>
      <c r="I898" s="962">
        <v>279000</v>
      </c>
      <c r="J898" s="962">
        <v>7805229</v>
      </c>
      <c r="K898" s="962">
        <v>27875819</v>
      </c>
    </row>
    <row r="899" spans="2:11" hidden="1" outlineLevel="1">
      <c r="B899" s="963" t="s">
        <v>1805</v>
      </c>
      <c r="C899" s="962">
        <v>293500</v>
      </c>
      <c r="D899" s="962" t="s">
        <v>1804</v>
      </c>
      <c r="E899" s="962">
        <v>46699</v>
      </c>
      <c r="F899" s="962">
        <v>13746178000</v>
      </c>
      <c r="G899" s="962">
        <v>280000</v>
      </c>
      <c r="H899" s="962">
        <v>300000</v>
      </c>
      <c r="I899" s="962">
        <v>280000</v>
      </c>
      <c r="J899" s="962">
        <v>8181553</v>
      </c>
      <c r="K899" s="962">
        <v>27875819</v>
      </c>
    </row>
    <row r="900" spans="2:11" hidden="1" outlineLevel="1">
      <c r="B900" s="963" t="s">
        <v>1803</v>
      </c>
      <c r="C900" s="962">
        <v>288000</v>
      </c>
      <c r="D900" s="962" t="s">
        <v>1802</v>
      </c>
      <c r="E900" s="962">
        <v>97356</v>
      </c>
      <c r="F900" s="962">
        <v>27413876000</v>
      </c>
      <c r="G900" s="962">
        <v>273500</v>
      </c>
      <c r="H900" s="962">
        <v>288000</v>
      </c>
      <c r="I900" s="962">
        <v>272000</v>
      </c>
      <c r="J900" s="962">
        <v>8028236</v>
      </c>
      <c r="K900" s="962">
        <v>27875819</v>
      </c>
    </row>
    <row r="901" spans="2:11" hidden="1" outlineLevel="1">
      <c r="B901" s="963" t="s">
        <v>1801</v>
      </c>
      <c r="C901" s="962">
        <v>268000</v>
      </c>
      <c r="D901" s="962" t="s">
        <v>1800</v>
      </c>
      <c r="E901" s="962">
        <v>165459</v>
      </c>
      <c r="F901" s="962">
        <v>45787048000</v>
      </c>
      <c r="G901" s="962">
        <v>290000</v>
      </c>
      <c r="H901" s="962">
        <v>295000</v>
      </c>
      <c r="I901" s="962">
        <v>268000</v>
      </c>
      <c r="J901" s="962">
        <v>7470719</v>
      </c>
      <c r="K901" s="962">
        <v>27875819</v>
      </c>
    </row>
    <row r="902" spans="2:11" hidden="1" outlineLevel="1">
      <c r="B902" s="963" t="s">
        <v>1799</v>
      </c>
      <c r="C902" s="962">
        <v>289500</v>
      </c>
      <c r="D902" s="962" t="s">
        <v>1798</v>
      </c>
      <c r="E902" s="962">
        <v>43844</v>
      </c>
      <c r="F902" s="962">
        <v>12896128500</v>
      </c>
      <c r="G902" s="962">
        <v>300000</v>
      </c>
      <c r="H902" s="962">
        <v>300500</v>
      </c>
      <c r="I902" s="962">
        <v>289500</v>
      </c>
      <c r="J902" s="962">
        <v>8070050</v>
      </c>
      <c r="K902" s="962">
        <v>27875819</v>
      </c>
    </row>
    <row r="903" spans="2:11" hidden="1" outlineLevel="1">
      <c r="B903" s="963" t="s">
        <v>1797</v>
      </c>
      <c r="C903" s="962">
        <v>302000</v>
      </c>
      <c r="D903" s="962" t="s">
        <v>1796</v>
      </c>
      <c r="E903" s="962">
        <v>118881</v>
      </c>
      <c r="F903" s="962">
        <v>35271266000</v>
      </c>
      <c r="G903" s="962">
        <v>289000</v>
      </c>
      <c r="H903" s="962">
        <v>302000</v>
      </c>
      <c r="I903" s="962">
        <v>287000</v>
      </c>
      <c r="J903" s="962">
        <v>8418497</v>
      </c>
      <c r="K903" s="962">
        <v>27875819</v>
      </c>
    </row>
    <row r="904" spans="2:11" hidden="1" outlineLevel="1">
      <c r="B904" s="963" t="s">
        <v>1795</v>
      </c>
      <c r="C904" s="962">
        <v>298000</v>
      </c>
      <c r="D904" s="962" t="s">
        <v>1794</v>
      </c>
      <c r="E904" s="962">
        <v>143430</v>
      </c>
      <c r="F904" s="962">
        <v>43637016500</v>
      </c>
      <c r="G904" s="962">
        <v>323000</v>
      </c>
      <c r="H904" s="962">
        <v>324000</v>
      </c>
      <c r="I904" s="962">
        <v>297500</v>
      </c>
      <c r="J904" s="962">
        <v>8306994</v>
      </c>
      <c r="K904" s="962">
        <v>27875819</v>
      </c>
    </row>
    <row r="905" spans="2:11" hidden="1" outlineLevel="1">
      <c r="B905" s="963" t="s">
        <v>1793</v>
      </c>
      <c r="C905" s="962">
        <v>324000</v>
      </c>
      <c r="D905" s="962" t="s">
        <v>1792</v>
      </c>
      <c r="E905" s="962">
        <v>55565</v>
      </c>
      <c r="F905" s="962">
        <v>17870197500</v>
      </c>
      <c r="G905" s="962">
        <v>320000</v>
      </c>
      <c r="H905" s="962">
        <v>329000</v>
      </c>
      <c r="I905" s="962">
        <v>318500</v>
      </c>
      <c r="J905" s="962">
        <v>9031765</v>
      </c>
      <c r="K905" s="962">
        <v>27875819</v>
      </c>
    </row>
    <row r="906" spans="2:11" hidden="1" outlineLevel="1">
      <c r="B906" s="963" t="s">
        <v>1791</v>
      </c>
      <c r="C906" s="962">
        <v>318000</v>
      </c>
      <c r="D906" s="962" t="s">
        <v>1790</v>
      </c>
      <c r="E906" s="962">
        <v>65708</v>
      </c>
      <c r="F906" s="962">
        <v>20901407000</v>
      </c>
      <c r="G906" s="962">
        <v>310500</v>
      </c>
      <c r="H906" s="962">
        <v>324500</v>
      </c>
      <c r="I906" s="962">
        <v>310500</v>
      </c>
      <c r="J906" s="962">
        <v>8864510</v>
      </c>
      <c r="K906" s="962">
        <v>27875819</v>
      </c>
    </row>
    <row r="907" spans="2:11" ht="15" hidden="1" outlineLevel="1" thickBot="1">
      <c r="B907" s="960" t="s">
        <v>2773</v>
      </c>
      <c r="C907" s="959"/>
      <c r="D907" s="961"/>
      <c r="E907" s="959"/>
      <c r="F907" s="959"/>
      <c r="G907" s="959"/>
      <c r="H907" s="959"/>
      <c r="I907" s="959"/>
      <c r="J907" s="959">
        <f>AVERAGE(J885:J905)</f>
        <v>8224030.2857142854</v>
      </c>
      <c r="K907" s="959"/>
    </row>
    <row r="908" spans="2:11" hidden="1" outlineLevel="1"/>
    <row r="909" spans="2:11" collapsed="1"/>
    <row r="911" spans="2:11">
      <c r="B911" s="957" t="s">
        <v>2772</v>
      </c>
    </row>
    <row r="914" spans="2:11">
      <c r="B914" s="980" t="s">
        <v>2771</v>
      </c>
    </row>
    <row r="916" spans="2:11">
      <c r="B916" s="977" t="s">
        <v>2737</v>
      </c>
      <c r="C916" s="977"/>
      <c r="D916" s="976"/>
      <c r="E916" s="1050" t="s">
        <v>2739</v>
      </c>
      <c r="F916" s="1050" t="s">
        <v>2751</v>
      </c>
      <c r="G916" s="977"/>
    </row>
    <row r="917" spans="2:11">
      <c r="B917" s="957" t="s">
        <v>2736</v>
      </c>
      <c r="C917" s="957" t="s">
        <v>2749</v>
      </c>
      <c r="E917" s="957">
        <v>750289</v>
      </c>
      <c r="F917" s="957">
        <f>SUMIF(D927:D934,"비영업",K927:K934)</f>
        <v>727120.97711219511</v>
      </c>
    </row>
    <row r="918" spans="2:11">
      <c r="C918" s="957" t="s">
        <v>2734</v>
      </c>
      <c r="E918" s="957">
        <v>154040</v>
      </c>
      <c r="F918" s="957">
        <f>SUMIF(D1702:D1707,"비영업",K1702:K1707)</f>
        <v>0</v>
      </c>
    </row>
    <row r="919" spans="2:11">
      <c r="C919" s="957" t="s">
        <v>1209</v>
      </c>
      <c r="E919" s="957">
        <v>65475</v>
      </c>
      <c r="F919" s="957">
        <f>E919</f>
        <v>65475</v>
      </c>
    </row>
    <row r="920" spans="2:11">
      <c r="B920" s="979"/>
      <c r="C920" s="979" t="s">
        <v>192</v>
      </c>
      <c r="E920" s="957">
        <v>0</v>
      </c>
      <c r="F920" s="957">
        <f>E920</f>
        <v>0</v>
      </c>
    </row>
    <row r="921" spans="2:11">
      <c r="B921" s="977"/>
      <c r="C921" s="977" t="s">
        <v>2678</v>
      </c>
      <c r="D921" s="976"/>
      <c r="E921" s="977">
        <f>SUM(E917:E920)</f>
        <v>969804</v>
      </c>
      <c r="F921" s="977">
        <f>SUM(F917:F920)</f>
        <v>792595.97711219511</v>
      </c>
      <c r="G921" s="977"/>
    </row>
    <row r="924" spans="2:11">
      <c r="B924" s="980" t="s">
        <v>2749</v>
      </c>
    </row>
    <row r="925" spans="2:11">
      <c r="D925" s="957"/>
      <c r="E925" s="958"/>
    </row>
    <row r="926" spans="2:11">
      <c r="B926" s="977" t="s">
        <v>1917</v>
      </c>
      <c r="C926" s="977"/>
      <c r="D926" s="1048" t="s">
        <v>2755</v>
      </c>
      <c r="E926" s="1048" t="s">
        <v>2754</v>
      </c>
      <c r="F926" s="977" t="s">
        <v>1918</v>
      </c>
      <c r="G926" s="976" t="s">
        <v>1919</v>
      </c>
      <c r="H926" s="977" t="s">
        <v>1920</v>
      </c>
      <c r="I926" s="977" t="s">
        <v>1921</v>
      </c>
      <c r="J926" s="977" t="s">
        <v>1440</v>
      </c>
      <c r="K926" s="977" t="s">
        <v>2682</v>
      </c>
    </row>
    <row r="927" spans="2:11">
      <c r="B927" s="957" t="s">
        <v>1922</v>
      </c>
      <c r="D927" s="1046" t="s">
        <v>2681</v>
      </c>
      <c r="E927" s="1046" t="s">
        <v>2732</v>
      </c>
      <c r="F927" s="957">
        <v>153000</v>
      </c>
      <c r="G927" s="958">
        <v>1.41</v>
      </c>
      <c r="H927" s="957">
        <v>1337</v>
      </c>
      <c r="I927" s="957">
        <v>1805</v>
      </c>
      <c r="J927" s="957">
        <v>1805</v>
      </c>
      <c r="K927" s="1051">
        <f>J1189*G927%</f>
        <v>1993.6495536585364</v>
      </c>
    </row>
    <row r="928" spans="2:11">
      <c r="B928" s="957" t="s">
        <v>1923</v>
      </c>
      <c r="D928" s="1046" t="s">
        <v>2680</v>
      </c>
      <c r="E928" s="1046" t="s">
        <v>2732</v>
      </c>
      <c r="F928" s="957">
        <v>289846</v>
      </c>
      <c r="G928" s="958">
        <v>0.24</v>
      </c>
      <c r="H928" s="957">
        <v>11037</v>
      </c>
      <c r="I928" s="957">
        <v>16753</v>
      </c>
      <c r="J928" s="957">
        <v>16753</v>
      </c>
      <c r="K928" s="1051">
        <f>J1442*G928%</f>
        <v>15262.977112195122</v>
      </c>
    </row>
    <row r="929" spans="2:11">
      <c r="B929" s="957" t="s">
        <v>1924</v>
      </c>
      <c r="D929" s="1046" t="s">
        <v>2680</v>
      </c>
      <c r="E929" s="1046" t="s">
        <v>2732</v>
      </c>
      <c r="F929" s="957">
        <v>7381333</v>
      </c>
      <c r="G929" s="958">
        <v>3.69</v>
      </c>
      <c r="H929" s="957">
        <v>1443</v>
      </c>
      <c r="I929" s="957">
        <v>701227</v>
      </c>
      <c r="J929" s="957">
        <v>701227</v>
      </c>
      <c r="K929" s="1051">
        <f>J1695*G929%</f>
        <v>681354</v>
      </c>
    </row>
    <row r="930" spans="2:11">
      <c r="B930" s="957" t="s">
        <v>1930</v>
      </c>
      <c r="D930" s="1046" t="s">
        <v>2680</v>
      </c>
      <c r="E930" s="1046" t="s">
        <v>2679</v>
      </c>
      <c r="F930" s="957">
        <v>29000</v>
      </c>
      <c r="G930" s="958">
        <v>14.5</v>
      </c>
      <c r="H930" s="957">
        <v>145</v>
      </c>
      <c r="I930" s="958" t="s">
        <v>756</v>
      </c>
      <c r="J930" s="957">
        <v>145</v>
      </c>
      <c r="K930" s="957">
        <f>J930</f>
        <v>145</v>
      </c>
    </row>
    <row r="931" spans="2:11">
      <c r="B931" s="957" t="s">
        <v>2770</v>
      </c>
      <c r="D931" s="1046" t="s">
        <v>2680</v>
      </c>
      <c r="E931" s="1046" t="s">
        <v>2679</v>
      </c>
      <c r="F931" s="957">
        <v>205669</v>
      </c>
      <c r="G931" s="958">
        <v>5.2</v>
      </c>
      <c r="H931" s="957">
        <v>4234</v>
      </c>
      <c r="I931" s="957">
        <v>26549</v>
      </c>
      <c r="J931" s="957">
        <v>26549</v>
      </c>
      <c r="K931" s="957">
        <f>J931</f>
        <v>26549</v>
      </c>
    </row>
    <row r="932" spans="2:11">
      <c r="B932" s="957" t="s">
        <v>1931</v>
      </c>
      <c r="D932" s="1046" t="s">
        <v>2680</v>
      </c>
      <c r="E932" s="1046" t="s">
        <v>2679</v>
      </c>
      <c r="F932" s="957">
        <v>21282</v>
      </c>
      <c r="G932" s="958">
        <v>0.1</v>
      </c>
      <c r="H932" s="957">
        <v>251</v>
      </c>
      <c r="I932" s="957">
        <v>151</v>
      </c>
      <c r="J932" s="957">
        <v>251</v>
      </c>
      <c r="K932" s="957">
        <f>J932</f>
        <v>251</v>
      </c>
    </row>
    <row r="933" spans="2:11">
      <c r="B933" s="957" t="s">
        <v>1932</v>
      </c>
      <c r="D933" s="1046" t="s">
        <v>2680</v>
      </c>
      <c r="E933" s="1046" t="s">
        <v>2679</v>
      </c>
      <c r="F933" s="957">
        <v>3462</v>
      </c>
      <c r="G933" s="958">
        <v>0.1</v>
      </c>
      <c r="H933" s="957">
        <v>132</v>
      </c>
      <c r="I933" s="957">
        <v>68</v>
      </c>
      <c r="J933" s="957">
        <v>132</v>
      </c>
      <c r="K933" s="957">
        <f>J933</f>
        <v>132</v>
      </c>
    </row>
    <row r="934" spans="2:11">
      <c r="B934" s="957" t="s">
        <v>2769</v>
      </c>
      <c r="D934" s="1046" t="s">
        <v>2680</v>
      </c>
      <c r="E934" s="1046" t="s">
        <v>2679</v>
      </c>
      <c r="F934" s="957">
        <v>1600</v>
      </c>
      <c r="G934" s="958">
        <v>0.1</v>
      </c>
      <c r="H934" s="957">
        <v>200</v>
      </c>
      <c r="I934" s="957">
        <v>3427</v>
      </c>
      <c r="J934" s="957">
        <v>3427</v>
      </c>
      <c r="K934" s="957">
        <f>J934</f>
        <v>3427</v>
      </c>
    </row>
    <row r="935" spans="2:11">
      <c r="B935" s="977" t="s">
        <v>2678</v>
      </c>
      <c r="C935" s="977"/>
      <c r="D935" s="976"/>
      <c r="E935" s="977"/>
      <c r="F935" s="977"/>
      <c r="G935" s="977"/>
      <c r="H935" s="977"/>
      <c r="I935" s="977"/>
      <c r="J935" s="977">
        <f>SUM(J927:J934)</f>
        <v>750289</v>
      </c>
      <c r="K935" s="977">
        <f>SUM(K927:K934)</f>
        <v>729114.62666585366</v>
      </c>
    </row>
    <row r="938" spans="2:11">
      <c r="B938" s="971" t="s">
        <v>2768</v>
      </c>
    </row>
    <row r="939" spans="2:11" hidden="1" outlineLevel="1"/>
    <row r="940" spans="2:11" ht="16" hidden="1" outlineLevel="1">
      <c r="B940" s="969" t="s">
        <v>1839</v>
      </c>
      <c r="C940" s="969" t="s">
        <v>1838</v>
      </c>
      <c r="D940" s="969" t="s">
        <v>1837</v>
      </c>
      <c r="E940" s="969" t="s">
        <v>1836</v>
      </c>
      <c r="F940" s="969" t="s">
        <v>1835</v>
      </c>
      <c r="G940" s="969" t="s">
        <v>1834</v>
      </c>
      <c r="H940" s="969" t="s">
        <v>1833</v>
      </c>
      <c r="I940" s="969" t="s">
        <v>1832</v>
      </c>
      <c r="J940" s="969" t="s">
        <v>1785</v>
      </c>
      <c r="K940" s="969" t="s">
        <v>1831</v>
      </c>
    </row>
    <row r="941" spans="2:11" ht="16" hidden="1" outlineLevel="1">
      <c r="B941" s="968" t="s">
        <v>1830</v>
      </c>
      <c r="C941" s="967">
        <v>13600</v>
      </c>
      <c r="D941" s="967" t="s">
        <v>2247</v>
      </c>
      <c r="E941" s="974">
        <v>167420</v>
      </c>
      <c r="F941" s="974">
        <v>2336422000</v>
      </c>
      <c r="G941" s="974">
        <v>14900</v>
      </c>
      <c r="H941" s="974">
        <v>14950</v>
      </c>
      <c r="I941" s="974">
        <v>13300</v>
      </c>
      <c r="J941" s="974">
        <v>147174</v>
      </c>
      <c r="K941" s="974">
        <v>10821611</v>
      </c>
    </row>
    <row r="942" spans="2:11" ht="16" hidden="1" outlineLevel="1">
      <c r="B942" s="968" t="s">
        <v>1828</v>
      </c>
      <c r="C942" s="967">
        <v>14700</v>
      </c>
      <c r="D942" s="967" t="s">
        <v>2294</v>
      </c>
      <c r="E942" s="974">
        <v>32503</v>
      </c>
      <c r="F942" s="974">
        <v>486687100</v>
      </c>
      <c r="G942" s="974">
        <v>15250</v>
      </c>
      <c r="H942" s="974">
        <v>15400</v>
      </c>
      <c r="I942" s="974">
        <v>14700</v>
      </c>
      <c r="J942" s="974">
        <v>159078</v>
      </c>
      <c r="K942" s="974">
        <v>10821611</v>
      </c>
    </row>
    <row r="943" spans="2:11" ht="16" hidden="1" outlineLevel="1">
      <c r="B943" s="968" t="s">
        <v>1827</v>
      </c>
      <c r="C943" s="967">
        <v>15250</v>
      </c>
      <c r="D943" s="967" t="s">
        <v>2243</v>
      </c>
      <c r="E943" s="974">
        <v>26830</v>
      </c>
      <c r="F943" s="974">
        <v>403629500</v>
      </c>
      <c r="G943" s="974">
        <v>14700</v>
      </c>
      <c r="H943" s="974">
        <v>15350</v>
      </c>
      <c r="I943" s="974">
        <v>14600</v>
      </c>
      <c r="J943" s="974">
        <v>165030</v>
      </c>
      <c r="K943" s="974">
        <v>10821611</v>
      </c>
    </row>
    <row r="944" spans="2:11" ht="16" hidden="1" outlineLevel="1">
      <c r="B944" s="968" t="s">
        <v>1825</v>
      </c>
      <c r="C944" s="967">
        <v>14950</v>
      </c>
      <c r="D944" s="967" t="s">
        <v>2211</v>
      </c>
      <c r="E944" s="974">
        <v>37586</v>
      </c>
      <c r="F944" s="974">
        <v>564675200</v>
      </c>
      <c r="G944" s="974">
        <v>15500</v>
      </c>
      <c r="H944" s="974">
        <v>15500</v>
      </c>
      <c r="I944" s="974">
        <v>14800</v>
      </c>
      <c r="J944" s="974">
        <v>161783</v>
      </c>
      <c r="K944" s="974">
        <v>10821611</v>
      </c>
    </row>
    <row r="945" spans="2:11" ht="16" hidden="1" outlineLevel="1">
      <c r="B945" s="968" t="s">
        <v>1823</v>
      </c>
      <c r="C945" s="967">
        <v>15350</v>
      </c>
      <c r="D945" s="967" t="s">
        <v>2246</v>
      </c>
      <c r="E945" s="974">
        <v>99470</v>
      </c>
      <c r="F945" s="974">
        <v>1476354500</v>
      </c>
      <c r="G945" s="974">
        <v>14600</v>
      </c>
      <c r="H945" s="974">
        <v>15350</v>
      </c>
      <c r="I945" s="974">
        <v>14400</v>
      </c>
      <c r="J945" s="974">
        <v>166112</v>
      </c>
      <c r="K945" s="974">
        <v>10821611</v>
      </c>
    </row>
    <row r="946" spans="2:11" ht="16" hidden="1" outlineLevel="1">
      <c r="B946" s="968" t="s">
        <v>1821</v>
      </c>
      <c r="C946" s="967">
        <v>14450</v>
      </c>
      <c r="D946" s="967" t="s">
        <v>2225</v>
      </c>
      <c r="E946" s="974">
        <v>23320</v>
      </c>
      <c r="F946" s="974">
        <v>339547500</v>
      </c>
      <c r="G946" s="974">
        <v>14700</v>
      </c>
      <c r="H946" s="974">
        <v>14800</v>
      </c>
      <c r="I946" s="974">
        <v>14400</v>
      </c>
      <c r="J946" s="974">
        <v>156372</v>
      </c>
      <c r="K946" s="974">
        <v>10821611</v>
      </c>
    </row>
    <row r="947" spans="2:11" ht="16" hidden="1" outlineLevel="1">
      <c r="B947" s="968" t="s">
        <v>1819</v>
      </c>
      <c r="C947" s="967">
        <v>14600</v>
      </c>
      <c r="D947" s="967" t="s">
        <v>2294</v>
      </c>
      <c r="E947" s="974">
        <v>26540</v>
      </c>
      <c r="F947" s="974">
        <v>391920000</v>
      </c>
      <c r="G947" s="974">
        <v>15100</v>
      </c>
      <c r="H947" s="974">
        <v>15250</v>
      </c>
      <c r="I947" s="974">
        <v>14350</v>
      </c>
      <c r="J947" s="974">
        <v>157996</v>
      </c>
      <c r="K947" s="974">
        <v>10821611</v>
      </c>
    </row>
    <row r="948" spans="2:11" ht="16" hidden="1" outlineLevel="1">
      <c r="B948" s="968" t="s">
        <v>1817</v>
      </c>
      <c r="C948" s="967">
        <v>15150</v>
      </c>
      <c r="D948" s="967" t="s">
        <v>2213</v>
      </c>
      <c r="E948" s="974">
        <v>44080</v>
      </c>
      <c r="F948" s="974">
        <v>653133000</v>
      </c>
      <c r="G948" s="974">
        <v>15000</v>
      </c>
      <c r="H948" s="974">
        <v>15200</v>
      </c>
      <c r="I948" s="974">
        <v>14550</v>
      </c>
      <c r="J948" s="974">
        <v>163947</v>
      </c>
      <c r="K948" s="974">
        <v>10821611</v>
      </c>
    </row>
    <row r="949" spans="2:11" ht="16" hidden="1" outlineLevel="1">
      <c r="B949" s="968" t="s">
        <v>1815</v>
      </c>
      <c r="C949" s="967">
        <v>14900</v>
      </c>
      <c r="D949" s="967" t="s">
        <v>2293</v>
      </c>
      <c r="E949" s="974">
        <v>19220</v>
      </c>
      <c r="F949" s="974">
        <v>286782000</v>
      </c>
      <c r="G949" s="974">
        <v>14900</v>
      </c>
      <c r="H949" s="974">
        <v>15100</v>
      </c>
      <c r="I949" s="974">
        <v>14800</v>
      </c>
      <c r="J949" s="974">
        <v>161242</v>
      </c>
      <c r="K949" s="974">
        <v>10821611</v>
      </c>
    </row>
    <row r="950" spans="2:11" ht="16" hidden="1" outlineLevel="1">
      <c r="B950" s="968" t="s">
        <v>1813</v>
      </c>
      <c r="C950" s="967">
        <v>15150</v>
      </c>
      <c r="D950" s="967" t="s">
        <v>2251</v>
      </c>
      <c r="E950" s="974">
        <v>38910</v>
      </c>
      <c r="F950" s="974">
        <v>582193500</v>
      </c>
      <c r="G950" s="974">
        <v>14700</v>
      </c>
      <c r="H950" s="974">
        <v>15200</v>
      </c>
      <c r="I950" s="974">
        <v>14600</v>
      </c>
      <c r="J950" s="974">
        <v>163947</v>
      </c>
      <c r="K950" s="974">
        <v>10821611</v>
      </c>
    </row>
    <row r="951" spans="2:11" ht="16" hidden="1" outlineLevel="1">
      <c r="B951" s="968" t="s">
        <v>1812</v>
      </c>
      <c r="C951" s="967">
        <v>14550</v>
      </c>
      <c r="D951" s="967" t="s">
        <v>1814</v>
      </c>
      <c r="E951" s="974">
        <v>55359</v>
      </c>
      <c r="F951" s="974">
        <v>808934150</v>
      </c>
      <c r="G951" s="974">
        <v>15050</v>
      </c>
      <c r="H951" s="974">
        <v>15150</v>
      </c>
      <c r="I951" s="974">
        <v>14400</v>
      </c>
      <c r="J951" s="974">
        <v>157454</v>
      </c>
      <c r="K951" s="974">
        <v>10821611</v>
      </c>
    </row>
    <row r="952" spans="2:11" ht="16" hidden="1" outlineLevel="1">
      <c r="B952" s="968" t="s">
        <v>1810</v>
      </c>
      <c r="C952" s="967">
        <v>15050</v>
      </c>
      <c r="D952" s="967" t="s">
        <v>2229</v>
      </c>
      <c r="E952" s="974">
        <v>66922</v>
      </c>
      <c r="F952" s="974">
        <v>1011050100</v>
      </c>
      <c r="G952" s="974">
        <v>15400</v>
      </c>
      <c r="H952" s="974">
        <v>15600</v>
      </c>
      <c r="I952" s="974">
        <v>14900</v>
      </c>
      <c r="J952" s="974">
        <v>162865</v>
      </c>
      <c r="K952" s="974">
        <v>10821611</v>
      </c>
    </row>
    <row r="953" spans="2:11" ht="16" hidden="1" outlineLevel="1">
      <c r="B953" s="968" t="s">
        <v>1809</v>
      </c>
      <c r="C953" s="967">
        <v>15400</v>
      </c>
      <c r="D953" s="967" t="s">
        <v>2283</v>
      </c>
      <c r="E953" s="974">
        <v>61380</v>
      </c>
      <c r="F953" s="974">
        <v>940811500</v>
      </c>
      <c r="G953" s="974">
        <v>15150</v>
      </c>
      <c r="H953" s="974">
        <v>15550</v>
      </c>
      <c r="I953" s="974">
        <v>14950</v>
      </c>
      <c r="J953" s="974">
        <v>166653</v>
      </c>
      <c r="K953" s="974">
        <v>10821611</v>
      </c>
    </row>
    <row r="954" spans="2:11" ht="16" hidden="1" outlineLevel="1">
      <c r="B954" s="968" t="s">
        <v>1807</v>
      </c>
      <c r="C954" s="967">
        <v>14950</v>
      </c>
      <c r="D954" s="967" t="s">
        <v>2224</v>
      </c>
      <c r="E954" s="974">
        <v>51728</v>
      </c>
      <c r="F954" s="974">
        <v>781926200</v>
      </c>
      <c r="G954" s="974">
        <v>15350</v>
      </c>
      <c r="H954" s="974">
        <v>15450</v>
      </c>
      <c r="I954" s="974">
        <v>14850</v>
      </c>
      <c r="J954" s="974">
        <v>161783</v>
      </c>
      <c r="K954" s="974">
        <v>10821611</v>
      </c>
    </row>
    <row r="955" spans="2:11" ht="16" hidden="1" outlineLevel="1">
      <c r="B955" s="968" t="s">
        <v>1805</v>
      </c>
      <c r="C955" s="967">
        <v>15150</v>
      </c>
      <c r="D955" s="967" t="s">
        <v>2228</v>
      </c>
      <c r="E955" s="974">
        <v>72890</v>
      </c>
      <c r="F955" s="974">
        <v>1099366900</v>
      </c>
      <c r="G955" s="974">
        <v>15300</v>
      </c>
      <c r="H955" s="974">
        <v>15700</v>
      </c>
      <c r="I955" s="974">
        <v>14750</v>
      </c>
      <c r="J955" s="974">
        <v>163947</v>
      </c>
      <c r="K955" s="974">
        <v>10821611</v>
      </c>
    </row>
    <row r="956" spans="2:11" ht="16" hidden="1" outlineLevel="1">
      <c r="B956" s="968" t="s">
        <v>1803</v>
      </c>
      <c r="C956" s="967">
        <v>15250</v>
      </c>
      <c r="D956" s="967" t="s">
        <v>2215</v>
      </c>
      <c r="E956" s="974">
        <v>108050</v>
      </c>
      <c r="F956" s="974">
        <v>1649679000</v>
      </c>
      <c r="G956" s="974">
        <v>15600</v>
      </c>
      <c r="H956" s="974">
        <v>15950</v>
      </c>
      <c r="I956" s="974">
        <v>14800</v>
      </c>
      <c r="J956" s="974">
        <v>165030</v>
      </c>
      <c r="K956" s="974">
        <v>10821611</v>
      </c>
    </row>
    <row r="957" spans="2:11" ht="16" hidden="1" outlineLevel="1">
      <c r="B957" s="968" t="s">
        <v>1801</v>
      </c>
      <c r="C957" s="967">
        <v>15550</v>
      </c>
      <c r="D957" s="967" t="s">
        <v>2248</v>
      </c>
      <c r="E957" s="974">
        <v>114255</v>
      </c>
      <c r="F957" s="974">
        <v>1906784350</v>
      </c>
      <c r="G957" s="974">
        <v>16900</v>
      </c>
      <c r="H957" s="974">
        <v>17550</v>
      </c>
      <c r="I957" s="974">
        <v>15550</v>
      </c>
      <c r="J957" s="974">
        <v>168276</v>
      </c>
      <c r="K957" s="974">
        <v>10821611</v>
      </c>
    </row>
    <row r="958" spans="2:11" ht="16" hidden="1" outlineLevel="1">
      <c r="B958" s="968" t="s">
        <v>1799</v>
      </c>
      <c r="C958" s="967">
        <v>16550</v>
      </c>
      <c r="D958" s="967" t="s">
        <v>2293</v>
      </c>
      <c r="E958" s="974">
        <v>43762</v>
      </c>
      <c r="F958" s="974">
        <v>733839850</v>
      </c>
      <c r="G958" s="974">
        <v>17150</v>
      </c>
      <c r="H958" s="974">
        <v>17150</v>
      </c>
      <c r="I958" s="974">
        <v>16450</v>
      </c>
      <c r="J958" s="974">
        <v>179098</v>
      </c>
      <c r="K958" s="974">
        <v>10821611</v>
      </c>
    </row>
    <row r="959" spans="2:11" ht="16" hidden="1" outlineLevel="1">
      <c r="B959" s="968" t="s">
        <v>1797</v>
      </c>
      <c r="C959" s="967">
        <v>16800</v>
      </c>
      <c r="D959" s="967" t="s">
        <v>2224</v>
      </c>
      <c r="E959" s="974">
        <v>96035</v>
      </c>
      <c r="F959" s="974">
        <v>1580812700</v>
      </c>
      <c r="G959" s="974">
        <v>16300</v>
      </c>
      <c r="H959" s="974">
        <v>17050</v>
      </c>
      <c r="I959" s="974">
        <v>15900</v>
      </c>
      <c r="J959" s="974">
        <v>181803</v>
      </c>
      <c r="K959" s="974">
        <v>10821611</v>
      </c>
    </row>
    <row r="960" spans="2:11" ht="16" hidden="1" outlineLevel="1">
      <c r="B960" s="968" t="s">
        <v>1795</v>
      </c>
      <c r="C960" s="967">
        <v>17000</v>
      </c>
      <c r="D960" s="967" t="s">
        <v>2237</v>
      </c>
      <c r="E960" s="974">
        <v>104825</v>
      </c>
      <c r="F960" s="974">
        <v>1716736000</v>
      </c>
      <c r="G960" s="974">
        <v>16000</v>
      </c>
      <c r="H960" s="974">
        <v>17300</v>
      </c>
      <c r="I960" s="974">
        <v>15600</v>
      </c>
      <c r="J960" s="974">
        <v>183967</v>
      </c>
      <c r="K960" s="974">
        <v>10821611</v>
      </c>
    </row>
    <row r="961" spans="2:11" ht="16" hidden="1" outlineLevel="1">
      <c r="B961" s="968" t="s">
        <v>1793</v>
      </c>
      <c r="C961" s="967">
        <v>15600</v>
      </c>
      <c r="D961" s="967" t="s">
        <v>2243</v>
      </c>
      <c r="E961" s="974">
        <v>68721</v>
      </c>
      <c r="F961" s="974">
        <v>1080358600</v>
      </c>
      <c r="G961" s="974">
        <v>15300</v>
      </c>
      <c r="H961" s="974">
        <v>16100</v>
      </c>
      <c r="I961" s="974">
        <v>15050</v>
      </c>
      <c r="J961" s="974">
        <v>168817</v>
      </c>
      <c r="K961" s="974">
        <v>10821611</v>
      </c>
    </row>
    <row r="962" spans="2:11" ht="16" hidden="1" outlineLevel="1">
      <c r="B962" s="968" t="s">
        <v>1791</v>
      </c>
      <c r="C962" s="967">
        <v>15300</v>
      </c>
      <c r="D962" s="967" t="s">
        <v>2228</v>
      </c>
      <c r="E962" s="967">
        <v>68500</v>
      </c>
      <c r="F962" s="967">
        <v>1037264500</v>
      </c>
      <c r="G962" s="967">
        <v>15600</v>
      </c>
      <c r="H962" s="967">
        <v>15600</v>
      </c>
      <c r="I962" s="967">
        <v>14900</v>
      </c>
      <c r="J962" s="967">
        <v>165571</v>
      </c>
      <c r="K962" s="967">
        <v>10821611</v>
      </c>
    </row>
    <row r="963" spans="2:11" s="1258" customFormat="1" ht="16" hidden="1" outlineLevel="1">
      <c r="B963" s="968" t="s">
        <v>2607</v>
      </c>
      <c r="C963" s="967">
        <v>15400</v>
      </c>
      <c r="D963" s="967" t="s">
        <v>2282</v>
      </c>
      <c r="E963" s="967">
        <v>143390</v>
      </c>
      <c r="F963" s="967">
        <v>2159584250</v>
      </c>
      <c r="G963" s="967">
        <v>14750</v>
      </c>
      <c r="H963" s="967">
        <v>15400</v>
      </c>
      <c r="I963" s="967">
        <v>14700</v>
      </c>
      <c r="J963" s="967">
        <v>166653</v>
      </c>
      <c r="K963" s="967">
        <v>10821611</v>
      </c>
    </row>
    <row r="964" spans="2:11" s="1258" customFormat="1" ht="16" hidden="1" outlineLevel="1">
      <c r="B964" s="968" t="s">
        <v>2605</v>
      </c>
      <c r="C964" s="967">
        <v>14750</v>
      </c>
      <c r="D964" s="967" t="s">
        <v>2229</v>
      </c>
      <c r="E964" s="967">
        <v>120890</v>
      </c>
      <c r="F964" s="967">
        <v>1786786000</v>
      </c>
      <c r="G964" s="967">
        <v>15000</v>
      </c>
      <c r="H964" s="967">
        <v>15400</v>
      </c>
      <c r="I964" s="967">
        <v>14400</v>
      </c>
      <c r="J964" s="967">
        <v>159619</v>
      </c>
      <c r="K964" s="967">
        <v>10821611</v>
      </c>
    </row>
    <row r="965" spans="2:11" s="1258" customFormat="1" ht="16" hidden="1" outlineLevel="1">
      <c r="B965" s="968" t="s">
        <v>2603</v>
      </c>
      <c r="C965" s="967">
        <v>15100</v>
      </c>
      <c r="D965" s="967" t="s">
        <v>2251</v>
      </c>
      <c r="E965" s="967">
        <v>145757</v>
      </c>
      <c r="F965" s="967">
        <v>2140134700</v>
      </c>
      <c r="G965" s="967">
        <v>14200</v>
      </c>
      <c r="H965" s="967">
        <v>15400</v>
      </c>
      <c r="I965" s="967">
        <v>14000</v>
      </c>
      <c r="J965" s="967">
        <v>163406</v>
      </c>
      <c r="K965" s="967">
        <v>10821611</v>
      </c>
    </row>
    <row r="966" spans="2:11" s="1258" customFormat="1" ht="16" hidden="1" outlineLevel="1">
      <c r="B966" s="968" t="s">
        <v>2601</v>
      </c>
      <c r="C966" s="967">
        <v>14500</v>
      </c>
      <c r="D966" s="967" t="s">
        <v>2207</v>
      </c>
      <c r="E966" s="967">
        <v>23801</v>
      </c>
      <c r="F966" s="967">
        <v>342389850</v>
      </c>
      <c r="G966" s="967">
        <v>14150</v>
      </c>
      <c r="H966" s="967">
        <v>14550</v>
      </c>
      <c r="I966" s="967">
        <v>14100</v>
      </c>
      <c r="J966" s="967">
        <v>156913</v>
      </c>
      <c r="K966" s="967">
        <v>10821611</v>
      </c>
    </row>
    <row r="967" spans="2:11" s="1258" customFormat="1" ht="16" hidden="1" outlineLevel="1">
      <c r="B967" s="968" t="s">
        <v>2599</v>
      </c>
      <c r="C967" s="967">
        <v>14450</v>
      </c>
      <c r="D967" s="967" t="s">
        <v>2232</v>
      </c>
      <c r="E967" s="967">
        <v>19737</v>
      </c>
      <c r="F967" s="967">
        <v>285756650</v>
      </c>
      <c r="G967" s="967">
        <v>14350</v>
      </c>
      <c r="H967" s="967">
        <v>14650</v>
      </c>
      <c r="I967" s="967">
        <v>14150</v>
      </c>
      <c r="J967" s="967">
        <v>156372</v>
      </c>
      <c r="K967" s="967">
        <v>10821611</v>
      </c>
    </row>
    <row r="968" spans="2:11" s="1258" customFormat="1" ht="16" hidden="1" outlineLevel="1">
      <c r="B968" s="968" t="s">
        <v>2598</v>
      </c>
      <c r="C968" s="967">
        <v>14250</v>
      </c>
      <c r="D968" s="967" t="s">
        <v>2213</v>
      </c>
      <c r="E968" s="967">
        <v>34715</v>
      </c>
      <c r="F968" s="967">
        <v>487356250</v>
      </c>
      <c r="G968" s="967">
        <v>13950</v>
      </c>
      <c r="H968" s="967">
        <v>14300</v>
      </c>
      <c r="I968" s="967">
        <v>13800</v>
      </c>
      <c r="J968" s="967">
        <v>154208</v>
      </c>
      <c r="K968" s="967">
        <v>10821611</v>
      </c>
    </row>
    <row r="969" spans="2:11" s="1258" customFormat="1" ht="16" hidden="1" outlineLevel="1">
      <c r="B969" s="968" t="s">
        <v>2597</v>
      </c>
      <c r="C969" s="967">
        <v>14000</v>
      </c>
      <c r="D969" s="967" t="s">
        <v>2294</v>
      </c>
      <c r="E969" s="967">
        <v>57986</v>
      </c>
      <c r="F969" s="967">
        <v>830639150</v>
      </c>
      <c r="G969" s="967">
        <v>14300</v>
      </c>
      <c r="H969" s="967">
        <v>14600</v>
      </c>
      <c r="I969" s="967">
        <v>14000</v>
      </c>
      <c r="J969" s="967">
        <v>151503</v>
      </c>
      <c r="K969" s="967">
        <v>10821611</v>
      </c>
    </row>
    <row r="970" spans="2:11" s="1258" customFormat="1" ht="16" hidden="1" outlineLevel="1">
      <c r="B970" s="968" t="s">
        <v>2596</v>
      </c>
      <c r="C970" s="967">
        <v>14550</v>
      </c>
      <c r="D970" s="967" t="s">
        <v>2228</v>
      </c>
      <c r="E970" s="967">
        <v>66374</v>
      </c>
      <c r="F970" s="967">
        <v>989966150</v>
      </c>
      <c r="G970" s="967">
        <v>14700</v>
      </c>
      <c r="H970" s="967">
        <v>15400</v>
      </c>
      <c r="I970" s="967">
        <v>14550</v>
      </c>
      <c r="J970" s="967">
        <v>157454</v>
      </c>
      <c r="K970" s="967">
        <v>10821611</v>
      </c>
    </row>
    <row r="971" spans="2:11" s="1258" customFormat="1" ht="16" hidden="1" outlineLevel="1">
      <c r="B971" s="968" t="s">
        <v>2595</v>
      </c>
      <c r="C971" s="967">
        <v>14650</v>
      </c>
      <c r="D971" s="967" t="s">
        <v>2213</v>
      </c>
      <c r="E971" s="967">
        <v>45310</v>
      </c>
      <c r="F971" s="967">
        <v>657099500</v>
      </c>
      <c r="G971" s="967">
        <v>14900</v>
      </c>
      <c r="H971" s="967">
        <v>14900</v>
      </c>
      <c r="I971" s="967">
        <v>14050</v>
      </c>
      <c r="J971" s="967">
        <v>158537</v>
      </c>
      <c r="K971" s="967">
        <v>10821611</v>
      </c>
    </row>
    <row r="972" spans="2:11" s="1258" customFormat="1" ht="16" hidden="1" outlineLevel="1">
      <c r="B972" s="968" t="s">
        <v>2594</v>
      </c>
      <c r="C972" s="967">
        <v>14400</v>
      </c>
      <c r="D972" s="967" t="s">
        <v>2280</v>
      </c>
      <c r="E972" s="967">
        <v>39555</v>
      </c>
      <c r="F972" s="967">
        <v>582501000</v>
      </c>
      <c r="G972" s="967">
        <v>15000</v>
      </c>
      <c r="H972" s="967">
        <v>15150</v>
      </c>
      <c r="I972" s="967">
        <v>14350</v>
      </c>
      <c r="J972" s="967">
        <v>155831</v>
      </c>
      <c r="K972" s="967">
        <v>10821611</v>
      </c>
    </row>
    <row r="973" spans="2:11" s="1258" customFormat="1" ht="16" hidden="1" outlineLevel="1">
      <c r="B973" s="968" t="s">
        <v>2592</v>
      </c>
      <c r="C973" s="967">
        <v>15150</v>
      </c>
      <c r="D973" s="967" t="s">
        <v>2225</v>
      </c>
      <c r="E973" s="967">
        <v>47560</v>
      </c>
      <c r="F973" s="967">
        <v>717660000</v>
      </c>
      <c r="G973" s="967">
        <v>15200</v>
      </c>
      <c r="H973" s="967">
        <v>15450</v>
      </c>
      <c r="I973" s="967">
        <v>14700</v>
      </c>
      <c r="J973" s="967">
        <v>163947</v>
      </c>
      <c r="K973" s="967">
        <v>10821611</v>
      </c>
    </row>
    <row r="974" spans="2:11" s="1258" customFormat="1" ht="16" hidden="1" outlineLevel="1">
      <c r="B974" s="968" t="s">
        <v>2591</v>
      </c>
      <c r="C974" s="967">
        <v>15300</v>
      </c>
      <c r="D974" s="967" t="s">
        <v>2226</v>
      </c>
      <c r="E974" s="967">
        <v>53310</v>
      </c>
      <c r="F974" s="967">
        <v>817359000</v>
      </c>
      <c r="G974" s="967">
        <v>15500</v>
      </c>
      <c r="H974" s="967">
        <v>15600</v>
      </c>
      <c r="I974" s="967">
        <v>15050</v>
      </c>
      <c r="J974" s="967">
        <v>165571</v>
      </c>
      <c r="K974" s="967">
        <v>10821611</v>
      </c>
    </row>
    <row r="975" spans="2:11" s="1258" customFormat="1" ht="16" hidden="1" outlineLevel="1">
      <c r="B975" s="968" t="s">
        <v>2590</v>
      </c>
      <c r="C975" s="967">
        <v>15350</v>
      </c>
      <c r="D975" s="967" t="s">
        <v>2283</v>
      </c>
      <c r="E975" s="967">
        <v>105542</v>
      </c>
      <c r="F975" s="967">
        <v>1616827700</v>
      </c>
      <c r="G975" s="967">
        <v>15100</v>
      </c>
      <c r="H975" s="967">
        <v>15650</v>
      </c>
      <c r="I975" s="967">
        <v>14800</v>
      </c>
      <c r="J975" s="967">
        <v>166112</v>
      </c>
      <c r="K975" s="967">
        <v>10821611</v>
      </c>
    </row>
    <row r="976" spans="2:11" s="1258" customFormat="1" ht="16" hidden="1" outlineLevel="1">
      <c r="B976" s="968" t="s">
        <v>2589</v>
      </c>
      <c r="C976" s="967">
        <v>14900</v>
      </c>
      <c r="D976" s="967" t="s">
        <v>2217</v>
      </c>
      <c r="E976" s="967">
        <v>114658</v>
      </c>
      <c r="F976" s="967">
        <v>1707534200</v>
      </c>
      <c r="G976" s="967">
        <v>15400</v>
      </c>
      <c r="H976" s="967">
        <v>15400</v>
      </c>
      <c r="I976" s="967">
        <v>14300</v>
      </c>
      <c r="J976" s="967">
        <v>161242</v>
      </c>
      <c r="K976" s="967">
        <v>10821611</v>
      </c>
    </row>
    <row r="977" spans="2:11" s="1258" customFormat="1" ht="16" hidden="1" outlineLevel="1">
      <c r="B977" s="968" t="s">
        <v>2588</v>
      </c>
      <c r="C977" s="967">
        <v>15550</v>
      </c>
      <c r="D977" s="967" t="s">
        <v>2228</v>
      </c>
      <c r="E977" s="967">
        <v>131602</v>
      </c>
      <c r="F977" s="967">
        <v>2068062850</v>
      </c>
      <c r="G977" s="967">
        <v>15600</v>
      </c>
      <c r="H977" s="967">
        <v>16200</v>
      </c>
      <c r="I977" s="967">
        <v>15300</v>
      </c>
      <c r="J977" s="967">
        <v>168276</v>
      </c>
      <c r="K977" s="967">
        <v>10821611</v>
      </c>
    </row>
    <row r="978" spans="2:11" s="1258" customFormat="1" ht="16" hidden="1" outlineLevel="1">
      <c r="B978" s="968" t="s">
        <v>2587</v>
      </c>
      <c r="C978" s="967">
        <v>15650</v>
      </c>
      <c r="D978" s="967" t="s">
        <v>2283</v>
      </c>
      <c r="E978" s="967">
        <v>126062</v>
      </c>
      <c r="F978" s="967">
        <v>1935170300</v>
      </c>
      <c r="G978" s="967">
        <v>15250</v>
      </c>
      <c r="H978" s="967">
        <v>15700</v>
      </c>
      <c r="I978" s="967">
        <v>14800</v>
      </c>
      <c r="J978" s="967">
        <v>169358</v>
      </c>
      <c r="K978" s="967">
        <v>10821611</v>
      </c>
    </row>
    <row r="979" spans="2:11" s="1258" customFormat="1" ht="16" hidden="1" outlineLevel="1">
      <c r="B979" s="968" t="s">
        <v>2586</v>
      </c>
      <c r="C979" s="967">
        <v>15200</v>
      </c>
      <c r="D979" s="967" t="s">
        <v>2293</v>
      </c>
      <c r="E979" s="967">
        <v>193340</v>
      </c>
      <c r="F979" s="967">
        <v>3031036500</v>
      </c>
      <c r="G979" s="967">
        <v>15400</v>
      </c>
      <c r="H979" s="967">
        <v>16350</v>
      </c>
      <c r="I979" s="967">
        <v>15150</v>
      </c>
      <c r="J979" s="967">
        <v>164488</v>
      </c>
      <c r="K979" s="967">
        <v>10821611</v>
      </c>
    </row>
    <row r="980" spans="2:11" s="1258" customFormat="1" ht="16" hidden="1" outlineLevel="1">
      <c r="B980" s="968" t="s">
        <v>2584</v>
      </c>
      <c r="C980" s="967">
        <v>15450</v>
      </c>
      <c r="D980" s="967" t="s">
        <v>2252</v>
      </c>
      <c r="E980" s="967">
        <v>290912</v>
      </c>
      <c r="F980" s="967">
        <v>4415650650</v>
      </c>
      <c r="G980" s="967">
        <v>14250</v>
      </c>
      <c r="H980" s="967">
        <v>15850</v>
      </c>
      <c r="I980" s="967">
        <v>14050</v>
      </c>
      <c r="J980" s="967">
        <v>167194</v>
      </c>
      <c r="K980" s="967">
        <v>10821611</v>
      </c>
    </row>
    <row r="981" spans="2:11" s="1258" customFormat="1" ht="16" hidden="1" outlineLevel="1">
      <c r="B981" s="968" t="s">
        <v>2583</v>
      </c>
      <c r="C981" s="967">
        <v>14350</v>
      </c>
      <c r="D981" s="967" t="s">
        <v>2206</v>
      </c>
      <c r="E981" s="967">
        <v>150834</v>
      </c>
      <c r="F981" s="967">
        <v>2161301800</v>
      </c>
      <c r="G981" s="967">
        <v>13950</v>
      </c>
      <c r="H981" s="967">
        <v>14750</v>
      </c>
      <c r="I981" s="967">
        <v>13850</v>
      </c>
      <c r="J981" s="967">
        <v>155290</v>
      </c>
      <c r="K981" s="967">
        <v>10821611</v>
      </c>
    </row>
    <row r="982" spans="2:11" s="1258" customFormat="1" ht="16" hidden="1" outlineLevel="1">
      <c r="B982" s="968" t="s">
        <v>2582</v>
      </c>
      <c r="C982" s="967">
        <v>13800</v>
      </c>
      <c r="D982" s="967" t="s">
        <v>2210</v>
      </c>
      <c r="E982" s="967">
        <v>152534</v>
      </c>
      <c r="F982" s="967">
        <v>2122473750</v>
      </c>
      <c r="G982" s="967">
        <v>14350</v>
      </c>
      <c r="H982" s="967">
        <v>14400</v>
      </c>
      <c r="I982" s="967">
        <v>13550</v>
      </c>
      <c r="J982" s="967">
        <v>149338</v>
      </c>
      <c r="K982" s="967">
        <v>10821611</v>
      </c>
    </row>
    <row r="983" spans="2:11" s="1258" customFormat="1" ht="16" hidden="1" outlineLevel="1">
      <c r="B983" s="968" t="s">
        <v>2581</v>
      </c>
      <c r="C983" s="967">
        <v>14250</v>
      </c>
      <c r="D983" s="967" t="s">
        <v>2226</v>
      </c>
      <c r="E983" s="967">
        <v>168830</v>
      </c>
      <c r="F983" s="967">
        <v>2424609000</v>
      </c>
      <c r="G983" s="967">
        <v>14250</v>
      </c>
      <c r="H983" s="967">
        <v>14800</v>
      </c>
      <c r="I983" s="967">
        <v>14000</v>
      </c>
      <c r="J983" s="967">
        <v>154208</v>
      </c>
      <c r="K983" s="967">
        <v>10821611</v>
      </c>
    </row>
    <row r="984" spans="2:11" s="1258" customFormat="1" ht="16" hidden="1" outlineLevel="1">
      <c r="B984" s="968" t="s">
        <v>2580</v>
      </c>
      <c r="C984" s="967">
        <v>14300</v>
      </c>
      <c r="D984" s="967" t="s">
        <v>2253</v>
      </c>
      <c r="E984" s="967">
        <v>397757</v>
      </c>
      <c r="F984" s="967">
        <v>5788898750</v>
      </c>
      <c r="G984" s="967">
        <v>15000</v>
      </c>
      <c r="H984" s="967">
        <v>15200</v>
      </c>
      <c r="I984" s="967">
        <v>13850</v>
      </c>
      <c r="J984" s="967">
        <v>154749</v>
      </c>
      <c r="K984" s="967">
        <v>10821611</v>
      </c>
    </row>
    <row r="985" spans="2:11" s="1258" customFormat="1" ht="16" hidden="1" outlineLevel="1">
      <c r="B985" s="968" t="s">
        <v>2578</v>
      </c>
      <c r="C985" s="967">
        <v>15100</v>
      </c>
      <c r="D985" s="967" t="s">
        <v>2240</v>
      </c>
      <c r="E985" s="967">
        <v>320661</v>
      </c>
      <c r="F985" s="967">
        <v>4550326150</v>
      </c>
      <c r="G985" s="967">
        <v>13200</v>
      </c>
      <c r="H985" s="967">
        <v>15150</v>
      </c>
      <c r="I985" s="967">
        <v>13050</v>
      </c>
      <c r="J985" s="967">
        <v>163406</v>
      </c>
      <c r="K985" s="967">
        <v>10821611</v>
      </c>
    </row>
    <row r="986" spans="2:11" s="1258" customFormat="1" ht="16" hidden="1" outlineLevel="1">
      <c r="B986" s="968" t="s">
        <v>2577</v>
      </c>
      <c r="C986" s="967">
        <v>13200</v>
      </c>
      <c r="D986" s="967" t="s">
        <v>1826</v>
      </c>
      <c r="E986" s="967">
        <v>93239</v>
      </c>
      <c r="F986" s="967">
        <v>1227039300</v>
      </c>
      <c r="G986" s="967">
        <v>12700</v>
      </c>
      <c r="H986" s="967">
        <v>13450</v>
      </c>
      <c r="I986" s="967">
        <v>12650</v>
      </c>
      <c r="J986" s="967">
        <v>142845</v>
      </c>
      <c r="K986" s="967">
        <v>10821611</v>
      </c>
    </row>
    <row r="987" spans="2:11" s="1258" customFormat="1" ht="16" hidden="1" outlineLevel="1">
      <c r="B987" s="968" t="s">
        <v>2576</v>
      </c>
      <c r="C987" s="967">
        <v>12700</v>
      </c>
      <c r="D987" s="967" t="s">
        <v>2224</v>
      </c>
      <c r="E987" s="967">
        <v>153954</v>
      </c>
      <c r="F987" s="967">
        <v>2059740800</v>
      </c>
      <c r="G987" s="967">
        <v>12900</v>
      </c>
      <c r="H987" s="967">
        <v>13800</v>
      </c>
      <c r="I987" s="967">
        <v>12700</v>
      </c>
      <c r="J987" s="967">
        <v>137434</v>
      </c>
      <c r="K987" s="967">
        <v>10821611</v>
      </c>
    </row>
    <row r="988" spans="2:11" s="1258" customFormat="1" ht="16" hidden="1" outlineLevel="1">
      <c r="B988" s="968" t="s">
        <v>2575</v>
      </c>
      <c r="C988" s="967">
        <v>12900</v>
      </c>
      <c r="D988" s="967" t="s">
        <v>2219</v>
      </c>
      <c r="E988" s="967">
        <v>258378</v>
      </c>
      <c r="F988" s="967">
        <v>3356146700</v>
      </c>
      <c r="G988" s="967">
        <v>12350</v>
      </c>
      <c r="H988" s="967">
        <v>13450</v>
      </c>
      <c r="I988" s="967">
        <v>12300</v>
      </c>
      <c r="J988" s="967">
        <v>139599</v>
      </c>
      <c r="K988" s="967">
        <v>10821611</v>
      </c>
    </row>
    <row r="989" spans="2:11" s="1258" customFormat="1" ht="16" hidden="1" outlineLevel="1">
      <c r="B989" s="968" t="s">
        <v>2574</v>
      </c>
      <c r="C989" s="967">
        <v>12750</v>
      </c>
      <c r="D989" s="967" t="s">
        <v>2212</v>
      </c>
      <c r="E989" s="967">
        <v>45584</v>
      </c>
      <c r="F989" s="967">
        <v>582542500</v>
      </c>
      <c r="G989" s="967">
        <v>12700</v>
      </c>
      <c r="H989" s="967">
        <v>12900</v>
      </c>
      <c r="I989" s="967">
        <v>12650</v>
      </c>
      <c r="J989" s="967">
        <v>137976</v>
      </c>
      <c r="K989" s="967">
        <v>10821611</v>
      </c>
    </row>
    <row r="990" spans="2:11" s="1258" customFormat="1" ht="16" hidden="1" outlineLevel="1">
      <c r="B990" s="968" t="s">
        <v>2572</v>
      </c>
      <c r="C990" s="967">
        <v>12650</v>
      </c>
      <c r="D990" s="967" t="s">
        <v>2219</v>
      </c>
      <c r="E990" s="967">
        <v>42720</v>
      </c>
      <c r="F990" s="967">
        <v>542517500</v>
      </c>
      <c r="G990" s="967">
        <v>12550</v>
      </c>
      <c r="H990" s="967">
        <v>12850</v>
      </c>
      <c r="I990" s="967">
        <v>12500</v>
      </c>
      <c r="J990" s="967">
        <v>136893</v>
      </c>
      <c r="K990" s="967">
        <v>10821611</v>
      </c>
    </row>
    <row r="991" spans="2:11" s="1258" customFormat="1" ht="16" hidden="1" outlineLevel="1">
      <c r="B991" s="968" t="s">
        <v>2571</v>
      </c>
      <c r="C991" s="967">
        <v>12500</v>
      </c>
      <c r="D991" s="967" t="s">
        <v>2213</v>
      </c>
      <c r="E991" s="967">
        <v>27237</v>
      </c>
      <c r="F991" s="967">
        <v>341728000</v>
      </c>
      <c r="G991" s="967">
        <v>12550</v>
      </c>
      <c r="H991" s="967">
        <v>12700</v>
      </c>
      <c r="I991" s="967">
        <v>12350</v>
      </c>
      <c r="J991" s="967">
        <v>135270</v>
      </c>
      <c r="K991" s="967">
        <v>10821611</v>
      </c>
    </row>
    <row r="992" spans="2:11" s="1258" customFormat="1" ht="16" hidden="1" outlineLevel="1">
      <c r="B992" s="968" t="s">
        <v>2569</v>
      </c>
      <c r="C992" s="967">
        <v>12250</v>
      </c>
      <c r="D992" s="967" t="s">
        <v>2232</v>
      </c>
      <c r="E992" s="967">
        <v>27380</v>
      </c>
      <c r="F992" s="967">
        <v>336704000</v>
      </c>
      <c r="G992" s="967">
        <v>12300</v>
      </c>
      <c r="H992" s="967">
        <v>12500</v>
      </c>
      <c r="I992" s="967">
        <v>12100</v>
      </c>
      <c r="J992" s="967">
        <v>132565</v>
      </c>
      <c r="K992" s="967">
        <v>10821611</v>
      </c>
    </row>
    <row r="993" spans="2:11" s="1258" customFormat="1" ht="16" hidden="1" outlineLevel="1">
      <c r="B993" s="968" t="s">
        <v>2567</v>
      </c>
      <c r="C993" s="967">
        <v>12050</v>
      </c>
      <c r="D993" s="967" t="s">
        <v>2221</v>
      </c>
      <c r="E993" s="967">
        <v>100696</v>
      </c>
      <c r="F993" s="967">
        <v>1214166800</v>
      </c>
      <c r="G993" s="967">
        <v>11850</v>
      </c>
      <c r="H993" s="967">
        <v>12300</v>
      </c>
      <c r="I993" s="967">
        <v>11850</v>
      </c>
      <c r="J993" s="967">
        <v>130400</v>
      </c>
      <c r="K993" s="967">
        <v>10821611</v>
      </c>
    </row>
    <row r="994" spans="2:11" s="1258" customFormat="1" ht="16" hidden="1" outlineLevel="1">
      <c r="B994" s="968" t="s">
        <v>2566</v>
      </c>
      <c r="C994" s="967">
        <v>12050</v>
      </c>
      <c r="D994" s="967" t="s">
        <v>2232</v>
      </c>
      <c r="E994" s="967">
        <v>10140</v>
      </c>
      <c r="F994" s="967">
        <v>122143500</v>
      </c>
      <c r="G994" s="967">
        <v>12150</v>
      </c>
      <c r="H994" s="967">
        <v>12500</v>
      </c>
      <c r="I994" s="967">
        <v>11900</v>
      </c>
      <c r="J994" s="967">
        <v>130400</v>
      </c>
      <c r="K994" s="967">
        <v>10821611</v>
      </c>
    </row>
    <row r="995" spans="2:11" s="1258" customFormat="1" ht="16" hidden="1" outlineLevel="1">
      <c r="B995" s="968" t="s">
        <v>2564</v>
      </c>
      <c r="C995" s="967">
        <v>11850</v>
      </c>
      <c r="D995" s="967" t="s">
        <v>2234</v>
      </c>
      <c r="E995" s="967">
        <v>35710</v>
      </c>
      <c r="F995" s="967">
        <v>421941000</v>
      </c>
      <c r="G995" s="967">
        <v>12050</v>
      </c>
      <c r="H995" s="967">
        <v>12450</v>
      </c>
      <c r="I995" s="967">
        <v>11000</v>
      </c>
      <c r="J995" s="967">
        <v>128236</v>
      </c>
      <c r="K995" s="967">
        <v>10821611</v>
      </c>
    </row>
    <row r="996" spans="2:11" s="1258" customFormat="1" ht="16" hidden="1" outlineLevel="1">
      <c r="B996" s="968" t="s">
        <v>2563</v>
      </c>
      <c r="C996" s="967">
        <v>12550</v>
      </c>
      <c r="D996" s="967" t="s">
        <v>2215</v>
      </c>
      <c r="E996" s="967">
        <v>99819</v>
      </c>
      <c r="F996" s="967">
        <v>1267730950</v>
      </c>
      <c r="G996" s="967">
        <v>12500</v>
      </c>
      <c r="H996" s="967">
        <v>12850</v>
      </c>
      <c r="I996" s="967">
        <v>12350</v>
      </c>
      <c r="J996" s="967">
        <v>135811</v>
      </c>
      <c r="K996" s="967">
        <v>10821611</v>
      </c>
    </row>
    <row r="997" spans="2:11" s="1258" customFormat="1" ht="16" hidden="1" outlineLevel="1">
      <c r="B997" s="968" t="s">
        <v>2562</v>
      </c>
      <c r="C997" s="967">
        <v>12850</v>
      </c>
      <c r="D997" s="967" t="s">
        <v>2207</v>
      </c>
      <c r="E997" s="967">
        <v>81721</v>
      </c>
      <c r="F997" s="967">
        <v>1020053850</v>
      </c>
      <c r="G997" s="967">
        <v>12200</v>
      </c>
      <c r="H997" s="967">
        <v>12900</v>
      </c>
      <c r="I997" s="967">
        <v>11250</v>
      </c>
      <c r="J997" s="967">
        <v>139058</v>
      </c>
      <c r="K997" s="967">
        <v>10821611</v>
      </c>
    </row>
    <row r="998" spans="2:11" s="1258" customFormat="1" ht="16" hidden="1" outlineLevel="1">
      <c r="B998" s="968" t="s">
        <v>2561</v>
      </c>
      <c r="C998" s="967">
        <v>12800</v>
      </c>
      <c r="D998" s="967" t="s">
        <v>2224</v>
      </c>
      <c r="E998" s="967">
        <v>76170</v>
      </c>
      <c r="F998" s="967">
        <v>972549000</v>
      </c>
      <c r="G998" s="967">
        <v>13050</v>
      </c>
      <c r="H998" s="967">
        <v>13200</v>
      </c>
      <c r="I998" s="967">
        <v>12600</v>
      </c>
      <c r="J998" s="967">
        <v>138517</v>
      </c>
      <c r="K998" s="967">
        <v>10821611</v>
      </c>
    </row>
    <row r="999" spans="2:11" s="1258" customFormat="1" ht="16" hidden="1" outlineLevel="1">
      <c r="B999" s="968" t="s">
        <v>2560</v>
      </c>
      <c r="C999" s="967">
        <v>13000</v>
      </c>
      <c r="D999" s="967" t="s">
        <v>2293</v>
      </c>
      <c r="E999" s="967">
        <v>137741</v>
      </c>
      <c r="F999" s="967">
        <v>1843312500</v>
      </c>
      <c r="G999" s="967">
        <v>13350</v>
      </c>
      <c r="H999" s="967">
        <v>13800</v>
      </c>
      <c r="I999" s="967">
        <v>12750</v>
      </c>
      <c r="J999" s="967">
        <v>140681</v>
      </c>
      <c r="K999" s="967">
        <v>10821611</v>
      </c>
    </row>
    <row r="1000" spans="2:11" s="1258" customFormat="1" ht="16" hidden="1" outlineLevel="1">
      <c r="B1000" s="968" t="s">
        <v>2559</v>
      </c>
      <c r="C1000" s="967">
        <v>13250</v>
      </c>
      <c r="D1000" s="967" t="s">
        <v>2283</v>
      </c>
      <c r="E1000" s="967">
        <v>163750</v>
      </c>
      <c r="F1000" s="967">
        <v>2145104000</v>
      </c>
      <c r="G1000" s="967">
        <v>12800</v>
      </c>
      <c r="H1000" s="967">
        <v>13250</v>
      </c>
      <c r="I1000" s="967">
        <v>12750</v>
      </c>
      <c r="J1000" s="967">
        <v>143386</v>
      </c>
      <c r="K1000" s="967">
        <v>10821611</v>
      </c>
    </row>
    <row r="1001" spans="2:11" s="1258" customFormat="1" ht="16" hidden="1" outlineLevel="1">
      <c r="B1001" s="968" t="s">
        <v>2557</v>
      </c>
      <c r="C1001" s="967">
        <v>12800</v>
      </c>
      <c r="D1001" s="967" t="s">
        <v>2219</v>
      </c>
      <c r="E1001" s="967">
        <v>47430</v>
      </c>
      <c r="F1001" s="967">
        <v>604746500</v>
      </c>
      <c r="G1001" s="967">
        <v>12500</v>
      </c>
      <c r="H1001" s="967">
        <v>12950</v>
      </c>
      <c r="I1001" s="967">
        <v>12500</v>
      </c>
      <c r="J1001" s="967">
        <v>138517</v>
      </c>
      <c r="K1001" s="967">
        <v>10821611</v>
      </c>
    </row>
    <row r="1002" spans="2:11" s="1258" customFormat="1" ht="16" hidden="1" outlineLevel="1">
      <c r="B1002" s="968" t="s">
        <v>2555</v>
      </c>
      <c r="C1002" s="967">
        <v>12650</v>
      </c>
      <c r="D1002" s="967" t="s">
        <v>2228</v>
      </c>
      <c r="E1002" s="967">
        <v>19320</v>
      </c>
      <c r="F1002" s="967">
        <v>246159500</v>
      </c>
      <c r="G1002" s="967">
        <v>12750</v>
      </c>
      <c r="H1002" s="967">
        <v>12800</v>
      </c>
      <c r="I1002" s="967">
        <v>12650</v>
      </c>
      <c r="J1002" s="967">
        <v>136893</v>
      </c>
      <c r="K1002" s="967">
        <v>10821611</v>
      </c>
    </row>
    <row r="1003" spans="2:11" s="1258" customFormat="1" ht="16" hidden="1" outlineLevel="1">
      <c r="B1003" s="968" t="s">
        <v>2554</v>
      </c>
      <c r="C1003" s="967">
        <v>12750</v>
      </c>
      <c r="D1003" s="967" t="s">
        <v>2207</v>
      </c>
      <c r="E1003" s="967">
        <v>37640</v>
      </c>
      <c r="F1003" s="967">
        <v>476928500</v>
      </c>
      <c r="G1003" s="967">
        <v>12650</v>
      </c>
      <c r="H1003" s="967">
        <v>12800</v>
      </c>
      <c r="I1003" s="967">
        <v>12500</v>
      </c>
      <c r="J1003" s="967">
        <v>137976</v>
      </c>
      <c r="K1003" s="967">
        <v>10821611</v>
      </c>
    </row>
    <row r="1004" spans="2:11" s="1258" customFormat="1" ht="16" hidden="1" outlineLevel="1">
      <c r="B1004" s="968" t="s">
        <v>2552</v>
      </c>
      <c r="C1004" s="967">
        <v>12700</v>
      </c>
      <c r="D1004" s="967" t="s">
        <v>2207</v>
      </c>
      <c r="E1004" s="967">
        <v>7470</v>
      </c>
      <c r="F1004" s="967">
        <v>94393000</v>
      </c>
      <c r="G1004" s="967">
        <v>12700</v>
      </c>
      <c r="H1004" s="967">
        <v>12700</v>
      </c>
      <c r="I1004" s="967">
        <v>12600</v>
      </c>
      <c r="J1004" s="967">
        <v>137434</v>
      </c>
      <c r="K1004" s="967">
        <v>10821611</v>
      </c>
    </row>
    <row r="1005" spans="2:11" s="1258" customFormat="1" ht="16" hidden="1" outlineLevel="1">
      <c r="B1005" s="968" t="s">
        <v>2550</v>
      </c>
      <c r="C1005" s="967">
        <v>12650</v>
      </c>
      <c r="D1005" s="967" t="s">
        <v>2207</v>
      </c>
      <c r="E1005" s="967">
        <v>7153</v>
      </c>
      <c r="F1005" s="967">
        <v>90204950</v>
      </c>
      <c r="G1005" s="967">
        <v>12600</v>
      </c>
      <c r="H1005" s="967">
        <v>12800</v>
      </c>
      <c r="I1005" s="967">
        <v>12500</v>
      </c>
      <c r="J1005" s="967">
        <v>136893</v>
      </c>
      <c r="K1005" s="967">
        <v>10821611</v>
      </c>
    </row>
    <row r="1006" spans="2:11" s="1258" customFormat="1" ht="16" hidden="1" outlineLevel="1">
      <c r="B1006" s="968" t="s">
        <v>2549</v>
      </c>
      <c r="C1006" s="967">
        <v>12600</v>
      </c>
      <c r="D1006" s="967" t="s">
        <v>2225</v>
      </c>
      <c r="E1006" s="967">
        <v>15280</v>
      </c>
      <c r="F1006" s="967">
        <v>194826500</v>
      </c>
      <c r="G1006" s="967">
        <v>12750</v>
      </c>
      <c r="H1006" s="967">
        <v>12800</v>
      </c>
      <c r="I1006" s="967">
        <v>12600</v>
      </c>
      <c r="J1006" s="967">
        <v>136352</v>
      </c>
      <c r="K1006" s="967">
        <v>10821611</v>
      </c>
    </row>
    <row r="1007" spans="2:11" s="1258" customFormat="1" ht="16" hidden="1" outlineLevel="1">
      <c r="B1007" s="968" t="s">
        <v>2548</v>
      </c>
      <c r="C1007" s="967">
        <v>12750</v>
      </c>
      <c r="D1007" s="967" t="s">
        <v>2221</v>
      </c>
      <c r="E1007" s="967">
        <v>14160</v>
      </c>
      <c r="F1007" s="967">
        <v>180029500</v>
      </c>
      <c r="G1007" s="967">
        <v>12750</v>
      </c>
      <c r="H1007" s="967">
        <v>12800</v>
      </c>
      <c r="I1007" s="967">
        <v>12650</v>
      </c>
      <c r="J1007" s="967">
        <v>137976</v>
      </c>
      <c r="K1007" s="967">
        <v>10821611</v>
      </c>
    </row>
    <row r="1008" spans="2:11" s="1258" customFormat="1" ht="16" hidden="1" outlineLevel="1">
      <c r="B1008" s="968" t="s">
        <v>2546</v>
      </c>
      <c r="C1008" s="967">
        <v>12750</v>
      </c>
      <c r="D1008" s="967" t="s">
        <v>2226</v>
      </c>
      <c r="E1008" s="967">
        <v>9690</v>
      </c>
      <c r="F1008" s="967">
        <v>122699500</v>
      </c>
      <c r="G1008" s="967">
        <v>12850</v>
      </c>
      <c r="H1008" s="967">
        <v>12850</v>
      </c>
      <c r="I1008" s="967">
        <v>12600</v>
      </c>
      <c r="J1008" s="967">
        <v>137976</v>
      </c>
      <c r="K1008" s="967">
        <v>10821611</v>
      </c>
    </row>
    <row r="1009" spans="2:11" s="1258" customFormat="1" ht="16" hidden="1" outlineLevel="1">
      <c r="B1009" s="968" t="s">
        <v>2545</v>
      </c>
      <c r="C1009" s="967">
        <v>12800</v>
      </c>
      <c r="D1009" s="967" t="s">
        <v>2221</v>
      </c>
      <c r="E1009" s="967">
        <v>11990</v>
      </c>
      <c r="F1009" s="967">
        <v>154153500</v>
      </c>
      <c r="G1009" s="967">
        <v>12800</v>
      </c>
      <c r="H1009" s="967">
        <v>12950</v>
      </c>
      <c r="I1009" s="967">
        <v>12700</v>
      </c>
      <c r="J1009" s="967">
        <v>138517</v>
      </c>
      <c r="K1009" s="967">
        <v>10821611</v>
      </c>
    </row>
    <row r="1010" spans="2:11" s="1258" customFormat="1" ht="16" hidden="1" outlineLevel="1">
      <c r="B1010" s="968" t="s">
        <v>2544</v>
      </c>
      <c r="C1010" s="967">
        <v>12800</v>
      </c>
      <c r="D1010" s="967" t="s">
        <v>2226</v>
      </c>
      <c r="E1010" s="967">
        <v>23740</v>
      </c>
      <c r="F1010" s="967">
        <v>300477000</v>
      </c>
      <c r="G1010" s="967">
        <v>12900</v>
      </c>
      <c r="H1010" s="967">
        <v>12900</v>
      </c>
      <c r="I1010" s="967">
        <v>12500</v>
      </c>
      <c r="J1010" s="967">
        <v>138517</v>
      </c>
      <c r="K1010" s="967">
        <v>10821611</v>
      </c>
    </row>
    <row r="1011" spans="2:11" s="1258" customFormat="1" ht="16" hidden="1" outlineLevel="1">
      <c r="B1011" s="968" t="s">
        <v>2543</v>
      </c>
      <c r="C1011" s="967">
        <v>12850</v>
      </c>
      <c r="D1011" s="967" t="s">
        <v>2213</v>
      </c>
      <c r="E1011" s="967">
        <v>17620</v>
      </c>
      <c r="F1011" s="967">
        <v>225349500</v>
      </c>
      <c r="G1011" s="967">
        <v>12850</v>
      </c>
      <c r="H1011" s="967">
        <v>12850</v>
      </c>
      <c r="I1011" s="967">
        <v>12700</v>
      </c>
      <c r="J1011" s="967">
        <v>139058</v>
      </c>
      <c r="K1011" s="967">
        <v>10821611</v>
      </c>
    </row>
    <row r="1012" spans="2:11" s="1258" customFormat="1" ht="16" hidden="1" outlineLevel="1">
      <c r="B1012" s="968" t="s">
        <v>2541</v>
      </c>
      <c r="C1012" s="967">
        <v>12600</v>
      </c>
      <c r="D1012" s="967" t="s">
        <v>2228</v>
      </c>
      <c r="E1012" s="967">
        <v>9940</v>
      </c>
      <c r="F1012" s="967">
        <v>125889500</v>
      </c>
      <c r="G1012" s="967">
        <v>12750</v>
      </c>
      <c r="H1012" s="967">
        <v>12850</v>
      </c>
      <c r="I1012" s="967">
        <v>12600</v>
      </c>
      <c r="J1012" s="967">
        <v>136352</v>
      </c>
      <c r="K1012" s="967">
        <v>10821611</v>
      </c>
    </row>
    <row r="1013" spans="2:11" s="1258" customFormat="1" ht="16" hidden="1" outlineLevel="1">
      <c r="B1013" s="968" t="s">
        <v>2540</v>
      </c>
      <c r="C1013" s="967">
        <v>12700</v>
      </c>
      <c r="D1013" s="967" t="s">
        <v>2219</v>
      </c>
      <c r="E1013" s="967">
        <v>18780</v>
      </c>
      <c r="F1013" s="967">
        <v>238895500</v>
      </c>
      <c r="G1013" s="967">
        <v>12550</v>
      </c>
      <c r="H1013" s="967">
        <v>12850</v>
      </c>
      <c r="I1013" s="967">
        <v>12550</v>
      </c>
      <c r="J1013" s="967">
        <v>137434</v>
      </c>
      <c r="K1013" s="967">
        <v>10821611</v>
      </c>
    </row>
    <row r="1014" spans="2:11" s="1258" customFormat="1" ht="16" hidden="1" outlineLevel="1">
      <c r="B1014" s="968" t="s">
        <v>2539</v>
      </c>
      <c r="C1014" s="967">
        <v>12550</v>
      </c>
      <c r="D1014" s="967" t="s">
        <v>2221</v>
      </c>
      <c r="E1014" s="967">
        <v>5040</v>
      </c>
      <c r="F1014" s="967">
        <v>63671000</v>
      </c>
      <c r="G1014" s="967">
        <v>12600</v>
      </c>
      <c r="H1014" s="967">
        <v>12750</v>
      </c>
      <c r="I1014" s="967">
        <v>12550</v>
      </c>
      <c r="J1014" s="967">
        <v>135811</v>
      </c>
      <c r="K1014" s="967">
        <v>10821611</v>
      </c>
    </row>
    <row r="1015" spans="2:11" s="1258" customFormat="1" ht="16" hidden="1" outlineLevel="1">
      <c r="B1015" s="968" t="s">
        <v>2538</v>
      </c>
      <c r="C1015" s="967">
        <v>12550</v>
      </c>
      <c r="D1015" s="967" t="s">
        <v>2215</v>
      </c>
      <c r="E1015" s="967">
        <v>16850</v>
      </c>
      <c r="F1015" s="967">
        <v>211602000</v>
      </c>
      <c r="G1015" s="967">
        <v>12850</v>
      </c>
      <c r="H1015" s="967">
        <v>12850</v>
      </c>
      <c r="I1015" s="967">
        <v>12400</v>
      </c>
      <c r="J1015" s="967">
        <v>135811</v>
      </c>
      <c r="K1015" s="967">
        <v>10821611</v>
      </c>
    </row>
    <row r="1016" spans="2:11" s="1258" customFormat="1" ht="16" hidden="1" outlineLevel="1">
      <c r="B1016" s="968" t="s">
        <v>2537</v>
      </c>
      <c r="C1016" s="967">
        <v>12850</v>
      </c>
      <c r="D1016" s="967" t="s">
        <v>2225</v>
      </c>
      <c r="E1016" s="967">
        <v>16700</v>
      </c>
      <c r="F1016" s="967">
        <v>214190000</v>
      </c>
      <c r="G1016" s="967">
        <v>13150</v>
      </c>
      <c r="H1016" s="967">
        <v>13150</v>
      </c>
      <c r="I1016" s="967">
        <v>12700</v>
      </c>
      <c r="J1016" s="967">
        <v>139058</v>
      </c>
      <c r="K1016" s="967">
        <v>10821611</v>
      </c>
    </row>
    <row r="1017" spans="2:11" s="1258" customFormat="1" ht="16" hidden="1" outlineLevel="1">
      <c r="B1017" s="968" t="s">
        <v>2536</v>
      </c>
      <c r="C1017" s="967">
        <v>13000</v>
      </c>
      <c r="D1017" s="967" t="s">
        <v>2232</v>
      </c>
      <c r="E1017" s="967">
        <v>74720</v>
      </c>
      <c r="F1017" s="967">
        <v>964663000</v>
      </c>
      <c r="G1017" s="967">
        <v>12800</v>
      </c>
      <c r="H1017" s="967">
        <v>13200</v>
      </c>
      <c r="I1017" s="967">
        <v>12800</v>
      </c>
      <c r="J1017" s="967">
        <v>140681</v>
      </c>
      <c r="K1017" s="967">
        <v>10821611</v>
      </c>
    </row>
    <row r="1018" spans="2:11" s="1258" customFormat="1" ht="16" hidden="1" outlineLevel="1">
      <c r="B1018" s="968" t="s">
        <v>2535</v>
      </c>
      <c r="C1018" s="967">
        <v>12800</v>
      </c>
      <c r="D1018" s="967" t="s">
        <v>2214</v>
      </c>
      <c r="E1018" s="967">
        <v>42580</v>
      </c>
      <c r="F1018" s="967">
        <v>537696500</v>
      </c>
      <c r="G1018" s="967">
        <v>12500</v>
      </c>
      <c r="H1018" s="967">
        <v>12800</v>
      </c>
      <c r="I1018" s="967">
        <v>12350</v>
      </c>
      <c r="J1018" s="967">
        <v>138517</v>
      </c>
      <c r="K1018" s="967">
        <v>10821611</v>
      </c>
    </row>
    <row r="1019" spans="2:11" s="1258" customFormat="1" ht="16" hidden="1" outlineLevel="1">
      <c r="B1019" s="968" t="s">
        <v>2534</v>
      </c>
      <c r="C1019" s="967">
        <v>12400</v>
      </c>
      <c r="D1019" s="967" t="s">
        <v>2214</v>
      </c>
      <c r="E1019" s="967">
        <v>112991</v>
      </c>
      <c r="F1019" s="967">
        <v>1369740400</v>
      </c>
      <c r="G1019" s="967">
        <v>12150</v>
      </c>
      <c r="H1019" s="967">
        <v>12450</v>
      </c>
      <c r="I1019" s="967">
        <v>11950</v>
      </c>
      <c r="J1019" s="967">
        <v>134188</v>
      </c>
      <c r="K1019" s="967">
        <v>10821611</v>
      </c>
    </row>
    <row r="1020" spans="2:11" s="1258" customFormat="1" ht="16" hidden="1" outlineLevel="1">
      <c r="B1020" s="968" t="s">
        <v>2533</v>
      </c>
      <c r="C1020" s="967">
        <v>12000</v>
      </c>
      <c r="D1020" s="967" t="s">
        <v>2219</v>
      </c>
      <c r="E1020" s="967">
        <v>16510</v>
      </c>
      <c r="F1020" s="967">
        <v>198272000</v>
      </c>
      <c r="G1020" s="967">
        <v>11850</v>
      </c>
      <c r="H1020" s="967">
        <v>12100</v>
      </c>
      <c r="I1020" s="967">
        <v>11850</v>
      </c>
      <c r="J1020" s="967">
        <v>129859</v>
      </c>
      <c r="K1020" s="967">
        <v>10821611</v>
      </c>
    </row>
    <row r="1021" spans="2:11" s="1258" customFormat="1" ht="16" hidden="1" outlineLevel="1">
      <c r="B1021" s="968" t="s">
        <v>2532</v>
      </c>
      <c r="C1021" s="967">
        <v>11850</v>
      </c>
      <c r="D1021" s="967" t="s">
        <v>2212</v>
      </c>
      <c r="E1021" s="967">
        <v>29452</v>
      </c>
      <c r="F1021" s="967">
        <v>349131700</v>
      </c>
      <c r="G1021" s="967">
        <v>11800</v>
      </c>
      <c r="H1021" s="967">
        <v>12000</v>
      </c>
      <c r="I1021" s="967">
        <v>11800</v>
      </c>
      <c r="J1021" s="967">
        <v>128236</v>
      </c>
      <c r="K1021" s="967">
        <v>10821611</v>
      </c>
    </row>
    <row r="1022" spans="2:11" s="1258" customFormat="1" ht="16" hidden="1" outlineLevel="1">
      <c r="B1022" s="968" t="s">
        <v>2531</v>
      </c>
      <c r="C1022" s="967">
        <v>11750</v>
      </c>
      <c r="D1022" s="967" t="s">
        <v>2226</v>
      </c>
      <c r="E1022" s="967">
        <v>25950</v>
      </c>
      <c r="F1022" s="967">
        <v>308175500</v>
      </c>
      <c r="G1022" s="967">
        <v>12050</v>
      </c>
      <c r="H1022" s="967">
        <v>12100</v>
      </c>
      <c r="I1022" s="967">
        <v>11600</v>
      </c>
      <c r="J1022" s="967">
        <v>127154</v>
      </c>
      <c r="K1022" s="967">
        <v>10821611</v>
      </c>
    </row>
    <row r="1023" spans="2:11" s="1258" customFormat="1" ht="16" hidden="1" outlineLevel="1">
      <c r="B1023" s="968" t="s">
        <v>2530</v>
      </c>
      <c r="C1023" s="967">
        <v>11800</v>
      </c>
      <c r="D1023" s="967" t="s">
        <v>1826</v>
      </c>
      <c r="E1023" s="967">
        <v>44101</v>
      </c>
      <c r="F1023" s="967">
        <v>507042300</v>
      </c>
      <c r="G1023" s="967">
        <v>11300</v>
      </c>
      <c r="H1023" s="967">
        <v>11800</v>
      </c>
      <c r="I1023" s="967">
        <v>11250</v>
      </c>
      <c r="J1023" s="967">
        <v>127695</v>
      </c>
      <c r="K1023" s="967">
        <v>10821611</v>
      </c>
    </row>
    <row r="1024" spans="2:11" s="1258" customFormat="1" ht="16" hidden="1" outlineLevel="1">
      <c r="B1024" s="968" t="s">
        <v>2528</v>
      </c>
      <c r="C1024" s="967">
        <v>11300</v>
      </c>
      <c r="D1024" s="967" t="s">
        <v>2228</v>
      </c>
      <c r="E1024" s="967">
        <v>27146</v>
      </c>
      <c r="F1024" s="967">
        <v>308244300</v>
      </c>
      <c r="G1024" s="967">
        <v>11600</v>
      </c>
      <c r="H1024" s="967">
        <v>11600</v>
      </c>
      <c r="I1024" s="967">
        <v>11300</v>
      </c>
      <c r="J1024" s="967">
        <v>122284</v>
      </c>
      <c r="K1024" s="967">
        <v>10821611</v>
      </c>
    </row>
    <row r="1025" spans="2:11" s="1258" customFormat="1" ht="16" hidden="1" outlineLevel="1">
      <c r="B1025" s="968" t="s">
        <v>2527</v>
      </c>
      <c r="C1025" s="967">
        <v>11400</v>
      </c>
      <c r="D1025" s="967" t="s">
        <v>2228</v>
      </c>
      <c r="E1025" s="967">
        <v>7578</v>
      </c>
      <c r="F1025" s="967">
        <v>86720200</v>
      </c>
      <c r="G1025" s="967">
        <v>11600</v>
      </c>
      <c r="H1025" s="967">
        <v>11650</v>
      </c>
      <c r="I1025" s="967">
        <v>11400</v>
      </c>
      <c r="J1025" s="967">
        <v>123366</v>
      </c>
      <c r="K1025" s="967">
        <v>10821611</v>
      </c>
    </row>
    <row r="1026" spans="2:11" s="1258" customFormat="1" ht="16" hidden="1" outlineLevel="1">
      <c r="B1026" s="968" t="s">
        <v>2525</v>
      </c>
      <c r="C1026" s="967">
        <v>11500</v>
      </c>
      <c r="D1026" s="967" t="s">
        <v>2213</v>
      </c>
      <c r="E1026" s="967">
        <v>10050</v>
      </c>
      <c r="F1026" s="967">
        <v>115243500</v>
      </c>
      <c r="G1026" s="967">
        <v>11450</v>
      </c>
      <c r="H1026" s="967">
        <v>11550</v>
      </c>
      <c r="I1026" s="967">
        <v>11250</v>
      </c>
      <c r="J1026" s="967">
        <v>124449</v>
      </c>
      <c r="K1026" s="967">
        <v>10821611</v>
      </c>
    </row>
    <row r="1027" spans="2:11" s="1258" customFormat="1" ht="16" hidden="1" outlineLevel="1">
      <c r="B1027" s="968" t="s">
        <v>2524</v>
      </c>
      <c r="C1027" s="967">
        <v>11250</v>
      </c>
      <c r="D1027" s="967" t="s">
        <v>2225</v>
      </c>
      <c r="E1027" s="967">
        <v>63220</v>
      </c>
      <c r="F1027" s="967">
        <v>717475000</v>
      </c>
      <c r="G1027" s="967">
        <v>11400</v>
      </c>
      <c r="H1027" s="967">
        <v>11500</v>
      </c>
      <c r="I1027" s="967">
        <v>11250</v>
      </c>
      <c r="J1027" s="967">
        <v>121743</v>
      </c>
      <c r="K1027" s="967">
        <v>10821611</v>
      </c>
    </row>
    <row r="1028" spans="2:11" s="1258" customFormat="1" ht="16" hidden="1" outlineLevel="1">
      <c r="B1028" s="968" t="s">
        <v>2523</v>
      </c>
      <c r="C1028" s="967">
        <v>11400</v>
      </c>
      <c r="D1028" s="967" t="s">
        <v>2226</v>
      </c>
      <c r="E1028" s="967">
        <v>10438</v>
      </c>
      <c r="F1028" s="967">
        <v>119210700</v>
      </c>
      <c r="G1028" s="967">
        <v>11850</v>
      </c>
      <c r="H1028" s="967">
        <v>11850</v>
      </c>
      <c r="I1028" s="967">
        <v>11300</v>
      </c>
      <c r="J1028" s="967">
        <v>123366</v>
      </c>
      <c r="K1028" s="967">
        <v>10821611</v>
      </c>
    </row>
    <row r="1029" spans="2:11" s="1258" customFormat="1" ht="16" hidden="1" outlineLevel="1">
      <c r="B1029" s="968" t="s">
        <v>2522</v>
      </c>
      <c r="C1029" s="967">
        <v>11450</v>
      </c>
      <c r="D1029" s="967" t="s">
        <v>2225</v>
      </c>
      <c r="E1029" s="967">
        <v>6660</v>
      </c>
      <c r="F1029" s="967">
        <v>76419500</v>
      </c>
      <c r="G1029" s="967">
        <v>11750</v>
      </c>
      <c r="H1029" s="967">
        <v>11800</v>
      </c>
      <c r="I1029" s="967">
        <v>11300</v>
      </c>
      <c r="J1029" s="967">
        <v>123907</v>
      </c>
      <c r="K1029" s="967">
        <v>10821611</v>
      </c>
    </row>
    <row r="1030" spans="2:11" s="1258" customFormat="1" ht="16" hidden="1" outlineLevel="1">
      <c r="B1030" s="968" t="s">
        <v>2521</v>
      </c>
      <c r="C1030" s="967">
        <v>11600</v>
      </c>
      <c r="D1030" s="967" t="s">
        <v>2230</v>
      </c>
      <c r="E1030" s="967">
        <v>15620</v>
      </c>
      <c r="F1030" s="967">
        <v>181479000</v>
      </c>
      <c r="G1030" s="967">
        <v>11300</v>
      </c>
      <c r="H1030" s="967">
        <v>12300</v>
      </c>
      <c r="I1030" s="967">
        <v>11300</v>
      </c>
      <c r="J1030" s="967">
        <v>125531</v>
      </c>
      <c r="K1030" s="967">
        <v>10821611</v>
      </c>
    </row>
    <row r="1031" spans="2:11" s="1258" customFormat="1" ht="16" hidden="1" outlineLevel="1">
      <c r="B1031" s="968" t="s">
        <v>2520</v>
      </c>
      <c r="C1031" s="967">
        <v>11250</v>
      </c>
      <c r="D1031" s="967" t="s">
        <v>2213</v>
      </c>
      <c r="E1031" s="967">
        <v>2970</v>
      </c>
      <c r="F1031" s="967">
        <v>33125000</v>
      </c>
      <c r="G1031" s="967">
        <v>11050</v>
      </c>
      <c r="H1031" s="967">
        <v>11250</v>
      </c>
      <c r="I1031" s="967">
        <v>10950</v>
      </c>
      <c r="J1031" s="967">
        <v>121743</v>
      </c>
      <c r="K1031" s="967">
        <v>10821611</v>
      </c>
    </row>
    <row r="1032" spans="2:11" s="1258" customFormat="1" ht="16" hidden="1" outlineLevel="1">
      <c r="B1032" s="968" t="s">
        <v>2519</v>
      </c>
      <c r="C1032" s="967">
        <v>11000</v>
      </c>
      <c r="D1032" s="967" t="s">
        <v>2212</v>
      </c>
      <c r="E1032" s="967">
        <v>11120</v>
      </c>
      <c r="F1032" s="967">
        <v>122045000</v>
      </c>
      <c r="G1032" s="967">
        <v>10950</v>
      </c>
      <c r="H1032" s="967">
        <v>11000</v>
      </c>
      <c r="I1032" s="967">
        <v>10900</v>
      </c>
      <c r="J1032" s="967">
        <v>119038</v>
      </c>
      <c r="K1032" s="967">
        <v>10821611</v>
      </c>
    </row>
    <row r="1033" spans="2:11" s="1258" customFormat="1" ht="16" hidden="1" outlineLevel="1">
      <c r="B1033" s="968" t="s">
        <v>2517</v>
      </c>
      <c r="C1033" s="967">
        <v>10900</v>
      </c>
      <c r="D1033" s="967" t="s">
        <v>2221</v>
      </c>
      <c r="E1033" s="967">
        <v>8430</v>
      </c>
      <c r="F1033" s="967">
        <v>92030500</v>
      </c>
      <c r="G1033" s="967">
        <v>10900</v>
      </c>
      <c r="H1033" s="967">
        <v>10950</v>
      </c>
      <c r="I1033" s="967">
        <v>10850</v>
      </c>
      <c r="J1033" s="967">
        <v>117956</v>
      </c>
      <c r="K1033" s="967">
        <v>10821611</v>
      </c>
    </row>
    <row r="1034" spans="2:11" s="1258" customFormat="1" ht="16" hidden="1" outlineLevel="1">
      <c r="B1034" s="968" t="s">
        <v>2516</v>
      </c>
      <c r="C1034" s="967">
        <v>10900</v>
      </c>
      <c r="D1034" s="967" t="s">
        <v>2219</v>
      </c>
      <c r="E1034" s="967">
        <v>8006</v>
      </c>
      <c r="F1034" s="967">
        <v>87275400</v>
      </c>
      <c r="G1034" s="967">
        <v>10850</v>
      </c>
      <c r="H1034" s="967">
        <v>11000</v>
      </c>
      <c r="I1034" s="967">
        <v>10750</v>
      </c>
      <c r="J1034" s="967">
        <v>117956</v>
      </c>
      <c r="K1034" s="967">
        <v>10821611</v>
      </c>
    </row>
    <row r="1035" spans="2:11" s="1258" customFormat="1" ht="16" hidden="1" outlineLevel="1">
      <c r="B1035" s="968" t="s">
        <v>2515</v>
      </c>
      <c r="C1035" s="967">
        <v>10750</v>
      </c>
      <c r="D1035" s="967" t="s">
        <v>2207</v>
      </c>
      <c r="E1035" s="967">
        <v>5880</v>
      </c>
      <c r="F1035" s="967">
        <v>62981500</v>
      </c>
      <c r="G1035" s="967">
        <v>10600</v>
      </c>
      <c r="H1035" s="967">
        <v>10850</v>
      </c>
      <c r="I1035" s="967">
        <v>10600</v>
      </c>
      <c r="J1035" s="967">
        <v>116332</v>
      </c>
      <c r="K1035" s="967">
        <v>10821611</v>
      </c>
    </row>
    <row r="1036" spans="2:11" s="1258" customFormat="1" ht="16" hidden="1" outlineLevel="1">
      <c r="B1036" s="968" t="s">
        <v>2514</v>
      </c>
      <c r="C1036" s="967">
        <v>10700</v>
      </c>
      <c r="D1036" s="967" t="s">
        <v>2226</v>
      </c>
      <c r="E1036" s="967">
        <v>2511</v>
      </c>
      <c r="F1036" s="967">
        <v>27029200</v>
      </c>
      <c r="G1036" s="967">
        <v>10850</v>
      </c>
      <c r="H1036" s="967">
        <v>10950</v>
      </c>
      <c r="I1036" s="967">
        <v>10650</v>
      </c>
      <c r="J1036" s="967">
        <v>115791</v>
      </c>
      <c r="K1036" s="967">
        <v>10821611</v>
      </c>
    </row>
    <row r="1037" spans="2:11" s="1258" customFormat="1" ht="16" hidden="1" outlineLevel="1">
      <c r="B1037" s="968" t="s">
        <v>2513</v>
      </c>
      <c r="C1037" s="967">
        <v>10750</v>
      </c>
      <c r="D1037" s="967" t="s">
        <v>2207</v>
      </c>
      <c r="E1037" s="967">
        <v>14720</v>
      </c>
      <c r="F1037" s="967">
        <v>160158500</v>
      </c>
      <c r="G1037" s="967">
        <v>10700</v>
      </c>
      <c r="H1037" s="967">
        <v>11050</v>
      </c>
      <c r="I1037" s="967">
        <v>10700</v>
      </c>
      <c r="J1037" s="967">
        <v>116332</v>
      </c>
      <c r="K1037" s="967">
        <v>10821611</v>
      </c>
    </row>
    <row r="1038" spans="2:11" s="1258" customFormat="1" ht="16" hidden="1" outlineLevel="1">
      <c r="B1038" s="968" t="s">
        <v>2512</v>
      </c>
      <c r="C1038" s="967">
        <v>10700</v>
      </c>
      <c r="D1038" s="967" t="s">
        <v>2212</v>
      </c>
      <c r="E1038" s="967">
        <v>8492</v>
      </c>
      <c r="F1038" s="967">
        <v>90384900</v>
      </c>
      <c r="G1038" s="967">
        <v>10650</v>
      </c>
      <c r="H1038" s="967">
        <v>10700</v>
      </c>
      <c r="I1038" s="967">
        <v>10550</v>
      </c>
      <c r="J1038" s="967">
        <v>115791</v>
      </c>
      <c r="K1038" s="967">
        <v>10821611</v>
      </c>
    </row>
    <row r="1039" spans="2:11" s="1258" customFormat="1" ht="16" hidden="1" outlineLevel="1">
      <c r="B1039" s="968" t="s">
        <v>2511</v>
      </c>
      <c r="C1039" s="967">
        <v>10600</v>
      </c>
      <c r="D1039" s="967" t="s">
        <v>2212</v>
      </c>
      <c r="E1039" s="967">
        <v>3670</v>
      </c>
      <c r="F1039" s="967">
        <v>38839500</v>
      </c>
      <c r="G1039" s="967">
        <v>10750</v>
      </c>
      <c r="H1039" s="967">
        <v>10850</v>
      </c>
      <c r="I1039" s="967">
        <v>10400</v>
      </c>
      <c r="J1039" s="967">
        <v>114709</v>
      </c>
      <c r="K1039" s="967">
        <v>10821611</v>
      </c>
    </row>
    <row r="1040" spans="2:11" s="1258" customFormat="1" ht="16" hidden="1" outlineLevel="1">
      <c r="B1040" s="968" t="s">
        <v>2510</v>
      </c>
      <c r="C1040" s="967">
        <v>10500</v>
      </c>
      <c r="D1040" s="967" t="s">
        <v>2226</v>
      </c>
      <c r="E1040" s="967">
        <v>14800</v>
      </c>
      <c r="F1040" s="967">
        <v>156711500</v>
      </c>
      <c r="G1040" s="967">
        <v>10500</v>
      </c>
      <c r="H1040" s="967">
        <v>11050</v>
      </c>
      <c r="I1040" s="967">
        <v>10400</v>
      </c>
      <c r="J1040" s="967">
        <v>113627</v>
      </c>
      <c r="K1040" s="967">
        <v>10821611</v>
      </c>
    </row>
    <row r="1041" spans="2:11" s="1258" customFormat="1" ht="16" hidden="1" outlineLevel="1">
      <c r="B1041" s="968" t="s">
        <v>2509</v>
      </c>
      <c r="C1041" s="967">
        <v>10550</v>
      </c>
      <c r="D1041" s="967" t="s">
        <v>2221</v>
      </c>
      <c r="E1041" s="967">
        <v>8076</v>
      </c>
      <c r="F1041" s="967">
        <v>84582800</v>
      </c>
      <c r="G1041" s="967">
        <v>10550</v>
      </c>
      <c r="H1041" s="967">
        <v>10700</v>
      </c>
      <c r="I1041" s="967">
        <v>10350</v>
      </c>
      <c r="J1041" s="967">
        <v>114168</v>
      </c>
      <c r="K1041" s="967">
        <v>10821611</v>
      </c>
    </row>
    <row r="1042" spans="2:11" s="1258" customFormat="1" ht="16" hidden="1" outlineLevel="1">
      <c r="B1042" s="968" t="s">
        <v>2508</v>
      </c>
      <c r="C1042" s="967">
        <v>10550</v>
      </c>
      <c r="D1042" s="967" t="s">
        <v>2215</v>
      </c>
      <c r="E1042" s="967">
        <v>18110</v>
      </c>
      <c r="F1042" s="967">
        <v>189434500</v>
      </c>
      <c r="G1042" s="967">
        <v>10800</v>
      </c>
      <c r="H1042" s="967">
        <v>10800</v>
      </c>
      <c r="I1042" s="967">
        <v>10300</v>
      </c>
      <c r="J1042" s="967">
        <v>114168</v>
      </c>
      <c r="K1042" s="967">
        <v>10821611</v>
      </c>
    </row>
    <row r="1043" spans="2:11" s="1258" customFormat="1" ht="16" hidden="1" outlineLevel="1">
      <c r="B1043" s="968" t="s">
        <v>2507</v>
      </c>
      <c r="C1043" s="967">
        <v>10850</v>
      </c>
      <c r="D1043" s="967" t="s">
        <v>2210</v>
      </c>
      <c r="E1043" s="967">
        <v>39380</v>
      </c>
      <c r="F1043" s="967">
        <v>430369500</v>
      </c>
      <c r="G1043" s="967">
        <v>11300</v>
      </c>
      <c r="H1043" s="967">
        <v>11400</v>
      </c>
      <c r="I1043" s="967">
        <v>10650</v>
      </c>
      <c r="J1043" s="967">
        <v>117414</v>
      </c>
      <c r="K1043" s="967">
        <v>10821611</v>
      </c>
    </row>
    <row r="1044" spans="2:11" s="1258" customFormat="1" ht="16" hidden="1" outlineLevel="1">
      <c r="B1044" s="968" t="s">
        <v>2506</v>
      </c>
      <c r="C1044" s="967">
        <v>11300</v>
      </c>
      <c r="D1044" s="967" t="s">
        <v>2211</v>
      </c>
      <c r="E1044" s="967">
        <v>19102</v>
      </c>
      <c r="F1044" s="967">
        <v>217653100</v>
      </c>
      <c r="G1044" s="967">
        <v>11600</v>
      </c>
      <c r="H1044" s="967">
        <v>11750</v>
      </c>
      <c r="I1044" s="967">
        <v>11300</v>
      </c>
      <c r="J1044" s="967">
        <v>122284</v>
      </c>
      <c r="K1044" s="967">
        <v>10821611</v>
      </c>
    </row>
    <row r="1045" spans="2:11" s="1258" customFormat="1" ht="16" hidden="1" outlineLevel="1">
      <c r="B1045" s="968" t="s">
        <v>2504</v>
      </c>
      <c r="C1045" s="967">
        <v>11700</v>
      </c>
      <c r="D1045" s="967" t="s">
        <v>2232</v>
      </c>
      <c r="E1045" s="967">
        <v>3640</v>
      </c>
      <c r="F1045" s="967">
        <v>42103500</v>
      </c>
      <c r="G1045" s="967">
        <v>11650</v>
      </c>
      <c r="H1045" s="967">
        <v>11750</v>
      </c>
      <c r="I1045" s="967">
        <v>11450</v>
      </c>
      <c r="J1045" s="967">
        <v>126613</v>
      </c>
      <c r="K1045" s="967">
        <v>10821611</v>
      </c>
    </row>
    <row r="1046" spans="2:11" s="1258" customFormat="1" ht="16" hidden="1" outlineLevel="1">
      <c r="B1046" s="968" t="s">
        <v>2503</v>
      </c>
      <c r="C1046" s="967">
        <v>11500</v>
      </c>
      <c r="D1046" s="967" t="s">
        <v>2228</v>
      </c>
      <c r="E1046" s="967">
        <v>22200</v>
      </c>
      <c r="F1046" s="967">
        <v>255769000</v>
      </c>
      <c r="G1046" s="967">
        <v>11650</v>
      </c>
      <c r="H1046" s="967">
        <v>11800</v>
      </c>
      <c r="I1046" s="967">
        <v>11300</v>
      </c>
      <c r="J1046" s="967">
        <v>124449</v>
      </c>
      <c r="K1046" s="967">
        <v>10821611</v>
      </c>
    </row>
    <row r="1047" spans="2:11" s="1258" customFormat="1" ht="16" hidden="1" outlineLevel="1">
      <c r="B1047" s="968" t="s">
        <v>2502</v>
      </c>
      <c r="C1047" s="967">
        <v>11600</v>
      </c>
      <c r="D1047" s="967" t="s">
        <v>2228</v>
      </c>
      <c r="E1047" s="967">
        <v>3262</v>
      </c>
      <c r="F1047" s="967">
        <v>37946200</v>
      </c>
      <c r="G1047" s="967">
        <v>11600</v>
      </c>
      <c r="H1047" s="967">
        <v>11750</v>
      </c>
      <c r="I1047" s="967">
        <v>11550</v>
      </c>
      <c r="J1047" s="967">
        <v>125531</v>
      </c>
      <c r="K1047" s="967">
        <v>10821611</v>
      </c>
    </row>
    <row r="1048" spans="2:11" s="1258" customFormat="1" ht="16" hidden="1" outlineLevel="1">
      <c r="B1048" s="968" t="s">
        <v>2501</v>
      </c>
      <c r="C1048" s="967">
        <v>11700</v>
      </c>
      <c r="D1048" s="967" t="s">
        <v>2226</v>
      </c>
      <c r="E1048" s="967">
        <v>3804</v>
      </c>
      <c r="F1048" s="967">
        <v>44533800</v>
      </c>
      <c r="G1048" s="967">
        <v>11850</v>
      </c>
      <c r="H1048" s="967">
        <v>11850</v>
      </c>
      <c r="I1048" s="967">
        <v>11650</v>
      </c>
      <c r="J1048" s="967">
        <v>126613</v>
      </c>
      <c r="K1048" s="967">
        <v>10821611</v>
      </c>
    </row>
    <row r="1049" spans="2:11" s="1258" customFormat="1" ht="16" hidden="1" outlineLevel="1">
      <c r="B1049" s="968" t="s">
        <v>2500</v>
      </c>
      <c r="C1049" s="967">
        <v>11750</v>
      </c>
      <c r="D1049" s="967" t="s">
        <v>2207</v>
      </c>
      <c r="E1049" s="967">
        <v>3100</v>
      </c>
      <c r="F1049" s="967">
        <v>36132500</v>
      </c>
      <c r="G1049" s="967">
        <v>11350</v>
      </c>
      <c r="H1049" s="967">
        <v>11750</v>
      </c>
      <c r="I1049" s="967">
        <v>11350</v>
      </c>
      <c r="J1049" s="967">
        <v>127154</v>
      </c>
      <c r="K1049" s="967">
        <v>10821611</v>
      </c>
    </row>
    <row r="1050" spans="2:11" s="1258" customFormat="1" ht="16" hidden="1" outlineLevel="1">
      <c r="B1050" s="968" t="s">
        <v>2499</v>
      </c>
      <c r="C1050" s="967">
        <v>11700</v>
      </c>
      <c r="D1050" s="967" t="s">
        <v>2225</v>
      </c>
      <c r="E1050" s="967">
        <v>2500</v>
      </c>
      <c r="F1050" s="967">
        <v>29231500</v>
      </c>
      <c r="G1050" s="967">
        <v>11750</v>
      </c>
      <c r="H1050" s="967">
        <v>11900</v>
      </c>
      <c r="I1050" s="967">
        <v>11550</v>
      </c>
      <c r="J1050" s="967">
        <v>126613</v>
      </c>
      <c r="K1050" s="967">
        <v>10821611</v>
      </c>
    </row>
    <row r="1051" spans="2:11" s="1258" customFormat="1" ht="16" hidden="1" outlineLevel="1">
      <c r="B1051" s="968" t="s">
        <v>2498</v>
      </c>
      <c r="C1051" s="967">
        <v>11850</v>
      </c>
      <c r="D1051" s="967" t="s">
        <v>2207</v>
      </c>
      <c r="E1051" s="967">
        <v>5110</v>
      </c>
      <c r="F1051" s="967">
        <v>60366500</v>
      </c>
      <c r="G1051" s="967">
        <v>11900</v>
      </c>
      <c r="H1051" s="967">
        <v>11900</v>
      </c>
      <c r="I1051" s="967">
        <v>11700</v>
      </c>
      <c r="J1051" s="967">
        <v>128236</v>
      </c>
      <c r="K1051" s="967">
        <v>10821611</v>
      </c>
    </row>
    <row r="1052" spans="2:11" s="1258" customFormat="1" ht="16" hidden="1" outlineLevel="1">
      <c r="B1052" s="968" t="s">
        <v>2497</v>
      </c>
      <c r="C1052" s="967">
        <v>11800</v>
      </c>
      <c r="D1052" s="967" t="s">
        <v>2212</v>
      </c>
      <c r="E1052" s="967">
        <v>2200</v>
      </c>
      <c r="F1052" s="967">
        <v>25949000</v>
      </c>
      <c r="G1052" s="967">
        <v>11850</v>
      </c>
      <c r="H1052" s="967">
        <v>11950</v>
      </c>
      <c r="I1052" s="967">
        <v>11750</v>
      </c>
      <c r="J1052" s="967">
        <v>127695</v>
      </c>
      <c r="K1052" s="967">
        <v>10821611</v>
      </c>
    </row>
    <row r="1053" spans="2:11" s="1258" customFormat="1" ht="16" hidden="1" outlineLevel="1">
      <c r="B1053" s="968" t="s">
        <v>2496</v>
      </c>
      <c r="C1053" s="967">
        <v>11700</v>
      </c>
      <c r="D1053" s="967" t="s">
        <v>2221</v>
      </c>
      <c r="E1053" s="967">
        <v>7390</v>
      </c>
      <c r="F1053" s="967">
        <v>86544000</v>
      </c>
      <c r="G1053" s="967">
        <v>11750</v>
      </c>
      <c r="H1053" s="967">
        <v>11850</v>
      </c>
      <c r="I1053" s="967">
        <v>11600</v>
      </c>
      <c r="J1053" s="967">
        <v>126613</v>
      </c>
      <c r="K1053" s="967">
        <v>10821611</v>
      </c>
    </row>
    <row r="1054" spans="2:11" s="1258" customFormat="1" ht="16" hidden="1" outlineLevel="1">
      <c r="B1054" s="968" t="s">
        <v>2495</v>
      </c>
      <c r="C1054" s="967">
        <v>11700</v>
      </c>
      <c r="D1054" s="967" t="s">
        <v>2221</v>
      </c>
      <c r="E1054" s="967">
        <v>3540</v>
      </c>
      <c r="F1054" s="967">
        <v>41229000</v>
      </c>
      <c r="G1054" s="967">
        <v>11750</v>
      </c>
      <c r="H1054" s="967">
        <v>11750</v>
      </c>
      <c r="I1054" s="967">
        <v>11550</v>
      </c>
      <c r="J1054" s="967">
        <v>126613</v>
      </c>
      <c r="K1054" s="967">
        <v>10821611</v>
      </c>
    </row>
    <row r="1055" spans="2:11" s="1258" customFormat="1" ht="16" hidden="1" outlineLevel="1">
      <c r="B1055" s="968" t="s">
        <v>2494</v>
      </c>
      <c r="C1055" s="967">
        <v>11700</v>
      </c>
      <c r="D1055" s="967" t="s">
        <v>2221</v>
      </c>
      <c r="E1055" s="967">
        <v>4192</v>
      </c>
      <c r="F1055" s="967">
        <v>48927900</v>
      </c>
      <c r="G1055" s="967">
        <v>11700</v>
      </c>
      <c r="H1055" s="967">
        <v>11850</v>
      </c>
      <c r="I1055" s="967">
        <v>11600</v>
      </c>
      <c r="J1055" s="967">
        <v>126613</v>
      </c>
      <c r="K1055" s="967">
        <v>10821611</v>
      </c>
    </row>
    <row r="1056" spans="2:11" s="1258" customFormat="1" ht="16" hidden="1" outlineLevel="1">
      <c r="B1056" s="968" t="s">
        <v>2493</v>
      </c>
      <c r="C1056" s="967">
        <v>11700</v>
      </c>
      <c r="D1056" s="967" t="s">
        <v>2212</v>
      </c>
      <c r="E1056" s="967">
        <v>4917</v>
      </c>
      <c r="F1056" s="967">
        <v>57164900</v>
      </c>
      <c r="G1056" s="967">
        <v>11700</v>
      </c>
      <c r="H1056" s="967">
        <v>11700</v>
      </c>
      <c r="I1056" s="967">
        <v>11600</v>
      </c>
      <c r="J1056" s="967">
        <v>126613</v>
      </c>
      <c r="K1056" s="967">
        <v>10821611</v>
      </c>
    </row>
    <row r="1057" spans="2:11" s="1258" customFormat="1" ht="16" hidden="1" outlineLevel="1">
      <c r="B1057" s="968" t="s">
        <v>2492</v>
      </c>
      <c r="C1057" s="967">
        <v>11600</v>
      </c>
      <c r="D1057" s="967" t="s">
        <v>2228</v>
      </c>
      <c r="E1057" s="967">
        <v>14770</v>
      </c>
      <c r="F1057" s="967">
        <v>171399000</v>
      </c>
      <c r="G1057" s="967">
        <v>11750</v>
      </c>
      <c r="H1057" s="967">
        <v>11750</v>
      </c>
      <c r="I1057" s="967">
        <v>11550</v>
      </c>
      <c r="J1057" s="967">
        <v>125531</v>
      </c>
      <c r="K1057" s="967">
        <v>10821611</v>
      </c>
    </row>
    <row r="1058" spans="2:11" s="1258" customFormat="1" ht="16" hidden="1" outlineLevel="1">
      <c r="B1058" s="968" t="s">
        <v>2491</v>
      </c>
      <c r="C1058" s="967">
        <v>11700</v>
      </c>
      <c r="D1058" s="967" t="s">
        <v>2221</v>
      </c>
      <c r="E1058" s="967">
        <v>8078</v>
      </c>
      <c r="F1058" s="967">
        <v>94549600</v>
      </c>
      <c r="G1058" s="967">
        <v>11750</v>
      </c>
      <c r="H1058" s="967">
        <v>11800</v>
      </c>
      <c r="I1058" s="967">
        <v>11650</v>
      </c>
      <c r="J1058" s="967">
        <v>126613</v>
      </c>
      <c r="K1058" s="967">
        <v>10821611</v>
      </c>
    </row>
    <row r="1059" spans="2:11" s="1258" customFormat="1" ht="16" hidden="1" outlineLevel="1">
      <c r="B1059" s="968" t="s">
        <v>2490</v>
      </c>
      <c r="C1059" s="967">
        <v>11700</v>
      </c>
      <c r="D1059" s="967" t="s">
        <v>2226</v>
      </c>
      <c r="E1059" s="967">
        <v>6946</v>
      </c>
      <c r="F1059" s="967">
        <v>80707700</v>
      </c>
      <c r="G1059" s="967">
        <v>11750</v>
      </c>
      <c r="H1059" s="967">
        <v>11800</v>
      </c>
      <c r="I1059" s="967">
        <v>11600</v>
      </c>
      <c r="J1059" s="967">
        <v>126613</v>
      </c>
      <c r="K1059" s="967">
        <v>10821611</v>
      </c>
    </row>
    <row r="1060" spans="2:11" s="1258" customFormat="1" ht="16" hidden="1" outlineLevel="1">
      <c r="B1060" s="968" t="s">
        <v>2489</v>
      </c>
      <c r="C1060" s="967">
        <v>11750</v>
      </c>
      <c r="D1060" s="967" t="s">
        <v>2219</v>
      </c>
      <c r="E1060" s="967" t="s">
        <v>2767</v>
      </c>
      <c r="F1060" s="967">
        <v>8077500</v>
      </c>
      <c r="G1060" s="967">
        <v>11750</v>
      </c>
      <c r="H1060" s="967">
        <v>11750</v>
      </c>
      <c r="I1060" s="967">
        <v>11650</v>
      </c>
      <c r="J1060" s="967">
        <v>127154</v>
      </c>
      <c r="K1060" s="967">
        <v>10821611</v>
      </c>
    </row>
    <row r="1061" spans="2:11" s="1258" customFormat="1" ht="16" hidden="1" outlineLevel="1">
      <c r="B1061" s="968" t="s">
        <v>2488</v>
      </c>
      <c r="C1061" s="967">
        <v>11600</v>
      </c>
      <c r="D1061" s="967" t="s">
        <v>2221</v>
      </c>
      <c r="E1061" s="967">
        <v>4578</v>
      </c>
      <c r="F1061" s="967">
        <v>53516300</v>
      </c>
      <c r="G1061" s="967">
        <v>11750</v>
      </c>
      <c r="H1061" s="967">
        <v>11800</v>
      </c>
      <c r="I1061" s="967">
        <v>11550</v>
      </c>
      <c r="J1061" s="967">
        <v>125531</v>
      </c>
      <c r="K1061" s="967">
        <v>10821611</v>
      </c>
    </row>
    <row r="1062" spans="2:11" s="1258" customFormat="1" ht="16" hidden="1" outlineLevel="1">
      <c r="B1062" s="968" t="s">
        <v>2487</v>
      </c>
      <c r="C1062" s="967">
        <v>11600</v>
      </c>
      <c r="D1062" s="967" t="s">
        <v>2221</v>
      </c>
      <c r="E1062" s="967">
        <v>5690</v>
      </c>
      <c r="F1062" s="967">
        <v>66263000</v>
      </c>
      <c r="G1062" s="967">
        <v>11650</v>
      </c>
      <c r="H1062" s="967">
        <v>11800</v>
      </c>
      <c r="I1062" s="967">
        <v>11550</v>
      </c>
      <c r="J1062" s="967">
        <v>125531</v>
      </c>
      <c r="K1062" s="967">
        <v>10821611</v>
      </c>
    </row>
    <row r="1063" spans="2:11" s="1258" customFormat="1" ht="16" hidden="1" outlineLevel="1">
      <c r="B1063" s="968" t="s">
        <v>2485</v>
      </c>
      <c r="C1063" s="967">
        <v>11600</v>
      </c>
      <c r="D1063" s="967" t="s">
        <v>2219</v>
      </c>
      <c r="E1063" s="967">
        <v>6890</v>
      </c>
      <c r="F1063" s="967">
        <v>79922500</v>
      </c>
      <c r="G1063" s="967">
        <v>11350</v>
      </c>
      <c r="H1063" s="967">
        <v>11800</v>
      </c>
      <c r="I1063" s="967">
        <v>11350</v>
      </c>
      <c r="J1063" s="967">
        <v>125531</v>
      </c>
      <c r="K1063" s="967">
        <v>10821611</v>
      </c>
    </row>
    <row r="1064" spans="2:11" s="1258" customFormat="1" ht="16" hidden="1" outlineLevel="1">
      <c r="B1064" s="966" t="s">
        <v>2484</v>
      </c>
      <c r="C1064" s="965">
        <v>11450</v>
      </c>
      <c r="D1064" s="965" t="s">
        <v>2226</v>
      </c>
      <c r="E1064" s="965">
        <v>6113</v>
      </c>
      <c r="F1064" s="965">
        <v>69996850</v>
      </c>
      <c r="G1064" s="965">
        <v>11550</v>
      </c>
      <c r="H1064" s="965">
        <v>11600</v>
      </c>
      <c r="I1064" s="965">
        <v>11300</v>
      </c>
      <c r="J1064" s="965">
        <v>123907</v>
      </c>
      <c r="K1064" s="965">
        <v>10821611</v>
      </c>
    </row>
    <row r="1065" spans="2:11" s="1258" customFormat="1" ht="16" hidden="1" outlineLevel="1">
      <c r="B1065" s="966" t="s">
        <v>2483</v>
      </c>
      <c r="C1065" s="965">
        <v>11500</v>
      </c>
      <c r="D1065" s="965" t="s">
        <v>2224</v>
      </c>
      <c r="E1065" s="965">
        <v>24280</v>
      </c>
      <c r="F1065" s="965">
        <v>281545000</v>
      </c>
      <c r="G1065" s="965">
        <v>11600</v>
      </c>
      <c r="H1065" s="965">
        <v>11800</v>
      </c>
      <c r="I1065" s="965">
        <v>11500</v>
      </c>
      <c r="J1065" s="965">
        <v>124449</v>
      </c>
      <c r="K1065" s="965">
        <v>10821611</v>
      </c>
    </row>
    <row r="1066" spans="2:11" s="1258" customFormat="1" ht="16" hidden="1" outlineLevel="1">
      <c r="B1066" s="966" t="s">
        <v>2482</v>
      </c>
      <c r="C1066" s="965">
        <v>11700</v>
      </c>
      <c r="D1066" s="965" t="s">
        <v>2221</v>
      </c>
      <c r="E1066" s="965">
        <v>14248</v>
      </c>
      <c r="F1066" s="965">
        <v>165477600</v>
      </c>
      <c r="G1066" s="965">
        <v>11800</v>
      </c>
      <c r="H1066" s="965">
        <v>11900</v>
      </c>
      <c r="I1066" s="965">
        <v>11550</v>
      </c>
      <c r="J1066" s="965">
        <v>126613</v>
      </c>
      <c r="K1066" s="965">
        <v>10821611</v>
      </c>
    </row>
    <row r="1067" spans="2:11" s="1258" customFormat="1" ht="16" hidden="1" outlineLevel="1">
      <c r="B1067" s="966" t="s">
        <v>2481</v>
      </c>
      <c r="C1067" s="965">
        <v>11700</v>
      </c>
      <c r="D1067" s="965" t="s">
        <v>2226</v>
      </c>
      <c r="E1067" s="965">
        <v>8830</v>
      </c>
      <c r="F1067" s="965">
        <v>102947500</v>
      </c>
      <c r="G1067" s="965">
        <v>11800</v>
      </c>
      <c r="H1067" s="965">
        <v>11800</v>
      </c>
      <c r="I1067" s="965">
        <v>11500</v>
      </c>
      <c r="J1067" s="965">
        <v>126613</v>
      </c>
      <c r="K1067" s="965">
        <v>10821611</v>
      </c>
    </row>
    <row r="1068" spans="2:11" s="1258" customFormat="1" ht="16" hidden="1" outlineLevel="1">
      <c r="B1068" s="966" t="s">
        <v>2479</v>
      </c>
      <c r="C1068" s="965">
        <v>11750</v>
      </c>
      <c r="D1068" s="965" t="s">
        <v>2293</v>
      </c>
      <c r="E1068" s="965">
        <v>11420</v>
      </c>
      <c r="F1068" s="965">
        <v>134681000</v>
      </c>
      <c r="G1068" s="965">
        <v>12200</v>
      </c>
      <c r="H1068" s="965">
        <v>12200</v>
      </c>
      <c r="I1068" s="965">
        <v>11600</v>
      </c>
      <c r="J1068" s="965">
        <v>127154</v>
      </c>
      <c r="K1068" s="965">
        <v>10821611</v>
      </c>
    </row>
    <row r="1069" spans="2:11" s="1258" customFormat="1" ht="16" hidden="1" outlineLevel="1">
      <c r="B1069" s="966" t="s">
        <v>2478</v>
      </c>
      <c r="C1069" s="965">
        <v>12000</v>
      </c>
      <c r="D1069" s="965" t="s">
        <v>2207</v>
      </c>
      <c r="E1069" s="965">
        <v>20790</v>
      </c>
      <c r="F1069" s="965">
        <v>251607500</v>
      </c>
      <c r="G1069" s="965">
        <v>11950</v>
      </c>
      <c r="H1069" s="965">
        <v>12300</v>
      </c>
      <c r="I1069" s="965">
        <v>11900</v>
      </c>
      <c r="J1069" s="965">
        <v>129859</v>
      </c>
      <c r="K1069" s="965">
        <v>10821611</v>
      </c>
    </row>
    <row r="1070" spans="2:11" s="1258" customFormat="1" ht="16" hidden="1" outlineLevel="1">
      <c r="B1070" s="966" t="s">
        <v>2477</v>
      </c>
      <c r="C1070" s="965">
        <v>11950</v>
      </c>
      <c r="D1070" s="965" t="s">
        <v>2213</v>
      </c>
      <c r="E1070" s="965">
        <v>17380</v>
      </c>
      <c r="F1070" s="965">
        <v>204284500</v>
      </c>
      <c r="G1070" s="965">
        <v>11850</v>
      </c>
      <c r="H1070" s="965">
        <v>12000</v>
      </c>
      <c r="I1070" s="965">
        <v>11650</v>
      </c>
      <c r="J1070" s="965">
        <v>129318</v>
      </c>
      <c r="K1070" s="965">
        <v>10821611</v>
      </c>
    </row>
    <row r="1071" spans="2:11" s="1258" customFormat="1" ht="16" hidden="1" outlineLevel="1">
      <c r="B1071" s="966" t="s">
        <v>2476</v>
      </c>
      <c r="C1071" s="965">
        <v>11700</v>
      </c>
      <c r="D1071" s="965" t="s">
        <v>2225</v>
      </c>
      <c r="E1071" s="965">
        <v>13623</v>
      </c>
      <c r="F1071" s="965">
        <v>160896600</v>
      </c>
      <c r="G1071" s="965">
        <v>11950</v>
      </c>
      <c r="H1071" s="965">
        <v>12100</v>
      </c>
      <c r="I1071" s="965">
        <v>11700</v>
      </c>
      <c r="J1071" s="965">
        <v>126613</v>
      </c>
      <c r="K1071" s="965">
        <v>10821611</v>
      </c>
    </row>
    <row r="1072" spans="2:11" s="1258" customFormat="1" ht="16" hidden="1" outlineLevel="1">
      <c r="B1072" s="966" t="s">
        <v>2475</v>
      </c>
      <c r="C1072" s="965">
        <v>11850</v>
      </c>
      <c r="D1072" s="965" t="s">
        <v>2221</v>
      </c>
      <c r="E1072" s="965">
        <v>16120</v>
      </c>
      <c r="F1072" s="965">
        <v>191168000</v>
      </c>
      <c r="G1072" s="965">
        <v>11900</v>
      </c>
      <c r="H1072" s="965">
        <v>12000</v>
      </c>
      <c r="I1072" s="965">
        <v>11800</v>
      </c>
      <c r="J1072" s="965">
        <v>128236</v>
      </c>
      <c r="K1072" s="965">
        <v>10821611</v>
      </c>
    </row>
    <row r="1073" spans="2:11" s="1258" customFormat="1" ht="16" hidden="1" outlineLevel="1">
      <c r="B1073" s="966" t="s">
        <v>2474</v>
      </c>
      <c r="C1073" s="965">
        <v>11850</v>
      </c>
      <c r="D1073" s="965" t="s">
        <v>2225</v>
      </c>
      <c r="E1073" s="965">
        <v>14768</v>
      </c>
      <c r="F1073" s="965">
        <v>176086300</v>
      </c>
      <c r="G1073" s="965">
        <v>12100</v>
      </c>
      <c r="H1073" s="965">
        <v>12100</v>
      </c>
      <c r="I1073" s="965">
        <v>11800</v>
      </c>
      <c r="J1073" s="965">
        <v>128236</v>
      </c>
      <c r="K1073" s="965">
        <v>10821611</v>
      </c>
    </row>
    <row r="1074" spans="2:11" s="1258" customFormat="1" ht="16" hidden="1" outlineLevel="1">
      <c r="B1074" s="966" t="s">
        <v>2473</v>
      </c>
      <c r="C1074" s="965">
        <v>12000</v>
      </c>
      <c r="D1074" s="965" t="s">
        <v>2232</v>
      </c>
      <c r="E1074" s="965">
        <v>19650</v>
      </c>
      <c r="F1074" s="965">
        <v>237239500</v>
      </c>
      <c r="G1074" s="965">
        <v>12000</v>
      </c>
      <c r="H1074" s="965">
        <v>12450</v>
      </c>
      <c r="I1074" s="965">
        <v>12000</v>
      </c>
      <c r="J1074" s="965">
        <v>129859</v>
      </c>
      <c r="K1074" s="965">
        <v>10821611</v>
      </c>
    </row>
    <row r="1075" spans="2:11" s="1258" customFormat="1" ht="16" hidden="1" outlineLevel="1">
      <c r="B1075" s="966" t="s">
        <v>2472</v>
      </c>
      <c r="C1075" s="965">
        <v>11800</v>
      </c>
      <c r="D1075" s="965" t="s">
        <v>2207</v>
      </c>
      <c r="E1075" s="965">
        <v>38110</v>
      </c>
      <c r="F1075" s="965">
        <v>451812000</v>
      </c>
      <c r="G1075" s="965">
        <v>11750</v>
      </c>
      <c r="H1075" s="965">
        <v>12100</v>
      </c>
      <c r="I1075" s="965">
        <v>11750</v>
      </c>
      <c r="J1075" s="965">
        <v>127695</v>
      </c>
      <c r="K1075" s="965">
        <v>10821611</v>
      </c>
    </row>
    <row r="1076" spans="2:11" s="1258" customFormat="1" ht="16" hidden="1" outlineLevel="1">
      <c r="B1076" s="966" t="s">
        <v>2471</v>
      </c>
      <c r="C1076" s="965">
        <v>11750</v>
      </c>
      <c r="D1076" s="965" t="s">
        <v>2228</v>
      </c>
      <c r="E1076" s="965">
        <v>11210</v>
      </c>
      <c r="F1076" s="965">
        <v>131985000</v>
      </c>
      <c r="G1076" s="965">
        <v>11850</v>
      </c>
      <c r="H1076" s="965">
        <v>11850</v>
      </c>
      <c r="I1076" s="965">
        <v>11700</v>
      </c>
      <c r="J1076" s="965">
        <v>127154</v>
      </c>
      <c r="K1076" s="965">
        <v>10821611</v>
      </c>
    </row>
    <row r="1077" spans="2:11" s="1258" customFormat="1" ht="16" hidden="1" outlineLevel="1">
      <c r="B1077" s="966" t="s">
        <v>2470</v>
      </c>
      <c r="C1077" s="965">
        <v>11850</v>
      </c>
      <c r="D1077" s="965" t="s">
        <v>2228</v>
      </c>
      <c r="E1077" s="965">
        <v>8495</v>
      </c>
      <c r="F1077" s="965">
        <v>100979250</v>
      </c>
      <c r="G1077" s="965">
        <v>11900</v>
      </c>
      <c r="H1077" s="965">
        <v>12000</v>
      </c>
      <c r="I1077" s="965">
        <v>11800</v>
      </c>
      <c r="J1077" s="965">
        <v>128236</v>
      </c>
      <c r="K1077" s="965">
        <v>10821611</v>
      </c>
    </row>
    <row r="1078" spans="2:11" s="1258" customFormat="1" ht="16" hidden="1" outlineLevel="1">
      <c r="B1078" s="966" t="s">
        <v>2468</v>
      </c>
      <c r="C1078" s="965">
        <v>11950</v>
      </c>
      <c r="D1078" s="965" t="s">
        <v>2225</v>
      </c>
      <c r="E1078" s="965">
        <v>4602</v>
      </c>
      <c r="F1078" s="965">
        <v>55324900</v>
      </c>
      <c r="G1078" s="965">
        <v>12100</v>
      </c>
      <c r="H1078" s="965">
        <v>12150</v>
      </c>
      <c r="I1078" s="965">
        <v>11950</v>
      </c>
      <c r="J1078" s="965">
        <v>129318</v>
      </c>
      <c r="K1078" s="965">
        <v>10821611</v>
      </c>
    </row>
    <row r="1079" spans="2:11" s="1258" customFormat="1" ht="16" hidden="1" outlineLevel="1">
      <c r="B1079" s="966" t="s">
        <v>2467</v>
      </c>
      <c r="C1079" s="965">
        <v>12100</v>
      </c>
      <c r="D1079" s="965" t="s">
        <v>2212</v>
      </c>
      <c r="E1079" s="965">
        <v>3305</v>
      </c>
      <c r="F1079" s="965">
        <v>39868500</v>
      </c>
      <c r="G1079" s="965">
        <v>12000</v>
      </c>
      <c r="H1079" s="965">
        <v>12150</v>
      </c>
      <c r="I1079" s="965">
        <v>12000</v>
      </c>
      <c r="J1079" s="965">
        <v>130941</v>
      </c>
      <c r="K1079" s="965">
        <v>10821611</v>
      </c>
    </row>
    <row r="1080" spans="2:11" s="1258" customFormat="1" ht="16" hidden="1" outlineLevel="1">
      <c r="B1080" s="966" t="s">
        <v>2466</v>
      </c>
      <c r="C1080" s="965">
        <v>12000</v>
      </c>
      <c r="D1080" s="965" t="s">
        <v>2293</v>
      </c>
      <c r="E1080" s="965">
        <v>6420</v>
      </c>
      <c r="F1080" s="965">
        <v>77830700</v>
      </c>
      <c r="G1080" s="965">
        <v>12250</v>
      </c>
      <c r="H1080" s="965">
        <v>12250</v>
      </c>
      <c r="I1080" s="965">
        <v>12000</v>
      </c>
      <c r="J1080" s="965">
        <v>129859</v>
      </c>
      <c r="K1080" s="965">
        <v>10821611</v>
      </c>
    </row>
    <row r="1081" spans="2:11" s="1258" customFormat="1" ht="16" hidden="1" outlineLevel="1">
      <c r="B1081" s="966" t="s">
        <v>2465</v>
      </c>
      <c r="C1081" s="965">
        <v>12250</v>
      </c>
      <c r="D1081" s="965" t="s">
        <v>2219</v>
      </c>
      <c r="E1081" s="965">
        <v>11531</v>
      </c>
      <c r="F1081" s="965">
        <v>140661750</v>
      </c>
      <c r="G1081" s="965">
        <v>12150</v>
      </c>
      <c r="H1081" s="965">
        <v>12300</v>
      </c>
      <c r="I1081" s="965">
        <v>12100</v>
      </c>
      <c r="J1081" s="965">
        <v>132565</v>
      </c>
      <c r="K1081" s="965">
        <v>10821611</v>
      </c>
    </row>
    <row r="1082" spans="2:11" s="1258" customFormat="1" ht="16" hidden="1" outlineLevel="1">
      <c r="B1082" s="966" t="s">
        <v>2464</v>
      </c>
      <c r="C1082" s="965">
        <v>12100</v>
      </c>
      <c r="D1082" s="965" t="s">
        <v>2212</v>
      </c>
      <c r="E1082" s="965">
        <v>42150</v>
      </c>
      <c r="F1082" s="965">
        <v>505853000</v>
      </c>
      <c r="G1082" s="965">
        <v>12000</v>
      </c>
      <c r="H1082" s="965">
        <v>12100</v>
      </c>
      <c r="I1082" s="965">
        <v>11950</v>
      </c>
      <c r="J1082" s="965">
        <v>130941</v>
      </c>
      <c r="K1082" s="965">
        <v>10821611</v>
      </c>
    </row>
    <row r="1083" spans="2:11" s="1258" customFormat="1" ht="16" hidden="1" outlineLevel="1">
      <c r="B1083" s="966" t="s">
        <v>2463</v>
      </c>
      <c r="C1083" s="965">
        <v>12000</v>
      </c>
      <c r="D1083" s="965" t="s">
        <v>2221</v>
      </c>
      <c r="E1083" s="965">
        <v>44175</v>
      </c>
      <c r="F1083" s="965">
        <v>527591500</v>
      </c>
      <c r="G1083" s="965">
        <v>12000</v>
      </c>
      <c r="H1083" s="965">
        <v>12100</v>
      </c>
      <c r="I1083" s="965">
        <v>11800</v>
      </c>
      <c r="J1083" s="965">
        <v>129859</v>
      </c>
      <c r="K1083" s="965">
        <v>10821611</v>
      </c>
    </row>
    <row r="1084" spans="2:11" s="1258" customFormat="1" ht="16" hidden="1" outlineLevel="1">
      <c r="B1084" s="966" t="s">
        <v>2461</v>
      </c>
      <c r="C1084" s="965">
        <v>12000</v>
      </c>
      <c r="D1084" s="965" t="s">
        <v>2221</v>
      </c>
      <c r="E1084" s="965">
        <v>12365</v>
      </c>
      <c r="F1084" s="965">
        <v>148043000</v>
      </c>
      <c r="G1084" s="965">
        <v>11950</v>
      </c>
      <c r="H1084" s="965">
        <v>12000</v>
      </c>
      <c r="I1084" s="965">
        <v>11900</v>
      </c>
      <c r="J1084" s="965">
        <v>129859</v>
      </c>
      <c r="K1084" s="965">
        <v>10821611</v>
      </c>
    </row>
    <row r="1085" spans="2:11" s="1258" customFormat="1" ht="16" hidden="1" outlineLevel="1">
      <c r="B1085" s="966" t="s">
        <v>2459</v>
      </c>
      <c r="C1085" s="965">
        <v>12000</v>
      </c>
      <c r="D1085" s="965" t="s">
        <v>2221</v>
      </c>
      <c r="E1085" s="965">
        <v>14121</v>
      </c>
      <c r="F1085" s="965">
        <v>167805000</v>
      </c>
      <c r="G1085" s="965">
        <v>11950</v>
      </c>
      <c r="H1085" s="965">
        <v>12000</v>
      </c>
      <c r="I1085" s="965">
        <v>11800</v>
      </c>
      <c r="J1085" s="965">
        <v>129859</v>
      </c>
      <c r="K1085" s="965">
        <v>10821611</v>
      </c>
    </row>
    <row r="1086" spans="2:11" s="1258" customFormat="1" ht="16" hidden="1" outlineLevel="1">
      <c r="B1086" s="966" t="s">
        <v>2457</v>
      </c>
      <c r="C1086" s="965">
        <v>12000</v>
      </c>
      <c r="D1086" s="965" t="s">
        <v>2293</v>
      </c>
      <c r="E1086" s="965">
        <v>19302</v>
      </c>
      <c r="F1086" s="965">
        <v>232055000</v>
      </c>
      <c r="G1086" s="965">
        <v>12050</v>
      </c>
      <c r="H1086" s="965">
        <v>12100</v>
      </c>
      <c r="I1086" s="965">
        <v>11950</v>
      </c>
      <c r="J1086" s="965">
        <v>129859</v>
      </c>
      <c r="K1086" s="965">
        <v>10821611</v>
      </c>
    </row>
    <row r="1087" spans="2:11" s="1258" customFormat="1" ht="16" hidden="1" outlineLevel="1">
      <c r="B1087" s="966" t="s">
        <v>2455</v>
      </c>
      <c r="C1087" s="965">
        <v>12250</v>
      </c>
      <c r="D1087" s="965" t="s">
        <v>2226</v>
      </c>
      <c r="E1087" s="965">
        <v>10306</v>
      </c>
      <c r="F1087" s="965">
        <v>126601000</v>
      </c>
      <c r="G1087" s="965">
        <v>12300</v>
      </c>
      <c r="H1087" s="965">
        <v>12400</v>
      </c>
      <c r="I1087" s="965">
        <v>12250</v>
      </c>
      <c r="J1087" s="965">
        <v>132565</v>
      </c>
      <c r="K1087" s="965">
        <v>10821611</v>
      </c>
    </row>
    <row r="1088" spans="2:11" s="1258" customFormat="1" ht="16" hidden="1" outlineLevel="1">
      <c r="B1088" s="966" t="s">
        <v>2454</v>
      </c>
      <c r="C1088" s="965">
        <v>12300</v>
      </c>
      <c r="D1088" s="965" t="s">
        <v>2221</v>
      </c>
      <c r="E1088" s="965">
        <v>14248</v>
      </c>
      <c r="F1088" s="965">
        <v>176174900</v>
      </c>
      <c r="G1088" s="965">
        <v>12450</v>
      </c>
      <c r="H1088" s="965">
        <v>12450</v>
      </c>
      <c r="I1088" s="965">
        <v>12250</v>
      </c>
      <c r="J1088" s="965">
        <v>133106</v>
      </c>
      <c r="K1088" s="965">
        <v>10821611</v>
      </c>
    </row>
    <row r="1089" spans="2:11" s="1258" customFormat="1" ht="16" hidden="1" outlineLevel="1">
      <c r="B1089" s="966" t="s">
        <v>2453</v>
      </c>
      <c r="C1089" s="965">
        <v>12300</v>
      </c>
      <c r="D1089" s="965" t="s">
        <v>2219</v>
      </c>
      <c r="E1089" s="965">
        <v>15650</v>
      </c>
      <c r="F1089" s="965">
        <v>191314000</v>
      </c>
      <c r="G1089" s="965">
        <v>12300</v>
      </c>
      <c r="H1089" s="965">
        <v>12300</v>
      </c>
      <c r="I1089" s="965">
        <v>12150</v>
      </c>
      <c r="J1089" s="965">
        <v>133106</v>
      </c>
      <c r="K1089" s="965">
        <v>10821611</v>
      </c>
    </row>
    <row r="1090" spans="2:11" s="1258" customFormat="1" ht="16" hidden="1" outlineLevel="1">
      <c r="B1090" s="966" t="s">
        <v>2451</v>
      </c>
      <c r="C1090" s="965">
        <v>12150</v>
      </c>
      <c r="D1090" s="965" t="s">
        <v>2226</v>
      </c>
      <c r="E1090" s="965">
        <v>11868</v>
      </c>
      <c r="F1090" s="965">
        <v>144944800</v>
      </c>
      <c r="G1090" s="965">
        <v>12200</v>
      </c>
      <c r="H1090" s="965">
        <v>12300</v>
      </c>
      <c r="I1090" s="965">
        <v>12150</v>
      </c>
      <c r="J1090" s="965">
        <v>131483</v>
      </c>
      <c r="K1090" s="965">
        <v>10821611</v>
      </c>
    </row>
    <row r="1091" spans="2:11" s="1258" customFormat="1" ht="16" hidden="1" outlineLevel="1">
      <c r="B1091" s="966" t="s">
        <v>2450</v>
      </c>
      <c r="C1091" s="965">
        <v>12200</v>
      </c>
      <c r="D1091" s="965" t="s">
        <v>2221</v>
      </c>
      <c r="E1091" s="965">
        <v>11944</v>
      </c>
      <c r="F1091" s="965">
        <v>145152800</v>
      </c>
      <c r="G1091" s="965">
        <v>12300</v>
      </c>
      <c r="H1091" s="965">
        <v>12350</v>
      </c>
      <c r="I1091" s="965">
        <v>12100</v>
      </c>
      <c r="J1091" s="965">
        <v>132024</v>
      </c>
      <c r="K1091" s="965">
        <v>10821611</v>
      </c>
    </row>
    <row r="1092" spans="2:11" s="1258" customFormat="1" ht="16" hidden="1" outlineLevel="1">
      <c r="B1092" s="966" t="s">
        <v>2449</v>
      </c>
      <c r="C1092" s="965">
        <v>12200</v>
      </c>
      <c r="D1092" s="965" t="s">
        <v>2212</v>
      </c>
      <c r="E1092" s="965">
        <v>12920</v>
      </c>
      <c r="F1092" s="965">
        <v>158478500</v>
      </c>
      <c r="G1092" s="965">
        <v>12150</v>
      </c>
      <c r="H1092" s="965">
        <v>12400</v>
      </c>
      <c r="I1092" s="965">
        <v>12150</v>
      </c>
      <c r="J1092" s="965">
        <v>132024</v>
      </c>
      <c r="K1092" s="965">
        <v>10821611</v>
      </c>
    </row>
    <row r="1093" spans="2:11" s="1258" customFormat="1" ht="16" hidden="1" outlineLevel="1">
      <c r="B1093" s="966" t="s">
        <v>2448</v>
      </c>
      <c r="C1093" s="965">
        <v>12100</v>
      </c>
      <c r="D1093" s="965" t="s">
        <v>2228</v>
      </c>
      <c r="E1093" s="965">
        <v>10583</v>
      </c>
      <c r="F1093" s="965">
        <v>128743300</v>
      </c>
      <c r="G1093" s="965">
        <v>12250</v>
      </c>
      <c r="H1093" s="965">
        <v>12350</v>
      </c>
      <c r="I1093" s="965">
        <v>12100</v>
      </c>
      <c r="J1093" s="965">
        <v>130941</v>
      </c>
      <c r="K1093" s="965">
        <v>10821611</v>
      </c>
    </row>
    <row r="1094" spans="2:11" s="1258" customFormat="1" ht="16" hidden="1" outlineLevel="1">
      <c r="B1094" s="966" t="s">
        <v>2447</v>
      </c>
      <c r="C1094" s="965">
        <v>12200</v>
      </c>
      <c r="D1094" s="965" t="s">
        <v>2212</v>
      </c>
      <c r="E1094" s="965">
        <v>13910</v>
      </c>
      <c r="F1094" s="965">
        <v>168501500</v>
      </c>
      <c r="G1094" s="965">
        <v>12100</v>
      </c>
      <c r="H1094" s="965">
        <v>12250</v>
      </c>
      <c r="I1094" s="965">
        <v>12000</v>
      </c>
      <c r="J1094" s="965">
        <v>132024</v>
      </c>
      <c r="K1094" s="965">
        <v>10821611</v>
      </c>
    </row>
    <row r="1095" spans="2:11" s="1258" customFormat="1" ht="16" hidden="1" outlineLevel="1">
      <c r="B1095" s="966" t="s">
        <v>2446</v>
      </c>
      <c r="C1095" s="965">
        <v>12100</v>
      </c>
      <c r="D1095" s="965" t="s">
        <v>2293</v>
      </c>
      <c r="E1095" s="965">
        <v>7102</v>
      </c>
      <c r="F1095" s="965">
        <v>85653700</v>
      </c>
      <c r="G1095" s="965">
        <v>12150</v>
      </c>
      <c r="H1095" s="965">
        <v>12250</v>
      </c>
      <c r="I1095" s="965">
        <v>12000</v>
      </c>
      <c r="J1095" s="965">
        <v>130941</v>
      </c>
      <c r="K1095" s="965">
        <v>10821611</v>
      </c>
    </row>
    <row r="1096" spans="2:11" s="1258" customFormat="1" ht="16" hidden="1" outlineLevel="1">
      <c r="B1096" s="966" t="s">
        <v>2445</v>
      </c>
      <c r="C1096" s="965">
        <v>12350</v>
      </c>
      <c r="D1096" s="965" t="s">
        <v>2232</v>
      </c>
      <c r="E1096" s="965">
        <v>18030</v>
      </c>
      <c r="F1096" s="965">
        <v>220131000</v>
      </c>
      <c r="G1096" s="965">
        <v>12100</v>
      </c>
      <c r="H1096" s="965">
        <v>12350</v>
      </c>
      <c r="I1096" s="965">
        <v>11900</v>
      </c>
      <c r="J1096" s="965">
        <v>133647</v>
      </c>
      <c r="K1096" s="965">
        <v>10821611</v>
      </c>
    </row>
    <row r="1097" spans="2:11" s="1258" customFormat="1" ht="16" hidden="1" outlineLevel="1">
      <c r="B1097" s="966" t="s">
        <v>2443</v>
      </c>
      <c r="C1097" s="965">
        <v>12150</v>
      </c>
      <c r="D1097" s="965" t="s">
        <v>2221</v>
      </c>
      <c r="E1097" s="965">
        <v>7990</v>
      </c>
      <c r="F1097" s="965">
        <v>95737500</v>
      </c>
      <c r="G1097" s="965">
        <v>12100</v>
      </c>
      <c r="H1097" s="965">
        <v>12250</v>
      </c>
      <c r="I1097" s="965">
        <v>11850</v>
      </c>
      <c r="J1097" s="965">
        <v>131483</v>
      </c>
      <c r="K1097" s="965">
        <v>10821611</v>
      </c>
    </row>
    <row r="1098" spans="2:11" s="1258" customFormat="1" ht="16" hidden="1" outlineLevel="1">
      <c r="B1098" s="966" t="s">
        <v>2441</v>
      </c>
      <c r="C1098" s="965">
        <v>12150</v>
      </c>
      <c r="D1098" s="965" t="s">
        <v>2293</v>
      </c>
      <c r="E1098" s="965">
        <v>10100</v>
      </c>
      <c r="F1098" s="965">
        <v>123409500</v>
      </c>
      <c r="G1098" s="965">
        <v>12350</v>
      </c>
      <c r="H1098" s="965">
        <v>12350</v>
      </c>
      <c r="I1098" s="965">
        <v>12000</v>
      </c>
      <c r="J1098" s="965">
        <v>131483</v>
      </c>
      <c r="K1098" s="965">
        <v>10821611</v>
      </c>
    </row>
    <row r="1099" spans="2:11" s="1258" customFormat="1" ht="16" hidden="1" outlineLevel="1">
      <c r="B1099" s="966" t="s">
        <v>2439</v>
      </c>
      <c r="C1099" s="965">
        <v>12400</v>
      </c>
      <c r="D1099" s="965" t="s">
        <v>2212</v>
      </c>
      <c r="E1099" s="965">
        <v>5830</v>
      </c>
      <c r="F1099" s="965">
        <v>71952500</v>
      </c>
      <c r="G1099" s="965">
        <v>12400</v>
      </c>
      <c r="H1099" s="965">
        <v>12400</v>
      </c>
      <c r="I1099" s="965">
        <v>12300</v>
      </c>
      <c r="J1099" s="965">
        <v>134188</v>
      </c>
      <c r="K1099" s="965">
        <v>10821611</v>
      </c>
    </row>
    <row r="1100" spans="2:11" s="1258" customFormat="1" ht="16" hidden="1" outlineLevel="1">
      <c r="B1100" s="966" t="s">
        <v>2438</v>
      </c>
      <c r="C1100" s="965">
        <v>12300</v>
      </c>
      <c r="D1100" s="965" t="s">
        <v>2228</v>
      </c>
      <c r="E1100" s="965">
        <v>7290</v>
      </c>
      <c r="F1100" s="965">
        <v>90005000</v>
      </c>
      <c r="G1100" s="965">
        <v>12450</v>
      </c>
      <c r="H1100" s="965">
        <v>12450</v>
      </c>
      <c r="I1100" s="965">
        <v>12300</v>
      </c>
      <c r="J1100" s="965">
        <v>133106</v>
      </c>
      <c r="K1100" s="965">
        <v>10821611</v>
      </c>
    </row>
    <row r="1101" spans="2:11" s="1258" customFormat="1" ht="16" hidden="1" outlineLevel="1">
      <c r="B1101" s="966" t="s">
        <v>2436</v>
      </c>
      <c r="C1101" s="965">
        <v>12400</v>
      </c>
      <c r="D1101" s="965" t="s">
        <v>2221</v>
      </c>
      <c r="E1101" s="965">
        <v>16180</v>
      </c>
      <c r="F1101" s="965">
        <v>199570500</v>
      </c>
      <c r="G1101" s="965">
        <v>12450</v>
      </c>
      <c r="H1101" s="965">
        <v>12450</v>
      </c>
      <c r="I1101" s="965">
        <v>12250</v>
      </c>
      <c r="J1101" s="965">
        <v>134188</v>
      </c>
      <c r="K1101" s="965">
        <v>10821611</v>
      </c>
    </row>
    <row r="1102" spans="2:11" s="1258" customFormat="1" ht="16" hidden="1" outlineLevel="1">
      <c r="B1102" s="966" t="s">
        <v>2435</v>
      </c>
      <c r="C1102" s="965">
        <v>12400</v>
      </c>
      <c r="D1102" s="965" t="s">
        <v>2207</v>
      </c>
      <c r="E1102" s="965">
        <v>10850</v>
      </c>
      <c r="F1102" s="965">
        <v>134026000</v>
      </c>
      <c r="G1102" s="965">
        <v>12300</v>
      </c>
      <c r="H1102" s="965">
        <v>12400</v>
      </c>
      <c r="I1102" s="965">
        <v>12250</v>
      </c>
      <c r="J1102" s="965">
        <v>134188</v>
      </c>
      <c r="K1102" s="965">
        <v>10821611</v>
      </c>
    </row>
    <row r="1103" spans="2:11" s="1258" customFormat="1" ht="16" hidden="1" outlineLevel="1">
      <c r="B1103" s="966" t="s">
        <v>2433</v>
      </c>
      <c r="C1103" s="965">
        <v>12350</v>
      </c>
      <c r="D1103" s="965" t="s">
        <v>2226</v>
      </c>
      <c r="E1103" s="965">
        <v>8140</v>
      </c>
      <c r="F1103" s="965">
        <v>99636500</v>
      </c>
      <c r="G1103" s="965">
        <v>12400</v>
      </c>
      <c r="H1103" s="965">
        <v>12400</v>
      </c>
      <c r="I1103" s="965">
        <v>12200</v>
      </c>
      <c r="J1103" s="965">
        <v>133647</v>
      </c>
      <c r="K1103" s="965">
        <v>10821611</v>
      </c>
    </row>
    <row r="1104" spans="2:11" s="1258" customFormat="1" ht="16" hidden="1" outlineLevel="1">
      <c r="B1104" s="966" t="s">
        <v>2431</v>
      </c>
      <c r="C1104" s="965">
        <v>12400</v>
      </c>
      <c r="D1104" s="965" t="s">
        <v>2212</v>
      </c>
      <c r="E1104" s="965">
        <v>6700</v>
      </c>
      <c r="F1104" s="965">
        <v>82792500</v>
      </c>
      <c r="G1104" s="965">
        <v>12300</v>
      </c>
      <c r="H1104" s="965">
        <v>12450</v>
      </c>
      <c r="I1104" s="965">
        <v>12250</v>
      </c>
      <c r="J1104" s="965">
        <v>134188</v>
      </c>
      <c r="K1104" s="965">
        <v>10821611</v>
      </c>
    </row>
    <row r="1105" spans="2:11" s="1258" customFormat="1" ht="16" hidden="1" outlineLevel="1">
      <c r="B1105" s="966" t="s">
        <v>2430</v>
      </c>
      <c r="C1105" s="965">
        <v>12300</v>
      </c>
      <c r="D1105" s="965" t="s">
        <v>2230</v>
      </c>
      <c r="E1105" s="965">
        <v>3132</v>
      </c>
      <c r="F1105" s="965">
        <v>37730100</v>
      </c>
      <c r="G1105" s="965">
        <v>11950</v>
      </c>
      <c r="H1105" s="965">
        <v>12300</v>
      </c>
      <c r="I1105" s="965">
        <v>11950</v>
      </c>
      <c r="J1105" s="965">
        <v>133106</v>
      </c>
      <c r="K1105" s="965">
        <v>10821611</v>
      </c>
    </row>
    <row r="1106" spans="2:11" s="1258" customFormat="1" ht="16" hidden="1" outlineLevel="1">
      <c r="B1106" s="966" t="s">
        <v>2428</v>
      </c>
      <c r="C1106" s="965">
        <v>11950</v>
      </c>
      <c r="D1106" s="965" t="s">
        <v>2221</v>
      </c>
      <c r="E1106" s="965">
        <v>11552</v>
      </c>
      <c r="F1106" s="965">
        <v>137683900</v>
      </c>
      <c r="G1106" s="965">
        <v>11950</v>
      </c>
      <c r="H1106" s="965">
        <v>12050</v>
      </c>
      <c r="I1106" s="965">
        <v>11850</v>
      </c>
      <c r="J1106" s="965">
        <v>129318</v>
      </c>
      <c r="K1106" s="965">
        <v>10821611</v>
      </c>
    </row>
    <row r="1107" spans="2:11" s="1258" customFormat="1" ht="16" hidden="1" outlineLevel="1">
      <c r="B1107" s="966" t="s">
        <v>2427</v>
      </c>
      <c r="C1107" s="965">
        <v>11950</v>
      </c>
      <c r="D1107" s="965" t="s">
        <v>2211</v>
      </c>
      <c r="E1107" s="965">
        <v>18586</v>
      </c>
      <c r="F1107" s="965">
        <v>224363200</v>
      </c>
      <c r="G1107" s="965">
        <v>12350</v>
      </c>
      <c r="H1107" s="965">
        <v>12400</v>
      </c>
      <c r="I1107" s="965">
        <v>11950</v>
      </c>
      <c r="J1107" s="965">
        <v>129318</v>
      </c>
      <c r="K1107" s="965">
        <v>10821611</v>
      </c>
    </row>
    <row r="1108" spans="2:11" s="1258" customFormat="1" ht="16" hidden="1" outlineLevel="1">
      <c r="B1108" s="966" t="s">
        <v>2425</v>
      </c>
      <c r="C1108" s="965">
        <v>12350</v>
      </c>
      <c r="D1108" s="965" t="s">
        <v>2207</v>
      </c>
      <c r="E1108" s="965">
        <v>17680</v>
      </c>
      <c r="F1108" s="965">
        <v>216360500</v>
      </c>
      <c r="G1108" s="965">
        <v>12400</v>
      </c>
      <c r="H1108" s="965">
        <v>12400</v>
      </c>
      <c r="I1108" s="965">
        <v>12150</v>
      </c>
      <c r="J1108" s="965">
        <v>133647</v>
      </c>
      <c r="K1108" s="965">
        <v>10821611</v>
      </c>
    </row>
    <row r="1109" spans="2:11" s="1258" customFormat="1" ht="16" hidden="1" outlineLevel="1">
      <c r="B1109" s="966" t="s">
        <v>2423</v>
      </c>
      <c r="C1109" s="965">
        <v>12300</v>
      </c>
      <c r="D1109" s="965" t="s">
        <v>2293</v>
      </c>
      <c r="E1109" s="965">
        <v>39624</v>
      </c>
      <c r="F1109" s="965">
        <v>490069200</v>
      </c>
      <c r="G1109" s="965">
        <v>12500</v>
      </c>
      <c r="H1109" s="965">
        <v>12700</v>
      </c>
      <c r="I1109" s="965">
        <v>12150</v>
      </c>
      <c r="J1109" s="965">
        <v>133106</v>
      </c>
      <c r="K1109" s="965">
        <v>10821611</v>
      </c>
    </row>
    <row r="1110" spans="2:11" s="1258" customFormat="1" ht="16" hidden="1" outlineLevel="1">
      <c r="B1110" s="966" t="s">
        <v>2422</v>
      </c>
      <c r="C1110" s="965">
        <v>12550</v>
      </c>
      <c r="D1110" s="965" t="s">
        <v>2221</v>
      </c>
      <c r="E1110" s="965">
        <v>3626</v>
      </c>
      <c r="F1110" s="965">
        <v>45669800</v>
      </c>
      <c r="G1110" s="965">
        <v>12700</v>
      </c>
      <c r="H1110" s="965">
        <v>12700</v>
      </c>
      <c r="I1110" s="965">
        <v>12500</v>
      </c>
      <c r="J1110" s="965">
        <v>135811</v>
      </c>
      <c r="K1110" s="965">
        <v>10821611</v>
      </c>
    </row>
    <row r="1111" spans="2:11" s="1258" customFormat="1" ht="16" hidden="1" outlineLevel="1">
      <c r="B1111" s="966" t="s">
        <v>2420</v>
      </c>
      <c r="C1111" s="965">
        <v>12550</v>
      </c>
      <c r="D1111" s="965" t="s">
        <v>2221</v>
      </c>
      <c r="E1111" s="965">
        <v>40780</v>
      </c>
      <c r="F1111" s="965">
        <v>510024000</v>
      </c>
      <c r="G1111" s="965">
        <v>12750</v>
      </c>
      <c r="H1111" s="965">
        <v>12750</v>
      </c>
      <c r="I1111" s="965">
        <v>12450</v>
      </c>
      <c r="J1111" s="965">
        <v>135811</v>
      </c>
      <c r="K1111" s="965">
        <v>10821611</v>
      </c>
    </row>
    <row r="1112" spans="2:11" s="1258" customFormat="1" ht="16" hidden="1" outlineLevel="1">
      <c r="B1112" s="966" t="s">
        <v>2418</v>
      </c>
      <c r="C1112" s="965">
        <v>12550</v>
      </c>
      <c r="D1112" s="965" t="s">
        <v>2226</v>
      </c>
      <c r="E1112" s="965">
        <v>5260</v>
      </c>
      <c r="F1112" s="965">
        <v>66454500</v>
      </c>
      <c r="G1112" s="965">
        <v>12600</v>
      </c>
      <c r="H1112" s="965">
        <v>12750</v>
      </c>
      <c r="I1112" s="965">
        <v>12550</v>
      </c>
      <c r="J1112" s="965">
        <v>135811</v>
      </c>
      <c r="K1112" s="965">
        <v>10821611</v>
      </c>
    </row>
    <row r="1113" spans="2:11" s="1258" customFormat="1" ht="16" hidden="1" outlineLevel="1">
      <c r="B1113" s="966" t="s">
        <v>2417</v>
      </c>
      <c r="C1113" s="965">
        <v>12600</v>
      </c>
      <c r="D1113" s="965" t="s">
        <v>2212</v>
      </c>
      <c r="E1113" s="965">
        <v>8570</v>
      </c>
      <c r="F1113" s="965">
        <v>107143000</v>
      </c>
      <c r="G1113" s="965">
        <v>12500</v>
      </c>
      <c r="H1113" s="965">
        <v>12600</v>
      </c>
      <c r="I1113" s="965">
        <v>12500</v>
      </c>
      <c r="J1113" s="965">
        <v>136352</v>
      </c>
      <c r="K1113" s="965">
        <v>10821611</v>
      </c>
    </row>
    <row r="1114" spans="2:11" s="1258" customFormat="1" ht="16" hidden="1" outlineLevel="1">
      <c r="B1114" s="966" t="s">
        <v>2416</v>
      </c>
      <c r="C1114" s="965">
        <v>12500</v>
      </c>
      <c r="D1114" s="965" t="s">
        <v>2226</v>
      </c>
      <c r="E1114" s="965">
        <v>10700</v>
      </c>
      <c r="F1114" s="965">
        <v>133175500</v>
      </c>
      <c r="G1114" s="965">
        <v>12600</v>
      </c>
      <c r="H1114" s="965">
        <v>12600</v>
      </c>
      <c r="I1114" s="965">
        <v>12400</v>
      </c>
      <c r="J1114" s="965">
        <v>135270</v>
      </c>
      <c r="K1114" s="965">
        <v>10821611</v>
      </c>
    </row>
    <row r="1115" spans="2:11" s="1258" customFormat="1" ht="16" hidden="1" outlineLevel="1">
      <c r="B1115" s="966" t="s">
        <v>2414</v>
      </c>
      <c r="C1115" s="965">
        <v>12550</v>
      </c>
      <c r="D1115" s="965" t="s">
        <v>2232</v>
      </c>
      <c r="E1115" s="965">
        <v>4461</v>
      </c>
      <c r="F1115" s="965">
        <v>55502550</v>
      </c>
      <c r="G1115" s="965">
        <v>12450</v>
      </c>
      <c r="H1115" s="965">
        <v>12550</v>
      </c>
      <c r="I1115" s="965">
        <v>12350</v>
      </c>
      <c r="J1115" s="965">
        <v>135811</v>
      </c>
      <c r="K1115" s="965">
        <v>10821611</v>
      </c>
    </row>
    <row r="1116" spans="2:11" s="1258" customFormat="1" ht="16" hidden="1" outlineLevel="1">
      <c r="B1116" s="966" t="s">
        <v>2412</v>
      </c>
      <c r="C1116" s="965">
        <v>12350</v>
      </c>
      <c r="D1116" s="965" t="s">
        <v>2228</v>
      </c>
      <c r="E1116" s="965">
        <v>14100</v>
      </c>
      <c r="F1116" s="965">
        <v>174154000</v>
      </c>
      <c r="G1116" s="965">
        <v>12350</v>
      </c>
      <c r="H1116" s="965">
        <v>12500</v>
      </c>
      <c r="I1116" s="965">
        <v>12300</v>
      </c>
      <c r="J1116" s="965">
        <v>133647</v>
      </c>
      <c r="K1116" s="965">
        <v>10821611</v>
      </c>
    </row>
    <row r="1117" spans="2:11" s="1258" customFormat="1" ht="16" hidden="1" outlineLevel="1">
      <c r="B1117" s="966" t="s">
        <v>2410</v>
      </c>
      <c r="C1117" s="965">
        <v>12450</v>
      </c>
      <c r="D1117" s="965" t="s">
        <v>2221</v>
      </c>
      <c r="E1117" s="965">
        <v>15090</v>
      </c>
      <c r="F1117" s="965">
        <v>186653000</v>
      </c>
      <c r="G1117" s="965">
        <v>12500</v>
      </c>
      <c r="H1117" s="965">
        <v>12550</v>
      </c>
      <c r="I1117" s="965">
        <v>12250</v>
      </c>
      <c r="J1117" s="965">
        <v>134729</v>
      </c>
      <c r="K1117" s="965">
        <v>10821611</v>
      </c>
    </row>
    <row r="1118" spans="2:11" s="1258" customFormat="1" ht="16" hidden="1" outlineLevel="1">
      <c r="B1118" s="966" t="s">
        <v>2409</v>
      </c>
      <c r="C1118" s="965">
        <v>12450</v>
      </c>
      <c r="D1118" s="965" t="s">
        <v>2229</v>
      </c>
      <c r="E1118" s="965">
        <v>11830</v>
      </c>
      <c r="F1118" s="965">
        <v>148953500</v>
      </c>
      <c r="G1118" s="965">
        <v>12700</v>
      </c>
      <c r="H1118" s="965">
        <v>12900</v>
      </c>
      <c r="I1118" s="965">
        <v>12350</v>
      </c>
      <c r="J1118" s="965">
        <v>134729</v>
      </c>
      <c r="K1118" s="965">
        <v>10821611</v>
      </c>
    </row>
    <row r="1119" spans="2:11" s="1258" customFormat="1" ht="16" hidden="1" outlineLevel="1">
      <c r="B1119" s="966" t="s">
        <v>2407</v>
      </c>
      <c r="C1119" s="965">
        <v>12800</v>
      </c>
      <c r="D1119" s="965" t="s">
        <v>2225</v>
      </c>
      <c r="E1119" s="965">
        <v>3110</v>
      </c>
      <c r="F1119" s="965">
        <v>39870500</v>
      </c>
      <c r="G1119" s="965">
        <v>13000</v>
      </c>
      <c r="H1119" s="965">
        <v>13000</v>
      </c>
      <c r="I1119" s="965">
        <v>12700</v>
      </c>
      <c r="J1119" s="965">
        <v>138517</v>
      </c>
      <c r="K1119" s="965">
        <v>10821611</v>
      </c>
    </row>
    <row r="1120" spans="2:11" s="1258" customFormat="1" ht="16" hidden="1" outlineLevel="1">
      <c r="B1120" s="966" t="s">
        <v>2406</v>
      </c>
      <c r="C1120" s="965">
        <v>12950</v>
      </c>
      <c r="D1120" s="965" t="s">
        <v>2225</v>
      </c>
      <c r="E1120" s="965">
        <v>9520</v>
      </c>
      <c r="F1120" s="965">
        <v>123226500</v>
      </c>
      <c r="G1120" s="965">
        <v>13150</v>
      </c>
      <c r="H1120" s="965">
        <v>13200</v>
      </c>
      <c r="I1120" s="965">
        <v>12850</v>
      </c>
      <c r="J1120" s="965">
        <v>140140</v>
      </c>
      <c r="K1120" s="965">
        <v>10821611</v>
      </c>
    </row>
    <row r="1121" spans="2:11" s="1258" customFormat="1" ht="16" hidden="1" outlineLevel="1">
      <c r="B1121" s="966" t="s">
        <v>2404</v>
      </c>
      <c r="C1121" s="965">
        <v>13100</v>
      </c>
      <c r="D1121" s="965" t="s">
        <v>2219</v>
      </c>
      <c r="E1121" s="965">
        <v>14875</v>
      </c>
      <c r="F1121" s="965">
        <v>193401500</v>
      </c>
      <c r="G1121" s="965">
        <v>13000</v>
      </c>
      <c r="H1121" s="965">
        <v>13100</v>
      </c>
      <c r="I1121" s="965">
        <v>12900</v>
      </c>
      <c r="J1121" s="965">
        <v>141763</v>
      </c>
      <c r="K1121" s="965">
        <v>10821611</v>
      </c>
    </row>
    <row r="1122" spans="2:11" s="1258" customFormat="1" ht="16" hidden="1" outlineLevel="1">
      <c r="B1122" s="966" t="s">
        <v>2403</v>
      </c>
      <c r="C1122" s="965">
        <v>12950</v>
      </c>
      <c r="D1122" s="965" t="s">
        <v>2232</v>
      </c>
      <c r="E1122" s="965">
        <v>18785</v>
      </c>
      <c r="F1122" s="965">
        <v>242641750</v>
      </c>
      <c r="G1122" s="965">
        <v>12700</v>
      </c>
      <c r="H1122" s="965">
        <v>13050</v>
      </c>
      <c r="I1122" s="965">
        <v>12700</v>
      </c>
      <c r="J1122" s="965">
        <v>140140</v>
      </c>
      <c r="K1122" s="965">
        <v>10821611</v>
      </c>
    </row>
    <row r="1123" spans="2:11" s="1258" customFormat="1" ht="16" hidden="1" outlineLevel="1">
      <c r="B1123" s="966" t="s">
        <v>2401</v>
      </c>
      <c r="C1123" s="965">
        <v>12750</v>
      </c>
      <c r="D1123" s="965" t="s">
        <v>2207</v>
      </c>
      <c r="E1123" s="965">
        <v>9600</v>
      </c>
      <c r="F1123" s="965">
        <v>121394000</v>
      </c>
      <c r="G1123" s="965">
        <v>12700</v>
      </c>
      <c r="H1123" s="965">
        <v>12750</v>
      </c>
      <c r="I1123" s="965">
        <v>12550</v>
      </c>
      <c r="J1123" s="965">
        <v>137976</v>
      </c>
      <c r="K1123" s="965">
        <v>10821611</v>
      </c>
    </row>
    <row r="1124" spans="2:11" s="1258" customFormat="1" ht="16" hidden="1" outlineLevel="1">
      <c r="B1124" s="966" t="s">
        <v>2399</v>
      </c>
      <c r="C1124" s="965">
        <v>12700</v>
      </c>
      <c r="D1124" s="965" t="s">
        <v>2207</v>
      </c>
      <c r="E1124" s="965">
        <v>10680</v>
      </c>
      <c r="F1124" s="965">
        <v>135220000</v>
      </c>
      <c r="G1124" s="965">
        <v>12550</v>
      </c>
      <c r="H1124" s="965">
        <v>12750</v>
      </c>
      <c r="I1124" s="965">
        <v>12550</v>
      </c>
      <c r="J1124" s="965">
        <v>137434</v>
      </c>
      <c r="K1124" s="965">
        <v>10821611</v>
      </c>
    </row>
    <row r="1125" spans="2:11" s="1258" customFormat="1" ht="16" hidden="1" outlineLevel="1">
      <c r="B1125" s="966" t="s">
        <v>2397</v>
      </c>
      <c r="C1125" s="965">
        <v>12650</v>
      </c>
      <c r="D1125" s="965" t="s">
        <v>2207</v>
      </c>
      <c r="E1125" s="965">
        <v>5334</v>
      </c>
      <c r="F1125" s="965">
        <v>67789100</v>
      </c>
      <c r="G1125" s="965">
        <v>12600</v>
      </c>
      <c r="H1125" s="965">
        <v>12800</v>
      </c>
      <c r="I1125" s="965">
        <v>12550</v>
      </c>
      <c r="J1125" s="965">
        <v>136893</v>
      </c>
      <c r="K1125" s="965">
        <v>10821611</v>
      </c>
    </row>
    <row r="1126" spans="2:11" s="1258" customFormat="1" ht="16" hidden="1" outlineLevel="1">
      <c r="B1126" s="966" t="s">
        <v>2395</v>
      </c>
      <c r="C1126" s="965">
        <v>12600</v>
      </c>
      <c r="D1126" s="965" t="s">
        <v>2228</v>
      </c>
      <c r="E1126" s="965">
        <v>10010</v>
      </c>
      <c r="F1126" s="965">
        <v>126446500</v>
      </c>
      <c r="G1126" s="965">
        <v>12600</v>
      </c>
      <c r="H1126" s="965">
        <v>12700</v>
      </c>
      <c r="I1126" s="965">
        <v>12550</v>
      </c>
      <c r="J1126" s="965">
        <v>136352</v>
      </c>
      <c r="K1126" s="965">
        <v>10821611</v>
      </c>
    </row>
    <row r="1127" spans="2:11" s="1258" customFormat="1" ht="16" hidden="1" outlineLevel="1">
      <c r="B1127" s="966" t="s">
        <v>2394</v>
      </c>
      <c r="C1127" s="965">
        <v>12700</v>
      </c>
      <c r="D1127" s="965" t="s">
        <v>2225</v>
      </c>
      <c r="E1127" s="965">
        <v>8990</v>
      </c>
      <c r="F1127" s="965">
        <v>114412500</v>
      </c>
      <c r="G1127" s="965">
        <v>12950</v>
      </c>
      <c r="H1127" s="965">
        <v>12950</v>
      </c>
      <c r="I1127" s="965">
        <v>12650</v>
      </c>
      <c r="J1127" s="965">
        <v>137434</v>
      </c>
      <c r="K1127" s="965">
        <v>10821611</v>
      </c>
    </row>
    <row r="1128" spans="2:11" s="1258" customFormat="1" ht="16" hidden="1" outlineLevel="1">
      <c r="B1128" s="966" t="s">
        <v>2393</v>
      </c>
      <c r="C1128" s="965">
        <v>12850</v>
      </c>
      <c r="D1128" s="965" t="s">
        <v>2221</v>
      </c>
      <c r="E1128" s="965">
        <v>45725</v>
      </c>
      <c r="F1128" s="965">
        <v>584847250</v>
      </c>
      <c r="G1128" s="965">
        <v>12900</v>
      </c>
      <c r="H1128" s="965">
        <v>13000</v>
      </c>
      <c r="I1128" s="965">
        <v>12650</v>
      </c>
      <c r="J1128" s="965">
        <v>139058</v>
      </c>
      <c r="K1128" s="965">
        <v>10821611</v>
      </c>
    </row>
    <row r="1129" spans="2:11" s="1258" customFormat="1" ht="16" hidden="1" outlineLevel="1">
      <c r="B1129" s="966" t="s">
        <v>2391</v>
      </c>
      <c r="C1129" s="965">
        <v>12850</v>
      </c>
      <c r="D1129" s="965" t="s">
        <v>2224</v>
      </c>
      <c r="E1129" s="965">
        <v>4250</v>
      </c>
      <c r="F1129" s="965">
        <v>54942500</v>
      </c>
      <c r="G1129" s="965">
        <v>13050</v>
      </c>
      <c r="H1129" s="965">
        <v>13150</v>
      </c>
      <c r="I1129" s="965">
        <v>12850</v>
      </c>
      <c r="J1129" s="965">
        <v>139058</v>
      </c>
      <c r="K1129" s="965">
        <v>10821611</v>
      </c>
    </row>
    <row r="1130" spans="2:11" s="1258" customFormat="1" ht="16" hidden="1" outlineLevel="1">
      <c r="B1130" s="966" t="s">
        <v>2389</v>
      </c>
      <c r="C1130" s="965">
        <v>13050</v>
      </c>
      <c r="D1130" s="965" t="s">
        <v>2221</v>
      </c>
      <c r="E1130" s="965">
        <v>14230</v>
      </c>
      <c r="F1130" s="965">
        <v>184878500</v>
      </c>
      <c r="G1130" s="965">
        <v>13050</v>
      </c>
      <c r="H1130" s="965">
        <v>13200</v>
      </c>
      <c r="I1130" s="965">
        <v>12850</v>
      </c>
      <c r="J1130" s="965">
        <v>141222</v>
      </c>
      <c r="K1130" s="965">
        <v>10821611</v>
      </c>
    </row>
    <row r="1131" spans="2:11" s="1258" customFormat="1" ht="16" hidden="1" outlineLevel="1">
      <c r="B1131" s="966" t="s">
        <v>2388</v>
      </c>
      <c r="C1131" s="965">
        <v>13050</v>
      </c>
      <c r="D1131" s="965" t="s">
        <v>2207</v>
      </c>
      <c r="E1131" s="965">
        <v>6110</v>
      </c>
      <c r="F1131" s="965">
        <v>79374000</v>
      </c>
      <c r="G1131" s="965">
        <v>13000</v>
      </c>
      <c r="H1131" s="965">
        <v>13100</v>
      </c>
      <c r="I1131" s="965">
        <v>12900</v>
      </c>
      <c r="J1131" s="965">
        <v>141222</v>
      </c>
      <c r="K1131" s="965">
        <v>10821611</v>
      </c>
    </row>
    <row r="1132" spans="2:11" s="1258" customFormat="1" ht="16" hidden="1" outlineLevel="1">
      <c r="B1132" s="966" t="s">
        <v>2386</v>
      </c>
      <c r="C1132" s="965">
        <v>13000</v>
      </c>
      <c r="D1132" s="965" t="s">
        <v>2293</v>
      </c>
      <c r="E1132" s="965">
        <v>10600</v>
      </c>
      <c r="F1132" s="965">
        <v>138695500</v>
      </c>
      <c r="G1132" s="965">
        <v>13250</v>
      </c>
      <c r="H1132" s="965">
        <v>13250</v>
      </c>
      <c r="I1132" s="965">
        <v>13000</v>
      </c>
      <c r="J1132" s="965">
        <v>140681</v>
      </c>
      <c r="K1132" s="965">
        <v>10821611</v>
      </c>
    </row>
    <row r="1133" spans="2:11" s="1258" customFormat="1" ht="16" hidden="1" outlineLevel="1">
      <c r="B1133" s="966" t="s">
        <v>2385</v>
      </c>
      <c r="C1133" s="965">
        <v>13250</v>
      </c>
      <c r="D1133" s="965" t="s">
        <v>2243</v>
      </c>
      <c r="E1133" s="965">
        <v>20290</v>
      </c>
      <c r="F1133" s="965">
        <v>265775500</v>
      </c>
      <c r="G1133" s="965">
        <v>13000</v>
      </c>
      <c r="H1133" s="965">
        <v>13400</v>
      </c>
      <c r="I1133" s="965">
        <v>12900</v>
      </c>
      <c r="J1133" s="965">
        <v>143386</v>
      </c>
      <c r="K1133" s="965">
        <v>10821611</v>
      </c>
    </row>
    <row r="1134" spans="2:11" s="1258" customFormat="1" ht="16" hidden="1" outlineLevel="1">
      <c r="B1134" s="966" t="s">
        <v>2383</v>
      </c>
      <c r="C1134" s="965">
        <v>12950</v>
      </c>
      <c r="D1134" s="965" t="s">
        <v>2226</v>
      </c>
      <c r="E1134" s="965">
        <v>6100</v>
      </c>
      <c r="F1134" s="965">
        <v>79075500</v>
      </c>
      <c r="G1134" s="965">
        <v>13100</v>
      </c>
      <c r="H1134" s="965">
        <v>13100</v>
      </c>
      <c r="I1134" s="965">
        <v>12900</v>
      </c>
      <c r="J1134" s="965">
        <v>140140</v>
      </c>
      <c r="K1134" s="965">
        <v>10821611</v>
      </c>
    </row>
    <row r="1135" spans="2:11" s="1258" customFormat="1" ht="16" hidden="1" outlineLevel="1">
      <c r="B1135" s="966" t="s">
        <v>2382</v>
      </c>
      <c r="C1135" s="965">
        <v>13000</v>
      </c>
      <c r="D1135" s="965" t="s">
        <v>2226</v>
      </c>
      <c r="E1135" s="965">
        <v>10578</v>
      </c>
      <c r="F1135" s="965">
        <v>138140500</v>
      </c>
      <c r="G1135" s="965">
        <v>13050</v>
      </c>
      <c r="H1135" s="965">
        <v>13200</v>
      </c>
      <c r="I1135" s="965">
        <v>12950</v>
      </c>
      <c r="J1135" s="965">
        <v>140681</v>
      </c>
      <c r="K1135" s="965">
        <v>10821611</v>
      </c>
    </row>
    <row r="1136" spans="2:11" s="1258" customFormat="1" ht="16" hidden="1" outlineLevel="1">
      <c r="B1136" s="966" t="s">
        <v>2380</v>
      </c>
      <c r="C1136" s="965">
        <v>13050</v>
      </c>
      <c r="D1136" s="965" t="s">
        <v>2225</v>
      </c>
      <c r="E1136" s="965">
        <v>16460</v>
      </c>
      <c r="F1136" s="965">
        <v>213890500</v>
      </c>
      <c r="G1136" s="965">
        <v>13100</v>
      </c>
      <c r="H1136" s="965">
        <v>13200</v>
      </c>
      <c r="I1136" s="965">
        <v>12850</v>
      </c>
      <c r="J1136" s="965">
        <v>141222</v>
      </c>
      <c r="K1136" s="965">
        <v>10821611</v>
      </c>
    </row>
    <row r="1137" spans="2:11" s="1258" customFormat="1" ht="16" hidden="1" outlineLevel="1">
      <c r="B1137" s="966" t="s">
        <v>2379</v>
      </c>
      <c r="C1137" s="965">
        <v>13200</v>
      </c>
      <c r="D1137" s="965" t="s">
        <v>2228</v>
      </c>
      <c r="E1137" s="965">
        <v>17610</v>
      </c>
      <c r="F1137" s="965">
        <v>231360500</v>
      </c>
      <c r="G1137" s="965">
        <v>13300</v>
      </c>
      <c r="H1137" s="965">
        <v>13300</v>
      </c>
      <c r="I1137" s="965">
        <v>13050</v>
      </c>
      <c r="J1137" s="965">
        <v>142845</v>
      </c>
      <c r="K1137" s="965">
        <v>10821611</v>
      </c>
    </row>
    <row r="1138" spans="2:11" s="1258" customFormat="1" ht="16" hidden="1" outlineLevel="1">
      <c r="B1138" s="966" t="s">
        <v>2377</v>
      </c>
      <c r="C1138" s="965">
        <v>13300</v>
      </c>
      <c r="D1138" s="965" t="s">
        <v>2226</v>
      </c>
      <c r="E1138" s="965">
        <v>7744</v>
      </c>
      <c r="F1138" s="965">
        <v>103057700</v>
      </c>
      <c r="G1138" s="965">
        <v>13200</v>
      </c>
      <c r="H1138" s="965">
        <v>13450</v>
      </c>
      <c r="I1138" s="965">
        <v>13150</v>
      </c>
      <c r="J1138" s="965">
        <v>143927</v>
      </c>
      <c r="K1138" s="965">
        <v>10821611</v>
      </c>
    </row>
    <row r="1139" spans="2:11" s="1258" customFormat="1" ht="16" hidden="1" outlineLevel="1">
      <c r="B1139" s="966" t="s">
        <v>2376</v>
      </c>
      <c r="C1139" s="965">
        <v>13350</v>
      </c>
      <c r="D1139" s="965" t="s">
        <v>2213</v>
      </c>
      <c r="E1139" s="965">
        <v>15320</v>
      </c>
      <c r="F1139" s="965">
        <v>202098500</v>
      </c>
      <c r="G1139" s="965">
        <v>13150</v>
      </c>
      <c r="H1139" s="965">
        <v>13350</v>
      </c>
      <c r="I1139" s="965">
        <v>13050</v>
      </c>
      <c r="J1139" s="965">
        <v>144469</v>
      </c>
      <c r="K1139" s="965">
        <v>10821611</v>
      </c>
    </row>
    <row r="1140" spans="2:11" s="1258" customFormat="1" ht="16" hidden="1" outlineLevel="1">
      <c r="B1140" s="966" t="s">
        <v>2374</v>
      </c>
      <c r="C1140" s="965">
        <v>13100</v>
      </c>
      <c r="D1140" s="965" t="s">
        <v>2232</v>
      </c>
      <c r="E1140" s="965">
        <v>11090</v>
      </c>
      <c r="F1140" s="965">
        <v>143669500</v>
      </c>
      <c r="G1140" s="965">
        <v>12900</v>
      </c>
      <c r="H1140" s="965">
        <v>13100</v>
      </c>
      <c r="I1140" s="965">
        <v>12750</v>
      </c>
      <c r="J1140" s="965">
        <v>141763</v>
      </c>
      <c r="K1140" s="965">
        <v>10821611</v>
      </c>
    </row>
    <row r="1141" spans="2:11" s="1258" customFormat="1" ht="16" hidden="1" outlineLevel="1">
      <c r="B1141" s="966" t="s">
        <v>2373</v>
      </c>
      <c r="C1141" s="965">
        <v>12900</v>
      </c>
      <c r="D1141" s="965" t="s">
        <v>2226</v>
      </c>
      <c r="E1141" s="965">
        <v>12561</v>
      </c>
      <c r="F1141" s="965">
        <v>161823950</v>
      </c>
      <c r="G1141" s="965">
        <v>13000</v>
      </c>
      <c r="H1141" s="965">
        <v>13100</v>
      </c>
      <c r="I1141" s="965">
        <v>12800</v>
      </c>
      <c r="J1141" s="965">
        <v>139599</v>
      </c>
      <c r="K1141" s="965">
        <v>10821611</v>
      </c>
    </row>
    <row r="1142" spans="2:11" s="1258" customFormat="1" ht="16" hidden="1" outlineLevel="1">
      <c r="B1142" s="966" t="s">
        <v>2371</v>
      </c>
      <c r="C1142" s="965">
        <v>12950</v>
      </c>
      <c r="D1142" s="965" t="s">
        <v>2229</v>
      </c>
      <c r="E1142" s="965">
        <v>29880</v>
      </c>
      <c r="F1142" s="965">
        <v>388054500</v>
      </c>
      <c r="G1142" s="965">
        <v>13200</v>
      </c>
      <c r="H1142" s="965">
        <v>13300</v>
      </c>
      <c r="I1142" s="965">
        <v>12850</v>
      </c>
      <c r="J1142" s="965">
        <v>140140</v>
      </c>
      <c r="K1142" s="965">
        <v>10821611</v>
      </c>
    </row>
    <row r="1143" spans="2:11" s="1258" customFormat="1" ht="16" hidden="1" outlineLevel="1">
      <c r="B1143" s="966" t="s">
        <v>2369</v>
      </c>
      <c r="C1143" s="965">
        <v>13300</v>
      </c>
      <c r="D1143" s="965" t="s">
        <v>2225</v>
      </c>
      <c r="E1143" s="965">
        <v>20261</v>
      </c>
      <c r="F1143" s="965">
        <v>268960450</v>
      </c>
      <c r="G1143" s="965">
        <v>13500</v>
      </c>
      <c r="H1143" s="965">
        <v>13550</v>
      </c>
      <c r="I1143" s="965">
        <v>13100</v>
      </c>
      <c r="J1143" s="965">
        <v>143927</v>
      </c>
      <c r="K1143" s="965">
        <v>10821611</v>
      </c>
    </row>
    <row r="1144" spans="2:11" s="1258" customFormat="1" ht="16" hidden="1" outlineLevel="1">
      <c r="B1144" s="966" t="s">
        <v>2367</v>
      </c>
      <c r="C1144" s="965">
        <v>13450</v>
      </c>
      <c r="D1144" s="965" t="s">
        <v>2225</v>
      </c>
      <c r="E1144" s="965">
        <v>28097</v>
      </c>
      <c r="F1144" s="965">
        <v>379077650</v>
      </c>
      <c r="G1144" s="965">
        <v>13650</v>
      </c>
      <c r="H1144" s="965">
        <v>13700</v>
      </c>
      <c r="I1144" s="965">
        <v>13400</v>
      </c>
      <c r="J1144" s="965">
        <v>145551</v>
      </c>
      <c r="K1144" s="965">
        <v>10821611</v>
      </c>
    </row>
    <row r="1145" spans="2:11" s="1258" customFormat="1" ht="16" hidden="1" outlineLevel="1">
      <c r="B1145" s="966" t="s">
        <v>2365</v>
      </c>
      <c r="C1145" s="965">
        <v>13600</v>
      </c>
      <c r="D1145" s="965" t="s">
        <v>2219</v>
      </c>
      <c r="E1145" s="965">
        <v>6665</v>
      </c>
      <c r="F1145" s="965">
        <v>91069500</v>
      </c>
      <c r="G1145" s="965">
        <v>13800</v>
      </c>
      <c r="H1145" s="965">
        <v>13800</v>
      </c>
      <c r="I1145" s="965">
        <v>13400</v>
      </c>
      <c r="J1145" s="965">
        <v>147174</v>
      </c>
      <c r="K1145" s="965">
        <v>10821611</v>
      </c>
    </row>
    <row r="1146" spans="2:11" s="1258" customFormat="1" ht="16" hidden="1" outlineLevel="1">
      <c r="B1146" s="966" t="s">
        <v>2364</v>
      </c>
      <c r="C1146" s="965">
        <v>13450</v>
      </c>
      <c r="D1146" s="965" t="s">
        <v>2221</v>
      </c>
      <c r="E1146" s="965">
        <v>5320</v>
      </c>
      <c r="F1146" s="965">
        <v>71582000</v>
      </c>
      <c r="G1146" s="965">
        <v>13450</v>
      </c>
      <c r="H1146" s="965">
        <v>13500</v>
      </c>
      <c r="I1146" s="965">
        <v>13300</v>
      </c>
      <c r="J1146" s="965">
        <v>145551</v>
      </c>
      <c r="K1146" s="965">
        <v>10821611</v>
      </c>
    </row>
    <row r="1147" spans="2:11" s="1258" customFormat="1" ht="16" hidden="1" outlineLevel="1">
      <c r="B1147" s="966" t="s">
        <v>2362</v>
      </c>
      <c r="C1147" s="965">
        <v>13450</v>
      </c>
      <c r="D1147" s="965" t="s">
        <v>2224</v>
      </c>
      <c r="E1147" s="965">
        <v>18820</v>
      </c>
      <c r="F1147" s="965">
        <v>253225500</v>
      </c>
      <c r="G1147" s="965">
        <v>13500</v>
      </c>
      <c r="H1147" s="965">
        <v>13850</v>
      </c>
      <c r="I1147" s="965">
        <v>13200</v>
      </c>
      <c r="J1147" s="965">
        <v>145551</v>
      </c>
      <c r="K1147" s="965">
        <v>10821611</v>
      </c>
    </row>
    <row r="1148" spans="2:11" s="1258" customFormat="1" ht="16" hidden="1" outlineLevel="1">
      <c r="B1148" s="966" t="s">
        <v>2360</v>
      </c>
      <c r="C1148" s="965">
        <v>13650</v>
      </c>
      <c r="D1148" s="965" t="s">
        <v>2225</v>
      </c>
      <c r="E1148" s="965">
        <v>11690</v>
      </c>
      <c r="F1148" s="965">
        <v>160093500</v>
      </c>
      <c r="G1148" s="965">
        <v>14000</v>
      </c>
      <c r="H1148" s="965">
        <v>14000</v>
      </c>
      <c r="I1148" s="965">
        <v>13450</v>
      </c>
      <c r="J1148" s="965">
        <v>147715</v>
      </c>
      <c r="K1148" s="965">
        <v>10821611</v>
      </c>
    </row>
    <row r="1149" spans="2:11" s="1258" customFormat="1" ht="16" hidden="1" outlineLevel="1">
      <c r="B1149" s="966" t="s">
        <v>2358</v>
      </c>
      <c r="C1149" s="965">
        <v>13800</v>
      </c>
      <c r="D1149" s="965" t="s">
        <v>2214</v>
      </c>
      <c r="E1149" s="965">
        <v>46731</v>
      </c>
      <c r="F1149" s="965">
        <v>633588300</v>
      </c>
      <c r="G1149" s="965">
        <v>13250</v>
      </c>
      <c r="H1149" s="965">
        <v>13800</v>
      </c>
      <c r="I1149" s="965">
        <v>13200</v>
      </c>
      <c r="J1149" s="965">
        <v>149338</v>
      </c>
      <c r="K1149" s="965">
        <v>10821611</v>
      </c>
    </row>
    <row r="1150" spans="2:11" s="1258" customFormat="1" ht="16" hidden="1" outlineLevel="1">
      <c r="B1150" s="966" t="s">
        <v>2357</v>
      </c>
      <c r="C1150" s="965">
        <v>13400</v>
      </c>
      <c r="D1150" s="965" t="s">
        <v>2251</v>
      </c>
      <c r="E1150" s="965">
        <v>35655</v>
      </c>
      <c r="F1150" s="965">
        <v>472459500</v>
      </c>
      <c r="G1150" s="965">
        <v>12800</v>
      </c>
      <c r="H1150" s="965">
        <v>13450</v>
      </c>
      <c r="I1150" s="965">
        <v>12800</v>
      </c>
      <c r="J1150" s="965">
        <v>145010</v>
      </c>
      <c r="K1150" s="965">
        <v>10821611</v>
      </c>
    </row>
    <row r="1151" spans="2:11" s="1258" customFormat="1" ht="16" hidden="1" outlineLevel="1">
      <c r="B1151" s="966" t="s">
        <v>2656</v>
      </c>
      <c r="C1151" s="965">
        <v>12800</v>
      </c>
      <c r="D1151" s="965" t="s">
        <v>2228</v>
      </c>
      <c r="E1151" s="965">
        <v>6030</v>
      </c>
      <c r="F1151" s="965">
        <v>77618000</v>
      </c>
      <c r="G1151" s="965">
        <v>12900</v>
      </c>
      <c r="H1151" s="965">
        <v>13050</v>
      </c>
      <c r="I1151" s="965">
        <v>12700</v>
      </c>
      <c r="J1151" s="965">
        <v>138517</v>
      </c>
      <c r="K1151" s="965">
        <v>10821611</v>
      </c>
    </row>
    <row r="1152" spans="2:11" s="1258" customFormat="1" ht="16" hidden="1" outlineLevel="1">
      <c r="B1152" s="966" t="s">
        <v>2655</v>
      </c>
      <c r="C1152" s="965">
        <v>12900</v>
      </c>
      <c r="D1152" s="965" t="s">
        <v>2212</v>
      </c>
      <c r="E1152" s="965">
        <v>11580</v>
      </c>
      <c r="F1152" s="965">
        <v>148630000</v>
      </c>
      <c r="G1152" s="965">
        <v>12800</v>
      </c>
      <c r="H1152" s="965">
        <v>13100</v>
      </c>
      <c r="I1152" s="965">
        <v>12700</v>
      </c>
      <c r="J1152" s="965">
        <v>139599</v>
      </c>
      <c r="K1152" s="965">
        <v>10821611</v>
      </c>
    </row>
    <row r="1153" spans="2:11" s="1258" customFormat="1" ht="16" hidden="1" outlineLevel="1">
      <c r="B1153" s="966" t="s">
        <v>2654</v>
      </c>
      <c r="C1153" s="965">
        <v>12800</v>
      </c>
      <c r="D1153" s="965" t="s">
        <v>2224</v>
      </c>
      <c r="E1153" s="965">
        <v>21370</v>
      </c>
      <c r="F1153" s="965">
        <v>272275500</v>
      </c>
      <c r="G1153" s="965">
        <v>13100</v>
      </c>
      <c r="H1153" s="965">
        <v>13100</v>
      </c>
      <c r="I1153" s="965">
        <v>12600</v>
      </c>
      <c r="J1153" s="965">
        <v>138517</v>
      </c>
      <c r="K1153" s="965">
        <v>10821611</v>
      </c>
    </row>
    <row r="1154" spans="2:11" s="1258" customFormat="1" ht="16" hidden="1" outlineLevel="1">
      <c r="B1154" s="966" t="s">
        <v>2653</v>
      </c>
      <c r="C1154" s="965">
        <v>13000</v>
      </c>
      <c r="D1154" s="965" t="s">
        <v>2212</v>
      </c>
      <c r="E1154" s="965">
        <v>18017</v>
      </c>
      <c r="F1154" s="965">
        <v>234575500</v>
      </c>
      <c r="G1154" s="965">
        <v>13050</v>
      </c>
      <c r="H1154" s="965">
        <v>13150</v>
      </c>
      <c r="I1154" s="965">
        <v>12900</v>
      </c>
      <c r="J1154" s="965">
        <v>140681</v>
      </c>
      <c r="K1154" s="965">
        <v>10821611</v>
      </c>
    </row>
    <row r="1155" spans="2:11" s="1258" customFormat="1" ht="16" hidden="1" outlineLevel="1">
      <c r="B1155" s="966" t="s">
        <v>2652</v>
      </c>
      <c r="C1155" s="965">
        <v>12900</v>
      </c>
      <c r="D1155" s="965" t="s">
        <v>2219</v>
      </c>
      <c r="E1155" s="965">
        <v>21950</v>
      </c>
      <c r="F1155" s="965">
        <v>282295000</v>
      </c>
      <c r="G1155" s="965">
        <v>12700</v>
      </c>
      <c r="H1155" s="965">
        <v>12950</v>
      </c>
      <c r="I1155" s="965">
        <v>12700</v>
      </c>
      <c r="J1155" s="965">
        <v>139599</v>
      </c>
      <c r="K1155" s="965">
        <v>10821611</v>
      </c>
    </row>
    <row r="1156" spans="2:11" s="1258" customFormat="1" ht="16" hidden="1" outlineLevel="1">
      <c r="B1156" s="966" t="s">
        <v>2651</v>
      </c>
      <c r="C1156" s="965">
        <v>12750</v>
      </c>
      <c r="D1156" s="965" t="s">
        <v>2224</v>
      </c>
      <c r="E1156" s="965">
        <v>20610</v>
      </c>
      <c r="F1156" s="965">
        <v>263161000</v>
      </c>
      <c r="G1156" s="965">
        <v>13000</v>
      </c>
      <c r="H1156" s="965">
        <v>13000</v>
      </c>
      <c r="I1156" s="965">
        <v>12600</v>
      </c>
      <c r="J1156" s="965">
        <v>137976</v>
      </c>
      <c r="K1156" s="965">
        <v>10821611</v>
      </c>
    </row>
    <row r="1157" spans="2:11" s="1258" customFormat="1" ht="16" hidden="1" outlineLevel="1">
      <c r="B1157" s="966" t="s">
        <v>2650</v>
      </c>
      <c r="C1157" s="965">
        <v>12950</v>
      </c>
      <c r="D1157" s="965" t="s">
        <v>2232</v>
      </c>
      <c r="E1157" s="965">
        <v>9271</v>
      </c>
      <c r="F1157" s="965">
        <v>119697450</v>
      </c>
      <c r="G1157" s="965">
        <v>12900</v>
      </c>
      <c r="H1157" s="965">
        <v>13000</v>
      </c>
      <c r="I1157" s="965">
        <v>12800</v>
      </c>
      <c r="J1157" s="965">
        <v>140140</v>
      </c>
      <c r="K1157" s="965">
        <v>10821611</v>
      </c>
    </row>
    <row r="1158" spans="2:11" s="1258" customFormat="1" ht="16" hidden="1" outlineLevel="1">
      <c r="B1158" s="966" t="s">
        <v>2648</v>
      </c>
      <c r="C1158" s="965">
        <v>12750</v>
      </c>
      <c r="D1158" s="965" t="s">
        <v>2232</v>
      </c>
      <c r="E1158" s="965">
        <v>30140</v>
      </c>
      <c r="F1158" s="965">
        <v>384468000</v>
      </c>
      <c r="G1158" s="965">
        <v>12450</v>
      </c>
      <c r="H1158" s="965">
        <v>13100</v>
      </c>
      <c r="I1158" s="965">
        <v>12350</v>
      </c>
      <c r="J1158" s="965">
        <v>137976</v>
      </c>
      <c r="K1158" s="965">
        <v>10821611</v>
      </c>
    </row>
    <row r="1159" spans="2:11" s="1258" customFormat="1" ht="16" hidden="1" outlineLevel="1">
      <c r="B1159" s="966" t="s">
        <v>2647</v>
      </c>
      <c r="C1159" s="965">
        <v>12550</v>
      </c>
      <c r="D1159" s="965" t="s">
        <v>2214</v>
      </c>
      <c r="E1159" s="965">
        <v>20450</v>
      </c>
      <c r="F1159" s="965">
        <v>254371500</v>
      </c>
      <c r="G1159" s="965">
        <v>12200</v>
      </c>
      <c r="H1159" s="965">
        <v>12600</v>
      </c>
      <c r="I1159" s="965">
        <v>12200</v>
      </c>
      <c r="J1159" s="965">
        <v>135811</v>
      </c>
      <c r="K1159" s="965">
        <v>10821611</v>
      </c>
    </row>
    <row r="1160" spans="2:11" s="1258" customFormat="1" ht="16" hidden="1" outlineLevel="1">
      <c r="B1160" s="966" t="s">
        <v>2646</v>
      </c>
      <c r="C1160" s="965">
        <v>12150</v>
      </c>
      <c r="D1160" s="965" t="s">
        <v>2226</v>
      </c>
      <c r="E1160" s="965">
        <v>6640</v>
      </c>
      <c r="F1160" s="965">
        <v>80812500</v>
      </c>
      <c r="G1160" s="965">
        <v>12250</v>
      </c>
      <c r="H1160" s="965">
        <v>12250</v>
      </c>
      <c r="I1160" s="965">
        <v>12100</v>
      </c>
      <c r="J1160" s="965">
        <v>131483</v>
      </c>
      <c r="K1160" s="965">
        <v>10821611</v>
      </c>
    </row>
    <row r="1161" spans="2:11" s="1258" customFormat="1" ht="16" hidden="1" outlineLevel="1">
      <c r="B1161" s="966" t="s">
        <v>2645</v>
      </c>
      <c r="C1161" s="965">
        <v>12200</v>
      </c>
      <c r="D1161" s="965" t="s">
        <v>2225</v>
      </c>
      <c r="E1161" s="965">
        <v>9040</v>
      </c>
      <c r="F1161" s="965">
        <v>110290500</v>
      </c>
      <c r="G1161" s="965">
        <v>12250</v>
      </c>
      <c r="H1161" s="965">
        <v>12350</v>
      </c>
      <c r="I1161" s="965">
        <v>12100</v>
      </c>
      <c r="J1161" s="965">
        <v>132024</v>
      </c>
      <c r="K1161" s="965">
        <v>10821611</v>
      </c>
    </row>
    <row r="1162" spans="2:11" s="1258" customFormat="1" ht="16" hidden="1" outlineLevel="1">
      <c r="B1162" s="966" t="s">
        <v>2643</v>
      </c>
      <c r="C1162" s="965">
        <v>12350</v>
      </c>
      <c r="D1162" s="965" t="s">
        <v>2232</v>
      </c>
      <c r="E1162" s="965">
        <v>17907</v>
      </c>
      <c r="F1162" s="965">
        <v>220327950</v>
      </c>
      <c r="G1162" s="965">
        <v>12050</v>
      </c>
      <c r="H1162" s="965">
        <v>12500</v>
      </c>
      <c r="I1162" s="965">
        <v>12050</v>
      </c>
      <c r="J1162" s="965">
        <v>133647</v>
      </c>
      <c r="K1162" s="965">
        <v>10821611</v>
      </c>
    </row>
    <row r="1163" spans="2:11" s="1258" customFormat="1" ht="16" hidden="1" outlineLevel="1">
      <c r="B1163" s="966" t="s">
        <v>2642</v>
      </c>
      <c r="C1163" s="965">
        <v>12150</v>
      </c>
      <c r="D1163" s="965" t="s">
        <v>2226</v>
      </c>
      <c r="E1163" s="965">
        <v>4560</v>
      </c>
      <c r="F1163" s="965">
        <v>55273500</v>
      </c>
      <c r="G1163" s="965">
        <v>12050</v>
      </c>
      <c r="H1163" s="965">
        <v>12200</v>
      </c>
      <c r="I1163" s="965">
        <v>12050</v>
      </c>
      <c r="J1163" s="965">
        <v>131483</v>
      </c>
      <c r="K1163" s="965">
        <v>10821611</v>
      </c>
    </row>
    <row r="1164" spans="2:11" s="1258" customFormat="1" ht="16" hidden="1" outlineLevel="1">
      <c r="B1164" s="966" t="s">
        <v>2640</v>
      </c>
      <c r="C1164" s="965">
        <v>12200</v>
      </c>
      <c r="D1164" s="965" t="s">
        <v>2219</v>
      </c>
      <c r="E1164" s="965">
        <v>16249</v>
      </c>
      <c r="F1164" s="965">
        <v>197150800</v>
      </c>
      <c r="G1164" s="965">
        <v>12100</v>
      </c>
      <c r="H1164" s="965">
        <v>12200</v>
      </c>
      <c r="I1164" s="965">
        <v>12000</v>
      </c>
      <c r="J1164" s="965">
        <v>132024</v>
      </c>
      <c r="K1164" s="965">
        <v>10821611</v>
      </c>
    </row>
    <row r="1165" spans="2:11" s="1258" customFormat="1" ht="16" hidden="1" outlineLevel="1">
      <c r="B1165" s="966" t="s">
        <v>2639</v>
      </c>
      <c r="C1165" s="965">
        <v>12050</v>
      </c>
      <c r="D1165" s="965" t="s">
        <v>2224</v>
      </c>
      <c r="E1165" s="965">
        <v>39282</v>
      </c>
      <c r="F1165" s="965">
        <v>472354600</v>
      </c>
      <c r="G1165" s="965">
        <v>12300</v>
      </c>
      <c r="H1165" s="965">
        <v>12300</v>
      </c>
      <c r="I1165" s="965">
        <v>11950</v>
      </c>
      <c r="J1165" s="965">
        <v>130400</v>
      </c>
      <c r="K1165" s="965">
        <v>10821611</v>
      </c>
    </row>
    <row r="1166" spans="2:11" s="1258" customFormat="1" ht="16" hidden="1" outlineLevel="1">
      <c r="B1166" s="966" t="s">
        <v>2637</v>
      </c>
      <c r="C1166" s="965">
        <v>12250</v>
      </c>
      <c r="D1166" s="965" t="s">
        <v>2207</v>
      </c>
      <c r="E1166" s="965">
        <v>9010</v>
      </c>
      <c r="F1166" s="965">
        <v>109482500</v>
      </c>
      <c r="G1166" s="965">
        <v>12200</v>
      </c>
      <c r="H1166" s="965">
        <v>12250</v>
      </c>
      <c r="I1166" s="965">
        <v>12000</v>
      </c>
      <c r="J1166" s="965">
        <v>132565</v>
      </c>
      <c r="K1166" s="965">
        <v>10821611</v>
      </c>
    </row>
    <row r="1167" spans="2:11" s="1258" customFormat="1" ht="16" hidden="1" outlineLevel="1">
      <c r="B1167" s="966" t="s">
        <v>2636</v>
      </c>
      <c r="C1167" s="965">
        <v>12200</v>
      </c>
      <c r="D1167" s="965" t="s">
        <v>2232</v>
      </c>
      <c r="E1167" s="965">
        <v>19240</v>
      </c>
      <c r="F1167" s="965">
        <v>231866500</v>
      </c>
      <c r="G1167" s="965">
        <v>12000</v>
      </c>
      <c r="H1167" s="965">
        <v>12200</v>
      </c>
      <c r="I1167" s="965">
        <v>12000</v>
      </c>
      <c r="J1167" s="965">
        <v>132024</v>
      </c>
      <c r="K1167" s="965">
        <v>10821611</v>
      </c>
    </row>
    <row r="1168" spans="2:11" s="1258" customFormat="1" ht="16" hidden="1" outlineLevel="1">
      <c r="B1168" s="966" t="s">
        <v>2635</v>
      </c>
      <c r="C1168" s="965">
        <v>12000</v>
      </c>
      <c r="D1168" s="965" t="s">
        <v>2221</v>
      </c>
      <c r="E1168" s="965">
        <v>11620</v>
      </c>
      <c r="F1168" s="965">
        <v>138633500</v>
      </c>
      <c r="G1168" s="965">
        <v>11850</v>
      </c>
      <c r="H1168" s="965">
        <v>12100</v>
      </c>
      <c r="I1168" s="965">
        <v>11750</v>
      </c>
      <c r="J1168" s="965">
        <v>129859</v>
      </c>
      <c r="K1168" s="965">
        <v>10821611</v>
      </c>
    </row>
    <row r="1169" spans="2:11" s="1258" customFormat="1" ht="16" hidden="1" outlineLevel="1">
      <c r="B1169" s="966" t="s">
        <v>2633</v>
      </c>
      <c r="C1169" s="965">
        <v>12000</v>
      </c>
      <c r="D1169" s="965" t="s">
        <v>2229</v>
      </c>
      <c r="E1169" s="965">
        <v>56500</v>
      </c>
      <c r="F1169" s="965">
        <v>681425000</v>
      </c>
      <c r="G1169" s="965">
        <v>12350</v>
      </c>
      <c r="H1169" s="965">
        <v>12350</v>
      </c>
      <c r="I1169" s="965">
        <v>11800</v>
      </c>
      <c r="J1169" s="965">
        <v>129859</v>
      </c>
      <c r="K1169" s="965">
        <v>10821611</v>
      </c>
    </row>
    <row r="1170" spans="2:11" s="1258" customFormat="1" ht="16" hidden="1" outlineLevel="1">
      <c r="B1170" s="966" t="s">
        <v>2632</v>
      </c>
      <c r="C1170" s="965">
        <v>12350</v>
      </c>
      <c r="D1170" s="965" t="s">
        <v>2212</v>
      </c>
      <c r="E1170" s="965">
        <v>23730</v>
      </c>
      <c r="F1170" s="965">
        <v>292334500</v>
      </c>
      <c r="G1170" s="965">
        <v>12300</v>
      </c>
      <c r="H1170" s="965">
        <v>12500</v>
      </c>
      <c r="I1170" s="965">
        <v>11900</v>
      </c>
      <c r="J1170" s="965">
        <v>133647</v>
      </c>
      <c r="K1170" s="965">
        <v>10821611</v>
      </c>
    </row>
    <row r="1171" spans="2:11" s="1258" customFormat="1" ht="16" hidden="1" outlineLevel="1">
      <c r="B1171" s="966" t="s">
        <v>2631</v>
      </c>
      <c r="C1171" s="965">
        <v>12250</v>
      </c>
      <c r="D1171" s="965" t="s">
        <v>2225</v>
      </c>
      <c r="E1171" s="965">
        <v>46020</v>
      </c>
      <c r="F1171" s="965">
        <v>553939500</v>
      </c>
      <c r="G1171" s="965">
        <v>11850</v>
      </c>
      <c r="H1171" s="965">
        <v>12300</v>
      </c>
      <c r="I1171" s="965">
        <v>11750</v>
      </c>
      <c r="J1171" s="965">
        <v>132565</v>
      </c>
      <c r="K1171" s="965">
        <v>10821611</v>
      </c>
    </row>
    <row r="1172" spans="2:11" s="1258" customFormat="1" ht="16" hidden="1" outlineLevel="1">
      <c r="B1172" s="966" t="s">
        <v>2630</v>
      </c>
      <c r="C1172" s="965">
        <v>12400</v>
      </c>
      <c r="D1172" s="965" t="s">
        <v>2221</v>
      </c>
      <c r="E1172" s="965">
        <v>16543</v>
      </c>
      <c r="F1172" s="965">
        <v>205841700</v>
      </c>
      <c r="G1172" s="965">
        <v>12400</v>
      </c>
      <c r="H1172" s="965">
        <v>12600</v>
      </c>
      <c r="I1172" s="965">
        <v>12300</v>
      </c>
      <c r="J1172" s="965">
        <v>134188</v>
      </c>
      <c r="K1172" s="965">
        <v>10821611</v>
      </c>
    </row>
    <row r="1173" spans="2:11" s="1258" customFormat="1" ht="16" hidden="1" outlineLevel="1">
      <c r="B1173" s="966" t="s">
        <v>2629</v>
      </c>
      <c r="C1173" s="965">
        <v>12400</v>
      </c>
      <c r="D1173" s="965" t="s">
        <v>2229</v>
      </c>
      <c r="E1173" s="965">
        <v>53318</v>
      </c>
      <c r="F1173" s="965">
        <v>662894700</v>
      </c>
      <c r="G1173" s="965">
        <v>12600</v>
      </c>
      <c r="H1173" s="965">
        <v>12650</v>
      </c>
      <c r="I1173" s="965">
        <v>12300</v>
      </c>
      <c r="J1173" s="965">
        <v>134188</v>
      </c>
      <c r="K1173" s="965">
        <v>10821611</v>
      </c>
    </row>
    <row r="1174" spans="2:11" s="1258" customFormat="1" ht="16" hidden="1" outlineLevel="1">
      <c r="B1174" s="966" t="s">
        <v>2628</v>
      </c>
      <c r="C1174" s="965">
        <v>12750</v>
      </c>
      <c r="D1174" s="965" t="s">
        <v>2219</v>
      </c>
      <c r="E1174" s="965">
        <v>25863</v>
      </c>
      <c r="F1174" s="965">
        <v>326274250</v>
      </c>
      <c r="G1174" s="965">
        <v>12650</v>
      </c>
      <c r="H1174" s="965">
        <v>12750</v>
      </c>
      <c r="I1174" s="965">
        <v>12450</v>
      </c>
      <c r="J1174" s="965">
        <v>137976</v>
      </c>
      <c r="K1174" s="965">
        <v>10821611</v>
      </c>
    </row>
    <row r="1175" spans="2:11" s="1258" customFormat="1" ht="16" hidden="1" outlineLevel="1">
      <c r="B1175" s="966" t="s">
        <v>2626</v>
      </c>
      <c r="C1175" s="965">
        <v>12600</v>
      </c>
      <c r="D1175" s="965" t="s">
        <v>2213</v>
      </c>
      <c r="E1175" s="965">
        <v>14437</v>
      </c>
      <c r="F1175" s="965">
        <v>180562250</v>
      </c>
      <c r="G1175" s="965">
        <v>12250</v>
      </c>
      <c r="H1175" s="965">
        <v>12650</v>
      </c>
      <c r="I1175" s="965">
        <v>12250</v>
      </c>
      <c r="J1175" s="965">
        <v>136352</v>
      </c>
      <c r="K1175" s="965">
        <v>10821611</v>
      </c>
    </row>
    <row r="1176" spans="2:11" s="1258" customFormat="1" ht="16" hidden="1" outlineLevel="1">
      <c r="B1176" s="966" t="s">
        <v>2624</v>
      </c>
      <c r="C1176" s="965">
        <v>12350</v>
      </c>
      <c r="D1176" s="965" t="s">
        <v>2219</v>
      </c>
      <c r="E1176" s="965">
        <v>15207</v>
      </c>
      <c r="F1176" s="965">
        <v>186444600</v>
      </c>
      <c r="G1176" s="965">
        <v>12050</v>
      </c>
      <c r="H1176" s="965">
        <v>12450</v>
      </c>
      <c r="I1176" s="965">
        <v>12000</v>
      </c>
      <c r="J1176" s="965">
        <v>133647</v>
      </c>
      <c r="K1176" s="965">
        <v>10821611</v>
      </c>
    </row>
    <row r="1177" spans="2:11" s="1258" customFormat="1" ht="16" hidden="1" outlineLevel="1">
      <c r="B1177" s="966" t="s">
        <v>2623</v>
      </c>
      <c r="C1177" s="965">
        <v>12200</v>
      </c>
      <c r="D1177" s="965" t="s">
        <v>2215</v>
      </c>
      <c r="E1177" s="965">
        <v>47310</v>
      </c>
      <c r="F1177" s="965">
        <v>574659500</v>
      </c>
      <c r="G1177" s="965">
        <v>12550</v>
      </c>
      <c r="H1177" s="965">
        <v>12550</v>
      </c>
      <c r="I1177" s="965">
        <v>11900</v>
      </c>
      <c r="J1177" s="965">
        <v>132024</v>
      </c>
      <c r="K1177" s="965">
        <v>10821611</v>
      </c>
    </row>
    <row r="1178" spans="2:11" s="1258" customFormat="1" ht="16" hidden="1" outlineLevel="1">
      <c r="B1178" s="966" t="s">
        <v>2621</v>
      </c>
      <c r="C1178" s="965">
        <v>12500</v>
      </c>
      <c r="D1178" s="965" t="s">
        <v>2225</v>
      </c>
      <c r="E1178" s="965">
        <v>30230</v>
      </c>
      <c r="F1178" s="965">
        <v>374478500</v>
      </c>
      <c r="G1178" s="965">
        <v>12550</v>
      </c>
      <c r="H1178" s="965">
        <v>12700</v>
      </c>
      <c r="I1178" s="965">
        <v>12250</v>
      </c>
      <c r="J1178" s="965">
        <v>135270</v>
      </c>
      <c r="K1178" s="965">
        <v>10821611</v>
      </c>
    </row>
    <row r="1179" spans="2:11" s="1258" customFormat="1" ht="16" hidden="1" outlineLevel="1">
      <c r="B1179" s="966" t="s">
        <v>2619</v>
      </c>
      <c r="C1179" s="965">
        <v>12650</v>
      </c>
      <c r="D1179" s="965" t="s">
        <v>2217</v>
      </c>
      <c r="E1179" s="965">
        <v>68990</v>
      </c>
      <c r="F1179" s="965">
        <v>882206000</v>
      </c>
      <c r="G1179" s="965">
        <v>13300</v>
      </c>
      <c r="H1179" s="965">
        <v>13350</v>
      </c>
      <c r="I1179" s="965">
        <v>12450</v>
      </c>
      <c r="J1179" s="965">
        <v>136893</v>
      </c>
      <c r="K1179" s="965">
        <v>10821611</v>
      </c>
    </row>
    <row r="1180" spans="2:11" s="1258" customFormat="1" ht="16" hidden="1" outlineLevel="1">
      <c r="B1180" s="966" t="s">
        <v>2618</v>
      </c>
      <c r="C1180" s="965">
        <v>13300</v>
      </c>
      <c r="D1180" s="965" t="s">
        <v>2225</v>
      </c>
      <c r="E1180" s="965">
        <v>28843</v>
      </c>
      <c r="F1180" s="965">
        <v>384782900</v>
      </c>
      <c r="G1180" s="965">
        <v>13450</v>
      </c>
      <c r="H1180" s="965">
        <v>13550</v>
      </c>
      <c r="I1180" s="965">
        <v>13100</v>
      </c>
      <c r="J1180" s="965">
        <v>143927</v>
      </c>
      <c r="K1180" s="965">
        <v>10821611</v>
      </c>
    </row>
    <row r="1181" spans="2:11" s="1258" customFormat="1" ht="16" hidden="1" outlineLevel="1">
      <c r="B1181" s="966" t="s">
        <v>2617</v>
      </c>
      <c r="C1181" s="965">
        <v>13450</v>
      </c>
      <c r="D1181" s="965" t="s">
        <v>2221</v>
      </c>
      <c r="E1181" s="965">
        <v>31287</v>
      </c>
      <c r="F1181" s="965">
        <v>419974650</v>
      </c>
      <c r="G1181" s="965">
        <v>13450</v>
      </c>
      <c r="H1181" s="965">
        <v>13550</v>
      </c>
      <c r="I1181" s="965">
        <v>13250</v>
      </c>
      <c r="J1181" s="965">
        <v>145551</v>
      </c>
      <c r="K1181" s="965">
        <v>10821611</v>
      </c>
    </row>
    <row r="1182" spans="2:11" s="1258" customFormat="1" ht="16" hidden="1" outlineLevel="1">
      <c r="B1182" s="966" t="s">
        <v>2616</v>
      </c>
      <c r="C1182" s="965">
        <v>13450</v>
      </c>
      <c r="D1182" s="965" t="s">
        <v>2232</v>
      </c>
      <c r="E1182" s="965">
        <v>48153</v>
      </c>
      <c r="F1182" s="965">
        <v>640400850</v>
      </c>
      <c r="G1182" s="965">
        <v>13250</v>
      </c>
      <c r="H1182" s="965">
        <v>13600</v>
      </c>
      <c r="I1182" s="965">
        <v>12900</v>
      </c>
      <c r="J1182" s="965">
        <v>145551</v>
      </c>
      <c r="K1182" s="965">
        <v>10821611</v>
      </c>
    </row>
    <row r="1183" spans="2:11" s="1258" customFormat="1" ht="16" hidden="1" outlineLevel="1">
      <c r="B1183" s="966" t="s">
        <v>2615</v>
      </c>
      <c r="C1183" s="965">
        <v>13250</v>
      </c>
      <c r="D1183" s="965" t="s">
        <v>2225</v>
      </c>
      <c r="E1183" s="965">
        <v>65901</v>
      </c>
      <c r="F1183" s="965">
        <v>871982150</v>
      </c>
      <c r="G1183" s="965">
        <v>13400</v>
      </c>
      <c r="H1183" s="965">
        <v>13650</v>
      </c>
      <c r="I1183" s="965">
        <v>12950</v>
      </c>
      <c r="J1183" s="965">
        <v>143386</v>
      </c>
      <c r="K1183" s="965">
        <v>10821611</v>
      </c>
    </row>
    <row r="1184" spans="2:11" s="1258" customFormat="1" ht="16" hidden="1" outlineLevel="1">
      <c r="B1184" s="966" t="s">
        <v>2614</v>
      </c>
      <c r="C1184" s="965">
        <v>13400</v>
      </c>
      <c r="D1184" s="965" t="s">
        <v>2215</v>
      </c>
      <c r="E1184" s="965">
        <v>46674</v>
      </c>
      <c r="F1184" s="965">
        <v>633074100</v>
      </c>
      <c r="G1184" s="965">
        <v>13800</v>
      </c>
      <c r="H1184" s="965">
        <v>13800</v>
      </c>
      <c r="I1184" s="965">
        <v>13250</v>
      </c>
      <c r="J1184" s="965">
        <v>145010</v>
      </c>
      <c r="K1184" s="965">
        <v>10821611</v>
      </c>
    </row>
    <row r="1185" spans="2:11" s="1258" customFormat="1" ht="16" hidden="1" outlineLevel="1">
      <c r="B1185" s="966" t="s">
        <v>2613</v>
      </c>
      <c r="C1185" s="965">
        <v>13700</v>
      </c>
      <c r="D1185" s="965" t="s">
        <v>2215</v>
      </c>
      <c r="E1185" s="965">
        <v>63030</v>
      </c>
      <c r="F1185" s="965">
        <v>869447000</v>
      </c>
      <c r="G1185" s="965">
        <v>13850</v>
      </c>
      <c r="H1185" s="965">
        <v>14050</v>
      </c>
      <c r="I1185" s="965">
        <v>13500</v>
      </c>
      <c r="J1185" s="965">
        <v>148256</v>
      </c>
      <c r="K1185" s="965">
        <v>10821611</v>
      </c>
    </row>
    <row r="1186" spans="2:11" s="1258" customFormat="1" ht="16" hidden="1" outlineLevel="1">
      <c r="B1186" s="966" t="s">
        <v>2612</v>
      </c>
      <c r="C1186" s="965">
        <v>14000</v>
      </c>
      <c r="D1186" s="965" t="s">
        <v>2216</v>
      </c>
      <c r="E1186" s="965">
        <v>151978</v>
      </c>
      <c r="F1186" s="965">
        <v>2086384500</v>
      </c>
      <c r="G1186" s="965">
        <v>13200</v>
      </c>
      <c r="H1186" s="965">
        <v>14050</v>
      </c>
      <c r="I1186" s="965">
        <v>13200</v>
      </c>
      <c r="J1186" s="965">
        <v>151503</v>
      </c>
      <c r="K1186" s="965">
        <v>10821611</v>
      </c>
    </row>
    <row r="1187" spans="2:11" s="1258" customFormat="1" ht="16" hidden="1" outlineLevel="1">
      <c r="B1187" s="966" t="s">
        <v>2611</v>
      </c>
      <c r="C1187" s="965">
        <v>13150</v>
      </c>
      <c r="D1187" s="965" t="s">
        <v>2282</v>
      </c>
      <c r="E1187" s="965">
        <v>112910</v>
      </c>
      <c r="F1187" s="965">
        <v>1444851500</v>
      </c>
      <c r="G1187" s="965">
        <v>12600</v>
      </c>
      <c r="H1187" s="965">
        <v>13150</v>
      </c>
      <c r="I1187" s="965">
        <v>12400</v>
      </c>
      <c r="J1187" s="965">
        <v>142304</v>
      </c>
      <c r="K1187" s="965">
        <v>10821611</v>
      </c>
    </row>
    <row r="1188" spans="2:11" s="1258" customFormat="1" ht="16" hidden="1" outlineLevel="1">
      <c r="B1188" s="966" t="s">
        <v>2610</v>
      </c>
      <c r="C1188" s="965">
        <v>12500</v>
      </c>
      <c r="D1188" s="965" t="s">
        <v>2214</v>
      </c>
      <c r="E1188" s="965">
        <v>99437</v>
      </c>
      <c r="F1188" s="965">
        <v>1229413500</v>
      </c>
      <c r="G1188" s="965">
        <v>12100</v>
      </c>
      <c r="H1188" s="965">
        <v>12500</v>
      </c>
      <c r="I1188" s="965">
        <v>12100</v>
      </c>
      <c r="J1188" s="965">
        <v>135270</v>
      </c>
      <c r="K1188" s="965">
        <v>10821611</v>
      </c>
    </row>
    <row r="1189" spans="2:11" ht="15" collapsed="1" thickBot="1">
      <c r="B1189" s="960" t="s">
        <v>2609</v>
      </c>
      <c r="C1189" s="959"/>
      <c r="D1189" s="961"/>
      <c r="E1189" s="959"/>
      <c r="F1189" s="959"/>
      <c r="G1189" s="959"/>
      <c r="H1189" s="959"/>
      <c r="I1189" s="959"/>
      <c r="J1189" s="960">
        <f>AVERAGE(J941:J1063)</f>
        <v>141393.58536585365</v>
      </c>
      <c r="K1189" s="959"/>
    </row>
    <row r="1191" spans="2:11">
      <c r="B1191" s="971" t="s">
        <v>2766</v>
      </c>
    </row>
    <row r="1192" spans="2:11" hidden="1" outlineLevel="1"/>
    <row r="1193" spans="2:11" ht="16" hidden="1" outlineLevel="1">
      <c r="B1193" s="969" t="s">
        <v>1839</v>
      </c>
      <c r="C1193" s="969" t="s">
        <v>1838</v>
      </c>
      <c r="D1193" s="970" t="s">
        <v>1837</v>
      </c>
      <c r="E1193" s="969" t="s">
        <v>1836</v>
      </c>
      <c r="F1193" s="969" t="s">
        <v>1835</v>
      </c>
      <c r="G1193" s="969" t="s">
        <v>1834</v>
      </c>
      <c r="H1193" s="969" t="s">
        <v>1833</v>
      </c>
      <c r="I1193" s="969" t="s">
        <v>1832</v>
      </c>
      <c r="J1193" s="969" t="s">
        <v>1785</v>
      </c>
      <c r="K1193" s="969" t="s">
        <v>1831</v>
      </c>
    </row>
    <row r="1194" spans="2:11" ht="16" hidden="1" outlineLevel="1">
      <c r="B1194" s="968" t="s">
        <v>1830</v>
      </c>
      <c r="C1194" s="967">
        <v>43050</v>
      </c>
      <c r="D1194" s="967" t="s">
        <v>2251</v>
      </c>
      <c r="E1194" s="972">
        <v>309202</v>
      </c>
      <c r="F1194" s="967">
        <v>13437373000</v>
      </c>
      <c r="G1194" s="967">
        <v>43750</v>
      </c>
      <c r="H1194" s="967">
        <v>43900</v>
      </c>
      <c r="I1194" s="967">
        <v>43050</v>
      </c>
      <c r="J1194" s="967">
        <v>5293380</v>
      </c>
      <c r="K1194" s="967">
        <v>122958891</v>
      </c>
    </row>
    <row r="1195" spans="2:11" ht="16" hidden="1" outlineLevel="1">
      <c r="B1195" s="968" t="s">
        <v>1828</v>
      </c>
      <c r="C1195" s="967">
        <v>42450</v>
      </c>
      <c r="D1195" s="967" t="s">
        <v>2306</v>
      </c>
      <c r="E1195" s="972">
        <v>273504</v>
      </c>
      <c r="F1195" s="967">
        <v>11393998400</v>
      </c>
      <c r="G1195" s="967">
        <v>41600</v>
      </c>
      <c r="H1195" s="967">
        <v>42450</v>
      </c>
      <c r="I1195" s="967">
        <v>41050</v>
      </c>
      <c r="J1195" s="967">
        <v>5219605</v>
      </c>
      <c r="K1195" s="967">
        <v>122958891</v>
      </c>
    </row>
    <row r="1196" spans="2:11" ht="16" hidden="1" outlineLevel="1">
      <c r="B1196" s="968" t="s">
        <v>1827</v>
      </c>
      <c r="C1196" s="967">
        <v>41400</v>
      </c>
      <c r="D1196" s="967" t="s">
        <v>2219</v>
      </c>
      <c r="E1196" s="972">
        <v>170467</v>
      </c>
      <c r="F1196" s="967">
        <v>7006662400</v>
      </c>
      <c r="G1196" s="967">
        <v>41250</v>
      </c>
      <c r="H1196" s="967">
        <v>41550</v>
      </c>
      <c r="I1196" s="967">
        <v>41050</v>
      </c>
      <c r="J1196" s="967">
        <v>5090498</v>
      </c>
      <c r="K1196" s="967">
        <v>122958891</v>
      </c>
    </row>
    <row r="1197" spans="2:11" ht="16" hidden="1" outlineLevel="1">
      <c r="B1197" s="968" t="s">
        <v>1825</v>
      </c>
      <c r="C1197" s="967">
        <v>41250</v>
      </c>
      <c r="D1197" s="967" t="s">
        <v>2296</v>
      </c>
      <c r="E1197" s="972">
        <v>263438</v>
      </c>
      <c r="F1197" s="967">
        <v>10995304750</v>
      </c>
      <c r="G1197" s="967">
        <v>42250</v>
      </c>
      <c r="H1197" s="967">
        <v>42450</v>
      </c>
      <c r="I1197" s="967">
        <v>41000</v>
      </c>
      <c r="J1197" s="967">
        <v>5072054</v>
      </c>
      <c r="K1197" s="967">
        <v>122958891</v>
      </c>
    </row>
    <row r="1198" spans="2:11" ht="16" hidden="1" outlineLevel="1">
      <c r="B1198" s="968" t="s">
        <v>1823</v>
      </c>
      <c r="C1198" s="967">
        <v>42100</v>
      </c>
      <c r="D1198" s="967" t="s">
        <v>1814</v>
      </c>
      <c r="E1198" s="972">
        <v>347545</v>
      </c>
      <c r="F1198" s="967">
        <v>14699601000</v>
      </c>
      <c r="G1198" s="967">
        <v>42600</v>
      </c>
      <c r="H1198" s="967">
        <v>43250</v>
      </c>
      <c r="I1198" s="967">
        <v>41950</v>
      </c>
      <c r="J1198" s="967">
        <v>5176569</v>
      </c>
      <c r="K1198" s="967">
        <v>122958891</v>
      </c>
    </row>
    <row r="1199" spans="2:11" ht="16" hidden="1" outlineLevel="1">
      <c r="B1199" s="968" t="s">
        <v>1821</v>
      </c>
      <c r="C1199" s="967">
        <v>42600</v>
      </c>
      <c r="D1199" s="967" t="s">
        <v>2207</v>
      </c>
      <c r="E1199" s="967">
        <v>144292</v>
      </c>
      <c r="F1199" s="967">
        <v>6116609300</v>
      </c>
      <c r="G1199" s="967">
        <v>42800</v>
      </c>
      <c r="H1199" s="967">
        <v>43000</v>
      </c>
      <c r="I1199" s="967">
        <v>41900</v>
      </c>
      <c r="J1199" s="967">
        <v>5238049</v>
      </c>
      <c r="K1199" s="967">
        <v>122958891</v>
      </c>
    </row>
    <row r="1200" spans="2:11" ht="16" hidden="1" outlineLevel="1">
      <c r="B1200" s="968" t="s">
        <v>1819</v>
      </c>
      <c r="C1200" s="967">
        <v>42550</v>
      </c>
      <c r="D1200" s="967" t="s">
        <v>2305</v>
      </c>
      <c r="E1200" s="967">
        <v>158256</v>
      </c>
      <c r="F1200" s="967">
        <v>6784374200</v>
      </c>
      <c r="G1200" s="967">
        <v>43750</v>
      </c>
      <c r="H1200" s="967">
        <v>44000</v>
      </c>
      <c r="I1200" s="967">
        <v>42500</v>
      </c>
      <c r="J1200" s="967">
        <v>5231901</v>
      </c>
      <c r="K1200" s="967">
        <v>122958891</v>
      </c>
    </row>
    <row r="1201" spans="2:11" ht="16" hidden="1" outlineLevel="1">
      <c r="B1201" s="968" t="s">
        <v>1817</v>
      </c>
      <c r="C1201" s="967">
        <v>44150</v>
      </c>
      <c r="D1201" s="967" t="s">
        <v>2207</v>
      </c>
      <c r="E1201" s="967">
        <v>241081</v>
      </c>
      <c r="F1201" s="967">
        <v>10447720250</v>
      </c>
      <c r="G1201" s="967">
        <v>44700</v>
      </c>
      <c r="H1201" s="967">
        <v>44700</v>
      </c>
      <c r="I1201" s="967">
        <v>42550</v>
      </c>
      <c r="J1201" s="967">
        <v>5428635</v>
      </c>
      <c r="K1201" s="967">
        <v>122958891</v>
      </c>
    </row>
    <row r="1202" spans="2:11" ht="16" hidden="1" outlineLevel="1">
      <c r="B1202" s="968" t="s">
        <v>1815</v>
      </c>
      <c r="C1202" s="967">
        <v>44100</v>
      </c>
      <c r="D1202" s="967" t="s">
        <v>2304</v>
      </c>
      <c r="E1202" s="967">
        <v>279961</v>
      </c>
      <c r="F1202" s="967">
        <v>12357333900</v>
      </c>
      <c r="G1202" s="967">
        <v>44500</v>
      </c>
      <c r="H1202" s="967">
        <v>44950</v>
      </c>
      <c r="I1202" s="967">
        <v>43750</v>
      </c>
      <c r="J1202" s="967">
        <v>5422487</v>
      </c>
      <c r="K1202" s="967">
        <v>122958891</v>
      </c>
    </row>
    <row r="1203" spans="2:11" ht="16" hidden="1" outlineLevel="1">
      <c r="B1203" s="968" t="s">
        <v>1813</v>
      </c>
      <c r="C1203" s="967">
        <v>45800</v>
      </c>
      <c r="D1203" s="967" t="s">
        <v>2234</v>
      </c>
      <c r="E1203" s="967">
        <v>326536</v>
      </c>
      <c r="F1203" s="967">
        <v>14966276800</v>
      </c>
      <c r="G1203" s="967">
        <v>46200</v>
      </c>
      <c r="H1203" s="967">
        <v>46450</v>
      </c>
      <c r="I1203" s="967">
        <v>45500</v>
      </c>
      <c r="J1203" s="967">
        <v>5631517</v>
      </c>
      <c r="K1203" s="967">
        <v>122958891</v>
      </c>
    </row>
    <row r="1204" spans="2:11" ht="16" hidden="1" outlineLevel="1">
      <c r="B1204" s="968" t="s">
        <v>1812</v>
      </c>
      <c r="C1204" s="967">
        <v>46500</v>
      </c>
      <c r="D1204" s="967" t="s">
        <v>2214</v>
      </c>
      <c r="E1204" s="967">
        <v>105767</v>
      </c>
      <c r="F1204" s="967">
        <v>4834652100</v>
      </c>
      <c r="G1204" s="967">
        <v>45200</v>
      </c>
      <c r="H1204" s="967">
        <v>46850</v>
      </c>
      <c r="I1204" s="967">
        <v>45000</v>
      </c>
      <c r="J1204" s="967">
        <v>5717588</v>
      </c>
      <c r="K1204" s="967">
        <v>122958891</v>
      </c>
    </row>
    <row r="1205" spans="2:11" ht="16" hidden="1" outlineLevel="1">
      <c r="B1205" s="968" t="s">
        <v>1810</v>
      </c>
      <c r="C1205" s="967">
        <v>46100</v>
      </c>
      <c r="D1205" s="967" t="s">
        <v>2208</v>
      </c>
      <c r="E1205" s="967">
        <v>277426</v>
      </c>
      <c r="F1205" s="967">
        <v>12856798250</v>
      </c>
      <c r="G1205" s="967">
        <v>45550</v>
      </c>
      <c r="H1205" s="967">
        <v>47000</v>
      </c>
      <c r="I1205" s="967">
        <v>45550</v>
      </c>
      <c r="J1205" s="967">
        <v>5668405</v>
      </c>
      <c r="K1205" s="967">
        <v>122958891</v>
      </c>
    </row>
    <row r="1206" spans="2:11" ht="16" hidden="1" outlineLevel="1">
      <c r="B1206" s="968" t="s">
        <v>1809</v>
      </c>
      <c r="C1206" s="967">
        <v>45400</v>
      </c>
      <c r="D1206" s="967" t="s">
        <v>2224</v>
      </c>
      <c r="E1206" s="967">
        <v>135329</v>
      </c>
      <c r="F1206" s="967">
        <v>6043102700</v>
      </c>
      <c r="G1206" s="967">
        <v>45300</v>
      </c>
      <c r="H1206" s="967">
        <v>46000</v>
      </c>
      <c r="I1206" s="967">
        <v>44900</v>
      </c>
      <c r="J1206" s="967">
        <v>5582334</v>
      </c>
      <c r="K1206" s="967">
        <v>122958891</v>
      </c>
    </row>
    <row r="1207" spans="2:11" ht="16" hidden="1" outlineLevel="1">
      <c r="B1207" s="968" t="s">
        <v>1807</v>
      </c>
      <c r="C1207" s="967">
        <v>45600</v>
      </c>
      <c r="D1207" s="967" t="s">
        <v>2303</v>
      </c>
      <c r="E1207" s="967">
        <v>371800</v>
      </c>
      <c r="F1207" s="967">
        <v>16869395900</v>
      </c>
      <c r="G1207" s="967">
        <v>44450</v>
      </c>
      <c r="H1207" s="967">
        <v>46750</v>
      </c>
      <c r="I1207" s="967">
        <v>44000</v>
      </c>
      <c r="J1207" s="967">
        <v>5606925</v>
      </c>
      <c r="K1207" s="967">
        <v>122958891</v>
      </c>
    </row>
    <row r="1208" spans="2:11" ht="16" hidden="1" outlineLevel="1">
      <c r="B1208" s="968" t="s">
        <v>1805</v>
      </c>
      <c r="C1208" s="967">
        <v>42850</v>
      </c>
      <c r="D1208" s="967" t="s">
        <v>2226</v>
      </c>
      <c r="E1208" s="967">
        <v>137825</v>
      </c>
      <c r="F1208" s="967">
        <v>5889962400</v>
      </c>
      <c r="G1208" s="967">
        <v>42000</v>
      </c>
      <c r="H1208" s="967">
        <v>43100</v>
      </c>
      <c r="I1208" s="967">
        <v>42000</v>
      </c>
      <c r="J1208" s="967">
        <v>5268788</v>
      </c>
      <c r="K1208" s="967">
        <v>122958891</v>
      </c>
    </row>
    <row r="1209" spans="2:11" ht="16" hidden="1" outlineLevel="1">
      <c r="B1209" s="968" t="s">
        <v>1803</v>
      </c>
      <c r="C1209" s="967">
        <v>42900</v>
      </c>
      <c r="D1209" s="967" t="s">
        <v>2302</v>
      </c>
      <c r="E1209" s="967">
        <v>336859</v>
      </c>
      <c r="F1209" s="967">
        <v>14317847000</v>
      </c>
      <c r="G1209" s="967">
        <v>41000</v>
      </c>
      <c r="H1209" s="967">
        <v>43650</v>
      </c>
      <c r="I1209" s="967">
        <v>40850</v>
      </c>
      <c r="J1209" s="967">
        <v>5274936</v>
      </c>
      <c r="K1209" s="967">
        <v>122958891</v>
      </c>
    </row>
    <row r="1210" spans="2:11" ht="16" hidden="1" outlineLevel="1">
      <c r="B1210" s="968" t="s">
        <v>1801</v>
      </c>
      <c r="C1210" s="967">
        <v>40050</v>
      </c>
      <c r="D1210" s="967" t="s">
        <v>2243</v>
      </c>
      <c r="E1210" s="967">
        <v>166953</v>
      </c>
      <c r="F1210" s="967">
        <v>6752090450</v>
      </c>
      <c r="G1210" s="967">
        <v>40300</v>
      </c>
      <c r="H1210" s="967">
        <v>41350</v>
      </c>
      <c r="I1210" s="967">
        <v>40000</v>
      </c>
      <c r="J1210" s="967">
        <v>4924504</v>
      </c>
      <c r="K1210" s="967">
        <v>122958891</v>
      </c>
    </row>
    <row r="1211" spans="2:11" ht="16" hidden="1" outlineLevel="1">
      <c r="B1211" s="968" t="s">
        <v>1799</v>
      </c>
      <c r="C1211" s="967">
        <v>39750</v>
      </c>
      <c r="D1211" s="967" t="s">
        <v>2225</v>
      </c>
      <c r="E1211" s="967">
        <v>222236</v>
      </c>
      <c r="F1211" s="967">
        <v>8714425000</v>
      </c>
      <c r="G1211" s="967">
        <v>40400</v>
      </c>
      <c r="H1211" s="967">
        <v>40400</v>
      </c>
      <c r="I1211" s="967">
        <v>38350</v>
      </c>
      <c r="J1211" s="967">
        <v>4887616</v>
      </c>
      <c r="K1211" s="967">
        <v>122958891</v>
      </c>
    </row>
    <row r="1212" spans="2:11" ht="16" hidden="1" outlineLevel="1">
      <c r="B1212" s="968" t="s">
        <v>1797</v>
      </c>
      <c r="C1212" s="967">
        <v>39900</v>
      </c>
      <c r="D1212" s="967" t="s">
        <v>2235</v>
      </c>
      <c r="E1212" s="967">
        <v>161108</v>
      </c>
      <c r="F1212" s="967">
        <v>6435942350</v>
      </c>
      <c r="G1212" s="967">
        <v>40800</v>
      </c>
      <c r="H1212" s="967">
        <v>41000</v>
      </c>
      <c r="I1212" s="967">
        <v>39050</v>
      </c>
      <c r="J1212" s="967">
        <v>4906060</v>
      </c>
      <c r="K1212" s="967">
        <v>122958891</v>
      </c>
    </row>
    <row r="1213" spans="2:11" ht="16" hidden="1" outlineLevel="1">
      <c r="B1213" s="968" t="s">
        <v>1795</v>
      </c>
      <c r="C1213" s="967">
        <v>42400</v>
      </c>
      <c r="D1213" s="967" t="s">
        <v>2210</v>
      </c>
      <c r="E1213" s="967">
        <v>174631</v>
      </c>
      <c r="F1213" s="967">
        <v>7400715500</v>
      </c>
      <c r="G1213" s="967">
        <v>42450</v>
      </c>
      <c r="H1213" s="967">
        <v>42900</v>
      </c>
      <c r="I1213" s="967">
        <v>41800</v>
      </c>
      <c r="J1213" s="967">
        <v>5213457</v>
      </c>
      <c r="K1213" s="967">
        <v>122958891</v>
      </c>
    </row>
    <row r="1214" spans="2:11" ht="16" hidden="1" outlineLevel="1">
      <c r="B1214" s="968" t="s">
        <v>1793</v>
      </c>
      <c r="C1214" s="967">
        <v>42850</v>
      </c>
      <c r="D1214" s="967" t="s">
        <v>2301</v>
      </c>
      <c r="E1214" s="967">
        <v>169702</v>
      </c>
      <c r="F1214" s="967">
        <v>7202193200</v>
      </c>
      <c r="G1214" s="967">
        <v>41300</v>
      </c>
      <c r="H1214" s="967">
        <v>42900</v>
      </c>
      <c r="I1214" s="967">
        <v>40750</v>
      </c>
      <c r="J1214" s="967">
        <v>5268788</v>
      </c>
      <c r="K1214" s="967">
        <v>122958891</v>
      </c>
    </row>
    <row r="1215" spans="2:11" ht="16" hidden="1" outlineLevel="1">
      <c r="B1215" s="968" t="s">
        <v>1791</v>
      </c>
      <c r="C1215" s="967">
        <v>41300</v>
      </c>
      <c r="D1215" s="967" t="s">
        <v>2216</v>
      </c>
      <c r="E1215" s="967">
        <v>314628</v>
      </c>
      <c r="F1215" s="967">
        <v>12969902050</v>
      </c>
      <c r="G1215" s="967">
        <v>40700</v>
      </c>
      <c r="H1215" s="967">
        <v>42500</v>
      </c>
      <c r="I1215" s="967">
        <v>40400</v>
      </c>
      <c r="J1215" s="967">
        <v>5078202</v>
      </c>
      <c r="K1215" s="967">
        <v>122958891</v>
      </c>
    </row>
    <row r="1216" spans="2:11" s="1258" customFormat="1" ht="16" hidden="1" outlineLevel="1">
      <c r="B1216" s="968" t="s">
        <v>2607</v>
      </c>
      <c r="C1216" s="967">
        <v>40450</v>
      </c>
      <c r="D1216" s="967" t="s">
        <v>2306</v>
      </c>
      <c r="E1216" s="967">
        <v>346570</v>
      </c>
      <c r="F1216" s="967">
        <v>13818769650</v>
      </c>
      <c r="G1216" s="967">
        <v>40000</v>
      </c>
      <c r="H1216" s="967">
        <v>40700</v>
      </c>
      <c r="I1216" s="967">
        <v>39400</v>
      </c>
      <c r="J1216" s="967">
        <v>4973687</v>
      </c>
      <c r="K1216" s="967">
        <v>122958891</v>
      </c>
    </row>
    <row r="1217" spans="2:11" s="1258" customFormat="1" ht="16" hidden="1" outlineLevel="1">
      <c r="B1217" s="968" t="s">
        <v>2605</v>
      </c>
      <c r="C1217" s="967">
        <v>39400</v>
      </c>
      <c r="D1217" s="967" t="s">
        <v>2247</v>
      </c>
      <c r="E1217" s="967">
        <v>366508</v>
      </c>
      <c r="F1217" s="967">
        <v>14437253800</v>
      </c>
      <c r="G1217" s="967">
        <v>40900</v>
      </c>
      <c r="H1217" s="967">
        <v>41750</v>
      </c>
      <c r="I1217" s="967">
        <v>38350</v>
      </c>
      <c r="J1217" s="967">
        <v>4844580</v>
      </c>
      <c r="K1217" s="967">
        <v>122958891</v>
      </c>
    </row>
    <row r="1218" spans="2:11" s="1258" customFormat="1" ht="16" hidden="1" outlineLevel="1">
      <c r="B1218" s="968" t="s">
        <v>2603</v>
      </c>
      <c r="C1218" s="967">
        <v>40500</v>
      </c>
      <c r="D1218" s="967" t="s">
        <v>2765</v>
      </c>
      <c r="E1218" s="967">
        <v>325198</v>
      </c>
      <c r="F1218" s="967">
        <v>13680706850</v>
      </c>
      <c r="G1218" s="967">
        <v>43800</v>
      </c>
      <c r="H1218" s="967">
        <v>44250</v>
      </c>
      <c r="I1218" s="967">
        <v>40500</v>
      </c>
      <c r="J1218" s="967">
        <v>4979835</v>
      </c>
      <c r="K1218" s="967">
        <v>122958891</v>
      </c>
    </row>
    <row r="1219" spans="2:11" s="1258" customFormat="1" ht="16" hidden="1" outlineLevel="1">
      <c r="B1219" s="968" t="s">
        <v>2601</v>
      </c>
      <c r="C1219" s="967">
        <v>45550</v>
      </c>
      <c r="D1219" s="967" t="s">
        <v>2305</v>
      </c>
      <c r="E1219" s="967">
        <v>423888</v>
      </c>
      <c r="F1219" s="967">
        <v>19187994750</v>
      </c>
      <c r="G1219" s="967">
        <v>46300</v>
      </c>
      <c r="H1219" s="967">
        <v>46350</v>
      </c>
      <c r="I1219" s="967">
        <v>44750</v>
      </c>
      <c r="J1219" s="967">
        <v>5600777</v>
      </c>
      <c r="K1219" s="967">
        <v>122958891</v>
      </c>
    </row>
    <row r="1220" spans="2:11" s="1258" customFormat="1" ht="16" hidden="1" outlineLevel="1">
      <c r="B1220" s="968" t="s">
        <v>2599</v>
      </c>
      <c r="C1220" s="967">
        <v>47150</v>
      </c>
      <c r="D1220" s="967" t="s">
        <v>2219</v>
      </c>
      <c r="E1220" s="967">
        <v>312689</v>
      </c>
      <c r="F1220" s="967">
        <v>14665110200</v>
      </c>
      <c r="G1220" s="967">
        <v>46700</v>
      </c>
      <c r="H1220" s="967">
        <v>47300</v>
      </c>
      <c r="I1220" s="967">
        <v>46500</v>
      </c>
      <c r="J1220" s="967">
        <v>5797512</v>
      </c>
      <c r="K1220" s="967">
        <v>122958891</v>
      </c>
    </row>
    <row r="1221" spans="2:11" s="1258" customFormat="1" ht="16" hidden="1" outlineLevel="1">
      <c r="B1221" s="968" t="s">
        <v>2598</v>
      </c>
      <c r="C1221" s="967">
        <v>47000</v>
      </c>
      <c r="D1221" s="967" t="s">
        <v>2211</v>
      </c>
      <c r="E1221" s="967">
        <v>365260</v>
      </c>
      <c r="F1221" s="967">
        <v>17062399450</v>
      </c>
      <c r="G1221" s="967">
        <v>47000</v>
      </c>
      <c r="H1221" s="967">
        <v>47400</v>
      </c>
      <c r="I1221" s="967">
        <v>46250</v>
      </c>
      <c r="J1221" s="967">
        <v>5779068</v>
      </c>
      <c r="K1221" s="967">
        <v>122958891</v>
      </c>
    </row>
    <row r="1222" spans="2:11" s="1258" customFormat="1" ht="16" hidden="1" outlineLevel="1">
      <c r="B1222" s="968" t="s">
        <v>2597</v>
      </c>
      <c r="C1222" s="967">
        <v>47400</v>
      </c>
      <c r="D1222" s="967" t="s">
        <v>2251</v>
      </c>
      <c r="E1222" s="967">
        <v>378523</v>
      </c>
      <c r="F1222" s="967">
        <v>17861448250</v>
      </c>
      <c r="G1222" s="967">
        <v>47000</v>
      </c>
      <c r="H1222" s="967">
        <v>47650</v>
      </c>
      <c r="I1222" s="967">
        <v>46300</v>
      </c>
      <c r="J1222" s="967">
        <v>5828251</v>
      </c>
      <c r="K1222" s="967">
        <v>122958891</v>
      </c>
    </row>
    <row r="1223" spans="2:11" s="1258" customFormat="1" ht="16" hidden="1" outlineLevel="1">
      <c r="B1223" s="968" t="s">
        <v>2596</v>
      </c>
      <c r="C1223" s="967">
        <v>46800</v>
      </c>
      <c r="D1223" s="967" t="s">
        <v>2208</v>
      </c>
      <c r="E1223" s="967">
        <v>416069</v>
      </c>
      <c r="F1223" s="967">
        <v>19565924600</v>
      </c>
      <c r="G1223" s="967">
        <v>46700</v>
      </c>
      <c r="H1223" s="967">
        <v>47400</v>
      </c>
      <c r="I1223" s="967">
        <v>46650</v>
      </c>
      <c r="J1223" s="967">
        <v>5754476</v>
      </c>
      <c r="K1223" s="967">
        <v>122958891</v>
      </c>
    </row>
    <row r="1224" spans="2:11" s="1258" customFormat="1" ht="16" hidden="1" outlineLevel="1">
      <c r="B1224" s="968" t="s">
        <v>2595</v>
      </c>
      <c r="C1224" s="967">
        <v>46100</v>
      </c>
      <c r="D1224" s="967" t="s">
        <v>2293</v>
      </c>
      <c r="E1224" s="967">
        <v>449665</v>
      </c>
      <c r="F1224" s="967">
        <v>20826981950</v>
      </c>
      <c r="G1224" s="967">
        <v>47600</v>
      </c>
      <c r="H1224" s="967">
        <v>47950</v>
      </c>
      <c r="I1224" s="967">
        <v>44900</v>
      </c>
      <c r="J1224" s="967">
        <v>5668405</v>
      </c>
      <c r="K1224" s="967">
        <v>122958891</v>
      </c>
    </row>
    <row r="1225" spans="2:11" s="1258" customFormat="1" ht="16" hidden="1" outlineLevel="1">
      <c r="B1225" s="968" t="s">
        <v>2594</v>
      </c>
      <c r="C1225" s="967">
        <v>46350</v>
      </c>
      <c r="D1225" s="967" t="s">
        <v>2688</v>
      </c>
      <c r="E1225" s="967">
        <v>690283</v>
      </c>
      <c r="F1225" s="967">
        <v>33218885500</v>
      </c>
      <c r="G1225" s="967">
        <v>50800</v>
      </c>
      <c r="H1225" s="967">
        <v>52000</v>
      </c>
      <c r="I1225" s="967">
        <v>46100</v>
      </c>
      <c r="J1225" s="967">
        <v>5699145</v>
      </c>
      <c r="K1225" s="967">
        <v>122958891</v>
      </c>
    </row>
    <row r="1226" spans="2:11" s="1258" customFormat="1" ht="16" hidden="1" outlineLevel="1">
      <c r="B1226" s="968" t="s">
        <v>2592</v>
      </c>
      <c r="C1226" s="967">
        <v>47550</v>
      </c>
      <c r="D1226" s="967" t="s">
        <v>2634</v>
      </c>
      <c r="E1226" s="967">
        <v>208683</v>
      </c>
      <c r="F1226" s="967">
        <v>9931160650</v>
      </c>
      <c r="G1226" s="967">
        <v>47900</v>
      </c>
      <c r="H1226" s="967">
        <v>48250</v>
      </c>
      <c r="I1226" s="967">
        <v>47100</v>
      </c>
      <c r="J1226" s="967">
        <v>5846695</v>
      </c>
      <c r="K1226" s="967">
        <v>122958891</v>
      </c>
    </row>
    <row r="1227" spans="2:11" s="1258" customFormat="1" ht="16" hidden="1" outlineLevel="1">
      <c r="B1227" s="968" t="s">
        <v>2591</v>
      </c>
      <c r="C1227" s="967">
        <v>48850</v>
      </c>
      <c r="D1227" s="967" t="s">
        <v>2279</v>
      </c>
      <c r="E1227" s="967">
        <v>477658</v>
      </c>
      <c r="F1227" s="967">
        <v>23240820450</v>
      </c>
      <c r="G1227" s="967">
        <v>47500</v>
      </c>
      <c r="H1227" s="967">
        <v>49150</v>
      </c>
      <c r="I1227" s="967">
        <v>47500</v>
      </c>
      <c r="J1227" s="967">
        <v>6006542</v>
      </c>
      <c r="K1227" s="967">
        <v>122958891</v>
      </c>
    </row>
    <row r="1228" spans="2:11" s="1258" customFormat="1" ht="16" hidden="1" outlineLevel="1">
      <c r="B1228" s="968" t="s">
        <v>2590</v>
      </c>
      <c r="C1228" s="967">
        <v>47100</v>
      </c>
      <c r="D1228" s="967" t="s">
        <v>2214</v>
      </c>
      <c r="E1228" s="967">
        <v>362501</v>
      </c>
      <c r="F1228" s="967">
        <v>17037801750</v>
      </c>
      <c r="G1228" s="967">
        <v>47300</v>
      </c>
      <c r="H1228" s="967">
        <v>47600</v>
      </c>
      <c r="I1228" s="967">
        <v>46600</v>
      </c>
      <c r="J1228" s="967">
        <v>5791364</v>
      </c>
      <c r="K1228" s="967">
        <v>122958891</v>
      </c>
    </row>
    <row r="1229" spans="2:11" s="1258" customFormat="1" ht="16" hidden="1" outlineLevel="1">
      <c r="B1229" s="968" t="s">
        <v>2589</v>
      </c>
      <c r="C1229" s="967">
        <v>46700</v>
      </c>
      <c r="D1229" s="967" t="s">
        <v>2764</v>
      </c>
      <c r="E1229" s="967">
        <v>509004</v>
      </c>
      <c r="F1229" s="967">
        <v>23722746450</v>
      </c>
      <c r="G1229" s="967">
        <v>47200</v>
      </c>
      <c r="H1229" s="967">
        <v>47850</v>
      </c>
      <c r="I1229" s="967">
        <v>45350</v>
      </c>
      <c r="J1229" s="967">
        <v>5742180</v>
      </c>
      <c r="K1229" s="967">
        <v>122958891</v>
      </c>
    </row>
    <row r="1230" spans="2:11" s="1258" customFormat="1" ht="16" hidden="1" outlineLevel="1">
      <c r="B1230" s="968" t="s">
        <v>2588</v>
      </c>
      <c r="C1230" s="967">
        <v>48850</v>
      </c>
      <c r="D1230" s="967" t="s">
        <v>2763</v>
      </c>
      <c r="E1230" s="967">
        <v>294552</v>
      </c>
      <c r="F1230" s="967">
        <v>14434651200</v>
      </c>
      <c r="G1230" s="967">
        <v>50600</v>
      </c>
      <c r="H1230" s="967">
        <v>51000</v>
      </c>
      <c r="I1230" s="967">
        <v>48050</v>
      </c>
      <c r="J1230" s="967">
        <v>6006542</v>
      </c>
      <c r="K1230" s="967">
        <v>122958891</v>
      </c>
    </row>
    <row r="1231" spans="2:11" s="1258" customFormat="1" ht="16" hidden="1" outlineLevel="1">
      <c r="B1231" s="968" t="s">
        <v>2587</v>
      </c>
      <c r="C1231" s="967">
        <v>51500</v>
      </c>
      <c r="D1231" s="967" t="s">
        <v>2215</v>
      </c>
      <c r="E1231" s="967">
        <v>202081</v>
      </c>
      <c r="F1231" s="967">
        <v>10445873900</v>
      </c>
      <c r="G1231" s="967">
        <v>51800</v>
      </c>
      <c r="H1231" s="967">
        <v>52700</v>
      </c>
      <c r="I1231" s="967">
        <v>51100</v>
      </c>
      <c r="J1231" s="967">
        <v>6332383</v>
      </c>
      <c r="K1231" s="967">
        <v>122958891</v>
      </c>
    </row>
    <row r="1232" spans="2:11" s="1258" customFormat="1" ht="16" hidden="1" outlineLevel="1">
      <c r="B1232" s="968" t="s">
        <v>2586</v>
      </c>
      <c r="C1232" s="967">
        <v>51800</v>
      </c>
      <c r="D1232" s="967" t="s">
        <v>2232</v>
      </c>
      <c r="E1232" s="967">
        <v>1078412</v>
      </c>
      <c r="F1232" s="967">
        <v>54942042900</v>
      </c>
      <c r="G1232" s="967">
        <v>51600</v>
      </c>
      <c r="H1232" s="967">
        <v>52600</v>
      </c>
      <c r="I1232" s="967">
        <v>51300</v>
      </c>
      <c r="J1232" s="967">
        <v>6369271</v>
      </c>
      <c r="K1232" s="967">
        <v>122958891</v>
      </c>
    </row>
    <row r="1233" spans="2:11" s="1258" customFormat="1" ht="16" hidden="1" outlineLevel="1">
      <c r="B1233" s="968" t="s">
        <v>2584</v>
      </c>
      <c r="C1233" s="967">
        <v>51600</v>
      </c>
      <c r="D1233" s="967" t="s">
        <v>2208</v>
      </c>
      <c r="E1233" s="967">
        <v>526292</v>
      </c>
      <c r="F1233" s="967">
        <v>26542439650</v>
      </c>
      <c r="G1233" s="967">
        <v>50500</v>
      </c>
      <c r="H1233" s="967">
        <v>51800</v>
      </c>
      <c r="I1233" s="967">
        <v>49900</v>
      </c>
      <c r="J1233" s="967">
        <v>6344679</v>
      </c>
      <c r="K1233" s="967">
        <v>122958891</v>
      </c>
    </row>
    <row r="1234" spans="2:11" s="1258" customFormat="1" ht="16" hidden="1" outlineLevel="1">
      <c r="B1234" s="968" t="s">
        <v>2583</v>
      </c>
      <c r="C1234" s="967">
        <v>50900</v>
      </c>
      <c r="D1234" s="967" t="s">
        <v>2306</v>
      </c>
      <c r="E1234" s="967">
        <v>226799</v>
      </c>
      <c r="F1234" s="967">
        <v>11547356650</v>
      </c>
      <c r="G1234" s="967">
        <v>50400</v>
      </c>
      <c r="H1234" s="967">
        <v>51500</v>
      </c>
      <c r="I1234" s="967">
        <v>50000</v>
      </c>
      <c r="J1234" s="967">
        <v>6258608</v>
      </c>
      <c r="K1234" s="967">
        <v>122958891</v>
      </c>
    </row>
    <row r="1235" spans="2:11" s="1258" customFormat="1" ht="16" hidden="1" outlineLevel="1">
      <c r="B1235" s="968" t="s">
        <v>2582</v>
      </c>
      <c r="C1235" s="967">
        <v>49850</v>
      </c>
      <c r="D1235" s="967" t="s">
        <v>2294</v>
      </c>
      <c r="E1235" s="967">
        <v>233538</v>
      </c>
      <c r="F1235" s="967">
        <v>11669250150</v>
      </c>
      <c r="G1235" s="967">
        <v>50400</v>
      </c>
      <c r="H1235" s="967">
        <v>50500</v>
      </c>
      <c r="I1235" s="967">
        <v>49350</v>
      </c>
      <c r="J1235" s="967">
        <v>6129501</v>
      </c>
      <c r="K1235" s="967">
        <v>122958891</v>
      </c>
    </row>
    <row r="1236" spans="2:11" s="1258" customFormat="1" ht="16" hidden="1" outlineLevel="1">
      <c r="B1236" s="968" t="s">
        <v>2581</v>
      </c>
      <c r="C1236" s="967">
        <v>50400</v>
      </c>
      <c r="D1236" s="967" t="s">
        <v>2212</v>
      </c>
      <c r="E1236" s="967">
        <v>101197</v>
      </c>
      <c r="F1236" s="967">
        <v>5067413600</v>
      </c>
      <c r="G1236" s="967">
        <v>50300</v>
      </c>
      <c r="H1236" s="967">
        <v>50800</v>
      </c>
      <c r="I1236" s="967">
        <v>49550</v>
      </c>
      <c r="J1236" s="967">
        <v>6197128</v>
      </c>
      <c r="K1236" s="967">
        <v>122958891</v>
      </c>
    </row>
    <row r="1237" spans="2:11" s="1258" customFormat="1" ht="16" hidden="1" outlineLevel="1">
      <c r="B1237" s="968" t="s">
        <v>2580</v>
      </c>
      <c r="C1237" s="967">
        <v>50300</v>
      </c>
      <c r="D1237" s="967" t="s">
        <v>2231</v>
      </c>
      <c r="E1237" s="967">
        <v>169728</v>
      </c>
      <c r="F1237" s="967">
        <v>8570223900</v>
      </c>
      <c r="G1237" s="967">
        <v>49450</v>
      </c>
      <c r="H1237" s="967">
        <v>51300</v>
      </c>
      <c r="I1237" s="967">
        <v>49350</v>
      </c>
      <c r="J1237" s="967">
        <v>6184832</v>
      </c>
      <c r="K1237" s="967">
        <v>122958891</v>
      </c>
    </row>
    <row r="1238" spans="2:11" s="1258" customFormat="1" ht="16" hidden="1" outlineLevel="1">
      <c r="B1238" s="968" t="s">
        <v>2578</v>
      </c>
      <c r="C1238" s="967">
        <v>49550</v>
      </c>
      <c r="D1238" s="967" t="s">
        <v>2210</v>
      </c>
      <c r="E1238" s="967">
        <v>240850</v>
      </c>
      <c r="F1238" s="967">
        <v>11846251050</v>
      </c>
      <c r="G1238" s="967">
        <v>50500</v>
      </c>
      <c r="H1238" s="967">
        <v>50600</v>
      </c>
      <c r="I1238" s="967">
        <v>48200</v>
      </c>
      <c r="J1238" s="967">
        <v>6092613</v>
      </c>
      <c r="K1238" s="967">
        <v>122958891</v>
      </c>
    </row>
    <row r="1239" spans="2:11" s="1258" customFormat="1" ht="16" hidden="1" outlineLevel="1">
      <c r="B1239" s="968" t="s">
        <v>2577</v>
      </c>
      <c r="C1239" s="967">
        <v>50000</v>
      </c>
      <c r="D1239" s="967" t="s">
        <v>2241</v>
      </c>
      <c r="E1239" s="967">
        <v>303409</v>
      </c>
      <c r="F1239" s="967">
        <v>15260982400</v>
      </c>
      <c r="G1239" s="967">
        <v>51700</v>
      </c>
      <c r="H1239" s="967">
        <v>52000</v>
      </c>
      <c r="I1239" s="967">
        <v>49900</v>
      </c>
      <c r="J1239" s="967">
        <v>6147945</v>
      </c>
      <c r="K1239" s="967">
        <v>122958891</v>
      </c>
    </row>
    <row r="1240" spans="2:11" s="1258" customFormat="1" ht="16" hidden="1" outlineLevel="1">
      <c r="B1240" s="968" t="s">
        <v>2576</v>
      </c>
      <c r="C1240" s="967">
        <v>50900</v>
      </c>
      <c r="D1240" s="967" t="s">
        <v>2221</v>
      </c>
      <c r="E1240" s="967">
        <v>235856</v>
      </c>
      <c r="F1240" s="967">
        <v>11961186800</v>
      </c>
      <c r="G1240" s="967">
        <v>50100</v>
      </c>
      <c r="H1240" s="967">
        <v>51200</v>
      </c>
      <c r="I1240" s="967">
        <v>49850</v>
      </c>
      <c r="J1240" s="967">
        <v>6258608</v>
      </c>
      <c r="K1240" s="967">
        <v>122958891</v>
      </c>
    </row>
    <row r="1241" spans="2:11" s="1258" customFormat="1" ht="16" hidden="1" outlineLevel="1">
      <c r="B1241" s="968" t="s">
        <v>2575</v>
      </c>
      <c r="C1241" s="967">
        <v>50900</v>
      </c>
      <c r="D1241" s="967" t="s">
        <v>2248</v>
      </c>
      <c r="E1241" s="967">
        <v>266025</v>
      </c>
      <c r="F1241" s="967">
        <v>13543251150</v>
      </c>
      <c r="G1241" s="967">
        <v>50500</v>
      </c>
      <c r="H1241" s="967">
        <v>52300</v>
      </c>
      <c r="I1241" s="967">
        <v>49500</v>
      </c>
      <c r="J1241" s="967">
        <v>6258608</v>
      </c>
      <c r="K1241" s="967">
        <v>122958891</v>
      </c>
    </row>
    <row r="1242" spans="2:11" s="1258" customFormat="1" ht="16" hidden="1" outlineLevel="1">
      <c r="B1242" s="968" t="s">
        <v>2574</v>
      </c>
      <c r="C1242" s="967">
        <v>51900</v>
      </c>
      <c r="D1242" s="967" t="s">
        <v>2688</v>
      </c>
      <c r="E1242" s="967">
        <v>339499</v>
      </c>
      <c r="F1242" s="967">
        <v>17620870600</v>
      </c>
      <c r="G1242" s="967">
        <v>52800</v>
      </c>
      <c r="H1242" s="967">
        <v>53100</v>
      </c>
      <c r="I1242" s="967">
        <v>50400</v>
      </c>
      <c r="J1242" s="967">
        <v>6381566</v>
      </c>
      <c r="K1242" s="967">
        <v>122958891</v>
      </c>
    </row>
    <row r="1243" spans="2:11" s="1258" customFormat="1" ht="16" hidden="1" outlineLevel="1">
      <c r="B1243" s="968" t="s">
        <v>2572</v>
      </c>
      <c r="C1243" s="967">
        <v>53100</v>
      </c>
      <c r="D1243" s="967" t="s">
        <v>2248</v>
      </c>
      <c r="E1243" s="967">
        <v>286716</v>
      </c>
      <c r="F1243" s="967">
        <v>15341962200</v>
      </c>
      <c r="G1243" s="967">
        <v>53400</v>
      </c>
      <c r="H1243" s="967">
        <v>55000</v>
      </c>
      <c r="I1243" s="967">
        <v>53100</v>
      </c>
      <c r="J1243" s="967">
        <v>6529117</v>
      </c>
      <c r="K1243" s="967">
        <v>122958891</v>
      </c>
    </row>
    <row r="1244" spans="2:11" s="1258" customFormat="1" ht="16" hidden="1" outlineLevel="1">
      <c r="B1244" s="968" t="s">
        <v>2571</v>
      </c>
      <c r="C1244" s="967">
        <v>54100</v>
      </c>
      <c r="D1244" s="967" t="s">
        <v>2292</v>
      </c>
      <c r="E1244" s="967">
        <v>283452</v>
      </c>
      <c r="F1244" s="967">
        <v>15104599500</v>
      </c>
      <c r="G1244" s="967">
        <v>52000</v>
      </c>
      <c r="H1244" s="967">
        <v>54100</v>
      </c>
      <c r="I1244" s="967">
        <v>52000</v>
      </c>
      <c r="J1244" s="967">
        <v>6652076</v>
      </c>
      <c r="K1244" s="967">
        <v>122958891</v>
      </c>
    </row>
    <row r="1245" spans="2:11" s="1258" customFormat="1" ht="16" hidden="1" outlineLevel="1">
      <c r="B1245" s="968" t="s">
        <v>2569</v>
      </c>
      <c r="C1245" s="967">
        <v>50900</v>
      </c>
      <c r="D1245" s="967" t="s">
        <v>1814</v>
      </c>
      <c r="E1245" s="967">
        <v>315513</v>
      </c>
      <c r="F1245" s="967">
        <v>16198036676</v>
      </c>
      <c r="G1245" s="967">
        <v>51800</v>
      </c>
      <c r="H1245" s="967">
        <v>52000</v>
      </c>
      <c r="I1245" s="967">
        <v>50700</v>
      </c>
      <c r="J1245" s="967">
        <v>6258608</v>
      </c>
      <c r="K1245" s="967">
        <v>122958891</v>
      </c>
    </row>
    <row r="1246" spans="2:11" s="1258" customFormat="1" ht="16" hidden="1" outlineLevel="1">
      <c r="B1246" s="968" t="s">
        <v>2567</v>
      </c>
      <c r="C1246" s="967">
        <v>51400</v>
      </c>
      <c r="D1246" s="967" t="s">
        <v>2241</v>
      </c>
      <c r="E1246" s="967">
        <v>268420</v>
      </c>
      <c r="F1246" s="967">
        <v>13628759550</v>
      </c>
      <c r="G1246" s="967">
        <v>49250</v>
      </c>
      <c r="H1246" s="967">
        <v>51900</v>
      </c>
      <c r="I1246" s="967">
        <v>49250</v>
      </c>
      <c r="J1246" s="967">
        <v>6320087</v>
      </c>
      <c r="K1246" s="967">
        <v>122958891</v>
      </c>
    </row>
    <row r="1247" spans="2:11" s="1258" customFormat="1" ht="16" hidden="1" outlineLevel="1">
      <c r="B1247" s="968" t="s">
        <v>2566</v>
      </c>
      <c r="C1247" s="967">
        <v>52300</v>
      </c>
      <c r="D1247" s="967" t="s">
        <v>2246</v>
      </c>
      <c r="E1247" s="967">
        <v>458834</v>
      </c>
      <c r="F1247" s="967">
        <v>23641922750</v>
      </c>
      <c r="G1247" s="967">
        <v>53000</v>
      </c>
      <c r="H1247" s="967">
        <v>53400</v>
      </c>
      <c r="I1247" s="967">
        <v>49600</v>
      </c>
      <c r="J1247" s="967">
        <v>6430750</v>
      </c>
      <c r="K1247" s="967">
        <v>122958891</v>
      </c>
    </row>
    <row r="1248" spans="2:11" s="1258" customFormat="1" ht="16" hidden="1" outlineLevel="1">
      <c r="B1248" s="968" t="s">
        <v>2564</v>
      </c>
      <c r="C1248" s="967">
        <v>51400</v>
      </c>
      <c r="D1248" s="967" t="s">
        <v>2698</v>
      </c>
      <c r="E1248" s="967">
        <v>398288</v>
      </c>
      <c r="F1248" s="967">
        <v>19647971050</v>
      </c>
      <c r="G1248" s="967">
        <v>53600</v>
      </c>
      <c r="H1248" s="967">
        <v>53600</v>
      </c>
      <c r="I1248" s="967">
        <v>46100</v>
      </c>
      <c r="J1248" s="967">
        <v>6320087</v>
      </c>
      <c r="K1248" s="967">
        <v>122958891</v>
      </c>
    </row>
    <row r="1249" spans="2:11" s="1258" customFormat="1" ht="16" hidden="1" outlineLevel="1">
      <c r="B1249" s="968" t="s">
        <v>2563</v>
      </c>
      <c r="C1249" s="967">
        <v>53600</v>
      </c>
      <c r="D1249" s="967" t="s">
        <v>2242</v>
      </c>
      <c r="E1249" s="967">
        <v>293817</v>
      </c>
      <c r="F1249" s="967">
        <v>16026603800</v>
      </c>
      <c r="G1249" s="967">
        <v>54000</v>
      </c>
      <c r="H1249" s="967">
        <v>55600</v>
      </c>
      <c r="I1249" s="967">
        <v>53600</v>
      </c>
      <c r="J1249" s="967">
        <v>6590597</v>
      </c>
      <c r="K1249" s="967">
        <v>122958891</v>
      </c>
    </row>
    <row r="1250" spans="2:11" s="1258" customFormat="1" ht="16" hidden="1" outlineLevel="1">
      <c r="B1250" s="968" t="s">
        <v>2562</v>
      </c>
      <c r="C1250" s="967">
        <v>55600</v>
      </c>
      <c r="D1250" s="967" t="s">
        <v>2634</v>
      </c>
      <c r="E1250" s="967">
        <v>242413</v>
      </c>
      <c r="F1250" s="967">
        <v>13238095900</v>
      </c>
      <c r="G1250" s="967">
        <v>53300</v>
      </c>
      <c r="H1250" s="967">
        <v>55600</v>
      </c>
      <c r="I1250" s="967">
        <v>53300</v>
      </c>
      <c r="J1250" s="967">
        <v>6836514</v>
      </c>
      <c r="K1250" s="967">
        <v>122958891</v>
      </c>
    </row>
    <row r="1251" spans="2:11" s="1258" customFormat="1" ht="16" hidden="1" outlineLevel="1">
      <c r="B1251" s="968" t="s">
        <v>2561</v>
      </c>
      <c r="C1251" s="967">
        <v>56900</v>
      </c>
      <c r="D1251" s="967" t="s">
        <v>2221</v>
      </c>
      <c r="E1251" s="967">
        <v>171854</v>
      </c>
      <c r="F1251" s="967">
        <v>9789146330</v>
      </c>
      <c r="G1251" s="967">
        <v>56600</v>
      </c>
      <c r="H1251" s="967">
        <v>57900</v>
      </c>
      <c r="I1251" s="967">
        <v>55600</v>
      </c>
      <c r="J1251" s="967">
        <v>6996361</v>
      </c>
      <c r="K1251" s="967">
        <v>122958891</v>
      </c>
    </row>
    <row r="1252" spans="2:11" s="1258" customFormat="1" ht="16" hidden="1" outlineLevel="1">
      <c r="B1252" s="968" t="s">
        <v>2560</v>
      </c>
      <c r="C1252" s="967">
        <v>56900</v>
      </c>
      <c r="D1252" s="967" t="s">
        <v>2698</v>
      </c>
      <c r="E1252" s="967">
        <v>212800</v>
      </c>
      <c r="F1252" s="967">
        <v>12118438900</v>
      </c>
      <c r="G1252" s="967">
        <v>57700</v>
      </c>
      <c r="H1252" s="967">
        <v>57700</v>
      </c>
      <c r="I1252" s="967">
        <v>56300</v>
      </c>
      <c r="J1252" s="967">
        <v>6996361</v>
      </c>
      <c r="K1252" s="967">
        <v>122958891</v>
      </c>
    </row>
    <row r="1253" spans="2:11" s="1258" customFormat="1" ht="16" hidden="1" outlineLevel="1">
      <c r="B1253" s="968" t="s">
        <v>2559</v>
      </c>
      <c r="C1253" s="967">
        <v>59100</v>
      </c>
      <c r="D1253" s="967" t="s">
        <v>2244</v>
      </c>
      <c r="E1253" s="967">
        <v>154352</v>
      </c>
      <c r="F1253" s="967">
        <v>9094758262</v>
      </c>
      <c r="G1253" s="967">
        <v>60000</v>
      </c>
      <c r="H1253" s="967">
        <v>60000</v>
      </c>
      <c r="I1253" s="967">
        <v>58500</v>
      </c>
      <c r="J1253" s="967">
        <v>7266870</v>
      </c>
      <c r="K1253" s="967">
        <v>122958891</v>
      </c>
    </row>
    <row r="1254" spans="2:11" s="1258" customFormat="1" ht="16" hidden="1" outlineLevel="1">
      <c r="B1254" s="968" t="s">
        <v>2557</v>
      </c>
      <c r="C1254" s="967">
        <v>60600</v>
      </c>
      <c r="D1254" s="967" t="s">
        <v>2251</v>
      </c>
      <c r="E1254" s="967">
        <v>98303</v>
      </c>
      <c r="F1254" s="967">
        <v>5961860181</v>
      </c>
      <c r="G1254" s="967">
        <v>60500</v>
      </c>
      <c r="H1254" s="967">
        <v>61000</v>
      </c>
      <c r="I1254" s="967">
        <v>60300</v>
      </c>
      <c r="J1254" s="967">
        <v>7451309</v>
      </c>
      <c r="K1254" s="967">
        <v>122958891</v>
      </c>
    </row>
    <row r="1255" spans="2:11" s="1258" customFormat="1" ht="16" hidden="1" outlineLevel="1">
      <c r="B1255" s="968" t="s">
        <v>2555</v>
      </c>
      <c r="C1255" s="967">
        <v>60000</v>
      </c>
      <c r="D1255" s="967" t="s">
        <v>2221</v>
      </c>
      <c r="E1255" s="967">
        <v>112233</v>
      </c>
      <c r="F1255" s="967">
        <v>6683243500</v>
      </c>
      <c r="G1255" s="967">
        <v>59800</v>
      </c>
      <c r="H1255" s="967">
        <v>60200</v>
      </c>
      <c r="I1255" s="967">
        <v>59100</v>
      </c>
      <c r="J1255" s="967">
        <v>7377533</v>
      </c>
      <c r="K1255" s="967">
        <v>122958891</v>
      </c>
    </row>
    <row r="1256" spans="2:11" s="1258" customFormat="1" ht="16" hidden="1" outlineLevel="1">
      <c r="B1256" s="968" t="s">
        <v>2554</v>
      </c>
      <c r="C1256" s="967">
        <v>60000</v>
      </c>
      <c r="D1256" s="967" t="s">
        <v>2248</v>
      </c>
      <c r="E1256" s="967">
        <v>129653</v>
      </c>
      <c r="F1256" s="967">
        <v>7813135600</v>
      </c>
      <c r="G1256" s="967">
        <v>60400</v>
      </c>
      <c r="H1256" s="967">
        <v>61000</v>
      </c>
      <c r="I1256" s="967">
        <v>60000</v>
      </c>
      <c r="J1256" s="967">
        <v>7377533</v>
      </c>
      <c r="K1256" s="967">
        <v>122958891</v>
      </c>
    </row>
    <row r="1257" spans="2:11" s="1258" customFormat="1" ht="16" hidden="1" outlineLevel="1">
      <c r="B1257" s="968" t="s">
        <v>2552</v>
      </c>
      <c r="C1257" s="967">
        <v>61000</v>
      </c>
      <c r="D1257" s="967" t="s">
        <v>2228</v>
      </c>
      <c r="E1257" s="967">
        <v>196890</v>
      </c>
      <c r="F1257" s="967">
        <v>11899265900</v>
      </c>
      <c r="G1257" s="967">
        <v>60600</v>
      </c>
      <c r="H1257" s="967">
        <v>61600</v>
      </c>
      <c r="I1257" s="967">
        <v>59600</v>
      </c>
      <c r="J1257" s="967">
        <v>7500492</v>
      </c>
      <c r="K1257" s="967">
        <v>122958891</v>
      </c>
    </row>
    <row r="1258" spans="2:11" s="1258" customFormat="1" ht="16" hidden="1" outlineLevel="1">
      <c r="B1258" s="968" t="s">
        <v>2550</v>
      </c>
      <c r="C1258" s="967">
        <v>61100</v>
      </c>
      <c r="D1258" s="967" t="s">
        <v>2232</v>
      </c>
      <c r="E1258" s="967">
        <v>224909</v>
      </c>
      <c r="F1258" s="967">
        <v>13735059500</v>
      </c>
      <c r="G1258" s="967">
        <v>61900</v>
      </c>
      <c r="H1258" s="967">
        <v>62500</v>
      </c>
      <c r="I1258" s="967">
        <v>59900</v>
      </c>
      <c r="J1258" s="967">
        <v>7512788</v>
      </c>
      <c r="K1258" s="967">
        <v>122958891</v>
      </c>
    </row>
    <row r="1259" spans="2:11" s="1258" customFormat="1" ht="16" hidden="1" outlineLevel="1">
      <c r="B1259" s="968" t="s">
        <v>2549</v>
      </c>
      <c r="C1259" s="967">
        <v>60900</v>
      </c>
      <c r="D1259" s="967" t="s">
        <v>2241</v>
      </c>
      <c r="E1259" s="967">
        <v>179673</v>
      </c>
      <c r="F1259" s="967">
        <v>10924178300</v>
      </c>
      <c r="G1259" s="967">
        <v>61100</v>
      </c>
      <c r="H1259" s="967">
        <v>61400</v>
      </c>
      <c r="I1259" s="967">
        <v>60100</v>
      </c>
      <c r="J1259" s="967">
        <v>7488196</v>
      </c>
      <c r="K1259" s="967">
        <v>122958891</v>
      </c>
    </row>
    <row r="1260" spans="2:11" s="1258" customFormat="1" ht="16" hidden="1" outlineLevel="1">
      <c r="B1260" s="968" t="s">
        <v>2548</v>
      </c>
      <c r="C1260" s="967">
        <v>61800</v>
      </c>
      <c r="D1260" s="967" t="s">
        <v>2224</v>
      </c>
      <c r="E1260" s="967">
        <v>154915</v>
      </c>
      <c r="F1260" s="967">
        <v>9545812000</v>
      </c>
      <c r="G1260" s="967">
        <v>61900</v>
      </c>
      <c r="H1260" s="967">
        <v>62400</v>
      </c>
      <c r="I1260" s="967">
        <v>60600</v>
      </c>
      <c r="J1260" s="967">
        <v>7598859</v>
      </c>
      <c r="K1260" s="967">
        <v>122958891</v>
      </c>
    </row>
    <row r="1261" spans="2:11" s="1258" customFormat="1" ht="16" hidden="1" outlineLevel="1">
      <c r="B1261" s="968" t="s">
        <v>2546</v>
      </c>
      <c r="C1261" s="967">
        <v>62000</v>
      </c>
      <c r="D1261" s="967" t="s">
        <v>2638</v>
      </c>
      <c r="E1261" s="967">
        <v>139207</v>
      </c>
      <c r="F1261" s="967">
        <v>8555745500</v>
      </c>
      <c r="G1261" s="967">
        <v>61300</v>
      </c>
      <c r="H1261" s="967">
        <v>62000</v>
      </c>
      <c r="I1261" s="967">
        <v>60700</v>
      </c>
      <c r="J1261" s="967">
        <v>7623451</v>
      </c>
      <c r="K1261" s="967">
        <v>122958891</v>
      </c>
    </row>
    <row r="1262" spans="2:11" s="1258" customFormat="1" ht="16" hidden="1" outlineLevel="1">
      <c r="B1262" s="968" t="s">
        <v>2545</v>
      </c>
      <c r="C1262" s="967">
        <v>61200</v>
      </c>
      <c r="D1262" s="967" t="s">
        <v>2239</v>
      </c>
      <c r="E1262" s="967">
        <v>505064</v>
      </c>
      <c r="F1262" s="967">
        <v>30730671400</v>
      </c>
      <c r="G1262" s="967">
        <v>59100</v>
      </c>
      <c r="H1262" s="967">
        <v>62200</v>
      </c>
      <c r="I1262" s="967">
        <v>59100</v>
      </c>
      <c r="J1262" s="967">
        <v>7525084</v>
      </c>
      <c r="K1262" s="967">
        <v>122958891</v>
      </c>
    </row>
    <row r="1263" spans="2:11" s="1258" customFormat="1" ht="16" hidden="1" outlineLevel="1">
      <c r="B1263" s="968" t="s">
        <v>2544</v>
      </c>
      <c r="C1263" s="967">
        <v>59000</v>
      </c>
      <c r="D1263" s="967" t="s">
        <v>2228</v>
      </c>
      <c r="E1263" s="967">
        <v>120212</v>
      </c>
      <c r="F1263" s="967">
        <v>7080563300</v>
      </c>
      <c r="G1263" s="967">
        <v>58600</v>
      </c>
      <c r="H1263" s="967">
        <v>59200</v>
      </c>
      <c r="I1263" s="967">
        <v>58300</v>
      </c>
      <c r="J1263" s="967">
        <v>7254575</v>
      </c>
      <c r="K1263" s="967">
        <v>122958891</v>
      </c>
    </row>
    <row r="1264" spans="2:11" s="1258" customFormat="1" ht="16" hidden="1" outlineLevel="1">
      <c r="B1264" s="968" t="s">
        <v>2543</v>
      </c>
      <c r="C1264" s="967">
        <v>59100</v>
      </c>
      <c r="D1264" s="967" t="s">
        <v>2215</v>
      </c>
      <c r="E1264" s="967">
        <v>118883</v>
      </c>
      <c r="F1264" s="967">
        <v>7006882300</v>
      </c>
      <c r="G1264" s="967">
        <v>59200</v>
      </c>
      <c r="H1264" s="967">
        <v>59300</v>
      </c>
      <c r="I1264" s="967">
        <v>58500</v>
      </c>
      <c r="J1264" s="967">
        <v>7266870</v>
      </c>
      <c r="K1264" s="967">
        <v>122958891</v>
      </c>
    </row>
    <row r="1265" spans="2:11" s="1258" customFormat="1" ht="16" hidden="1" outlineLevel="1">
      <c r="B1265" s="968" t="s">
        <v>2541</v>
      </c>
      <c r="C1265" s="967">
        <v>59400</v>
      </c>
      <c r="D1265" s="967" t="s">
        <v>2250</v>
      </c>
      <c r="E1265" s="967">
        <v>167945</v>
      </c>
      <c r="F1265" s="967">
        <v>9873610600</v>
      </c>
      <c r="G1265" s="967">
        <v>58200</v>
      </c>
      <c r="H1265" s="967">
        <v>59400</v>
      </c>
      <c r="I1265" s="967">
        <v>57800</v>
      </c>
      <c r="J1265" s="967">
        <v>7303758</v>
      </c>
      <c r="K1265" s="967">
        <v>122958891</v>
      </c>
    </row>
    <row r="1266" spans="2:11" s="1258" customFormat="1" ht="16" hidden="1" outlineLevel="1">
      <c r="B1266" s="968" t="s">
        <v>2540</v>
      </c>
      <c r="C1266" s="967">
        <v>58200</v>
      </c>
      <c r="D1266" s="967" t="s">
        <v>2221</v>
      </c>
      <c r="E1266" s="967">
        <v>104048</v>
      </c>
      <c r="F1266" s="967">
        <v>5990376300</v>
      </c>
      <c r="G1266" s="967">
        <v>58300</v>
      </c>
      <c r="H1266" s="967">
        <v>58300</v>
      </c>
      <c r="I1266" s="967">
        <v>57000</v>
      </c>
      <c r="J1266" s="967">
        <v>7156207</v>
      </c>
      <c r="K1266" s="967">
        <v>122958891</v>
      </c>
    </row>
    <row r="1267" spans="2:11" s="1258" customFormat="1" ht="16" hidden="1" outlineLevel="1">
      <c r="B1267" s="968" t="s">
        <v>2539</v>
      </c>
      <c r="C1267" s="967">
        <v>58200</v>
      </c>
      <c r="D1267" s="967" t="s">
        <v>2250</v>
      </c>
      <c r="E1267" s="967">
        <v>190715</v>
      </c>
      <c r="F1267" s="967">
        <v>10908967800</v>
      </c>
      <c r="G1267" s="967">
        <v>57000</v>
      </c>
      <c r="H1267" s="967">
        <v>58200</v>
      </c>
      <c r="I1267" s="967">
        <v>56500</v>
      </c>
      <c r="J1267" s="967">
        <v>7156207</v>
      </c>
      <c r="K1267" s="967">
        <v>122958891</v>
      </c>
    </row>
    <row r="1268" spans="2:11" s="1258" customFormat="1" ht="16" hidden="1" outlineLevel="1">
      <c r="B1268" s="968" t="s">
        <v>2538</v>
      </c>
      <c r="C1268" s="967">
        <v>57000</v>
      </c>
      <c r="D1268" s="967" t="s">
        <v>2248</v>
      </c>
      <c r="E1268" s="967">
        <v>256960</v>
      </c>
      <c r="F1268" s="967">
        <v>14605874700</v>
      </c>
      <c r="G1268" s="967">
        <v>57900</v>
      </c>
      <c r="H1268" s="967">
        <v>57900</v>
      </c>
      <c r="I1268" s="967">
        <v>55600</v>
      </c>
      <c r="J1268" s="967">
        <v>7008657</v>
      </c>
      <c r="K1268" s="967">
        <v>122958891</v>
      </c>
    </row>
    <row r="1269" spans="2:11" s="1258" customFormat="1" ht="16" hidden="1" outlineLevel="1">
      <c r="B1269" s="968" t="s">
        <v>2537</v>
      </c>
      <c r="C1269" s="967">
        <v>58000</v>
      </c>
      <c r="D1269" s="967" t="s">
        <v>2212</v>
      </c>
      <c r="E1269" s="967">
        <v>123340</v>
      </c>
      <c r="F1269" s="967">
        <v>7159826800</v>
      </c>
      <c r="G1269" s="967">
        <v>58500</v>
      </c>
      <c r="H1269" s="967">
        <v>58500</v>
      </c>
      <c r="I1269" s="967">
        <v>57500</v>
      </c>
      <c r="J1269" s="967">
        <v>7131616</v>
      </c>
      <c r="K1269" s="967">
        <v>122958891</v>
      </c>
    </row>
    <row r="1270" spans="2:11" s="1258" customFormat="1" ht="16" hidden="1" outlineLevel="1">
      <c r="B1270" s="968" t="s">
        <v>2536</v>
      </c>
      <c r="C1270" s="967">
        <v>57900</v>
      </c>
      <c r="D1270" s="967" t="s">
        <v>1814</v>
      </c>
      <c r="E1270" s="967">
        <v>154375</v>
      </c>
      <c r="F1270" s="967">
        <v>8933765100</v>
      </c>
      <c r="G1270" s="967">
        <v>57900</v>
      </c>
      <c r="H1270" s="967">
        <v>58300</v>
      </c>
      <c r="I1270" s="967">
        <v>57500</v>
      </c>
      <c r="J1270" s="967">
        <v>7119320</v>
      </c>
      <c r="K1270" s="967">
        <v>122958891</v>
      </c>
    </row>
    <row r="1271" spans="2:11" s="1258" customFormat="1" ht="16" hidden="1" outlineLevel="1">
      <c r="B1271" s="968" t="s">
        <v>2535</v>
      </c>
      <c r="C1271" s="967">
        <v>58400</v>
      </c>
      <c r="D1271" s="967" t="s">
        <v>2214</v>
      </c>
      <c r="E1271" s="967">
        <v>143504</v>
      </c>
      <c r="F1271" s="967">
        <v>8315941200</v>
      </c>
      <c r="G1271" s="967">
        <v>57500</v>
      </c>
      <c r="H1271" s="967">
        <v>58400</v>
      </c>
      <c r="I1271" s="967">
        <v>57100</v>
      </c>
      <c r="J1271" s="967">
        <v>7180799</v>
      </c>
      <c r="K1271" s="967">
        <v>122958891</v>
      </c>
    </row>
    <row r="1272" spans="2:11" s="1258" customFormat="1" ht="16" hidden="1" outlineLevel="1">
      <c r="B1272" s="968" t="s">
        <v>2534</v>
      </c>
      <c r="C1272" s="967">
        <v>58000</v>
      </c>
      <c r="D1272" s="967" t="s">
        <v>2212</v>
      </c>
      <c r="E1272" s="967">
        <v>420462</v>
      </c>
      <c r="F1272" s="967">
        <v>24380848300</v>
      </c>
      <c r="G1272" s="967">
        <v>57400</v>
      </c>
      <c r="H1272" s="967">
        <v>58600</v>
      </c>
      <c r="I1272" s="967">
        <v>56800</v>
      </c>
      <c r="J1272" s="967">
        <v>7131616</v>
      </c>
      <c r="K1272" s="967">
        <v>122958891</v>
      </c>
    </row>
    <row r="1273" spans="2:11" s="1258" customFormat="1" ht="16" hidden="1" outlineLevel="1">
      <c r="B1273" s="968" t="s">
        <v>2533</v>
      </c>
      <c r="C1273" s="967">
        <v>57900</v>
      </c>
      <c r="D1273" s="967" t="s">
        <v>1814</v>
      </c>
      <c r="E1273" s="967">
        <v>292973</v>
      </c>
      <c r="F1273" s="967">
        <v>16751107800</v>
      </c>
      <c r="G1273" s="967">
        <v>58500</v>
      </c>
      <c r="H1273" s="967">
        <v>58500</v>
      </c>
      <c r="I1273" s="967">
        <v>56500</v>
      </c>
      <c r="J1273" s="967">
        <v>7119320</v>
      </c>
      <c r="K1273" s="967">
        <v>122958891</v>
      </c>
    </row>
    <row r="1274" spans="2:11" s="1258" customFormat="1" ht="16" hidden="1" outlineLevel="1">
      <c r="B1274" s="968" t="s">
        <v>2532</v>
      </c>
      <c r="C1274" s="967">
        <v>58400</v>
      </c>
      <c r="D1274" s="967" t="s">
        <v>2215</v>
      </c>
      <c r="E1274" s="967">
        <v>191036</v>
      </c>
      <c r="F1274" s="967">
        <v>11162061300</v>
      </c>
      <c r="G1274" s="967">
        <v>58800</v>
      </c>
      <c r="H1274" s="967">
        <v>58900</v>
      </c>
      <c r="I1274" s="967">
        <v>57500</v>
      </c>
      <c r="J1274" s="967">
        <v>7180799</v>
      </c>
      <c r="K1274" s="967">
        <v>122958891</v>
      </c>
    </row>
    <row r="1275" spans="2:11" s="1258" customFormat="1" ht="16" hidden="1" outlineLevel="1">
      <c r="B1275" s="968" t="s">
        <v>2531</v>
      </c>
      <c r="C1275" s="967">
        <v>58700</v>
      </c>
      <c r="D1275" s="967" t="s">
        <v>2246</v>
      </c>
      <c r="E1275" s="967">
        <v>156498</v>
      </c>
      <c r="F1275" s="967">
        <v>9134411200</v>
      </c>
      <c r="G1275" s="967">
        <v>57900</v>
      </c>
      <c r="H1275" s="967">
        <v>58700</v>
      </c>
      <c r="I1275" s="967">
        <v>57800</v>
      </c>
      <c r="J1275" s="967">
        <v>7217687</v>
      </c>
      <c r="K1275" s="967">
        <v>122958891</v>
      </c>
    </row>
    <row r="1276" spans="2:11" s="1258" customFormat="1" ht="16" hidden="1" outlineLevel="1">
      <c r="B1276" s="968" t="s">
        <v>2530</v>
      </c>
      <c r="C1276" s="967">
        <v>57800</v>
      </c>
      <c r="D1276" s="967" t="s">
        <v>2224</v>
      </c>
      <c r="E1276" s="967">
        <v>124709</v>
      </c>
      <c r="F1276" s="967">
        <v>7207279700</v>
      </c>
      <c r="G1276" s="967">
        <v>57900</v>
      </c>
      <c r="H1276" s="967">
        <v>58200</v>
      </c>
      <c r="I1276" s="967">
        <v>57200</v>
      </c>
      <c r="J1276" s="967">
        <v>7107024</v>
      </c>
      <c r="K1276" s="967">
        <v>122958891</v>
      </c>
    </row>
    <row r="1277" spans="2:11" s="1258" customFormat="1" ht="16" hidden="1" outlineLevel="1">
      <c r="B1277" s="968" t="s">
        <v>2528</v>
      </c>
      <c r="C1277" s="967">
        <v>58000</v>
      </c>
      <c r="D1277" s="967" t="s">
        <v>2245</v>
      </c>
      <c r="E1277" s="967">
        <v>213703</v>
      </c>
      <c r="F1277" s="967">
        <v>12191799800</v>
      </c>
      <c r="G1277" s="967">
        <v>57400</v>
      </c>
      <c r="H1277" s="967">
        <v>58000</v>
      </c>
      <c r="I1277" s="967">
        <v>55800</v>
      </c>
      <c r="J1277" s="967">
        <v>7131616</v>
      </c>
      <c r="K1277" s="967">
        <v>122958891</v>
      </c>
    </row>
    <row r="1278" spans="2:11" s="1258" customFormat="1" ht="16" hidden="1" outlineLevel="1">
      <c r="B1278" s="968" t="s">
        <v>2527</v>
      </c>
      <c r="C1278" s="967">
        <v>56500</v>
      </c>
      <c r="D1278" s="967" t="s">
        <v>2253</v>
      </c>
      <c r="E1278" s="967">
        <v>175746</v>
      </c>
      <c r="F1278" s="967">
        <v>9980421600</v>
      </c>
      <c r="G1278" s="967">
        <v>57600</v>
      </c>
      <c r="H1278" s="967">
        <v>58000</v>
      </c>
      <c r="I1278" s="967">
        <v>56000</v>
      </c>
      <c r="J1278" s="967">
        <v>6947177</v>
      </c>
      <c r="K1278" s="967">
        <v>122958891</v>
      </c>
    </row>
    <row r="1279" spans="2:11" s="1258" customFormat="1" ht="16" hidden="1" outlineLevel="1">
      <c r="B1279" s="968" t="s">
        <v>2525</v>
      </c>
      <c r="C1279" s="967">
        <v>57300</v>
      </c>
      <c r="D1279" s="967" t="s">
        <v>2215</v>
      </c>
      <c r="E1279" s="967">
        <v>118230</v>
      </c>
      <c r="F1279" s="967">
        <v>6762429700</v>
      </c>
      <c r="G1279" s="967">
        <v>57600</v>
      </c>
      <c r="H1279" s="967">
        <v>57600</v>
      </c>
      <c r="I1279" s="967">
        <v>56600</v>
      </c>
      <c r="J1279" s="967">
        <v>7045544</v>
      </c>
      <c r="K1279" s="967">
        <v>122958891</v>
      </c>
    </row>
    <row r="1280" spans="2:11" s="1258" customFormat="1" ht="16" hidden="1" outlineLevel="1">
      <c r="B1280" s="968" t="s">
        <v>2524</v>
      </c>
      <c r="C1280" s="967">
        <v>57600</v>
      </c>
      <c r="D1280" s="967" t="s">
        <v>2251</v>
      </c>
      <c r="E1280" s="967">
        <v>198959</v>
      </c>
      <c r="F1280" s="967">
        <v>11417731800</v>
      </c>
      <c r="G1280" s="967">
        <v>57100</v>
      </c>
      <c r="H1280" s="967">
        <v>57700</v>
      </c>
      <c r="I1280" s="967">
        <v>56900</v>
      </c>
      <c r="J1280" s="967">
        <v>7082432</v>
      </c>
      <c r="K1280" s="967">
        <v>122958891</v>
      </c>
    </row>
    <row r="1281" spans="2:11" s="1258" customFormat="1" ht="16" hidden="1" outlineLevel="1">
      <c r="B1281" s="968" t="s">
        <v>2523</v>
      </c>
      <c r="C1281" s="967">
        <v>57000</v>
      </c>
      <c r="D1281" s="967" t="s">
        <v>2250</v>
      </c>
      <c r="E1281" s="967">
        <v>415178</v>
      </c>
      <c r="F1281" s="967">
        <v>23610642400</v>
      </c>
      <c r="G1281" s="967">
        <v>55700</v>
      </c>
      <c r="H1281" s="967">
        <v>57300</v>
      </c>
      <c r="I1281" s="967">
        <v>55100</v>
      </c>
      <c r="J1281" s="967">
        <v>7008657</v>
      </c>
      <c r="K1281" s="967">
        <v>122958891</v>
      </c>
    </row>
    <row r="1282" spans="2:11" s="1258" customFormat="1" ht="16" hidden="1" outlineLevel="1">
      <c r="B1282" s="968" t="s">
        <v>2522</v>
      </c>
      <c r="C1282" s="967">
        <v>55800</v>
      </c>
      <c r="D1282" s="967" t="s">
        <v>2236</v>
      </c>
      <c r="E1282" s="967">
        <v>163100</v>
      </c>
      <c r="F1282" s="967">
        <v>9079085700</v>
      </c>
      <c r="G1282" s="967">
        <v>55000</v>
      </c>
      <c r="H1282" s="967">
        <v>55900</v>
      </c>
      <c r="I1282" s="967">
        <v>54800</v>
      </c>
      <c r="J1282" s="967">
        <v>6861106</v>
      </c>
      <c r="K1282" s="967">
        <v>122958891</v>
      </c>
    </row>
    <row r="1283" spans="2:11" s="1258" customFormat="1" ht="16" hidden="1" outlineLevel="1">
      <c r="B1283" s="968" t="s">
        <v>2521</v>
      </c>
      <c r="C1283" s="967">
        <v>54800</v>
      </c>
      <c r="D1283" s="967" t="s">
        <v>2691</v>
      </c>
      <c r="E1283" s="967">
        <v>207139</v>
      </c>
      <c r="F1283" s="967">
        <v>11341420500</v>
      </c>
      <c r="G1283" s="967">
        <v>53700</v>
      </c>
      <c r="H1283" s="967">
        <v>55300</v>
      </c>
      <c r="I1283" s="967">
        <v>53500</v>
      </c>
      <c r="J1283" s="967">
        <v>6738147</v>
      </c>
      <c r="K1283" s="967">
        <v>122958891</v>
      </c>
    </row>
    <row r="1284" spans="2:11" s="1258" customFormat="1" ht="16" hidden="1" outlineLevel="1">
      <c r="B1284" s="968" t="s">
        <v>2520</v>
      </c>
      <c r="C1284" s="967">
        <v>53500</v>
      </c>
      <c r="D1284" s="967" t="s">
        <v>2253</v>
      </c>
      <c r="E1284" s="967">
        <v>168080</v>
      </c>
      <c r="F1284" s="967">
        <v>8964628200</v>
      </c>
      <c r="G1284" s="967">
        <v>54000</v>
      </c>
      <c r="H1284" s="967">
        <v>54500</v>
      </c>
      <c r="I1284" s="967">
        <v>52900</v>
      </c>
      <c r="J1284" s="967">
        <v>6578301</v>
      </c>
      <c r="K1284" s="967">
        <v>122958891</v>
      </c>
    </row>
    <row r="1285" spans="2:11" s="1258" customFormat="1" ht="16" hidden="1" outlineLevel="1">
      <c r="B1285" s="968" t="s">
        <v>2519</v>
      </c>
      <c r="C1285" s="967">
        <v>54300</v>
      </c>
      <c r="D1285" s="967" t="s">
        <v>2691</v>
      </c>
      <c r="E1285" s="967">
        <v>142543</v>
      </c>
      <c r="F1285" s="967">
        <v>7705215000</v>
      </c>
      <c r="G1285" s="967">
        <v>53100</v>
      </c>
      <c r="H1285" s="967">
        <v>54600</v>
      </c>
      <c r="I1285" s="967">
        <v>53000</v>
      </c>
      <c r="J1285" s="967">
        <v>6676668</v>
      </c>
      <c r="K1285" s="967">
        <v>122958891</v>
      </c>
    </row>
    <row r="1286" spans="2:11" s="1258" customFormat="1" ht="16" hidden="1" outlineLevel="1">
      <c r="B1286" s="968" t="s">
        <v>2517</v>
      </c>
      <c r="C1286" s="967">
        <v>53000</v>
      </c>
      <c r="D1286" s="967" t="s">
        <v>2634</v>
      </c>
      <c r="E1286" s="967">
        <v>127939</v>
      </c>
      <c r="F1286" s="967">
        <v>6871065800</v>
      </c>
      <c r="G1286" s="967">
        <v>54200</v>
      </c>
      <c r="H1286" s="967">
        <v>55000</v>
      </c>
      <c r="I1286" s="967">
        <v>52700</v>
      </c>
      <c r="J1286" s="967">
        <v>6516821</v>
      </c>
      <c r="K1286" s="967">
        <v>122958891</v>
      </c>
    </row>
    <row r="1287" spans="2:11" s="1258" customFormat="1" ht="16" hidden="1" outlineLevel="1">
      <c r="B1287" s="968" t="s">
        <v>2516</v>
      </c>
      <c r="C1287" s="967">
        <v>54300</v>
      </c>
      <c r="D1287" s="967" t="s">
        <v>2214</v>
      </c>
      <c r="E1287" s="967">
        <v>116253</v>
      </c>
      <c r="F1287" s="967">
        <v>6258890000</v>
      </c>
      <c r="G1287" s="967">
        <v>54600</v>
      </c>
      <c r="H1287" s="967">
        <v>54700</v>
      </c>
      <c r="I1287" s="967">
        <v>53200</v>
      </c>
      <c r="J1287" s="967">
        <v>6676668</v>
      </c>
      <c r="K1287" s="967">
        <v>122958891</v>
      </c>
    </row>
    <row r="1288" spans="2:11" s="1258" customFormat="1" ht="16" hidden="1" outlineLevel="1">
      <c r="B1288" s="968" t="s">
        <v>2515</v>
      </c>
      <c r="C1288" s="967">
        <v>53900</v>
      </c>
      <c r="D1288" s="967" t="s">
        <v>2215</v>
      </c>
      <c r="E1288" s="967">
        <v>97628</v>
      </c>
      <c r="F1288" s="967">
        <v>5322170800</v>
      </c>
      <c r="G1288" s="967">
        <v>54600</v>
      </c>
      <c r="H1288" s="967">
        <v>55300</v>
      </c>
      <c r="I1288" s="967">
        <v>53900</v>
      </c>
      <c r="J1288" s="967">
        <v>6627484</v>
      </c>
      <c r="K1288" s="967">
        <v>122958891</v>
      </c>
    </row>
    <row r="1289" spans="2:11" s="1258" customFormat="1" ht="16" hidden="1" outlineLevel="1">
      <c r="B1289" s="968" t="s">
        <v>2514</v>
      </c>
      <c r="C1289" s="967">
        <v>54200</v>
      </c>
      <c r="D1289" s="967" t="s">
        <v>2215</v>
      </c>
      <c r="E1289" s="967">
        <v>61101</v>
      </c>
      <c r="F1289" s="967">
        <v>3315582800</v>
      </c>
      <c r="G1289" s="967">
        <v>54000</v>
      </c>
      <c r="H1289" s="967">
        <v>54700</v>
      </c>
      <c r="I1289" s="967">
        <v>53600</v>
      </c>
      <c r="J1289" s="967">
        <v>6664372</v>
      </c>
      <c r="K1289" s="967">
        <v>122958891</v>
      </c>
    </row>
    <row r="1290" spans="2:11" s="1258" customFormat="1" ht="16" hidden="1" outlineLevel="1">
      <c r="B1290" s="968" t="s">
        <v>2513</v>
      </c>
      <c r="C1290" s="967">
        <v>54500</v>
      </c>
      <c r="D1290" s="967" t="s">
        <v>2241</v>
      </c>
      <c r="E1290" s="967">
        <v>124669</v>
      </c>
      <c r="F1290" s="967">
        <v>6744488300</v>
      </c>
      <c r="G1290" s="967">
        <v>54500</v>
      </c>
      <c r="H1290" s="967">
        <v>55100</v>
      </c>
      <c r="I1290" s="967">
        <v>53600</v>
      </c>
      <c r="J1290" s="967">
        <v>6701260</v>
      </c>
      <c r="K1290" s="967">
        <v>122958891</v>
      </c>
    </row>
    <row r="1291" spans="2:11" s="1258" customFormat="1" ht="16" hidden="1" outlineLevel="1">
      <c r="B1291" s="968" t="s">
        <v>2512</v>
      </c>
      <c r="C1291" s="967">
        <v>55400</v>
      </c>
      <c r="D1291" s="967" t="s">
        <v>2253</v>
      </c>
      <c r="E1291" s="967">
        <v>335101</v>
      </c>
      <c r="F1291" s="967">
        <v>18288412900</v>
      </c>
      <c r="G1291" s="967">
        <v>56000</v>
      </c>
      <c r="H1291" s="967">
        <v>56000</v>
      </c>
      <c r="I1291" s="967">
        <v>53900</v>
      </c>
      <c r="J1291" s="967">
        <v>6811923</v>
      </c>
      <c r="K1291" s="967">
        <v>122958891</v>
      </c>
    </row>
    <row r="1292" spans="2:11" s="1258" customFormat="1" ht="16" hidden="1" outlineLevel="1">
      <c r="B1292" s="968" t="s">
        <v>2511</v>
      </c>
      <c r="C1292" s="967">
        <v>56200</v>
      </c>
      <c r="D1292" s="967" t="s">
        <v>2236</v>
      </c>
      <c r="E1292" s="967">
        <v>417040</v>
      </c>
      <c r="F1292" s="967">
        <v>23211703800</v>
      </c>
      <c r="G1292" s="967">
        <v>54500</v>
      </c>
      <c r="H1292" s="967">
        <v>56300</v>
      </c>
      <c r="I1292" s="967">
        <v>53900</v>
      </c>
      <c r="J1292" s="967">
        <v>6910290</v>
      </c>
      <c r="K1292" s="967">
        <v>122958891</v>
      </c>
    </row>
    <row r="1293" spans="2:11" s="1258" customFormat="1" ht="16" hidden="1" outlineLevel="1">
      <c r="B1293" s="968" t="s">
        <v>2510</v>
      </c>
      <c r="C1293" s="967">
        <v>55200</v>
      </c>
      <c r="D1293" s="967" t="s">
        <v>2208</v>
      </c>
      <c r="E1293" s="967">
        <v>316853</v>
      </c>
      <c r="F1293" s="967">
        <v>17472438100</v>
      </c>
      <c r="G1293" s="967">
        <v>54400</v>
      </c>
      <c r="H1293" s="967">
        <v>55600</v>
      </c>
      <c r="I1293" s="967">
        <v>53800</v>
      </c>
      <c r="J1293" s="967">
        <v>6787331</v>
      </c>
      <c r="K1293" s="967">
        <v>122958891</v>
      </c>
    </row>
    <row r="1294" spans="2:11" s="1258" customFormat="1" ht="16" hidden="1" outlineLevel="1">
      <c r="B1294" s="968" t="s">
        <v>2509</v>
      </c>
      <c r="C1294" s="967">
        <v>54500</v>
      </c>
      <c r="D1294" s="967" t="s">
        <v>2695</v>
      </c>
      <c r="E1294" s="967">
        <v>450524</v>
      </c>
      <c r="F1294" s="967">
        <v>24403660600</v>
      </c>
      <c r="G1294" s="967">
        <v>52400</v>
      </c>
      <c r="H1294" s="967">
        <v>55100</v>
      </c>
      <c r="I1294" s="967">
        <v>52300</v>
      </c>
      <c r="J1294" s="967">
        <v>6701260</v>
      </c>
      <c r="K1294" s="967">
        <v>122958891</v>
      </c>
    </row>
    <row r="1295" spans="2:11" s="1258" customFormat="1" ht="16" hidden="1" outlineLevel="1">
      <c r="B1295" s="968" t="s">
        <v>2508</v>
      </c>
      <c r="C1295" s="967">
        <v>52800</v>
      </c>
      <c r="D1295" s="967" t="s">
        <v>2224</v>
      </c>
      <c r="E1295" s="967">
        <v>104031</v>
      </c>
      <c r="F1295" s="967">
        <v>5455639000</v>
      </c>
      <c r="G1295" s="967">
        <v>52100</v>
      </c>
      <c r="H1295" s="967">
        <v>53000</v>
      </c>
      <c r="I1295" s="967">
        <v>52100</v>
      </c>
      <c r="J1295" s="967">
        <v>6492229</v>
      </c>
      <c r="K1295" s="967">
        <v>122958891</v>
      </c>
    </row>
    <row r="1296" spans="2:11" s="1258" customFormat="1" ht="16" hidden="1" outlineLevel="1">
      <c r="B1296" s="968" t="s">
        <v>2507</v>
      </c>
      <c r="C1296" s="967">
        <v>53000</v>
      </c>
      <c r="D1296" s="967" t="s">
        <v>2248</v>
      </c>
      <c r="E1296" s="967">
        <v>155462</v>
      </c>
      <c r="F1296" s="967">
        <v>8229676700</v>
      </c>
      <c r="G1296" s="967">
        <v>53400</v>
      </c>
      <c r="H1296" s="967">
        <v>54000</v>
      </c>
      <c r="I1296" s="967">
        <v>52700</v>
      </c>
      <c r="J1296" s="967">
        <v>6516821</v>
      </c>
      <c r="K1296" s="967">
        <v>122958891</v>
      </c>
    </row>
    <row r="1297" spans="2:11" s="1258" customFormat="1" ht="16" hidden="1" outlineLevel="1">
      <c r="B1297" s="968" t="s">
        <v>2506</v>
      </c>
      <c r="C1297" s="967">
        <v>54000</v>
      </c>
      <c r="D1297" s="967" t="s">
        <v>2246</v>
      </c>
      <c r="E1297" s="967">
        <v>187414</v>
      </c>
      <c r="F1297" s="967">
        <v>9996346000</v>
      </c>
      <c r="G1297" s="967">
        <v>53600</v>
      </c>
      <c r="H1297" s="967">
        <v>54000</v>
      </c>
      <c r="I1297" s="967">
        <v>52500</v>
      </c>
      <c r="J1297" s="967">
        <v>6639780</v>
      </c>
      <c r="K1297" s="967">
        <v>122958891</v>
      </c>
    </row>
    <row r="1298" spans="2:11" s="1258" customFormat="1" ht="16" hidden="1" outlineLevel="1">
      <c r="B1298" s="968" t="s">
        <v>2504</v>
      </c>
      <c r="C1298" s="967">
        <v>53100</v>
      </c>
      <c r="D1298" s="967" t="s">
        <v>2224</v>
      </c>
      <c r="E1298" s="967">
        <v>73974</v>
      </c>
      <c r="F1298" s="967">
        <v>3927737400</v>
      </c>
      <c r="G1298" s="967">
        <v>53800</v>
      </c>
      <c r="H1298" s="967">
        <v>53800</v>
      </c>
      <c r="I1298" s="967">
        <v>52500</v>
      </c>
      <c r="J1298" s="967">
        <v>6529117</v>
      </c>
      <c r="K1298" s="967">
        <v>122958891</v>
      </c>
    </row>
    <row r="1299" spans="2:11" s="1258" customFormat="1" ht="16" hidden="1" outlineLevel="1">
      <c r="B1299" s="968" t="s">
        <v>2503</v>
      </c>
      <c r="C1299" s="967">
        <v>53300</v>
      </c>
      <c r="D1299" s="967" t="s">
        <v>2232</v>
      </c>
      <c r="E1299" s="967">
        <v>102926</v>
      </c>
      <c r="F1299" s="967">
        <v>5486743500</v>
      </c>
      <c r="G1299" s="967">
        <v>52700</v>
      </c>
      <c r="H1299" s="967">
        <v>53900</v>
      </c>
      <c r="I1299" s="967">
        <v>52500</v>
      </c>
      <c r="J1299" s="967">
        <v>6553709</v>
      </c>
      <c r="K1299" s="967">
        <v>122958891</v>
      </c>
    </row>
    <row r="1300" spans="2:11" s="1258" customFormat="1" ht="16" hidden="1" outlineLevel="1">
      <c r="B1300" s="968" t="s">
        <v>2502</v>
      </c>
      <c r="C1300" s="967">
        <v>53100</v>
      </c>
      <c r="D1300" s="967" t="s">
        <v>2638</v>
      </c>
      <c r="E1300" s="967">
        <v>99151</v>
      </c>
      <c r="F1300" s="967">
        <v>5259365100</v>
      </c>
      <c r="G1300" s="967">
        <v>52400</v>
      </c>
      <c r="H1300" s="967">
        <v>53500</v>
      </c>
      <c r="I1300" s="967">
        <v>52400</v>
      </c>
      <c r="J1300" s="967">
        <v>6529117</v>
      </c>
      <c r="K1300" s="967">
        <v>122958891</v>
      </c>
    </row>
    <row r="1301" spans="2:11" s="1258" customFormat="1" ht="16" hidden="1" outlineLevel="1">
      <c r="B1301" s="968" t="s">
        <v>2501</v>
      </c>
      <c r="C1301" s="967">
        <v>52300</v>
      </c>
      <c r="D1301" s="967" t="s">
        <v>2228</v>
      </c>
      <c r="E1301" s="967">
        <v>130980</v>
      </c>
      <c r="F1301" s="967">
        <v>6851203500</v>
      </c>
      <c r="G1301" s="967">
        <v>52300</v>
      </c>
      <c r="H1301" s="967">
        <v>53000</v>
      </c>
      <c r="I1301" s="967">
        <v>51800</v>
      </c>
      <c r="J1301" s="967">
        <v>6430750</v>
      </c>
      <c r="K1301" s="967">
        <v>122958891</v>
      </c>
    </row>
    <row r="1302" spans="2:11" s="1258" customFormat="1" ht="16" hidden="1" outlineLevel="1">
      <c r="B1302" s="968" t="s">
        <v>2500</v>
      </c>
      <c r="C1302" s="967">
        <v>52400</v>
      </c>
      <c r="D1302" s="967" t="s">
        <v>2232</v>
      </c>
      <c r="E1302" s="967">
        <v>152160</v>
      </c>
      <c r="F1302" s="967">
        <v>7949361800</v>
      </c>
      <c r="G1302" s="967">
        <v>52000</v>
      </c>
      <c r="H1302" s="967">
        <v>52800</v>
      </c>
      <c r="I1302" s="967">
        <v>51600</v>
      </c>
      <c r="J1302" s="967">
        <v>6443046</v>
      </c>
      <c r="K1302" s="967">
        <v>122958891</v>
      </c>
    </row>
    <row r="1303" spans="2:11" s="1258" customFormat="1" ht="16" hidden="1" outlineLevel="1">
      <c r="B1303" s="968" t="s">
        <v>2499</v>
      </c>
      <c r="C1303" s="967">
        <v>52200</v>
      </c>
      <c r="D1303" s="967" t="s">
        <v>2247</v>
      </c>
      <c r="E1303" s="967">
        <v>197611</v>
      </c>
      <c r="F1303" s="967">
        <v>10328368300</v>
      </c>
      <c r="G1303" s="967">
        <v>53400</v>
      </c>
      <c r="H1303" s="967">
        <v>53400</v>
      </c>
      <c r="I1303" s="967">
        <v>51700</v>
      </c>
      <c r="J1303" s="967">
        <v>6418454</v>
      </c>
      <c r="K1303" s="967">
        <v>122958891</v>
      </c>
    </row>
    <row r="1304" spans="2:11" s="1258" customFormat="1" ht="16" hidden="1" outlineLevel="1">
      <c r="B1304" s="968" t="s">
        <v>2498</v>
      </c>
      <c r="C1304" s="967">
        <v>53300</v>
      </c>
      <c r="D1304" s="967" t="s">
        <v>2224</v>
      </c>
      <c r="E1304" s="967">
        <v>102942</v>
      </c>
      <c r="F1304" s="967">
        <v>5457126900</v>
      </c>
      <c r="G1304" s="967">
        <v>53300</v>
      </c>
      <c r="H1304" s="967">
        <v>53700</v>
      </c>
      <c r="I1304" s="967">
        <v>52500</v>
      </c>
      <c r="J1304" s="967">
        <v>6553709</v>
      </c>
      <c r="K1304" s="967">
        <v>122958891</v>
      </c>
    </row>
    <row r="1305" spans="2:11" s="1258" customFormat="1" ht="16" hidden="1" outlineLevel="1">
      <c r="B1305" s="968" t="s">
        <v>2497</v>
      </c>
      <c r="C1305" s="967">
        <v>53500</v>
      </c>
      <c r="D1305" s="967" t="s">
        <v>1814</v>
      </c>
      <c r="E1305" s="967">
        <v>166125</v>
      </c>
      <c r="F1305" s="967">
        <v>8884771800</v>
      </c>
      <c r="G1305" s="967">
        <v>53500</v>
      </c>
      <c r="H1305" s="967">
        <v>54300</v>
      </c>
      <c r="I1305" s="967">
        <v>52500</v>
      </c>
      <c r="J1305" s="967">
        <v>6578301</v>
      </c>
      <c r="K1305" s="967">
        <v>122958891</v>
      </c>
    </row>
    <row r="1306" spans="2:11" s="1258" customFormat="1" ht="16" hidden="1" outlineLevel="1">
      <c r="B1306" s="968" t="s">
        <v>2496</v>
      </c>
      <c r="C1306" s="967">
        <v>54000</v>
      </c>
      <c r="D1306" s="967" t="s">
        <v>2239</v>
      </c>
      <c r="E1306" s="967">
        <v>227566</v>
      </c>
      <c r="F1306" s="967">
        <v>12180599500</v>
      </c>
      <c r="G1306" s="967">
        <v>52300</v>
      </c>
      <c r="H1306" s="967">
        <v>54200</v>
      </c>
      <c r="I1306" s="967">
        <v>52300</v>
      </c>
      <c r="J1306" s="967">
        <v>6639780</v>
      </c>
      <c r="K1306" s="967">
        <v>122958891</v>
      </c>
    </row>
    <row r="1307" spans="2:11" s="1258" customFormat="1" ht="16" hidden="1" outlineLevel="1">
      <c r="B1307" s="968" t="s">
        <v>2495</v>
      </c>
      <c r="C1307" s="967">
        <v>51800</v>
      </c>
      <c r="D1307" s="967" t="s">
        <v>2221</v>
      </c>
      <c r="E1307" s="967">
        <v>210570</v>
      </c>
      <c r="F1307" s="967">
        <v>11005625200</v>
      </c>
      <c r="G1307" s="967">
        <v>51900</v>
      </c>
      <c r="H1307" s="967">
        <v>52800</v>
      </c>
      <c r="I1307" s="967">
        <v>51800</v>
      </c>
      <c r="J1307" s="967">
        <v>6369271</v>
      </c>
      <c r="K1307" s="967">
        <v>122958891</v>
      </c>
    </row>
    <row r="1308" spans="2:11" s="1258" customFormat="1" ht="16" hidden="1" outlineLevel="1">
      <c r="B1308" s="968" t="s">
        <v>2494</v>
      </c>
      <c r="C1308" s="967">
        <v>51800</v>
      </c>
      <c r="D1308" s="967" t="s">
        <v>2241</v>
      </c>
      <c r="E1308" s="967">
        <v>154593</v>
      </c>
      <c r="F1308" s="967">
        <v>8013669600</v>
      </c>
      <c r="G1308" s="967">
        <v>52500</v>
      </c>
      <c r="H1308" s="967">
        <v>52500</v>
      </c>
      <c r="I1308" s="967">
        <v>51500</v>
      </c>
      <c r="J1308" s="967">
        <v>6369271</v>
      </c>
      <c r="K1308" s="967">
        <v>122958891</v>
      </c>
    </row>
    <row r="1309" spans="2:11" s="1258" customFormat="1" ht="16" hidden="1" outlineLevel="1">
      <c r="B1309" s="968" t="s">
        <v>2493</v>
      </c>
      <c r="C1309" s="967">
        <v>52700</v>
      </c>
      <c r="D1309" s="967" t="s">
        <v>2215</v>
      </c>
      <c r="E1309" s="967">
        <v>96399</v>
      </c>
      <c r="F1309" s="967">
        <v>5094589900</v>
      </c>
      <c r="G1309" s="967">
        <v>53300</v>
      </c>
      <c r="H1309" s="967">
        <v>53400</v>
      </c>
      <c r="I1309" s="967">
        <v>52600</v>
      </c>
      <c r="J1309" s="967">
        <v>6479934</v>
      </c>
      <c r="K1309" s="967">
        <v>122958891</v>
      </c>
    </row>
    <row r="1310" spans="2:11" s="1258" customFormat="1" ht="16" hidden="1" outlineLevel="1">
      <c r="B1310" s="968" t="s">
        <v>2492</v>
      </c>
      <c r="C1310" s="967">
        <v>53000</v>
      </c>
      <c r="D1310" s="967" t="s">
        <v>2211</v>
      </c>
      <c r="E1310" s="967">
        <v>316181</v>
      </c>
      <c r="F1310" s="967">
        <v>16984204900</v>
      </c>
      <c r="G1310" s="967">
        <v>53200</v>
      </c>
      <c r="H1310" s="967">
        <v>54500</v>
      </c>
      <c r="I1310" s="967">
        <v>52600</v>
      </c>
      <c r="J1310" s="967">
        <v>6516821</v>
      </c>
      <c r="K1310" s="967">
        <v>122958891</v>
      </c>
    </row>
    <row r="1311" spans="2:11" s="1258" customFormat="1" ht="16" hidden="1" outlineLevel="1">
      <c r="B1311" s="968" t="s">
        <v>2491</v>
      </c>
      <c r="C1311" s="967">
        <v>53400</v>
      </c>
      <c r="D1311" s="967" t="s">
        <v>2246</v>
      </c>
      <c r="E1311" s="967">
        <v>149969</v>
      </c>
      <c r="F1311" s="967">
        <v>7955574000</v>
      </c>
      <c r="G1311" s="967">
        <v>52500</v>
      </c>
      <c r="H1311" s="967">
        <v>53500</v>
      </c>
      <c r="I1311" s="967">
        <v>52100</v>
      </c>
      <c r="J1311" s="967">
        <v>6566005</v>
      </c>
      <c r="K1311" s="967">
        <v>122958891</v>
      </c>
    </row>
    <row r="1312" spans="2:11" s="1258" customFormat="1" ht="16" hidden="1" outlineLevel="1">
      <c r="B1312" s="968" t="s">
        <v>2490</v>
      </c>
      <c r="C1312" s="967">
        <v>52500</v>
      </c>
      <c r="D1312" s="967" t="s">
        <v>2241</v>
      </c>
      <c r="E1312" s="967">
        <v>138218</v>
      </c>
      <c r="F1312" s="967">
        <v>7257028900</v>
      </c>
      <c r="G1312" s="967">
        <v>53300</v>
      </c>
      <c r="H1312" s="967">
        <v>53400</v>
      </c>
      <c r="I1312" s="967">
        <v>52200</v>
      </c>
      <c r="J1312" s="967">
        <v>6455342</v>
      </c>
      <c r="K1312" s="967">
        <v>122958891</v>
      </c>
    </row>
    <row r="1313" spans="2:11" s="1258" customFormat="1" ht="16" hidden="1" outlineLevel="1">
      <c r="B1313" s="968" t="s">
        <v>2489</v>
      </c>
      <c r="C1313" s="967">
        <v>53400</v>
      </c>
      <c r="D1313" s="967" t="s">
        <v>2228</v>
      </c>
      <c r="E1313" s="967">
        <v>137574</v>
      </c>
      <c r="F1313" s="967">
        <v>7349465600</v>
      </c>
      <c r="G1313" s="967">
        <v>53100</v>
      </c>
      <c r="H1313" s="967">
        <v>54100</v>
      </c>
      <c r="I1313" s="967">
        <v>52800</v>
      </c>
      <c r="J1313" s="967">
        <v>6566005</v>
      </c>
      <c r="K1313" s="967">
        <v>122958891</v>
      </c>
    </row>
    <row r="1314" spans="2:11" s="1258" customFormat="1" ht="16" hidden="1" outlineLevel="1">
      <c r="B1314" s="968" t="s">
        <v>2488</v>
      </c>
      <c r="C1314" s="967">
        <v>53500</v>
      </c>
      <c r="D1314" s="967" t="s">
        <v>2208</v>
      </c>
      <c r="E1314" s="967">
        <v>140326</v>
      </c>
      <c r="F1314" s="967">
        <v>7455544100</v>
      </c>
      <c r="G1314" s="967">
        <v>52900</v>
      </c>
      <c r="H1314" s="967">
        <v>53600</v>
      </c>
      <c r="I1314" s="967">
        <v>52500</v>
      </c>
      <c r="J1314" s="967">
        <v>6578301</v>
      </c>
      <c r="K1314" s="967">
        <v>122958891</v>
      </c>
    </row>
    <row r="1315" spans="2:11" s="1258" customFormat="1" ht="16" hidden="1" outlineLevel="1">
      <c r="B1315" s="968" t="s">
        <v>2487</v>
      </c>
      <c r="C1315" s="967">
        <v>52800</v>
      </c>
      <c r="D1315" s="967" t="s">
        <v>2234</v>
      </c>
      <c r="E1315" s="967">
        <v>181005</v>
      </c>
      <c r="F1315" s="967">
        <v>9669355300</v>
      </c>
      <c r="G1315" s="967">
        <v>53100</v>
      </c>
      <c r="H1315" s="967">
        <v>54000</v>
      </c>
      <c r="I1315" s="967">
        <v>52800</v>
      </c>
      <c r="J1315" s="967">
        <v>6492229</v>
      </c>
      <c r="K1315" s="967">
        <v>122958891</v>
      </c>
    </row>
    <row r="1316" spans="2:11" s="1258" customFormat="1" ht="16" hidden="1" outlineLevel="1">
      <c r="B1316" s="968" t="s">
        <v>2485</v>
      </c>
      <c r="C1316" s="967">
        <v>53500</v>
      </c>
      <c r="D1316" s="967" t="s">
        <v>2243</v>
      </c>
      <c r="E1316" s="967">
        <v>170621</v>
      </c>
      <c r="F1316" s="967">
        <v>9173147600</v>
      </c>
      <c r="G1316" s="967">
        <v>52500</v>
      </c>
      <c r="H1316" s="967">
        <v>54200</v>
      </c>
      <c r="I1316" s="967">
        <v>52500</v>
      </c>
      <c r="J1316" s="967">
        <v>6578301</v>
      </c>
      <c r="K1316" s="967">
        <v>122958891</v>
      </c>
    </row>
    <row r="1317" spans="2:11" s="1258" customFormat="1" ht="16" hidden="1" outlineLevel="1">
      <c r="B1317" s="966" t="s">
        <v>2484</v>
      </c>
      <c r="C1317" s="965">
        <v>53200</v>
      </c>
      <c r="D1317" s="965" t="s">
        <v>2251</v>
      </c>
      <c r="E1317" s="965">
        <v>249934</v>
      </c>
      <c r="F1317" s="965">
        <v>13120602100</v>
      </c>
      <c r="G1317" s="965">
        <v>51800</v>
      </c>
      <c r="H1317" s="965">
        <v>53200</v>
      </c>
      <c r="I1317" s="965">
        <v>51700</v>
      </c>
      <c r="J1317" s="965">
        <v>6541413</v>
      </c>
      <c r="K1317" s="965">
        <v>122958891</v>
      </c>
    </row>
    <row r="1318" spans="2:11" s="1258" customFormat="1" ht="16" hidden="1" outlineLevel="1">
      <c r="B1318" s="966" t="s">
        <v>2483</v>
      </c>
      <c r="C1318" s="965">
        <v>52600</v>
      </c>
      <c r="D1318" s="965" t="s">
        <v>2688</v>
      </c>
      <c r="E1318" s="965">
        <v>527243</v>
      </c>
      <c r="F1318" s="965">
        <v>27775951500</v>
      </c>
      <c r="G1318" s="965">
        <v>54000</v>
      </c>
      <c r="H1318" s="965">
        <v>54200</v>
      </c>
      <c r="I1318" s="965">
        <v>51800</v>
      </c>
      <c r="J1318" s="965">
        <v>6467638</v>
      </c>
      <c r="K1318" s="965">
        <v>122958891</v>
      </c>
    </row>
    <row r="1319" spans="2:11" s="1258" customFormat="1" ht="16" hidden="1" outlineLevel="1">
      <c r="B1319" s="966" t="s">
        <v>2482</v>
      </c>
      <c r="C1319" s="965">
        <v>53800</v>
      </c>
      <c r="D1319" s="965" t="s">
        <v>2305</v>
      </c>
      <c r="E1319" s="965">
        <v>215391</v>
      </c>
      <c r="F1319" s="965">
        <v>11820567600</v>
      </c>
      <c r="G1319" s="965">
        <v>55400</v>
      </c>
      <c r="H1319" s="965">
        <v>55800</v>
      </c>
      <c r="I1319" s="965">
        <v>53800</v>
      </c>
      <c r="J1319" s="965">
        <v>6615188</v>
      </c>
      <c r="K1319" s="965">
        <v>122958891</v>
      </c>
    </row>
    <row r="1320" spans="2:11" s="1258" customFormat="1" ht="16" hidden="1" outlineLevel="1">
      <c r="B1320" s="966" t="s">
        <v>2481</v>
      </c>
      <c r="C1320" s="965">
        <v>55400</v>
      </c>
      <c r="D1320" s="965" t="s">
        <v>2221</v>
      </c>
      <c r="E1320" s="965">
        <v>270776</v>
      </c>
      <c r="F1320" s="965">
        <v>14943884200</v>
      </c>
      <c r="G1320" s="965">
        <v>55800</v>
      </c>
      <c r="H1320" s="965">
        <v>55800</v>
      </c>
      <c r="I1320" s="965">
        <v>54300</v>
      </c>
      <c r="J1320" s="965">
        <v>6811923</v>
      </c>
      <c r="K1320" s="965">
        <v>122958891</v>
      </c>
    </row>
    <row r="1321" spans="2:11" s="1258" customFormat="1" ht="16" hidden="1" outlineLevel="1">
      <c r="B1321" s="966" t="s">
        <v>2479</v>
      </c>
      <c r="C1321" s="965">
        <v>55400</v>
      </c>
      <c r="D1321" s="965" t="s">
        <v>2212</v>
      </c>
      <c r="E1321" s="965">
        <v>387761</v>
      </c>
      <c r="F1321" s="965">
        <v>21480810200</v>
      </c>
      <c r="G1321" s="965">
        <v>54800</v>
      </c>
      <c r="H1321" s="965">
        <v>56000</v>
      </c>
      <c r="I1321" s="965">
        <v>54200</v>
      </c>
      <c r="J1321" s="965">
        <v>6811923</v>
      </c>
      <c r="K1321" s="965">
        <v>122958891</v>
      </c>
    </row>
    <row r="1322" spans="2:11" s="1258" customFormat="1" ht="16" hidden="1" outlineLevel="1">
      <c r="B1322" s="966" t="s">
        <v>2478</v>
      </c>
      <c r="C1322" s="965">
        <v>55300</v>
      </c>
      <c r="D1322" s="965" t="s">
        <v>2239</v>
      </c>
      <c r="E1322" s="965">
        <v>620140</v>
      </c>
      <c r="F1322" s="965">
        <v>34087385200</v>
      </c>
      <c r="G1322" s="965">
        <v>53700</v>
      </c>
      <c r="H1322" s="965">
        <v>55500</v>
      </c>
      <c r="I1322" s="965">
        <v>53600</v>
      </c>
      <c r="J1322" s="965">
        <v>6799627</v>
      </c>
      <c r="K1322" s="965">
        <v>122958891</v>
      </c>
    </row>
    <row r="1323" spans="2:11" s="1258" customFormat="1" ht="16" hidden="1" outlineLevel="1">
      <c r="B1323" s="966" t="s">
        <v>2477</v>
      </c>
      <c r="C1323" s="965">
        <v>53100</v>
      </c>
      <c r="D1323" s="965" t="s">
        <v>2232</v>
      </c>
      <c r="E1323" s="965">
        <v>210562</v>
      </c>
      <c r="F1323" s="965">
        <v>11113323700</v>
      </c>
      <c r="G1323" s="965">
        <v>53000</v>
      </c>
      <c r="H1323" s="965">
        <v>53500</v>
      </c>
      <c r="I1323" s="965">
        <v>52300</v>
      </c>
      <c r="J1323" s="965">
        <v>6529117</v>
      </c>
      <c r="K1323" s="965">
        <v>122958891</v>
      </c>
    </row>
    <row r="1324" spans="2:11" s="1258" customFormat="1" ht="16" hidden="1" outlineLevel="1">
      <c r="B1324" s="966" t="s">
        <v>2476</v>
      </c>
      <c r="C1324" s="965">
        <v>52900</v>
      </c>
      <c r="D1324" s="965" t="s">
        <v>2245</v>
      </c>
      <c r="E1324" s="965">
        <v>244104</v>
      </c>
      <c r="F1324" s="965">
        <v>12782437300</v>
      </c>
      <c r="G1324" s="965">
        <v>51400</v>
      </c>
      <c r="H1324" s="965">
        <v>53300</v>
      </c>
      <c r="I1324" s="965">
        <v>51300</v>
      </c>
      <c r="J1324" s="965">
        <v>6504525</v>
      </c>
      <c r="K1324" s="965">
        <v>122958891</v>
      </c>
    </row>
    <row r="1325" spans="2:11" s="1258" customFormat="1" ht="16" hidden="1" outlineLevel="1">
      <c r="B1325" s="966" t="s">
        <v>2475</v>
      </c>
      <c r="C1325" s="965">
        <v>51400</v>
      </c>
      <c r="D1325" s="965" t="s">
        <v>2248</v>
      </c>
      <c r="E1325" s="965">
        <v>258757</v>
      </c>
      <c r="F1325" s="965">
        <v>13317240700</v>
      </c>
      <c r="G1325" s="965">
        <v>51900</v>
      </c>
      <c r="H1325" s="965">
        <v>52000</v>
      </c>
      <c r="I1325" s="965">
        <v>51000</v>
      </c>
      <c r="J1325" s="965">
        <v>6320087</v>
      </c>
      <c r="K1325" s="965">
        <v>122958891</v>
      </c>
    </row>
    <row r="1326" spans="2:11" s="1258" customFormat="1" ht="16" hidden="1" outlineLevel="1">
      <c r="B1326" s="966" t="s">
        <v>2474</v>
      </c>
      <c r="C1326" s="965">
        <v>52400</v>
      </c>
      <c r="D1326" s="965" t="s">
        <v>2221</v>
      </c>
      <c r="E1326" s="965">
        <v>254645</v>
      </c>
      <c r="F1326" s="965">
        <v>13211218400</v>
      </c>
      <c r="G1326" s="965">
        <v>52600</v>
      </c>
      <c r="H1326" s="965">
        <v>52700</v>
      </c>
      <c r="I1326" s="965">
        <v>51600</v>
      </c>
      <c r="J1326" s="965">
        <v>6443046</v>
      </c>
      <c r="K1326" s="965">
        <v>122958891</v>
      </c>
    </row>
    <row r="1327" spans="2:11" s="1258" customFormat="1" ht="16" hidden="1" outlineLevel="1">
      <c r="B1327" s="966" t="s">
        <v>2473</v>
      </c>
      <c r="C1327" s="965">
        <v>52400</v>
      </c>
      <c r="D1327" s="965" t="s">
        <v>2248</v>
      </c>
      <c r="E1327" s="965">
        <v>276384</v>
      </c>
      <c r="F1327" s="965">
        <v>14520101500</v>
      </c>
      <c r="G1327" s="965">
        <v>53500</v>
      </c>
      <c r="H1327" s="965">
        <v>53700</v>
      </c>
      <c r="I1327" s="965">
        <v>52200</v>
      </c>
      <c r="J1327" s="965">
        <v>6443046</v>
      </c>
      <c r="K1327" s="965">
        <v>122958891</v>
      </c>
    </row>
    <row r="1328" spans="2:11" s="1258" customFormat="1" ht="16" hidden="1" outlineLevel="1">
      <c r="B1328" s="966" t="s">
        <v>2472</v>
      </c>
      <c r="C1328" s="965">
        <v>53400</v>
      </c>
      <c r="D1328" s="965" t="s">
        <v>1826</v>
      </c>
      <c r="E1328" s="965">
        <v>249280</v>
      </c>
      <c r="F1328" s="965">
        <v>13259049300</v>
      </c>
      <c r="G1328" s="965">
        <v>52900</v>
      </c>
      <c r="H1328" s="965">
        <v>53600</v>
      </c>
      <c r="I1328" s="965">
        <v>52500</v>
      </c>
      <c r="J1328" s="965">
        <v>6566005</v>
      </c>
      <c r="K1328" s="965">
        <v>122958891</v>
      </c>
    </row>
    <row r="1329" spans="2:11" s="1258" customFormat="1" ht="16" hidden="1" outlineLevel="1">
      <c r="B1329" s="966" t="s">
        <v>2471</v>
      </c>
      <c r="C1329" s="965">
        <v>52900</v>
      </c>
      <c r="D1329" s="965" t="s">
        <v>2241</v>
      </c>
      <c r="E1329" s="965">
        <v>277513</v>
      </c>
      <c r="F1329" s="965">
        <v>14683527500</v>
      </c>
      <c r="G1329" s="965">
        <v>53800</v>
      </c>
      <c r="H1329" s="965">
        <v>54000</v>
      </c>
      <c r="I1329" s="965">
        <v>52600</v>
      </c>
      <c r="J1329" s="965">
        <v>6504525</v>
      </c>
      <c r="K1329" s="965">
        <v>122958891</v>
      </c>
    </row>
    <row r="1330" spans="2:11" s="1258" customFormat="1" ht="16" hidden="1" outlineLevel="1">
      <c r="B1330" s="966" t="s">
        <v>2470</v>
      </c>
      <c r="C1330" s="965">
        <v>53800</v>
      </c>
      <c r="D1330" s="965" t="s">
        <v>2224</v>
      </c>
      <c r="E1330" s="965">
        <v>322837</v>
      </c>
      <c r="F1330" s="965">
        <v>17316693100</v>
      </c>
      <c r="G1330" s="965">
        <v>54000</v>
      </c>
      <c r="H1330" s="965">
        <v>54200</v>
      </c>
      <c r="I1330" s="965">
        <v>53200</v>
      </c>
      <c r="J1330" s="965">
        <v>6615188</v>
      </c>
      <c r="K1330" s="965">
        <v>122958891</v>
      </c>
    </row>
    <row r="1331" spans="2:11" s="1258" customFormat="1" ht="16" hidden="1" outlineLevel="1">
      <c r="B1331" s="966" t="s">
        <v>2468</v>
      </c>
      <c r="C1331" s="965">
        <v>54000</v>
      </c>
      <c r="D1331" s="965" t="s">
        <v>2221</v>
      </c>
      <c r="E1331" s="965">
        <v>182092</v>
      </c>
      <c r="F1331" s="965">
        <v>9834412400</v>
      </c>
      <c r="G1331" s="965">
        <v>54200</v>
      </c>
      <c r="H1331" s="965">
        <v>54300</v>
      </c>
      <c r="I1331" s="965">
        <v>53600</v>
      </c>
      <c r="J1331" s="965">
        <v>6639780</v>
      </c>
      <c r="K1331" s="965">
        <v>122958891</v>
      </c>
    </row>
    <row r="1332" spans="2:11" s="1258" customFormat="1" ht="16" hidden="1" outlineLevel="1">
      <c r="B1332" s="966" t="s">
        <v>2467</v>
      </c>
      <c r="C1332" s="965">
        <v>54000</v>
      </c>
      <c r="D1332" s="965" t="s">
        <v>2232</v>
      </c>
      <c r="E1332" s="965">
        <v>308780</v>
      </c>
      <c r="F1332" s="965">
        <v>16641353800</v>
      </c>
      <c r="G1332" s="965">
        <v>53800</v>
      </c>
      <c r="H1332" s="965">
        <v>54600</v>
      </c>
      <c r="I1332" s="965">
        <v>53300</v>
      </c>
      <c r="J1332" s="965">
        <v>6639780</v>
      </c>
      <c r="K1332" s="965">
        <v>122958891</v>
      </c>
    </row>
    <row r="1333" spans="2:11" s="1258" customFormat="1" ht="16" hidden="1" outlineLevel="1">
      <c r="B1333" s="966" t="s">
        <v>2466</v>
      </c>
      <c r="C1333" s="965">
        <v>53800</v>
      </c>
      <c r="D1333" s="965" t="s">
        <v>2241</v>
      </c>
      <c r="E1333" s="965">
        <v>337515</v>
      </c>
      <c r="F1333" s="965">
        <v>18185385600</v>
      </c>
      <c r="G1333" s="965">
        <v>55000</v>
      </c>
      <c r="H1333" s="965">
        <v>55000</v>
      </c>
      <c r="I1333" s="965">
        <v>53200</v>
      </c>
      <c r="J1333" s="965">
        <v>6615188</v>
      </c>
      <c r="K1333" s="965">
        <v>122958891</v>
      </c>
    </row>
    <row r="1334" spans="2:11" s="1258" customFormat="1" ht="16" hidden="1" outlineLevel="1">
      <c r="B1334" s="966" t="s">
        <v>2465</v>
      </c>
      <c r="C1334" s="965">
        <v>54700</v>
      </c>
      <c r="D1334" s="965" t="s">
        <v>2241</v>
      </c>
      <c r="E1334" s="965">
        <v>356301</v>
      </c>
      <c r="F1334" s="965">
        <v>19414996100</v>
      </c>
      <c r="G1334" s="965">
        <v>55600</v>
      </c>
      <c r="H1334" s="965">
        <v>55600</v>
      </c>
      <c r="I1334" s="965">
        <v>54000</v>
      </c>
      <c r="J1334" s="965">
        <v>6725851</v>
      </c>
      <c r="K1334" s="965">
        <v>122958891</v>
      </c>
    </row>
    <row r="1335" spans="2:11" s="1258" customFormat="1" ht="16" hidden="1" outlineLevel="1">
      <c r="B1335" s="966" t="s">
        <v>2464</v>
      </c>
      <c r="C1335" s="965">
        <v>55600</v>
      </c>
      <c r="D1335" s="965" t="s">
        <v>2241</v>
      </c>
      <c r="E1335" s="965">
        <v>217876</v>
      </c>
      <c r="F1335" s="965">
        <v>12152129400</v>
      </c>
      <c r="G1335" s="965">
        <v>56600</v>
      </c>
      <c r="H1335" s="965">
        <v>56700</v>
      </c>
      <c r="I1335" s="965">
        <v>55300</v>
      </c>
      <c r="J1335" s="965">
        <v>6836514</v>
      </c>
      <c r="K1335" s="965">
        <v>122958891</v>
      </c>
    </row>
    <row r="1336" spans="2:11" s="1258" customFormat="1" ht="16" hidden="1" outlineLevel="1">
      <c r="B1336" s="966" t="s">
        <v>2463</v>
      </c>
      <c r="C1336" s="965">
        <v>56500</v>
      </c>
      <c r="D1336" s="965" t="s">
        <v>2700</v>
      </c>
      <c r="E1336" s="965">
        <v>328314</v>
      </c>
      <c r="F1336" s="965">
        <v>18242238200</v>
      </c>
      <c r="G1336" s="965">
        <v>55000</v>
      </c>
      <c r="H1336" s="965">
        <v>56500</v>
      </c>
      <c r="I1336" s="965">
        <v>54800</v>
      </c>
      <c r="J1336" s="965">
        <v>6947177</v>
      </c>
      <c r="K1336" s="965">
        <v>122958891</v>
      </c>
    </row>
    <row r="1337" spans="2:11" s="1258" customFormat="1" ht="16" hidden="1" outlineLevel="1">
      <c r="B1337" s="966" t="s">
        <v>2461</v>
      </c>
      <c r="C1337" s="965">
        <v>54700</v>
      </c>
      <c r="D1337" s="965" t="s">
        <v>2253</v>
      </c>
      <c r="E1337" s="965">
        <v>430026</v>
      </c>
      <c r="F1337" s="965">
        <v>23486112300</v>
      </c>
      <c r="G1337" s="965">
        <v>55700</v>
      </c>
      <c r="H1337" s="965">
        <v>55800</v>
      </c>
      <c r="I1337" s="965">
        <v>54300</v>
      </c>
      <c r="J1337" s="965">
        <v>6725851</v>
      </c>
      <c r="K1337" s="965">
        <v>122958891</v>
      </c>
    </row>
    <row r="1338" spans="2:11" s="1258" customFormat="1" ht="16" hidden="1" outlineLevel="1">
      <c r="B1338" s="966" t="s">
        <v>2459</v>
      </c>
      <c r="C1338" s="965">
        <v>55500</v>
      </c>
      <c r="D1338" s="965" t="s">
        <v>2248</v>
      </c>
      <c r="E1338" s="965">
        <v>818716</v>
      </c>
      <c r="F1338" s="965">
        <v>45092272300</v>
      </c>
      <c r="G1338" s="965">
        <v>56400</v>
      </c>
      <c r="H1338" s="965">
        <v>56500</v>
      </c>
      <c r="I1338" s="965">
        <v>54500</v>
      </c>
      <c r="J1338" s="965">
        <v>6824218</v>
      </c>
      <c r="K1338" s="965">
        <v>122958891</v>
      </c>
    </row>
    <row r="1339" spans="2:11" s="1258" customFormat="1" ht="16" hidden="1" outlineLevel="1">
      <c r="B1339" s="966" t="s">
        <v>2457</v>
      </c>
      <c r="C1339" s="965">
        <v>56500</v>
      </c>
      <c r="D1339" s="965" t="s">
        <v>2224</v>
      </c>
      <c r="E1339" s="965">
        <v>278284</v>
      </c>
      <c r="F1339" s="965">
        <v>15774310800</v>
      </c>
      <c r="G1339" s="965">
        <v>56700</v>
      </c>
      <c r="H1339" s="965">
        <v>57300</v>
      </c>
      <c r="I1339" s="965">
        <v>56100</v>
      </c>
      <c r="J1339" s="965">
        <v>6947177</v>
      </c>
      <c r="K1339" s="965">
        <v>122958891</v>
      </c>
    </row>
    <row r="1340" spans="2:11" s="1258" customFormat="1" ht="16" hidden="1" outlineLevel="1">
      <c r="B1340" s="966" t="s">
        <v>2455</v>
      </c>
      <c r="C1340" s="965">
        <v>56700</v>
      </c>
      <c r="D1340" s="965" t="s">
        <v>2224</v>
      </c>
      <c r="E1340" s="965">
        <v>210650</v>
      </c>
      <c r="F1340" s="965">
        <v>11889694600</v>
      </c>
      <c r="G1340" s="965">
        <v>56900</v>
      </c>
      <c r="H1340" s="965">
        <v>57100</v>
      </c>
      <c r="I1340" s="965">
        <v>55700</v>
      </c>
      <c r="J1340" s="965">
        <v>6971769</v>
      </c>
      <c r="K1340" s="965">
        <v>122958891</v>
      </c>
    </row>
    <row r="1341" spans="2:11" s="1258" customFormat="1" ht="16" hidden="1" outlineLevel="1">
      <c r="B1341" s="966" t="s">
        <v>2454</v>
      </c>
      <c r="C1341" s="965">
        <v>56900</v>
      </c>
      <c r="D1341" s="965" t="s">
        <v>2215</v>
      </c>
      <c r="E1341" s="965">
        <v>97414</v>
      </c>
      <c r="F1341" s="965">
        <v>5516993100</v>
      </c>
      <c r="G1341" s="965">
        <v>57200</v>
      </c>
      <c r="H1341" s="965">
        <v>57200</v>
      </c>
      <c r="I1341" s="965">
        <v>56300</v>
      </c>
      <c r="J1341" s="965">
        <v>6996361</v>
      </c>
      <c r="K1341" s="965">
        <v>122958891</v>
      </c>
    </row>
    <row r="1342" spans="2:11" s="1258" customFormat="1" ht="16" hidden="1" outlineLevel="1">
      <c r="B1342" s="966" t="s">
        <v>2453</v>
      </c>
      <c r="C1342" s="965">
        <v>57200</v>
      </c>
      <c r="D1342" s="965" t="s">
        <v>2220</v>
      </c>
      <c r="E1342" s="965">
        <v>318306</v>
      </c>
      <c r="F1342" s="965">
        <v>17873333400</v>
      </c>
      <c r="G1342" s="965">
        <v>54800</v>
      </c>
      <c r="H1342" s="965">
        <v>57200</v>
      </c>
      <c r="I1342" s="965">
        <v>54600</v>
      </c>
      <c r="J1342" s="965">
        <v>7033249</v>
      </c>
      <c r="K1342" s="965">
        <v>122958891</v>
      </c>
    </row>
    <row r="1343" spans="2:11" s="1258" customFormat="1" ht="16" hidden="1" outlineLevel="1">
      <c r="B1343" s="966" t="s">
        <v>2451</v>
      </c>
      <c r="C1343" s="965">
        <v>54700</v>
      </c>
      <c r="D1343" s="965" t="s">
        <v>2252</v>
      </c>
      <c r="E1343" s="965">
        <v>177005</v>
      </c>
      <c r="F1343" s="965">
        <v>9649889800</v>
      </c>
      <c r="G1343" s="965">
        <v>54000</v>
      </c>
      <c r="H1343" s="965">
        <v>54800</v>
      </c>
      <c r="I1343" s="965">
        <v>54000</v>
      </c>
      <c r="J1343" s="965">
        <v>6725851</v>
      </c>
      <c r="K1343" s="965">
        <v>122958891</v>
      </c>
    </row>
    <row r="1344" spans="2:11" s="1258" customFormat="1" ht="16" hidden="1" outlineLevel="1">
      <c r="B1344" s="966" t="s">
        <v>2450</v>
      </c>
      <c r="C1344" s="965">
        <v>53600</v>
      </c>
      <c r="D1344" s="965" t="s">
        <v>2221</v>
      </c>
      <c r="E1344" s="965">
        <v>180199</v>
      </c>
      <c r="F1344" s="965">
        <v>9623876200</v>
      </c>
      <c r="G1344" s="965">
        <v>53500</v>
      </c>
      <c r="H1344" s="965">
        <v>53800</v>
      </c>
      <c r="I1344" s="965">
        <v>52800</v>
      </c>
      <c r="J1344" s="965">
        <v>6590597</v>
      </c>
      <c r="K1344" s="965">
        <v>122958891</v>
      </c>
    </row>
    <row r="1345" spans="2:11" s="1258" customFormat="1" ht="16" hidden="1" outlineLevel="1">
      <c r="B1345" s="966" t="s">
        <v>2449</v>
      </c>
      <c r="C1345" s="965">
        <v>53600</v>
      </c>
      <c r="D1345" s="965" t="s">
        <v>2221</v>
      </c>
      <c r="E1345" s="965">
        <v>130763</v>
      </c>
      <c r="F1345" s="965">
        <v>7012559700</v>
      </c>
      <c r="G1345" s="965">
        <v>53400</v>
      </c>
      <c r="H1345" s="965">
        <v>54000</v>
      </c>
      <c r="I1345" s="965">
        <v>53300</v>
      </c>
      <c r="J1345" s="965">
        <v>6590597</v>
      </c>
      <c r="K1345" s="965">
        <v>122958891</v>
      </c>
    </row>
    <row r="1346" spans="2:11" s="1258" customFormat="1" ht="16" hidden="1" outlineLevel="1">
      <c r="B1346" s="966" t="s">
        <v>2448</v>
      </c>
      <c r="C1346" s="965">
        <v>53600</v>
      </c>
      <c r="D1346" s="965" t="s">
        <v>1826</v>
      </c>
      <c r="E1346" s="965">
        <v>81155</v>
      </c>
      <c r="F1346" s="965">
        <v>4316871000</v>
      </c>
      <c r="G1346" s="965">
        <v>53100</v>
      </c>
      <c r="H1346" s="965">
        <v>53600</v>
      </c>
      <c r="I1346" s="965">
        <v>52700</v>
      </c>
      <c r="J1346" s="965">
        <v>6590597</v>
      </c>
      <c r="K1346" s="965">
        <v>122958891</v>
      </c>
    </row>
    <row r="1347" spans="2:11" s="1258" customFormat="1" ht="16" hidden="1" outlineLevel="1">
      <c r="B1347" s="966" t="s">
        <v>2447</v>
      </c>
      <c r="C1347" s="965">
        <v>53100</v>
      </c>
      <c r="D1347" s="965" t="s">
        <v>1826</v>
      </c>
      <c r="E1347" s="965">
        <v>170522</v>
      </c>
      <c r="F1347" s="965">
        <v>9060500700</v>
      </c>
      <c r="G1347" s="965">
        <v>52700</v>
      </c>
      <c r="H1347" s="965">
        <v>53600</v>
      </c>
      <c r="I1347" s="965">
        <v>52500</v>
      </c>
      <c r="J1347" s="965">
        <v>6529117</v>
      </c>
      <c r="K1347" s="965">
        <v>122958891</v>
      </c>
    </row>
    <row r="1348" spans="2:11" s="1258" customFormat="1" ht="16" hidden="1" outlineLevel="1">
      <c r="B1348" s="966" t="s">
        <v>2446</v>
      </c>
      <c r="C1348" s="965">
        <v>52600</v>
      </c>
      <c r="D1348" s="965" t="s">
        <v>2244</v>
      </c>
      <c r="E1348" s="965">
        <v>388293</v>
      </c>
      <c r="F1348" s="965">
        <v>20338419200</v>
      </c>
      <c r="G1348" s="965">
        <v>53800</v>
      </c>
      <c r="H1348" s="965">
        <v>53900</v>
      </c>
      <c r="I1348" s="965">
        <v>51400</v>
      </c>
      <c r="J1348" s="965">
        <v>6467638</v>
      </c>
      <c r="K1348" s="965">
        <v>122958891</v>
      </c>
    </row>
    <row r="1349" spans="2:11" s="1258" customFormat="1" ht="16" hidden="1" outlineLevel="1">
      <c r="B1349" s="966" t="s">
        <v>2445</v>
      </c>
      <c r="C1349" s="965">
        <v>54100</v>
      </c>
      <c r="D1349" s="965" t="s">
        <v>1826</v>
      </c>
      <c r="E1349" s="965">
        <v>98918</v>
      </c>
      <c r="F1349" s="965">
        <v>5361149600</v>
      </c>
      <c r="G1349" s="965">
        <v>53600</v>
      </c>
      <c r="H1349" s="965">
        <v>54800</v>
      </c>
      <c r="I1349" s="965">
        <v>53600</v>
      </c>
      <c r="J1349" s="965">
        <v>6652076</v>
      </c>
      <c r="K1349" s="965">
        <v>122958891</v>
      </c>
    </row>
    <row r="1350" spans="2:11" s="1258" customFormat="1" ht="16" hidden="1" outlineLevel="1">
      <c r="B1350" s="966" t="s">
        <v>2443</v>
      </c>
      <c r="C1350" s="965">
        <v>53600</v>
      </c>
      <c r="D1350" s="965" t="s">
        <v>2305</v>
      </c>
      <c r="E1350" s="965">
        <v>217917</v>
      </c>
      <c r="F1350" s="965">
        <v>11791804700</v>
      </c>
      <c r="G1350" s="965">
        <v>54600</v>
      </c>
      <c r="H1350" s="965">
        <v>55800</v>
      </c>
      <c r="I1350" s="965">
        <v>52800</v>
      </c>
      <c r="J1350" s="965">
        <v>6590597</v>
      </c>
      <c r="K1350" s="965">
        <v>122958891</v>
      </c>
    </row>
    <row r="1351" spans="2:11" s="1258" customFormat="1" ht="16" hidden="1" outlineLevel="1">
      <c r="B1351" s="966" t="s">
        <v>2441</v>
      </c>
      <c r="C1351" s="965">
        <v>55200</v>
      </c>
      <c r="D1351" s="965" t="s">
        <v>2228</v>
      </c>
      <c r="E1351" s="965">
        <v>161246</v>
      </c>
      <c r="F1351" s="965">
        <v>8790891100</v>
      </c>
      <c r="G1351" s="965">
        <v>54500</v>
      </c>
      <c r="H1351" s="965">
        <v>55500</v>
      </c>
      <c r="I1351" s="965">
        <v>53400</v>
      </c>
      <c r="J1351" s="965">
        <v>6787331</v>
      </c>
      <c r="K1351" s="965">
        <v>122958891</v>
      </c>
    </row>
    <row r="1352" spans="2:11" s="1258" customFormat="1" ht="16" hidden="1" outlineLevel="1">
      <c r="B1352" s="966" t="s">
        <v>2439</v>
      </c>
      <c r="C1352" s="965">
        <v>55300</v>
      </c>
      <c r="D1352" s="965" t="s">
        <v>2224</v>
      </c>
      <c r="E1352" s="965">
        <v>150861</v>
      </c>
      <c r="F1352" s="965">
        <v>8360642140</v>
      </c>
      <c r="G1352" s="965">
        <v>54500</v>
      </c>
      <c r="H1352" s="965">
        <v>56400</v>
      </c>
      <c r="I1352" s="965">
        <v>54500</v>
      </c>
      <c r="J1352" s="965">
        <v>6799627</v>
      </c>
      <c r="K1352" s="965">
        <v>122958891</v>
      </c>
    </row>
    <row r="1353" spans="2:11" s="1258" customFormat="1" ht="16" hidden="1" outlineLevel="1">
      <c r="B1353" s="966" t="s">
        <v>2438</v>
      </c>
      <c r="C1353" s="965">
        <v>55500</v>
      </c>
      <c r="D1353" s="965" t="s">
        <v>2247</v>
      </c>
      <c r="E1353" s="965">
        <v>260080</v>
      </c>
      <c r="F1353" s="965">
        <v>14433642100</v>
      </c>
      <c r="G1353" s="965">
        <v>56000</v>
      </c>
      <c r="H1353" s="965">
        <v>56600</v>
      </c>
      <c r="I1353" s="965">
        <v>54700</v>
      </c>
      <c r="J1353" s="965">
        <v>6824218</v>
      </c>
      <c r="K1353" s="965">
        <v>122958891</v>
      </c>
    </row>
    <row r="1354" spans="2:11" s="1258" customFormat="1" ht="16" hidden="1" outlineLevel="1">
      <c r="B1354" s="966" t="s">
        <v>2436</v>
      </c>
      <c r="C1354" s="965">
        <v>56600</v>
      </c>
      <c r="D1354" s="965" t="s">
        <v>2212</v>
      </c>
      <c r="E1354" s="965">
        <v>159621</v>
      </c>
      <c r="F1354" s="965">
        <v>9004948000</v>
      </c>
      <c r="G1354" s="965">
        <v>56000</v>
      </c>
      <c r="H1354" s="965">
        <v>57100</v>
      </c>
      <c r="I1354" s="965">
        <v>55700</v>
      </c>
      <c r="J1354" s="965">
        <v>6959473</v>
      </c>
      <c r="K1354" s="965">
        <v>122958891</v>
      </c>
    </row>
    <row r="1355" spans="2:11" s="1258" customFormat="1" ht="16" hidden="1" outlineLevel="1">
      <c r="B1355" s="966" t="s">
        <v>2435</v>
      </c>
      <c r="C1355" s="965">
        <v>56500</v>
      </c>
      <c r="D1355" s="965" t="s">
        <v>2245</v>
      </c>
      <c r="E1355" s="965">
        <v>247992</v>
      </c>
      <c r="F1355" s="965">
        <v>13945413600</v>
      </c>
      <c r="G1355" s="965">
        <v>54700</v>
      </c>
      <c r="H1355" s="965">
        <v>56900</v>
      </c>
      <c r="I1355" s="965">
        <v>54500</v>
      </c>
      <c r="J1355" s="965">
        <v>6947177</v>
      </c>
      <c r="K1355" s="965">
        <v>122958891</v>
      </c>
    </row>
    <row r="1356" spans="2:11" s="1258" customFormat="1" ht="16" hidden="1" outlineLevel="1">
      <c r="B1356" s="966" t="s">
        <v>2433</v>
      </c>
      <c r="C1356" s="965">
        <v>55000</v>
      </c>
      <c r="D1356" s="965" t="s">
        <v>2248</v>
      </c>
      <c r="E1356" s="965">
        <v>173886</v>
      </c>
      <c r="F1356" s="965">
        <v>9602987200</v>
      </c>
      <c r="G1356" s="965">
        <v>55600</v>
      </c>
      <c r="H1356" s="965">
        <v>55900</v>
      </c>
      <c r="I1356" s="965">
        <v>54600</v>
      </c>
      <c r="J1356" s="965">
        <v>6762739</v>
      </c>
      <c r="K1356" s="965">
        <v>122958891</v>
      </c>
    </row>
    <row r="1357" spans="2:11" s="1258" customFormat="1" ht="16" hidden="1" outlineLevel="1">
      <c r="B1357" s="966" t="s">
        <v>2431</v>
      </c>
      <c r="C1357" s="965">
        <v>56000</v>
      </c>
      <c r="D1357" s="965" t="s">
        <v>2208</v>
      </c>
      <c r="E1357" s="965">
        <v>246807</v>
      </c>
      <c r="F1357" s="965">
        <v>13764259400</v>
      </c>
      <c r="G1357" s="965">
        <v>56200</v>
      </c>
      <c r="H1357" s="965">
        <v>56300</v>
      </c>
      <c r="I1357" s="965">
        <v>54700</v>
      </c>
      <c r="J1357" s="965">
        <v>6885698</v>
      </c>
      <c r="K1357" s="965">
        <v>122958891</v>
      </c>
    </row>
    <row r="1358" spans="2:11" s="1258" customFormat="1" ht="16" hidden="1" outlineLevel="1">
      <c r="B1358" s="966" t="s">
        <v>2430</v>
      </c>
      <c r="C1358" s="965">
        <v>55300</v>
      </c>
      <c r="D1358" s="965" t="s">
        <v>2237</v>
      </c>
      <c r="E1358" s="965">
        <v>351870</v>
      </c>
      <c r="F1358" s="965">
        <v>19436357700</v>
      </c>
      <c r="G1358" s="965">
        <v>54100</v>
      </c>
      <c r="H1358" s="965">
        <v>55800</v>
      </c>
      <c r="I1358" s="965">
        <v>53300</v>
      </c>
      <c r="J1358" s="965">
        <v>6799627</v>
      </c>
      <c r="K1358" s="965">
        <v>122958891</v>
      </c>
    </row>
    <row r="1359" spans="2:11" s="1258" customFormat="1" ht="16" hidden="1" outlineLevel="1">
      <c r="B1359" s="966" t="s">
        <v>2428</v>
      </c>
      <c r="C1359" s="965">
        <v>53900</v>
      </c>
      <c r="D1359" s="965" t="s">
        <v>2237</v>
      </c>
      <c r="E1359" s="965">
        <v>283463</v>
      </c>
      <c r="F1359" s="965">
        <v>15294009700</v>
      </c>
      <c r="G1359" s="965">
        <v>52700</v>
      </c>
      <c r="H1359" s="965">
        <v>54800</v>
      </c>
      <c r="I1359" s="965">
        <v>52700</v>
      </c>
      <c r="J1359" s="965">
        <v>6627484</v>
      </c>
      <c r="K1359" s="965">
        <v>122958891</v>
      </c>
    </row>
    <row r="1360" spans="2:11" s="1258" customFormat="1" ht="16" hidden="1" outlineLevel="1">
      <c r="B1360" s="966" t="s">
        <v>2427</v>
      </c>
      <c r="C1360" s="965">
        <v>52500</v>
      </c>
      <c r="D1360" s="965" t="s">
        <v>2215</v>
      </c>
      <c r="E1360" s="965">
        <v>117403</v>
      </c>
      <c r="F1360" s="965">
        <v>6176467900</v>
      </c>
      <c r="G1360" s="965">
        <v>53100</v>
      </c>
      <c r="H1360" s="965">
        <v>53300</v>
      </c>
      <c r="I1360" s="965">
        <v>51600</v>
      </c>
      <c r="J1360" s="965">
        <v>6455342</v>
      </c>
      <c r="K1360" s="965">
        <v>122958891</v>
      </c>
    </row>
    <row r="1361" spans="2:11" s="1258" customFormat="1" ht="16" hidden="1" outlineLevel="1">
      <c r="B1361" s="966" t="s">
        <v>2425</v>
      </c>
      <c r="C1361" s="965">
        <v>52800</v>
      </c>
      <c r="D1361" s="965" t="s">
        <v>1826</v>
      </c>
      <c r="E1361" s="965">
        <v>173961</v>
      </c>
      <c r="F1361" s="965">
        <v>9178818049</v>
      </c>
      <c r="G1361" s="965">
        <v>52000</v>
      </c>
      <c r="H1361" s="965">
        <v>53400</v>
      </c>
      <c r="I1361" s="965">
        <v>52000</v>
      </c>
      <c r="J1361" s="965">
        <v>6492229</v>
      </c>
      <c r="K1361" s="965">
        <v>122958891</v>
      </c>
    </row>
    <row r="1362" spans="2:11" s="1258" customFormat="1" ht="16" hidden="1" outlineLevel="1">
      <c r="B1362" s="966" t="s">
        <v>2423</v>
      </c>
      <c r="C1362" s="965">
        <v>52300</v>
      </c>
      <c r="D1362" s="965" t="s">
        <v>2695</v>
      </c>
      <c r="E1362" s="965">
        <v>199186</v>
      </c>
      <c r="F1362" s="965">
        <v>10358804900</v>
      </c>
      <c r="G1362" s="965">
        <v>51300</v>
      </c>
      <c r="H1362" s="965">
        <v>52600</v>
      </c>
      <c r="I1362" s="965">
        <v>50600</v>
      </c>
      <c r="J1362" s="965">
        <v>6430750</v>
      </c>
      <c r="K1362" s="965">
        <v>122958891</v>
      </c>
    </row>
    <row r="1363" spans="2:11" s="1258" customFormat="1" ht="16" hidden="1" outlineLevel="1">
      <c r="B1363" s="966" t="s">
        <v>2422</v>
      </c>
      <c r="C1363" s="965">
        <v>50600</v>
      </c>
      <c r="D1363" s="965" t="s">
        <v>2221</v>
      </c>
      <c r="E1363" s="965">
        <v>419837</v>
      </c>
      <c r="F1363" s="965">
        <v>21476608600</v>
      </c>
      <c r="G1363" s="965">
        <v>50600</v>
      </c>
      <c r="H1363" s="965">
        <v>52500</v>
      </c>
      <c r="I1363" s="965">
        <v>50500</v>
      </c>
      <c r="J1363" s="965">
        <v>6221720</v>
      </c>
      <c r="K1363" s="965">
        <v>122958891</v>
      </c>
    </row>
    <row r="1364" spans="2:11" s="1258" customFormat="1" ht="16" hidden="1" outlineLevel="1">
      <c r="B1364" s="966" t="s">
        <v>2420</v>
      </c>
      <c r="C1364" s="965">
        <v>50600</v>
      </c>
      <c r="D1364" s="965" t="s">
        <v>2248</v>
      </c>
      <c r="E1364" s="965">
        <v>298460</v>
      </c>
      <c r="F1364" s="965">
        <v>15304917000</v>
      </c>
      <c r="G1364" s="965">
        <v>51500</v>
      </c>
      <c r="H1364" s="965">
        <v>52000</v>
      </c>
      <c r="I1364" s="965">
        <v>50600</v>
      </c>
      <c r="J1364" s="965">
        <v>6221720</v>
      </c>
      <c r="K1364" s="965">
        <v>122958891</v>
      </c>
    </row>
    <row r="1365" spans="2:11" s="1258" customFormat="1" ht="16" hidden="1" outlineLevel="1">
      <c r="B1365" s="966" t="s">
        <v>2418</v>
      </c>
      <c r="C1365" s="965">
        <v>51600</v>
      </c>
      <c r="D1365" s="965" t="s">
        <v>2305</v>
      </c>
      <c r="E1365" s="965">
        <v>284371</v>
      </c>
      <c r="F1365" s="965">
        <v>14875533300</v>
      </c>
      <c r="G1365" s="965">
        <v>53700</v>
      </c>
      <c r="H1365" s="965">
        <v>54400</v>
      </c>
      <c r="I1365" s="965">
        <v>51000</v>
      </c>
      <c r="J1365" s="965">
        <v>6344679</v>
      </c>
      <c r="K1365" s="965">
        <v>122958891</v>
      </c>
    </row>
    <row r="1366" spans="2:11" s="1258" customFormat="1" ht="16" hidden="1" outlineLevel="1">
      <c r="B1366" s="966" t="s">
        <v>2417</v>
      </c>
      <c r="C1366" s="965">
        <v>53200</v>
      </c>
      <c r="D1366" s="965" t="s">
        <v>2659</v>
      </c>
      <c r="E1366" s="965">
        <v>510324</v>
      </c>
      <c r="F1366" s="965">
        <v>27380761900</v>
      </c>
      <c r="G1366" s="965">
        <v>50200</v>
      </c>
      <c r="H1366" s="965">
        <v>54900</v>
      </c>
      <c r="I1366" s="965">
        <v>50200</v>
      </c>
      <c r="J1366" s="965">
        <v>6541413</v>
      </c>
      <c r="K1366" s="965">
        <v>122958891</v>
      </c>
    </row>
    <row r="1367" spans="2:11" s="1258" customFormat="1" ht="16" hidden="1" outlineLevel="1">
      <c r="B1367" s="966" t="s">
        <v>2416</v>
      </c>
      <c r="C1367" s="965">
        <v>50600</v>
      </c>
      <c r="D1367" s="965" t="s">
        <v>2211</v>
      </c>
      <c r="E1367" s="965">
        <v>151024</v>
      </c>
      <c r="F1367" s="965">
        <v>7586859950</v>
      </c>
      <c r="G1367" s="965">
        <v>51000</v>
      </c>
      <c r="H1367" s="965">
        <v>51600</v>
      </c>
      <c r="I1367" s="965">
        <v>49500</v>
      </c>
      <c r="J1367" s="965">
        <v>6221720</v>
      </c>
      <c r="K1367" s="965">
        <v>122958891</v>
      </c>
    </row>
    <row r="1368" spans="2:11" s="1258" customFormat="1" ht="16" hidden="1" outlineLevel="1">
      <c r="B1368" s="966" t="s">
        <v>2414</v>
      </c>
      <c r="C1368" s="965">
        <v>51000</v>
      </c>
      <c r="D1368" s="965" t="s">
        <v>2224</v>
      </c>
      <c r="E1368" s="965">
        <v>213202</v>
      </c>
      <c r="F1368" s="965">
        <v>10939894400</v>
      </c>
      <c r="G1368" s="965">
        <v>51000</v>
      </c>
      <c r="H1368" s="965">
        <v>51900</v>
      </c>
      <c r="I1368" s="965">
        <v>50700</v>
      </c>
      <c r="J1368" s="965">
        <v>6270903</v>
      </c>
      <c r="K1368" s="965">
        <v>122958891</v>
      </c>
    </row>
    <row r="1369" spans="2:11" s="1258" customFormat="1" ht="16" hidden="1" outlineLevel="1">
      <c r="B1369" s="966" t="s">
        <v>2412</v>
      </c>
      <c r="C1369" s="965">
        <v>51200</v>
      </c>
      <c r="D1369" s="965" t="s">
        <v>2305</v>
      </c>
      <c r="E1369" s="965">
        <v>221570</v>
      </c>
      <c r="F1369" s="965">
        <v>11442237200</v>
      </c>
      <c r="G1369" s="965">
        <v>52400</v>
      </c>
      <c r="H1369" s="965">
        <v>53000</v>
      </c>
      <c r="I1369" s="965">
        <v>50900</v>
      </c>
      <c r="J1369" s="965">
        <v>6295495</v>
      </c>
      <c r="K1369" s="965">
        <v>122958891</v>
      </c>
    </row>
    <row r="1370" spans="2:11" s="1258" customFormat="1" ht="16" hidden="1" outlineLevel="1">
      <c r="B1370" s="966" t="s">
        <v>2410</v>
      </c>
      <c r="C1370" s="965">
        <v>52800</v>
      </c>
      <c r="D1370" s="965" t="s">
        <v>2245</v>
      </c>
      <c r="E1370" s="965">
        <v>191626</v>
      </c>
      <c r="F1370" s="965">
        <v>10057305600</v>
      </c>
      <c r="G1370" s="965">
        <v>51500</v>
      </c>
      <c r="H1370" s="965">
        <v>53100</v>
      </c>
      <c r="I1370" s="965">
        <v>51400</v>
      </c>
      <c r="J1370" s="965">
        <v>6492229</v>
      </c>
      <c r="K1370" s="965">
        <v>122958891</v>
      </c>
    </row>
    <row r="1371" spans="2:11" s="1258" customFormat="1" ht="16" hidden="1" outlineLevel="1">
      <c r="B1371" s="966" t="s">
        <v>2409</v>
      </c>
      <c r="C1371" s="965">
        <v>51300</v>
      </c>
      <c r="D1371" s="965" t="s">
        <v>2304</v>
      </c>
      <c r="E1371" s="965">
        <v>236693</v>
      </c>
      <c r="F1371" s="965">
        <v>12365037300</v>
      </c>
      <c r="G1371" s="965">
        <v>53100</v>
      </c>
      <c r="H1371" s="965">
        <v>53600</v>
      </c>
      <c r="I1371" s="965">
        <v>51300</v>
      </c>
      <c r="J1371" s="965">
        <v>6307791</v>
      </c>
      <c r="K1371" s="965">
        <v>122958891</v>
      </c>
    </row>
    <row r="1372" spans="2:11" s="1258" customFormat="1" ht="16" hidden="1" outlineLevel="1">
      <c r="B1372" s="966" t="s">
        <v>2407</v>
      </c>
      <c r="C1372" s="965">
        <v>53000</v>
      </c>
      <c r="D1372" s="965" t="s">
        <v>2232</v>
      </c>
      <c r="E1372" s="965">
        <v>301696</v>
      </c>
      <c r="F1372" s="965">
        <v>16121226712</v>
      </c>
      <c r="G1372" s="965">
        <v>52800</v>
      </c>
      <c r="H1372" s="965">
        <v>53800</v>
      </c>
      <c r="I1372" s="965">
        <v>52800</v>
      </c>
      <c r="J1372" s="965">
        <v>6516821</v>
      </c>
      <c r="K1372" s="965">
        <v>122958891</v>
      </c>
    </row>
    <row r="1373" spans="2:11" s="1258" customFormat="1" ht="16" hidden="1" outlineLevel="1">
      <c r="B1373" s="966" t="s">
        <v>2406</v>
      </c>
      <c r="C1373" s="965">
        <v>52800</v>
      </c>
      <c r="D1373" s="965" t="s">
        <v>2698</v>
      </c>
      <c r="E1373" s="965">
        <v>399400</v>
      </c>
      <c r="F1373" s="965">
        <v>21299554700</v>
      </c>
      <c r="G1373" s="965">
        <v>55000</v>
      </c>
      <c r="H1373" s="965">
        <v>55600</v>
      </c>
      <c r="I1373" s="965">
        <v>52600</v>
      </c>
      <c r="J1373" s="965">
        <v>6492229</v>
      </c>
      <c r="K1373" s="965">
        <v>122958891</v>
      </c>
    </row>
    <row r="1374" spans="2:11" s="1258" customFormat="1" ht="16" hidden="1" outlineLevel="1">
      <c r="B1374" s="966" t="s">
        <v>2404</v>
      </c>
      <c r="C1374" s="965">
        <v>55000</v>
      </c>
      <c r="D1374" s="965" t="s">
        <v>2228</v>
      </c>
      <c r="E1374" s="965">
        <v>85836</v>
      </c>
      <c r="F1374" s="965">
        <v>4741357400</v>
      </c>
      <c r="G1374" s="965">
        <v>55200</v>
      </c>
      <c r="H1374" s="965">
        <v>55500</v>
      </c>
      <c r="I1374" s="965">
        <v>54900</v>
      </c>
      <c r="J1374" s="965">
        <v>6762739</v>
      </c>
      <c r="K1374" s="965">
        <v>122958891</v>
      </c>
    </row>
    <row r="1375" spans="2:11" s="1258" customFormat="1" ht="16" hidden="1" outlineLevel="1">
      <c r="B1375" s="966" t="s">
        <v>2403</v>
      </c>
      <c r="C1375" s="965">
        <v>55100</v>
      </c>
      <c r="D1375" s="965" t="s">
        <v>2241</v>
      </c>
      <c r="E1375" s="965">
        <v>174557</v>
      </c>
      <c r="F1375" s="965">
        <v>9773047200</v>
      </c>
      <c r="G1375" s="965">
        <v>56600</v>
      </c>
      <c r="H1375" s="965">
        <v>57100</v>
      </c>
      <c r="I1375" s="965">
        <v>55100</v>
      </c>
      <c r="J1375" s="965">
        <v>6775035</v>
      </c>
      <c r="K1375" s="965">
        <v>122958891</v>
      </c>
    </row>
    <row r="1376" spans="2:11" s="1258" customFormat="1" ht="16" hidden="1" outlineLevel="1">
      <c r="B1376" s="966" t="s">
        <v>2401</v>
      </c>
      <c r="C1376" s="965">
        <v>56000</v>
      </c>
      <c r="D1376" s="965" t="s">
        <v>2251</v>
      </c>
      <c r="E1376" s="965">
        <v>166314</v>
      </c>
      <c r="F1376" s="965">
        <v>9243027700</v>
      </c>
      <c r="G1376" s="965">
        <v>55500</v>
      </c>
      <c r="H1376" s="965">
        <v>56000</v>
      </c>
      <c r="I1376" s="965">
        <v>55100</v>
      </c>
      <c r="J1376" s="965">
        <v>6885698</v>
      </c>
      <c r="K1376" s="965">
        <v>122958891</v>
      </c>
    </row>
    <row r="1377" spans="2:11" s="1258" customFormat="1" ht="16" hidden="1" outlineLevel="1">
      <c r="B1377" s="966" t="s">
        <v>2399</v>
      </c>
      <c r="C1377" s="965">
        <v>55400</v>
      </c>
      <c r="D1377" s="965" t="s">
        <v>2688</v>
      </c>
      <c r="E1377" s="965">
        <v>168493</v>
      </c>
      <c r="F1377" s="965">
        <v>9420608200</v>
      </c>
      <c r="G1377" s="965">
        <v>55800</v>
      </c>
      <c r="H1377" s="965">
        <v>57100</v>
      </c>
      <c r="I1377" s="965">
        <v>55200</v>
      </c>
      <c r="J1377" s="965">
        <v>6811923</v>
      </c>
      <c r="K1377" s="965">
        <v>122958891</v>
      </c>
    </row>
    <row r="1378" spans="2:11" s="1258" customFormat="1" ht="16" hidden="1" outlineLevel="1">
      <c r="B1378" s="966" t="s">
        <v>2397</v>
      </c>
      <c r="C1378" s="965">
        <v>56600</v>
      </c>
      <c r="D1378" s="965" t="s">
        <v>2234</v>
      </c>
      <c r="E1378" s="965">
        <v>252291</v>
      </c>
      <c r="F1378" s="965">
        <v>14257867700</v>
      </c>
      <c r="G1378" s="965">
        <v>57000</v>
      </c>
      <c r="H1378" s="965">
        <v>57200</v>
      </c>
      <c r="I1378" s="965">
        <v>56000</v>
      </c>
      <c r="J1378" s="965">
        <v>6959473</v>
      </c>
      <c r="K1378" s="965">
        <v>122958891</v>
      </c>
    </row>
    <row r="1379" spans="2:11" s="1258" customFormat="1" ht="16" hidden="1" outlineLevel="1">
      <c r="B1379" s="966" t="s">
        <v>2395</v>
      </c>
      <c r="C1379" s="965">
        <v>57300</v>
      </c>
      <c r="D1379" s="965" t="s">
        <v>2688</v>
      </c>
      <c r="E1379" s="965">
        <v>185481</v>
      </c>
      <c r="F1379" s="965">
        <v>10678454800</v>
      </c>
      <c r="G1379" s="965">
        <v>58100</v>
      </c>
      <c r="H1379" s="965">
        <v>58500</v>
      </c>
      <c r="I1379" s="965">
        <v>57100</v>
      </c>
      <c r="J1379" s="965">
        <v>7045544</v>
      </c>
      <c r="K1379" s="965">
        <v>122958891</v>
      </c>
    </row>
    <row r="1380" spans="2:11" s="1258" customFormat="1" ht="16" hidden="1" outlineLevel="1">
      <c r="B1380" s="966" t="s">
        <v>2394</v>
      </c>
      <c r="C1380" s="965">
        <v>58500</v>
      </c>
      <c r="D1380" s="965" t="s">
        <v>2236</v>
      </c>
      <c r="E1380" s="965">
        <v>220829</v>
      </c>
      <c r="F1380" s="965">
        <v>12925748200</v>
      </c>
      <c r="G1380" s="965">
        <v>57800</v>
      </c>
      <c r="H1380" s="965">
        <v>59000</v>
      </c>
      <c r="I1380" s="965">
        <v>57600</v>
      </c>
      <c r="J1380" s="965">
        <v>7193095</v>
      </c>
      <c r="K1380" s="965">
        <v>122958891</v>
      </c>
    </row>
    <row r="1381" spans="2:11" s="1258" customFormat="1" ht="16" hidden="1" outlineLevel="1">
      <c r="B1381" s="966" t="s">
        <v>2393</v>
      </c>
      <c r="C1381" s="965">
        <v>57500</v>
      </c>
      <c r="D1381" s="965" t="s">
        <v>2236</v>
      </c>
      <c r="E1381" s="965">
        <v>496166</v>
      </c>
      <c r="F1381" s="965">
        <v>28958541900</v>
      </c>
      <c r="G1381" s="965">
        <v>57300</v>
      </c>
      <c r="H1381" s="965">
        <v>59200</v>
      </c>
      <c r="I1381" s="965">
        <v>57200</v>
      </c>
      <c r="J1381" s="965">
        <v>7070136</v>
      </c>
      <c r="K1381" s="965">
        <v>122958891</v>
      </c>
    </row>
    <row r="1382" spans="2:11" s="1258" customFormat="1" ht="16" hidden="1" outlineLevel="1">
      <c r="B1382" s="966" t="s">
        <v>2391</v>
      </c>
      <c r="C1382" s="965">
        <v>56500</v>
      </c>
      <c r="D1382" s="965" t="s">
        <v>2638</v>
      </c>
      <c r="E1382" s="965">
        <v>128573</v>
      </c>
      <c r="F1382" s="965">
        <v>7195196900</v>
      </c>
      <c r="G1382" s="965">
        <v>55400</v>
      </c>
      <c r="H1382" s="965">
        <v>56500</v>
      </c>
      <c r="I1382" s="965">
        <v>54900</v>
      </c>
      <c r="J1382" s="965">
        <v>6947177</v>
      </c>
      <c r="K1382" s="965">
        <v>122958891</v>
      </c>
    </row>
    <row r="1383" spans="2:11" s="1258" customFormat="1" ht="16" hidden="1" outlineLevel="1">
      <c r="B1383" s="966" t="s">
        <v>2389</v>
      </c>
      <c r="C1383" s="965">
        <v>55700</v>
      </c>
      <c r="D1383" s="965" t="s">
        <v>2242</v>
      </c>
      <c r="E1383" s="965">
        <v>255557</v>
      </c>
      <c r="F1383" s="965">
        <v>14395274900</v>
      </c>
      <c r="G1383" s="965">
        <v>58200</v>
      </c>
      <c r="H1383" s="965">
        <v>58200</v>
      </c>
      <c r="I1383" s="965">
        <v>55500</v>
      </c>
      <c r="J1383" s="965">
        <v>6848810</v>
      </c>
      <c r="K1383" s="965">
        <v>122958891</v>
      </c>
    </row>
    <row r="1384" spans="2:11" s="1258" customFormat="1" ht="16" hidden="1" outlineLevel="1">
      <c r="B1384" s="966" t="s">
        <v>2388</v>
      </c>
      <c r="C1384" s="965">
        <v>57700</v>
      </c>
      <c r="D1384" s="965" t="s">
        <v>2208</v>
      </c>
      <c r="E1384" s="965">
        <v>189297</v>
      </c>
      <c r="F1384" s="965">
        <v>10905439800</v>
      </c>
      <c r="G1384" s="965">
        <v>57200</v>
      </c>
      <c r="H1384" s="965">
        <v>58000</v>
      </c>
      <c r="I1384" s="965">
        <v>57100</v>
      </c>
      <c r="J1384" s="965">
        <v>7094728</v>
      </c>
      <c r="K1384" s="965">
        <v>122958891</v>
      </c>
    </row>
    <row r="1385" spans="2:11" s="1258" customFormat="1" ht="16" hidden="1" outlineLevel="1">
      <c r="B1385" s="966" t="s">
        <v>2386</v>
      </c>
      <c r="C1385" s="965">
        <v>57000</v>
      </c>
      <c r="D1385" s="965" t="s">
        <v>2236</v>
      </c>
      <c r="E1385" s="965">
        <v>271104</v>
      </c>
      <c r="F1385" s="965">
        <v>15519426600</v>
      </c>
      <c r="G1385" s="965">
        <v>56000</v>
      </c>
      <c r="H1385" s="965">
        <v>58000</v>
      </c>
      <c r="I1385" s="965">
        <v>55900</v>
      </c>
      <c r="J1385" s="965">
        <v>7008657</v>
      </c>
      <c r="K1385" s="965">
        <v>122958891</v>
      </c>
    </row>
    <row r="1386" spans="2:11" s="1258" customFormat="1" ht="16" hidden="1" outlineLevel="1">
      <c r="B1386" s="966" t="s">
        <v>2385</v>
      </c>
      <c r="C1386" s="965">
        <v>56000</v>
      </c>
      <c r="D1386" s="965" t="s">
        <v>2241</v>
      </c>
      <c r="E1386" s="965">
        <v>384348</v>
      </c>
      <c r="F1386" s="965">
        <v>21589533790</v>
      </c>
      <c r="G1386" s="965">
        <v>56500</v>
      </c>
      <c r="H1386" s="965">
        <v>56800</v>
      </c>
      <c r="I1386" s="965">
        <v>55800</v>
      </c>
      <c r="J1386" s="965">
        <v>6885698</v>
      </c>
      <c r="K1386" s="965">
        <v>122958891</v>
      </c>
    </row>
    <row r="1387" spans="2:11" s="1258" customFormat="1" ht="16" hidden="1" outlineLevel="1">
      <c r="B1387" s="966" t="s">
        <v>2383</v>
      </c>
      <c r="C1387" s="965">
        <v>56900</v>
      </c>
      <c r="D1387" s="965" t="s">
        <v>2211</v>
      </c>
      <c r="E1387" s="965">
        <v>190636</v>
      </c>
      <c r="F1387" s="965">
        <v>10880979600</v>
      </c>
      <c r="G1387" s="965">
        <v>57100</v>
      </c>
      <c r="H1387" s="965">
        <v>57700</v>
      </c>
      <c r="I1387" s="965">
        <v>56700</v>
      </c>
      <c r="J1387" s="965">
        <v>6996361</v>
      </c>
      <c r="K1387" s="965">
        <v>122958891</v>
      </c>
    </row>
    <row r="1388" spans="2:11" s="1258" customFormat="1" ht="16" hidden="1" outlineLevel="1">
      <c r="B1388" s="966" t="s">
        <v>2382</v>
      </c>
      <c r="C1388" s="965">
        <v>57300</v>
      </c>
      <c r="D1388" s="965" t="s">
        <v>2234</v>
      </c>
      <c r="E1388" s="965">
        <v>250945</v>
      </c>
      <c r="F1388" s="965">
        <v>14409395000</v>
      </c>
      <c r="G1388" s="965">
        <v>57900</v>
      </c>
      <c r="H1388" s="965">
        <v>58000</v>
      </c>
      <c r="I1388" s="965">
        <v>57200</v>
      </c>
      <c r="J1388" s="965">
        <v>7045544</v>
      </c>
      <c r="K1388" s="965">
        <v>122958891</v>
      </c>
    </row>
    <row r="1389" spans="2:11" s="1258" customFormat="1" ht="16" hidden="1" outlineLevel="1">
      <c r="B1389" s="966" t="s">
        <v>2380</v>
      </c>
      <c r="C1389" s="965">
        <v>58000</v>
      </c>
      <c r="D1389" s="965" t="s">
        <v>2247</v>
      </c>
      <c r="E1389" s="965">
        <v>284160</v>
      </c>
      <c r="F1389" s="965">
        <v>16638257200</v>
      </c>
      <c r="G1389" s="965">
        <v>58800</v>
      </c>
      <c r="H1389" s="965">
        <v>59400</v>
      </c>
      <c r="I1389" s="965">
        <v>57900</v>
      </c>
      <c r="J1389" s="965">
        <v>7131616</v>
      </c>
      <c r="K1389" s="965">
        <v>122958891</v>
      </c>
    </row>
    <row r="1390" spans="2:11" s="1258" customFormat="1" ht="16" hidden="1" outlineLevel="1">
      <c r="B1390" s="966" t="s">
        <v>2379</v>
      </c>
      <c r="C1390" s="965">
        <v>59100</v>
      </c>
      <c r="D1390" s="965" t="s">
        <v>2215</v>
      </c>
      <c r="E1390" s="965">
        <v>155021</v>
      </c>
      <c r="F1390" s="965">
        <v>9161437200</v>
      </c>
      <c r="G1390" s="965">
        <v>59300</v>
      </c>
      <c r="H1390" s="965">
        <v>59500</v>
      </c>
      <c r="I1390" s="965">
        <v>58700</v>
      </c>
      <c r="J1390" s="965">
        <v>7266870</v>
      </c>
      <c r="K1390" s="965">
        <v>122958891</v>
      </c>
    </row>
    <row r="1391" spans="2:11" s="1258" customFormat="1" ht="16" hidden="1" outlineLevel="1">
      <c r="B1391" s="966" t="s">
        <v>2377</v>
      </c>
      <c r="C1391" s="965">
        <v>59400</v>
      </c>
      <c r="D1391" s="965" t="s">
        <v>2221</v>
      </c>
      <c r="E1391" s="965">
        <v>159035</v>
      </c>
      <c r="F1391" s="965">
        <v>9379693000</v>
      </c>
      <c r="G1391" s="965">
        <v>59700</v>
      </c>
      <c r="H1391" s="965">
        <v>59700</v>
      </c>
      <c r="I1391" s="965">
        <v>58400</v>
      </c>
      <c r="J1391" s="965">
        <v>7303758</v>
      </c>
      <c r="K1391" s="965">
        <v>122958891</v>
      </c>
    </row>
    <row r="1392" spans="2:11" s="1258" customFormat="1" ht="16" hidden="1" outlineLevel="1">
      <c r="B1392" s="966" t="s">
        <v>2376</v>
      </c>
      <c r="C1392" s="965">
        <v>59400</v>
      </c>
      <c r="D1392" s="965" t="s">
        <v>2700</v>
      </c>
      <c r="E1392" s="965">
        <v>623254</v>
      </c>
      <c r="F1392" s="965">
        <v>36812784900</v>
      </c>
      <c r="G1392" s="965">
        <v>58100</v>
      </c>
      <c r="H1392" s="965">
        <v>59600</v>
      </c>
      <c r="I1392" s="965">
        <v>58000</v>
      </c>
      <c r="J1392" s="965">
        <v>7303758</v>
      </c>
      <c r="K1392" s="965">
        <v>122958891</v>
      </c>
    </row>
    <row r="1393" spans="2:11" s="1258" customFormat="1" ht="16" hidden="1" outlineLevel="1">
      <c r="B1393" s="966" t="s">
        <v>2374</v>
      </c>
      <c r="C1393" s="965">
        <v>57600</v>
      </c>
      <c r="D1393" s="965" t="s">
        <v>2253</v>
      </c>
      <c r="E1393" s="965">
        <v>691516</v>
      </c>
      <c r="F1393" s="965">
        <v>39842271700</v>
      </c>
      <c r="G1393" s="965">
        <v>58300</v>
      </c>
      <c r="H1393" s="965">
        <v>58400</v>
      </c>
      <c r="I1393" s="965">
        <v>57300</v>
      </c>
      <c r="J1393" s="965">
        <v>7082432</v>
      </c>
      <c r="K1393" s="965">
        <v>122958891</v>
      </c>
    </row>
    <row r="1394" spans="2:11" s="1258" customFormat="1" ht="16" hidden="1" outlineLevel="1">
      <c r="B1394" s="966" t="s">
        <v>2373</v>
      </c>
      <c r="C1394" s="965">
        <v>58400</v>
      </c>
      <c r="D1394" s="965" t="s">
        <v>2641</v>
      </c>
      <c r="E1394" s="965">
        <v>770467</v>
      </c>
      <c r="F1394" s="965">
        <v>45126407100</v>
      </c>
      <c r="G1394" s="965">
        <v>60400</v>
      </c>
      <c r="H1394" s="965">
        <v>60700</v>
      </c>
      <c r="I1394" s="965">
        <v>57800</v>
      </c>
      <c r="J1394" s="965">
        <v>7180799</v>
      </c>
      <c r="K1394" s="965">
        <v>122958891</v>
      </c>
    </row>
    <row r="1395" spans="2:11" s="1258" customFormat="1" ht="16" hidden="1" outlineLevel="1">
      <c r="B1395" s="966" t="s">
        <v>2371</v>
      </c>
      <c r="C1395" s="965">
        <v>60300</v>
      </c>
      <c r="D1395" s="965" t="s">
        <v>2305</v>
      </c>
      <c r="E1395" s="965">
        <v>312596</v>
      </c>
      <c r="F1395" s="965">
        <v>19004806900</v>
      </c>
      <c r="G1395" s="965">
        <v>61600</v>
      </c>
      <c r="H1395" s="965">
        <v>61800</v>
      </c>
      <c r="I1395" s="965">
        <v>60200</v>
      </c>
      <c r="J1395" s="965">
        <v>7414421</v>
      </c>
      <c r="K1395" s="965">
        <v>122958891</v>
      </c>
    </row>
    <row r="1396" spans="2:11" s="1258" customFormat="1" ht="16" hidden="1" outlineLevel="1">
      <c r="B1396" s="966" t="s">
        <v>2369</v>
      </c>
      <c r="C1396" s="965">
        <v>61900</v>
      </c>
      <c r="D1396" s="965" t="s">
        <v>2212</v>
      </c>
      <c r="E1396" s="965">
        <v>233388</v>
      </c>
      <c r="F1396" s="965">
        <v>14448562800</v>
      </c>
      <c r="G1396" s="965">
        <v>62100</v>
      </c>
      <c r="H1396" s="965">
        <v>62500</v>
      </c>
      <c r="I1396" s="965">
        <v>61400</v>
      </c>
      <c r="J1396" s="965">
        <v>7611155</v>
      </c>
      <c r="K1396" s="965">
        <v>122958891</v>
      </c>
    </row>
    <row r="1397" spans="2:11" s="1258" customFormat="1" ht="16" hidden="1" outlineLevel="1">
      <c r="B1397" s="966" t="s">
        <v>2367</v>
      </c>
      <c r="C1397" s="965">
        <v>61800</v>
      </c>
      <c r="D1397" s="965" t="s">
        <v>2688</v>
      </c>
      <c r="E1397" s="965">
        <v>233022</v>
      </c>
      <c r="F1397" s="965">
        <v>14535058100</v>
      </c>
      <c r="G1397" s="965">
        <v>62800</v>
      </c>
      <c r="H1397" s="965">
        <v>63400</v>
      </c>
      <c r="I1397" s="965">
        <v>61600</v>
      </c>
      <c r="J1397" s="965">
        <v>7598859</v>
      </c>
      <c r="K1397" s="965">
        <v>122958891</v>
      </c>
    </row>
    <row r="1398" spans="2:11" s="1258" customFormat="1" ht="16" hidden="1" outlineLevel="1">
      <c r="B1398" s="966" t="s">
        <v>2365</v>
      </c>
      <c r="C1398" s="965">
        <v>63000</v>
      </c>
      <c r="D1398" s="965" t="s">
        <v>2250</v>
      </c>
      <c r="E1398" s="965">
        <v>307951</v>
      </c>
      <c r="F1398" s="965">
        <v>19398806700</v>
      </c>
      <c r="G1398" s="965">
        <v>63100</v>
      </c>
      <c r="H1398" s="965">
        <v>64000</v>
      </c>
      <c r="I1398" s="965">
        <v>62400</v>
      </c>
      <c r="J1398" s="965">
        <v>7746410</v>
      </c>
      <c r="K1398" s="965">
        <v>122958891</v>
      </c>
    </row>
    <row r="1399" spans="2:11" s="1258" customFormat="1" ht="16" hidden="1" outlineLevel="1">
      <c r="B1399" s="966" t="s">
        <v>2364</v>
      </c>
      <c r="C1399" s="965">
        <v>61800</v>
      </c>
      <c r="D1399" s="965" t="s">
        <v>2221</v>
      </c>
      <c r="E1399" s="965">
        <v>118376</v>
      </c>
      <c r="F1399" s="965">
        <v>7286759100</v>
      </c>
      <c r="G1399" s="965">
        <v>61000</v>
      </c>
      <c r="H1399" s="965">
        <v>62000</v>
      </c>
      <c r="I1399" s="965">
        <v>61000</v>
      </c>
      <c r="J1399" s="965">
        <v>7598859</v>
      </c>
      <c r="K1399" s="965">
        <v>122958891</v>
      </c>
    </row>
    <row r="1400" spans="2:11" s="1258" customFormat="1" ht="16" hidden="1" outlineLevel="1">
      <c r="B1400" s="966" t="s">
        <v>2362</v>
      </c>
      <c r="C1400" s="965">
        <v>61800</v>
      </c>
      <c r="D1400" s="965" t="s">
        <v>2224</v>
      </c>
      <c r="E1400" s="965">
        <v>153116</v>
      </c>
      <c r="F1400" s="965">
        <v>9492203600</v>
      </c>
      <c r="G1400" s="965">
        <v>61800</v>
      </c>
      <c r="H1400" s="965">
        <v>62400</v>
      </c>
      <c r="I1400" s="965">
        <v>61600</v>
      </c>
      <c r="J1400" s="965">
        <v>7598859</v>
      </c>
      <c r="K1400" s="965">
        <v>122958891</v>
      </c>
    </row>
    <row r="1401" spans="2:11" s="1258" customFormat="1" ht="16" hidden="1" outlineLevel="1">
      <c r="B1401" s="966" t="s">
        <v>2360</v>
      </c>
      <c r="C1401" s="965">
        <v>62000</v>
      </c>
      <c r="D1401" s="965" t="s">
        <v>2221</v>
      </c>
      <c r="E1401" s="965">
        <v>182061</v>
      </c>
      <c r="F1401" s="965">
        <v>11253216960</v>
      </c>
      <c r="G1401" s="965">
        <v>61900</v>
      </c>
      <c r="H1401" s="965">
        <v>62200</v>
      </c>
      <c r="I1401" s="965">
        <v>61200</v>
      </c>
      <c r="J1401" s="965">
        <v>7623451</v>
      </c>
      <c r="K1401" s="965">
        <v>122958891</v>
      </c>
    </row>
    <row r="1402" spans="2:11" s="1258" customFormat="1" ht="16" hidden="1" outlineLevel="1">
      <c r="B1402" s="966" t="s">
        <v>2358</v>
      </c>
      <c r="C1402" s="965">
        <v>62000</v>
      </c>
      <c r="D1402" s="965" t="s">
        <v>2228</v>
      </c>
      <c r="E1402" s="965">
        <v>118454</v>
      </c>
      <c r="F1402" s="965">
        <v>7280670400</v>
      </c>
      <c r="G1402" s="965">
        <v>61700</v>
      </c>
      <c r="H1402" s="965">
        <v>62100</v>
      </c>
      <c r="I1402" s="965">
        <v>60700</v>
      </c>
      <c r="J1402" s="965">
        <v>7623451</v>
      </c>
      <c r="K1402" s="965">
        <v>122958891</v>
      </c>
    </row>
    <row r="1403" spans="2:11" s="1258" customFormat="1" ht="16" hidden="1" outlineLevel="1">
      <c r="B1403" s="966" t="s">
        <v>2357</v>
      </c>
      <c r="C1403" s="965">
        <v>62100</v>
      </c>
      <c r="D1403" s="965" t="s">
        <v>2221</v>
      </c>
      <c r="E1403" s="965">
        <v>111154</v>
      </c>
      <c r="F1403" s="965">
        <v>6854990200</v>
      </c>
      <c r="G1403" s="965">
        <v>62100</v>
      </c>
      <c r="H1403" s="965">
        <v>62200</v>
      </c>
      <c r="I1403" s="965">
        <v>61200</v>
      </c>
      <c r="J1403" s="965">
        <v>7635747</v>
      </c>
      <c r="K1403" s="965">
        <v>122958891</v>
      </c>
    </row>
    <row r="1404" spans="2:11" s="1258" customFormat="1" ht="16" hidden="1" outlineLevel="1">
      <c r="B1404" s="966" t="s">
        <v>2656</v>
      </c>
      <c r="C1404" s="965">
        <v>62100</v>
      </c>
      <c r="D1404" s="965" t="s">
        <v>2688</v>
      </c>
      <c r="E1404" s="965">
        <v>236557</v>
      </c>
      <c r="F1404" s="965">
        <v>14646463600</v>
      </c>
      <c r="G1404" s="965">
        <v>63100</v>
      </c>
      <c r="H1404" s="965">
        <v>63300</v>
      </c>
      <c r="I1404" s="965">
        <v>61500</v>
      </c>
      <c r="J1404" s="965">
        <v>7635747</v>
      </c>
      <c r="K1404" s="965">
        <v>122958891</v>
      </c>
    </row>
    <row r="1405" spans="2:11" s="1258" customFormat="1" ht="16" hidden="1" outlineLevel="1">
      <c r="B1405" s="966" t="s">
        <v>2655</v>
      </c>
      <c r="C1405" s="965">
        <v>63300</v>
      </c>
      <c r="D1405" s="965" t="s">
        <v>2237</v>
      </c>
      <c r="E1405" s="965">
        <v>402154</v>
      </c>
      <c r="F1405" s="965">
        <v>25405784100</v>
      </c>
      <c r="G1405" s="965">
        <v>61900</v>
      </c>
      <c r="H1405" s="965">
        <v>63800</v>
      </c>
      <c r="I1405" s="965">
        <v>61600</v>
      </c>
      <c r="J1405" s="965">
        <v>7783298</v>
      </c>
      <c r="K1405" s="965">
        <v>122958891</v>
      </c>
    </row>
    <row r="1406" spans="2:11" s="1258" customFormat="1" ht="16" hidden="1" outlineLevel="1">
      <c r="B1406" s="966" t="s">
        <v>2654</v>
      </c>
      <c r="C1406" s="965">
        <v>61900</v>
      </c>
      <c r="D1406" s="965" t="s">
        <v>2253</v>
      </c>
      <c r="E1406" s="965">
        <v>337506</v>
      </c>
      <c r="F1406" s="965">
        <v>20719561600</v>
      </c>
      <c r="G1406" s="965">
        <v>61700</v>
      </c>
      <c r="H1406" s="965">
        <v>62400</v>
      </c>
      <c r="I1406" s="965">
        <v>60600</v>
      </c>
      <c r="J1406" s="965">
        <v>7611155</v>
      </c>
      <c r="K1406" s="965">
        <v>122958891</v>
      </c>
    </row>
    <row r="1407" spans="2:11" s="1258" customFormat="1" ht="16" hidden="1" outlineLevel="1">
      <c r="B1407" s="966" t="s">
        <v>2653</v>
      </c>
      <c r="C1407" s="965">
        <v>62700</v>
      </c>
      <c r="D1407" s="965" t="s">
        <v>2246</v>
      </c>
      <c r="E1407" s="965">
        <v>303855</v>
      </c>
      <c r="F1407" s="965">
        <v>19079195100</v>
      </c>
      <c r="G1407" s="965">
        <v>61800</v>
      </c>
      <c r="H1407" s="965">
        <v>63700</v>
      </c>
      <c r="I1407" s="965">
        <v>61300</v>
      </c>
      <c r="J1407" s="965">
        <v>7709522</v>
      </c>
      <c r="K1407" s="965">
        <v>122958891</v>
      </c>
    </row>
    <row r="1408" spans="2:11" s="1258" customFormat="1" ht="16" hidden="1" outlineLevel="1">
      <c r="B1408" s="966" t="s">
        <v>2652</v>
      </c>
      <c r="C1408" s="965">
        <v>61800</v>
      </c>
      <c r="D1408" s="965" t="s">
        <v>2211</v>
      </c>
      <c r="E1408" s="965">
        <v>179103</v>
      </c>
      <c r="F1408" s="965">
        <v>11049791600</v>
      </c>
      <c r="G1408" s="965">
        <v>62200</v>
      </c>
      <c r="H1408" s="965">
        <v>62200</v>
      </c>
      <c r="I1408" s="965">
        <v>61200</v>
      </c>
      <c r="J1408" s="965">
        <v>7598859</v>
      </c>
      <c r="K1408" s="965">
        <v>122958891</v>
      </c>
    </row>
    <row r="1409" spans="2:11" s="1258" customFormat="1" ht="16" hidden="1" outlineLevel="1">
      <c r="B1409" s="966" t="s">
        <v>2651</v>
      </c>
      <c r="C1409" s="965">
        <v>62200</v>
      </c>
      <c r="D1409" s="965" t="s">
        <v>2638</v>
      </c>
      <c r="E1409" s="965">
        <v>180909</v>
      </c>
      <c r="F1409" s="965">
        <v>11111281100</v>
      </c>
      <c r="G1409" s="965">
        <v>61700</v>
      </c>
      <c r="H1409" s="965">
        <v>62200</v>
      </c>
      <c r="I1409" s="965">
        <v>60800</v>
      </c>
      <c r="J1409" s="965">
        <v>7648043</v>
      </c>
      <c r="K1409" s="965">
        <v>122958891</v>
      </c>
    </row>
    <row r="1410" spans="2:11" s="1258" customFormat="1" ht="16" hidden="1" outlineLevel="1">
      <c r="B1410" s="966" t="s">
        <v>2650</v>
      </c>
      <c r="C1410" s="965">
        <v>61400</v>
      </c>
      <c r="D1410" s="965" t="s">
        <v>2634</v>
      </c>
      <c r="E1410" s="965">
        <v>457947</v>
      </c>
      <c r="F1410" s="965">
        <v>28002035400</v>
      </c>
      <c r="G1410" s="965">
        <v>62300</v>
      </c>
      <c r="H1410" s="965">
        <v>62500</v>
      </c>
      <c r="I1410" s="965">
        <v>60500</v>
      </c>
      <c r="J1410" s="965">
        <v>7549676</v>
      </c>
      <c r="K1410" s="965">
        <v>122958891</v>
      </c>
    </row>
    <row r="1411" spans="2:11" s="1258" customFormat="1" ht="16" hidden="1" outlineLevel="1">
      <c r="B1411" s="966" t="s">
        <v>2648</v>
      </c>
      <c r="C1411" s="965">
        <v>62700</v>
      </c>
      <c r="D1411" s="965" t="s">
        <v>2243</v>
      </c>
      <c r="E1411" s="965">
        <v>140643</v>
      </c>
      <c r="F1411" s="965">
        <v>8785118400</v>
      </c>
      <c r="G1411" s="965">
        <v>62900</v>
      </c>
      <c r="H1411" s="965">
        <v>63000</v>
      </c>
      <c r="I1411" s="965">
        <v>62100</v>
      </c>
      <c r="J1411" s="965">
        <v>7709522</v>
      </c>
      <c r="K1411" s="965">
        <v>122958891</v>
      </c>
    </row>
    <row r="1412" spans="2:11" s="1258" customFormat="1" ht="16" hidden="1" outlineLevel="1">
      <c r="B1412" s="966" t="s">
        <v>2647</v>
      </c>
      <c r="C1412" s="965">
        <v>62400</v>
      </c>
      <c r="D1412" s="965" t="s">
        <v>2222</v>
      </c>
      <c r="E1412" s="965">
        <v>161697</v>
      </c>
      <c r="F1412" s="965">
        <v>10135144800</v>
      </c>
      <c r="G1412" s="965">
        <v>62400</v>
      </c>
      <c r="H1412" s="965">
        <v>63500</v>
      </c>
      <c r="I1412" s="965">
        <v>62300</v>
      </c>
      <c r="J1412" s="965">
        <v>7672635</v>
      </c>
      <c r="K1412" s="965">
        <v>122958891</v>
      </c>
    </row>
    <row r="1413" spans="2:11" s="1258" customFormat="1" ht="16" hidden="1" outlineLevel="1">
      <c r="B1413" s="966" t="s">
        <v>2646</v>
      </c>
      <c r="C1413" s="965">
        <v>63000</v>
      </c>
      <c r="D1413" s="965" t="s">
        <v>2638</v>
      </c>
      <c r="E1413" s="965">
        <v>292050</v>
      </c>
      <c r="F1413" s="965">
        <v>18277925800</v>
      </c>
      <c r="G1413" s="965">
        <v>62500</v>
      </c>
      <c r="H1413" s="965">
        <v>63100</v>
      </c>
      <c r="I1413" s="965">
        <v>62000</v>
      </c>
      <c r="J1413" s="965">
        <v>7746410</v>
      </c>
      <c r="K1413" s="965">
        <v>122958891</v>
      </c>
    </row>
    <row r="1414" spans="2:11" s="1258" customFormat="1" ht="16" hidden="1" outlineLevel="1">
      <c r="B1414" s="966" t="s">
        <v>2645</v>
      </c>
      <c r="C1414" s="965">
        <v>62200</v>
      </c>
      <c r="D1414" s="965" t="s">
        <v>2211</v>
      </c>
      <c r="E1414" s="965">
        <v>260066</v>
      </c>
      <c r="F1414" s="965">
        <v>16225911416</v>
      </c>
      <c r="G1414" s="965">
        <v>62000</v>
      </c>
      <c r="H1414" s="965">
        <v>63300</v>
      </c>
      <c r="I1414" s="965">
        <v>61700</v>
      </c>
      <c r="J1414" s="965">
        <v>7648043</v>
      </c>
      <c r="K1414" s="965">
        <v>122958891</v>
      </c>
    </row>
    <row r="1415" spans="2:11" s="1258" customFormat="1" ht="16" hidden="1" outlineLevel="1">
      <c r="B1415" s="966" t="s">
        <v>2643</v>
      </c>
      <c r="C1415" s="965">
        <v>62600</v>
      </c>
      <c r="D1415" s="965" t="s">
        <v>2305</v>
      </c>
      <c r="E1415" s="965">
        <v>326261</v>
      </c>
      <c r="F1415" s="965">
        <v>20519602400</v>
      </c>
      <c r="G1415" s="965">
        <v>64300</v>
      </c>
      <c r="H1415" s="965">
        <v>64400</v>
      </c>
      <c r="I1415" s="965">
        <v>62100</v>
      </c>
      <c r="J1415" s="965">
        <v>7697227</v>
      </c>
      <c r="K1415" s="965">
        <v>122958891</v>
      </c>
    </row>
    <row r="1416" spans="2:11" s="1258" customFormat="1" ht="16" hidden="1" outlineLevel="1">
      <c r="B1416" s="966" t="s">
        <v>2642</v>
      </c>
      <c r="C1416" s="965">
        <v>64200</v>
      </c>
      <c r="D1416" s="965" t="s">
        <v>2232</v>
      </c>
      <c r="E1416" s="965">
        <v>273822</v>
      </c>
      <c r="F1416" s="965">
        <v>17623565000</v>
      </c>
      <c r="G1416" s="965">
        <v>64100</v>
      </c>
      <c r="H1416" s="965">
        <v>65300</v>
      </c>
      <c r="I1416" s="965">
        <v>63800</v>
      </c>
      <c r="J1416" s="965">
        <v>7893961</v>
      </c>
      <c r="K1416" s="965">
        <v>122958891</v>
      </c>
    </row>
    <row r="1417" spans="2:11" s="1258" customFormat="1" ht="16" hidden="1" outlineLevel="1">
      <c r="B1417" s="966" t="s">
        <v>2640</v>
      </c>
      <c r="C1417" s="965">
        <v>64000</v>
      </c>
      <c r="D1417" s="965" t="s">
        <v>2211</v>
      </c>
      <c r="E1417" s="965">
        <v>483158</v>
      </c>
      <c r="F1417" s="965">
        <v>31157750900</v>
      </c>
      <c r="G1417" s="965">
        <v>64600</v>
      </c>
      <c r="H1417" s="965">
        <v>66000</v>
      </c>
      <c r="I1417" s="965">
        <v>62800</v>
      </c>
      <c r="J1417" s="965">
        <v>7869369</v>
      </c>
      <c r="K1417" s="965">
        <v>122958891</v>
      </c>
    </row>
    <row r="1418" spans="2:11" s="1258" customFormat="1" ht="16" hidden="1" outlineLevel="1">
      <c r="B1418" s="966" t="s">
        <v>2639</v>
      </c>
      <c r="C1418" s="965">
        <v>64400</v>
      </c>
      <c r="D1418" s="965" t="s">
        <v>2239</v>
      </c>
      <c r="E1418" s="965">
        <v>500644</v>
      </c>
      <c r="F1418" s="965">
        <v>31799485800</v>
      </c>
      <c r="G1418" s="965">
        <v>62700</v>
      </c>
      <c r="H1418" s="965">
        <v>64400</v>
      </c>
      <c r="I1418" s="965">
        <v>61700</v>
      </c>
      <c r="J1418" s="965">
        <v>7918553</v>
      </c>
      <c r="K1418" s="965">
        <v>122958891</v>
      </c>
    </row>
    <row r="1419" spans="2:11" s="1258" customFormat="1" ht="16" hidden="1" outlineLevel="1">
      <c r="B1419" s="966" t="s">
        <v>2637</v>
      </c>
      <c r="C1419" s="965">
        <v>62200</v>
      </c>
      <c r="D1419" s="965" t="s">
        <v>2688</v>
      </c>
      <c r="E1419" s="965">
        <v>214651</v>
      </c>
      <c r="F1419" s="965">
        <v>13339382400</v>
      </c>
      <c r="G1419" s="965">
        <v>63000</v>
      </c>
      <c r="H1419" s="965">
        <v>63400</v>
      </c>
      <c r="I1419" s="965">
        <v>61600</v>
      </c>
      <c r="J1419" s="965">
        <v>7648043</v>
      </c>
      <c r="K1419" s="965">
        <v>122958891</v>
      </c>
    </row>
    <row r="1420" spans="2:11" s="1258" customFormat="1" ht="16" hidden="1" outlineLevel="1">
      <c r="B1420" s="966" t="s">
        <v>2636</v>
      </c>
      <c r="C1420" s="965">
        <v>63400</v>
      </c>
      <c r="D1420" s="965" t="s">
        <v>2638</v>
      </c>
      <c r="E1420" s="965">
        <v>332770</v>
      </c>
      <c r="F1420" s="965">
        <v>21028978800</v>
      </c>
      <c r="G1420" s="965">
        <v>62300</v>
      </c>
      <c r="H1420" s="965">
        <v>64000</v>
      </c>
      <c r="I1420" s="965">
        <v>62200</v>
      </c>
      <c r="J1420" s="965">
        <v>7795594</v>
      </c>
      <c r="K1420" s="965">
        <v>122958891</v>
      </c>
    </row>
    <row r="1421" spans="2:11" s="1258" customFormat="1" ht="16" hidden="1" outlineLevel="1">
      <c r="B1421" s="966" t="s">
        <v>2635</v>
      </c>
      <c r="C1421" s="965">
        <v>62600</v>
      </c>
      <c r="D1421" s="965" t="s">
        <v>2253</v>
      </c>
      <c r="E1421" s="965">
        <v>235008</v>
      </c>
      <c r="F1421" s="965">
        <v>14820821800</v>
      </c>
      <c r="G1421" s="965">
        <v>63500</v>
      </c>
      <c r="H1421" s="965">
        <v>63900</v>
      </c>
      <c r="I1421" s="965">
        <v>62200</v>
      </c>
      <c r="J1421" s="965">
        <v>7697227</v>
      </c>
      <c r="K1421" s="965">
        <v>122958891</v>
      </c>
    </row>
    <row r="1422" spans="2:11" s="1258" customFormat="1" ht="16" hidden="1" outlineLevel="1">
      <c r="B1422" s="966" t="s">
        <v>2633</v>
      </c>
      <c r="C1422" s="965">
        <v>63400</v>
      </c>
      <c r="D1422" s="965" t="s">
        <v>2253</v>
      </c>
      <c r="E1422" s="965">
        <v>303066</v>
      </c>
      <c r="F1422" s="965">
        <v>19199374000</v>
      </c>
      <c r="G1422" s="965">
        <v>64000</v>
      </c>
      <c r="H1422" s="965">
        <v>64500</v>
      </c>
      <c r="I1422" s="965">
        <v>61800</v>
      </c>
      <c r="J1422" s="965">
        <v>7795594</v>
      </c>
      <c r="K1422" s="965">
        <v>122958891</v>
      </c>
    </row>
    <row r="1423" spans="2:11" s="1258" customFormat="1" ht="16" hidden="1" outlineLevel="1">
      <c r="B1423" s="966" t="s">
        <v>2632</v>
      </c>
      <c r="C1423" s="965">
        <v>64200</v>
      </c>
      <c r="D1423" s="965" t="s">
        <v>2221</v>
      </c>
      <c r="E1423" s="965">
        <v>380764</v>
      </c>
      <c r="F1423" s="965">
        <v>24403389800</v>
      </c>
      <c r="G1423" s="965">
        <v>64700</v>
      </c>
      <c r="H1423" s="965">
        <v>64900</v>
      </c>
      <c r="I1423" s="965">
        <v>63300</v>
      </c>
      <c r="J1423" s="965">
        <v>7893961</v>
      </c>
      <c r="K1423" s="965">
        <v>122958891</v>
      </c>
    </row>
    <row r="1424" spans="2:11" s="1258" customFormat="1" ht="16" hidden="1" outlineLevel="1">
      <c r="B1424" s="966" t="s">
        <v>2631</v>
      </c>
      <c r="C1424" s="965">
        <v>64200</v>
      </c>
      <c r="D1424" s="965" t="s">
        <v>2239</v>
      </c>
      <c r="E1424" s="965">
        <v>824199</v>
      </c>
      <c r="F1424" s="965">
        <v>52146440000</v>
      </c>
      <c r="G1424" s="965">
        <v>60500</v>
      </c>
      <c r="H1424" s="965">
        <v>64600</v>
      </c>
      <c r="I1424" s="965">
        <v>59900</v>
      </c>
      <c r="J1424" s="965">
        <v>7893961</v>
      </c>
      <c r="K1424" s="965">
        <v>122958891</v>
      </c>
    </row>
    <row r="1425" spans="2:11" s="1258" customFormat="1" ht="16" hidden="1" outlineLevel="1">
      <c r="B1425" s="966" t="s">
        <v>2630</v>
      </c>
      <c r="C1425" s="965">
        <v>62000</v>
      </c>
      <c r="D1425" s="965" t="s">
        <v>2641</v>
      </c>
      <c r="E1425" s="965">
        <v>631312</v>
      </c>
      <c r="F1425" s="965">
        <v>39298871400</v>
      </c>
      <c r="G1425" s="965">
        <v>63000</v>
      </c>
      <c r="H1425" s="965">
        <v>63400</v>
      </c>
      <c r="I1425" s="965">
        <v>61700</v>
      </c>
      <c r="J1425" s="965">
        <v>7623451</v>
      </c>
      <c r="K1425" s="965">
        <v>122958891</v>
      </c>
    </row>
    <row r="1426" spans="2:11" s="1258" customFormat="1" ht="16" hidden="1" outlineLevel="1">
      <c r="B1426" s="966" t="s">
        <v>2629</v>
      </c>
      <c r="C1426" s="965">
        <v>63900</v>
      </c>
      <c r="D1426" s="965" t="s">
        <v>2762</v>
      </c>
      <c r="E1426" s="965">
        <v>1375719</v>
      </c>
      <c r="F1426" s="965">
        <v>85897450200</v>
      </c>
      <c r="G1426" s="965">
        <v>59000</v>
      </c>
      <c r="H1426" s="965">
        <v>64900</v>
      </c>
      <c r="I1426" s="965">
        <v>58900</v>
      </c>
      <c r="J1426" s="965">
        <v>7857073</v>
      </c>
      <c r="K1426" s="965">
        <v>122958891</v>
      </c>
    </row>
    <row r="1427" spans="2:11" s="1258" customFormat="1" ht="16" hidden="1" outlineLevel="1">
      <c r="B1427" s="966" t="s">
        <v>2628</v>
      </c>
      <c r="C1427" s="965">
        <v>58500</v>
      </c>
      <c r="D1427" s="965" t="s">
        <v>2253</v>
      </c>
      <c r="E1427" s="965">
        <v>169735</v>
      </c>
      <c r="F1427" s="965">
        <v>10002912700</v>
      </c>
      <c r="G1427" s="965">
        <v>59800</v>
      </c>
      <c r="H1427" s="965">
        <v>60000</v>
      </c>
      <c r="I1427" s="965">
        <v>58100</v>
      </c>
      <c r="J1427" s="965">
        <v>7193095</v>
      </c>
      <c r="K1427" s="965">
        <v>122958891</v>
      </c>
    </row>
    <row r="1428" spans="2:11" s="1258" customFormat="1" ht="16" hidden="1" outlineLevel="1">
      <c r="B1428" s="966" t="s">
        <v>2626</v>
      </c>
      <c r="C1428" s="965">
        <v>59300</v>
      </c>
      <c r="D1428" s="965" t="s">
        <v>2220</v>
      </c>
      <c r="E1428" s="965">
        <v>335701</v>
      </c>
      <c r="F1428" s="965">
        <v>19856970300</v>
      </c>
      <c r="G1428" s="965">
        <v>56900</v>
      </c>
      <c r="H1428" s="965">
        <v>60000</v>
      </c>
      <c r="I1428" s="965">
        <v>56600</v>
      </c>
      <c r="J1428" s="965">
        <v>7291462</v>
      </c>
      <c r="K1428" s="965">
        <v>122958891</v>
      </c>
    </row>
    <row r="1429" spans="2:11" s="1258" customFormat="1" ht="16" hidden="1" outlineLevel="1">
      <c r="B1429" s="966" t="s">
        <v>2624</v>
      </c>
      <c r="C1429" s="965">
        <v>56800</v>
      </c>
      <c r="D1429" s="965" t="s">
        <v>2228</v>
      </c>
      <c r="E1429" s="965">
        <v>105038</v>
      </c>
      <c r="F1429" s="965">
        <v>5934353500</v>
      </c>
      <c r="G1429" s="965">
        <v>56000</v>
      </c>
      <c r="H1429" s="965">
        <v>57500</v>
      </c>
      <c r="I1429" s="965">
        <v>55800</v>
      </c>
      <c r="J1429" s="965">
        <v>6984065</v>
      </c>
      <c r="K1429" s="965">
        <v>122958891</v>
      </c>
    </row>
    <row r="1430" spans="2:11" s="1258" customFormat="1" ht="16" hidden="1" outlineLevel="1">
      <c r="B1430" s="966" t="s">
        <v>2623</v>
      </c>
      <c r="C1430" s="965">
        <v>56900</v>
      </c>
      <c r="D1430" s="965" t="s">
        <v>2634</v>
      </c>
      <c r="E1430" s="965">
        <v>194908</v>
      </c>
      <c r="F1430" s="965">
        <v>11030336400</v>
      </c>
      <c r="G1430" s="965">
        <v>57700</v>
      </c>
      <c r="H1430" s="965">
        <v>58600</v>
      </c>
      <c r="I1430" s="965">
        <v>55800</v>
      </c>
      <c r="J1430" s="965">
        <v>6996361</v>
      </c>
      <c r="K1430" s="965">
        <v>122958891</v>
      </c>
    </row>
    <row r="1431" spans="2:11" s="1258" customFormat="1" ht="16" hidden="1" outlineLevel="1">
      <c r="B1431" s="966" t="s">
        <v>2621</v>
      </c>
      <c r="C1431" s="965">
        <v>58200</v>
      </c>
      <c r="D1431" s="965" t="s">
        <v>2208</v>
      </c>
      <c r="E1431" s="965">
        <v>219062</v>
      </c>
      <c r="F1431" s="965">
        <v>12781385300</v>
      </c>
      <c r="G1431" s="965">
        <v>57800</v>
      </c>
      <c r="H1431" s="965">
        <v>59100</v>
      </c>
      <c r="I1431" s="965">
        <v>57300</v>
      </c>
      <c r="J1431" s="965">
        <v>7156207</v>
      </c>
      <c r="K1431" s="965">
        <v>122958891</v>
      </c>
    </row>
    <row r="1432" spans="2:11" s="1258" customFormat="1" ht="16" hidden="1" outlineLevel="1">
      <c r="B1432" s="966" t="s">
        <v>2619</v>
      </c>
      <c r="C1432" s="965">
        <v>57500</v>
      </c>
      <c r="D1432" s="965" t="s">
        <v>2208</v>
      </c>
      <c r="E1432" s="965">
        <v>904491</v>
      </c>
      <c r="F1432" s="965">
        <v>52478121190</v>
      </c>
      <c r="G1432" s="965">
        <v>59900</v>
      </c>
      <c r="H1432" s="965">
        <v>60700</v>
      </c>
      <c r="I1432" s="965">
        <v>55700</v>
      </c>
      <c r="J1432" s="965">
        <v>7070136</v>
      </c>
      <c r="K1432" s="965">
        <v>122958891</v>
      </c>
    </row>
    <row r="1433" spans="2:11" s="1258" customFormat="1" ht="16" hidden="1" outlineLevel="1">
      <c r="B1433" s="966" t="s">
        <v>2618</v>
      </c>
      <c r="C1433" s="965">
        <v>56800</v>
      </c>
      <c r="D1433" s="965" t="s">
        <v>2242</v>
      </c>
      <c r="E1433" s="965">
        <v>380909</v>
      </c>
      <c r="F1433" s="965">
        <v>22154302700</v>
      </c>
      <c r="G1433" s="965">
        <v>58800</v>
      </c>
      <c r="H1433" s="965">
        <v>59600</v>
      </c>
      <c r="I1433" s="965">
        <v>56800</v>
      </c>
      <c r="J1433" s="965">
        <v>6984065</v>
      </c>
      <c r="K1433" s="965">
        <v>122958891</v>
      </c>
    </row>
    <row r="1434" spans="2:11" s="1258" customFormat="1" ht="16" hidden="1" outlineLevel="1">
      <c r="B1434" s="966" t="s">
        <v>2617</v>
      </c>
      <c r="C1434" s="965">
        <v>58800</v>
      </c>
      <c r="D1434" s="965" t="s">
        <v>2253</v>
      </c>
      <c r="E1434" s="965">
        <v>208891</v>
      </c>
      <c r="F1434" s="965">
        <v>12284997300</v>
      </c>
      <c r="G1434" s="965">
        <v>58800</v>
      </c>
      <c r="H1434" s="965">
        <v>59500</v>
      </c>
      <c r="I1434" s="965">
        <v>58300</v>
      </c>
      <c r="J1434" s="965">
        <v>7229983</v>
      </c>
      <c r="K1434" s="965">
        <v>122958891</v>
      </c>
    </row>
    <row r="1435" spans="2:11" s="1258" customFormat="1" ht="16" hidden="1" outlineLevel="1">
      <c r="B1435" s="966" t="s">
        <v>2616</v>
      </c>
      <c r="C1435" s="965">
        <v>59600</v>
      </c>
      <c r="D1435" s="965" t="s">
        <v>2221</v>
      </c>
      <c r="E1435" s="965">
        <v>135546</v>
      </c>
      <c r="F1435" s="965">
        <v>7984474100</v>
      </c>
      <c r="G1435" s="965">
        <v>59200</v>
      </c>
      <c r="H1435" s="965">
        <v>59600</v>
      </c>
      <c r="I1435" s="965">
        <v>57900</v>
      </c>
      <c r="J1435" s="965">
        <v>7328350</v>
      </c>
      <c r="K1435" s="965">
        <v>122958891</v>
      </c>
    </row>
    <row r="1436" spans="2:11" s="1258" customFormat="1" ht="16" hidden="1" outlineLevel="1">
      <c r="B1436" s="966" t="s">
        <v>2615</v>
      </c>
      <c r="C1436" s="965">
        <v>59600</v>
      </c>
      <c r="D1436" s="965" t="s">
        <v>2221</v>
      </c>
      <c r="E1436" s="965">
        <v>171845</v>
      </c>
      <c r="F1436" s="965">
        <v>10194374500</v>
      </c>
      <c r="G1436" s="965">
        <v>59300</v>
      </c>
      <c r="H1436" s="965">
        <v>60000</v>
      </c>
      <c r="I1436" s="965">
        <v>58600</v>
      </c>
      <c r="J1436" s="965">
        <v>7328350</v>
      </c>
      <c r="K1436" s="965">
        <v>122958891</v>
      </c>
    </row>
    <row r="1437" spans="2:11" s="1258" customFormat="1" ht="16" hidden="1" outlineLevel="1">
      <c r="B1437" s="966" t="s">
        <v>2614</v>
      </c>
      <c r="C1437" s="965">
        <v>59600</v>
      </c>
      <c r="D1437" s="965" t="s">
        <v>2215</v>
      </c>
      <c r="E1437" s="965">
        <v>294847</v>
      </c>
      <c r="F1437" s="965">
        <v>17652777300</v>
      </c>
      <c r="G1437" s="965">
        <v>59900</v>
      </c>
      <c r="H1437" s="965">
        <v>60500</v>
      </c>
      <c r="I1437" s="965">
        <v>59300</v>
      </c>
      <c r="J1437" s="965">
        <v>7328350</v>
      </c>
      <c r="K1437" s="965">
        <v>122958891</v>
      </c>
    </row>
    <row r="1438" spans="2:11" s="1258" customFormat="1" ht="16" hidden="1" outlineLevel="1">
      <c r="B1438" s="966" t="s">
        <v>2613</v>
      </c>
      <c r="C1438" s="965">
        <v>59900</v>
      </c>
      <c r="D1438" s="965" t="s">
        <v>2649</v>
      </c>
      <c r="E1438" s="965">
        <v>672385</v>
      </c>
      <c r="F1438" s="965">
        <v>40070457000</v>
      </c>
      <c r="G1438" s="965">
        <v>57600</v>
      </c>
      <c r="H1438" s="965">
        <v>60000</v>
      </c>
      <c r="I1438" s="965">
        <v>57600</v>
      </c>
      <c r="J1438" s="965">
        <v>7365238</v>
      </c>
      <c r="K1438" s="965">
        <v>122958891</v>
      </c>
    </row>
    <row r="1439" spans="2:11" s="1258" customFormat="1" ht="16" hidden="1" outlineLevel="1">
      <c r="B1439" s="966" t="s">
        <v>2612</v>
      </c>
      <c r="C1439" s="965">
        <v>57000</v>
      </c>
      <c r="D1439" s="965" t="s">
        <v>2250</v>
      </c>
      <c r="E1439" s="965">
        <v>246975</v>
      </c>
      <c r="F1439" s="965">
        <v>14063382600</v>
      </c>
      <c r="G1439" s="965">
        <v>56500</v>
      </c>
      <c r="H1439" s="965">
        <v>57500</v>
      </c>
      <c r="I1439" s="965">
        <v>56200</v>
      </c>
      <c r="J1439" s="965">
        <v>7008657</v>
      </c>
      <c r="K1439" s="965">
        <v>122958891</v>
      </c>
    </row>
    <row r="1440" spans="2:11" s="1258" customFormat="1" ht="16" hidden="1" outlineLevel="1">
      <c r="B1440" s="966" t="s">
        <v>2611</v>
      </c>
      <c r="C1440" s="965">
        <v>55800</v>
      </c>
      <c r="D1440" s="965" t="s">
        <v>2251</v>
      </c>
      <c r="E1440" s="965">
        <v>132909</v>
      </c>
      <c r="F1440" s="965">
        <v>7450778800</v>
      </c>
      <c r="G1440" s="965">
        <v>55300</v>
      </c>
      <c r="H1440" s="965">
        <v>56700</v>
      </c>
      <c r="I1440" s="965">
        <v>55300</v>
      </c>
      <c r="J1440" s="965">
        <v>6861106</v>
      </c>
      <c r="K1440" s="965">
        <v>122958891</v>
      </c>
    </row>
    <row r="1441" spans="2:11" s="1258" customFormat="1" ht="16" hidden="1" outlineLevel="1">
      <c r="B1441" s="966" t="s">
        <v>2610</v>
      </c>
      <c r="C1441" s="965">
        <v>55200</v>
      </c>
      <c r="D1441" s="965" t="s">
        <v>2691</v>
      </c>
      <c r="E1441" s="965">
        <v>135527</v>
      </c>
      <c r="F1441" s="965">
        <v>7362889200</v>
      </c>
      <c r="G1441" s="965">
        <v>54300</v>
      </c>
      <c r="H1441" s="965">
        <v>55400</v>
      </c>
      <c r="I1441" s="965">
        <v>53300</v>
      </c>
      <c r="J1441" s="965">
        <v>6787331</v>
      </c>
      <c r="K1441" s="965">
        <v>122958891</v>
      </c>
    </row>
    <row r="1442" spans="2:11" ht="15" collapsed="1" thickBot="1">
      <c r="B1442" s="960" t="s">
        <v>2609</v>
      </c>
      <c r="C1442" s="959"/>
      <c r="D1442" s="961"/>
      <c r="E1442" s="959"/>
      <c r="F1442" s="959"/>
      <c r="G1442" s="959"/>
      <c r="H1442" s="959"/>
      <c r="I1442" s="959"/>
      <c r="J1442" s="960">
        <f>AVERAGE(J1194:J1316)</f>
        <v>6359573.7967479676</v>
      </c>
      <c r="K1442" s="959"/>
    </row>
    <row r="1444" spans="2:11">
      <c r="B1444" s="971" t="s">
        <v>2761</v>
      </c>
    </row>
    <row r="1445" spans="2:11" hidden="1" outlineLevel="1"/>
    <row r="1446" spans="2:11" ht="16" hidden="1" outlineLevel="1">
      <c r="B1446" s="969" t="s">
        <v>1839</v>
      </c>
      <c r="C1446" s="969" t="s">
        <v>1838</v>
      </c>
      <c r="D1446" s="970" t="s">
        <v>1837</v>
      </c>
      <c r="E1446" s="969" t="s">
        <v>1836</v>
      </c>
      <c r="F1446" s="969" t="s">
        <v>1835</v>
      </c>
      <c r="G1446" s="969" t="s">
        <v>1834</v>
      </c>
      <c r="H1446" s="969" t="s">
        <v>1833</v>
      </c>
      <c r="I1446" s="969" t="s">
        <v>1832</v>
      </c>
      <c r="J1446" s="969" t="s">
        <v>1785</v>
      </c>
      <c r="K1446" s="969" t="s">
        <v>1831</v>
      </c>
    </row>
    <row r="1447" spans="2:11" ht="16" hidden="1" outlineLevel="1">
      <c r="B1447" s="968" t="s">
        <v>1830</v>
      </c>
      <c r="C1447" s="967">
        <v>86900</v>
      </c>
      <c r="D1447" s="967" t="s">
        <v>2221</v>
      </c>
      <c r="E1447" s="967">
        <v>385808</v>
      </c>
      <c r="F1447" s="967">
        <v>33762349400</v>
      </c>
      <c r="G1447" s="967">
        <v>87900</v>
      </c>
      <c r="H1447" s="967">
        <v>88200</v>
      </c>
      <c r="I1447" s="967">
        <v>86800</v>
      </c>
      <c r="J1447" s="967">
        <v>17380000</v>
      </c>
      <c r="K1447" s="967">
        <v>200000000</v>
      </c>
    </row>
    <row r="1448" spans="2:11" ht="16" hidden="1" outlineLevel="1">
      <c r="B1448" s="968" t="s">
        <v>1828</v>
      </c>
      <c r="C1448" s="967">
        <v>86900</v>
      </c>
      <c r="D1448" s="967" t="s">
        <v>2240</v>
      </c>
      <c r="E1448" s="967">
        <v>471085</v>
      </c>
      <c r="F1448" s="967">
        <v>40769103752</v>
      </c>
      <c r="G1448" s="967">
        <v>86000</v>
      </c>
      <c r="H1448" s="967">
        <v>87200</v>
      </c>
      <c r="I1448" s="967">
        <v>85600</v>
      </c>
      <c r="J1448" s="967">
        <v>17380000</v>
      </c>
      <c r="K1448" s="967">
        <v>200000000</v>
      </c>
    </row>
    <row r="1449" spans="2:11" ht="16" hidden="1" outlineLevel="1">
      <c r="B1449" s="968" t="s">
        <v>1827</v>
      </c>
      <c r="C1449" s="967">
        <v>85000</v>
      </c>
      <c r="D1449" s="967" t="s">
        <v>2253</v>
      </c>
      <c r="E1449" s="967">
        <v>281577</v>
      </c>
      <c r="F1449" s="967">
        <v>23863680300</v>
      </c>
      <c r="G1449" s="967">
        <v>85400</v>
      </c>
      <c r="H1449" s="967">
        <v>85400</v>
      </c>
      <c r="I1449" s="967">
        <v>84600</v>
      </c>
      <c r="J1449" s="967">
        <v>17000000</v>
      </c>
      <c r="K1449" s="967">
        <v>200000000</v>
      </c>
    </row>
    <row r="1450" spans="2:11" ht="16" hidden="1" outlineLevel="1">
      <c r="B1450" s="968" t="s">
        <v>1825</v>
      </c>
      <c r="C1450" s="967">
        <v>85800</v>
      </c>
      <c r="D1450" s="967" t="s">
        <v>2228</v>
      </c>
      <c r="E1450" s="967">
        <v>261862</v>
      </c>
      <c r="F1450" s="967">
        <v>22469799400</v>
      </c>
      <c r="G1450" s="967">
        <v>86500</v>
      </c>
      <c r="H1450" s="967">
        <v>86600</v>
      </c>
      <c r="I1450" s="967">
        <v>85300</v>
      </c>
      <c r="J1450" s="967">
        <v>17160000</v>
      </c>
      <c r="K1450" s="967">
        <v>200000000</v>
      </c>
    </row>
    <row r="1451" spans="2:11" ht="16" hidden="1" outlineLevel="1">
      <c r="B1451" s="968" t="s">
        <v>1823</v>
      </c>
      <c r="C1451" s="967">
        <v>85900</v>
      </c>
      <c r="D1451" s="967" t="s">
        <v>2252</v>
      </c>
      <c r="E1451" s="967">
        <v>383055</v>
      </c>
      <c r="F1451" s="967">
        <v>32776295900</v>
      </c>
      <c r="G1451" s="967">
        <v>85500</v>
      </c>
      <c r="H1451" s="967">
        <v>85900</v>
      </c>
      <c r="I1451" s="967">
        <v>85000</v>
      </c>
      <c r="J1451" s="967">
        <v>17180000</v>
      </c>
      <c r="K1451" s="967">
        <v>200000000</v>
      </c>
    </row>
    <row r="1452" spans="2:11" ht="16" hidden="1" outlineLevel="1">
      <c r="B1452" s="968" t="s">
        <v>1821</v>
      </c>
      <c r="C1452" s="967">
        <v>84800</v>
      </c>
      <c r="D1452" s="967" t="s">
        <v>2251</v>
      </c>
      <c r="E1452" s="967">
        <v>335445</v>
      </c>
      <c r="F1452" s="967">
        <v>28407429700</v>
      </c>
      <c r="G1452" s="967">
        <v>84700</v>
      </c>
      <c r="H1452" s="967">
        <v>85100</v>
      </c>
      <c r="I1452" s="967">
        <v>84300</v>
      </c>
      <c r="J1452" s="967">
        <v>16960000</v>
      </c>
      <c r="K1452" s="967">
        <v>200000000</v>
      </c>
    </row>
    <row r="1453" spans="2:11" ht="16" hidden="1" outlineLevel="1">
      <c r="B1453" s="968" t="s">
        <v>1819</v>
      </c>
      <c r="C1453" s="967">
        <v>84200</v>
      </c>
      <c r="D1453" s="967" t="s">
        <v>2248</v>
      </c>
      <c r="E1453" s="967">
        <v>400284</v>
      </c>
      <c r="F1453" s="967">
        <v>34018243400</v>
      </c>
      <c r="G1453" s="967">
        <v>85400</v>
      </c>
      <c r="H1453" s="967">
        <v>85800</v>
      </c>
      <c r="I1453" s="967">
        <v>84100</v>
      </c>
      <c r="J1453" s="967">
        <v>16840000</v>
      </c>
      <c r="K1453" s="967">
        <v>200000000</v>
      </c>
    </row>
    <row r="1454" spans="2:11" ht="16" hidden="1" outlineLevel="1">
      <c r="B1454" s="968" t="s">
        <v>1817</v>
      </c>
      <c r="C1454" s="967">
        <v>85200</v>
      </c>
      <c r="D1454" s="967" t="s">
        <v>2250</v>
      </c>
      <c r="E1454" s="967">
        <v>965139</v>
      </c>
      <c r="F1454" s="967">
        <v>81017390100</v>
      </c>
      <c r="G1454" s="967">
        <v>85000</v>
      </c>
      <c r="H1454" s="967">
        <v>85500</v>
      </c>
      <c r="I1454" s="967">
        <v>84500</v>
      </c>
      <c r="J1454" s="967">
        <v>17040000</v>
      </c>
      <c r="K1454" s="967">
        <v>200000000</v>
      </c>
    </row>
    <row r="1455" spans="2:11" ht="16" hidden="1" outlineLevel="1">
      <c r="B1455" s="968" t="s">
        <v>1815</v>
      </c>
      <c r="C1455" s="967">
        <v>84000</v>
      </c>
      <c r="D1455" s="967" t="s">
        <v>2249</v>
      </c>
      <c r="E1455" s="967">
        <v>5850872</v>
      </c>
      <c r="F1455" s="967">
        <v>498370111000</v>
      </c>
      <c r="G1455" s="967">
        <v>85400</v>
      </c>
      <c r="H1455" s="967">
        <v>85800</v>
      </c>
      <c r="I1455" s="967">
        <v>83800</v>
      </c>
      <c r="J1455" s="967">
        <v>16800000</v>
      </c>
      <c r="K1455" s="967">
        <v>200000000</v>
      </c>
    </row>
    <row r="1456" spans="2:11" ht="16" hidden="1" outlineLevel="1">
      <c r="B1456" s="968" t="s">
        <v>1813</v>
      </c>
      <c r="C1456" s="967">
        <v>90000</v>
      </c>
      <c r="D1456" s="967" t="s">
        <v>2248</v>
      </c>
      <c r="E1456" s="967">
        <v>304763</v>
      </c>
      <c r="F1456" s="967">
        <v>27609564300</v>
      </c>
      <c r="G1456" s="967">
        <v>91600</v>
      </c>
      <c r="H1456" s="967">
        <v>91900</v>
      </c>
      <c r="I1456" s="967">
        <v>89700</v>
      </c>
      <c r="J1456" s="967">
        <v>18000000</v>
      </c>
      <c r="K1456" s="967">
        <v>200000000</v>
      </c>
    </row>
    <row r="1457" spans="2:11" ht="16" hidden="1" outlineLevel="1">
      <c r="B1457" s="968" t="s">
        <v>1812</v>
      </c>
      <c r="C1457" s="967">
        <v>91000</v>
      </c>
      <c r="D1457" s="967" t="s">
        <v>2228</v>
      </c>
      <c r="E1457" s="967">
        <v>160070</v>
      </c>
      <c r="F1457" s="967">
        <v>14643434300</v>
      </c>
      <c r="G1457" s="967">
        <v>91500</v>
      </c>
      <c r="H1457" s="967">
        <v>92800</v>
      </c>
      <c r="I1457" s="967">
        <v>90900</v>
      </c>
      <c r="J1457" s="967">
        <v>18200000</v>
      </c>
      <c r="K1457" s="967">
        <v>200000000</v>
      </c>
    </row>
    <row r="1458" spans="2:11" ht="16" hidden="1" outlineLevel="1">
      <c r="B1458" s="968" t="s">
        <v>1810</v>
      </c>
      <c r="C1458" s="967">
        <v>91100</v>
      </c>
      <c r="D1458" s="967" t="s">
        <v>2212</v>
      </c>
      <c r="E1458" s="967">
        <v>338554</v>
      </c>
      <c r="F1458" s="967">
        <v>31115716100</v>
      </c>
      <c r="G1458" s="967">
        <v>91000</v>
      </c>
      <c r="H1458" s="967">
        <v>92900</v>
      </c>
      <c r="I1458" s="967">
        <v>90600</v>
      </c>
      <c r="J1458" s="967">
        <v>18220000</v>
      </c>
      <c r="K1458" s="967">
        <v>200000000</v>
      </c>
    </row>
    <row r="1459" spans="2:11" ht="16" hidden="1" outlineLevel="1">
      <c r="B1459" s="968" t="s">
        <v>1809</v>
      </c>
      <c r="C1459" s="967">
        <v>91000</v>
      </c>
      <c r="D1459" s="967" t="s">
        <v>2212</v>
      </c>
      <c r="E1459" s="967">
        <v>194845</v>
      </c>
      <c r="F1459" s="967">
        <v>17506173600</v>
      </c>
      <c r="G1459" s="967">
        <v>90300</v>
      </c>
      <c r="H1459" s="967">
        <v>91600</v>
      </c>
      <c r="I1459" s="967">
        <v>90200</v>
      </c>
      <c r="J1459" s="967">
        <v>18200000</v>
      </c>
      <c r="K1459" s="967">
        <v>200000000</v>
      </c>
    </row>
    <row r="1460" spans="2:11" ht="16" hidden="1" outlineLevel="1">
      <c r="B1460" s="968" t="s">
        <v>1807</v>
      </c>
      <c r="C1460" s="967">
        <v>90900</v>
      </c>
      <c r="D1460" s="967" t="s">
        <v>2232</v>
      </c>
      <c r="E1460" s="967">
        <v>347722</v>
      </c>
      <c r="F1460" s="967">
        <v>31689928900</v>
      </c>
      <c r="G1460" s="967">
        <v>91400</v>
      </c>
      <c r="H1460" s="967">
        <v>92400</v>
      </c>
      <c r="I1460" s="967">
        <v>90200</v>
      </c>
      <c r="J1460" s="967">
        <v>18180000</v>
      </c>
      <c r="K1460" s="967">
        <v>200000000</v>
      </c>
    </row>
    <row r="1461" spans="2:11" ht="16" hidden="1" outlineLevel="1">
      <c r="B1461" s="968" t="s">
        <v>1805</v>
      </c>
      <c r="C1461" s="967">
        <v>90700</v>
      </c>
      <c r="D1461" s="967" t="s">
        <v>2247</v>
      </c>
      <c r="E1461" s="967">
        <v>181201</v>
      </c>
      <c r="F1461" s="967">
        <v>16595099800</v>
      </c>
      <c r="G1461" s="967">
        <v>91100</v>
      </c>
      <c r="H1461" s="967">
        <v>92800</v>
      </c>
      <c r="I1461" s="967">
        <v>90700</v>
      </c>
      <c r="J1461" s="967">
        <v>18140000</v>
      </c>
      <c r="K1461" s="967">
        <v>200000000</v>
      </c>
    </row>
    <row r="1462" spans="2:11" ht="16" hidden="1" outlineLevel="1">
      <c r="B1462" s="968" t="s">
        <v>1803</v>
      </c>
      <c r="C1462" s="967">
        <v>91800</v>
      </c>
      <c r="D1462" s="967" t="s">
        <v>2212</v>
      </c>
      <c r="E1462" s="967">
        <v>253942</v>
      </c>
      <c r="F1462" s="967">
        <v>23451114200</v>
      </c>
      <c r="G1462" s="967">
        <v>91700</v>
      </c>
      <c r="H1462" s="967">
        <v>93000</v>
      </c>
      <c r="I1462" s="967">
        <v>91400</v>
      </c>
      <c r="J1462" s="967">
        <v>18360000</v>
      </c>
      <c r="K1462" s="967">
        <v>200000000</v>
      </c>
    </row>
    <row r="1463" spans="2:11" ht="16" hidden="1" outlineLevel="1">
      <c r="B1463" s="968" t="s">
        <v>1801</v>
      </c>
      <c r="C1463" s="967">
        <v>91700</v>
      </c>
      <c r="D1463" s="967" t="s">
        <v>2246</v>
      </c>
      <c r="E1463" s="967">
        <v>288345</v>
      </c>
      <c r="F1463" s="967">
        <v>26588350400</v>
      </c>
      <c r="G1463" s="967">
        <v>91400</v>
      </c>
      <c r="H1463" s="967">
        <v>92900</v>
      </c>
      <c r="I1463" s="967">
        <v>90100</v>
      </c>
      <c r="J1463" s="967">
        <v>18340000</v>
      </c>
      <c r="K1463" s="967">
        <v>200000000</v>
      </c>
    </row>
    <row r="1464" spans="2:11" ht="16" hidden="1" outlineLevel="1">
      <c r="B1464" s="968" t="s">
        <v>1799</v>
      </c>
      <c r="C1464" s="967">
        <v>90800</v>
      </c>
      <c r="D1464" s="967" t="s">
        <v>2245</v>
      </c>
      <c r="E1464" s="967">
        <v>413730</v>
      </c>
      <c r="F1464" s="967">
        <v>36933758900</v>
      </c>
      <c r="G1464" s="967">
        <v>88900</v>
      </c>
      <c r="H1464" s="967">
        <v>91300</v>
      </c>
      <c r="I1464" s="967">
        <v>87300</v>
      </c>
      <c r="J1464" s="967">
        <v>18160000</v>
      </c>
      <c r="K1464" s="967">
        <v>200000000</v>
      </c>
    </row>
    <row r="1465" spans="2:11" ht="16" hidden="1" outlineLevel="1">
      <c r="B1465" s="968" t="s">
        <v>1797</v>
      </c>
      <c r="C1465" s="967">
        <v>89300</v>
      </c>
      <c r="D1465" s="967" t="s">
        <v>2244</v>
      </c>
      <c r="E1465" s="967">
        <v>341486</v>
      </c>
      <c r="F1465" s="967">
        <v>29966236700</v>
      </c>
      <c r="G1465" s="967">
        <v>88400</v>
      </c>
      <c r="H1465" s="967">
        <v>89900</v>
      </c>
      <c r="I1465" s="967">
        <v>86500</v>
      </c>
      <c r="J1465" s="967">
        <v>17860000</v>
      </c>
      <c r="K1465" s="967">
        <v>200000000</v>
      </c>
    </row>
    <row r="1466" spans="2:11" ht="16" hidden="1" outlineLevel="1">
      <c r="B1466" s="968" t="s">
        <v>1795</v>
      </c>
      <c r="C1466" s="967">
        <v>90800</v>
      </c>
      <c r="D1466" s="967" t="s">
        <v>2243</v>
      </c>
      <c r="E1466" s="967">
        <v>294430</v>
      </c>
      <c r="F1466" s="967">
        <v>26534373700</v>
      </c>
      <c r="G1466" s="967">
        <v>89700</v>
      </c>
      <c r="H1466" s="967">
        <v>91800</v>
      </c>
      <c r="I1466" s="967">
        <v>88900</v>
      </c>
      <c r="J1466" s="967">
        <v>18160000</v>
      </c>
      <c r="K1466" s="967">
        <v>200000000</v>
      </c>
    </row>
    <row r="1467" spans="2:11" ht="16" hidden="1" outlineLevel="1">
      <c r="B1467" s="968" t="s">
        <v>1793</v>
      </c>
      <c r="C1467" s="967">
        <v>90500</v>
      </c>
      <c r="D1467" s="967" t="s">
        <v>2215</v>
      </c>
      <c r="E1467" s="967">
        <v>490260</v>
      </c>
      <c r="F1467" s="967">
        <v>43867781600</v>
      </c>
      <c r="G1467" s="967">
        <v>91400</v>
      </c>
      <c r="H1467" s="967">
        <v>91400</v>
      </c>
      <c r="I1467" s="967">
        <v>88100</v>
      </c>
      <c r="J1467" s="967">
        <v>18100000</v>
      </c>
      <c r="K1467" s="967">
        <v>200000000</v>
      </c>
    </row>
    <row r="1468" spans="2:11" ht="16" hidden="1" outlineLevel="1">
      <c r="B1468" s="968" t="s">
        <v>1791</v>
      </c>
      <c r="C1468" s="967">
        <v>90800</v>
      </c>
      <c r="D1468" s="967" t="s">
        <v>2242</v>
      </c>
      <c r="E1468" s="967">
        <v>319685</v>
      </c>
      <c r="F1468" s="967">
        <v>29167098500</v>
      </c>
      <c r="G1468" s="967">
        <v>92500</v>
      </c>
      <c r="H1468" s="967">
        <v>92800</v>
      </c>
      <c r="I1468" s="967">
        <v>90200</v>
      </c>
      <c r="J1468" s="967">
        <v>18160000</v>
      </c>
      <c r="K1468" s="967">
        <v>200000000</v>
      </c>
    </row>
    <row r="1469" spans="2:11" s="1258" customFormat="1" ht="16" hidden="1" outlineLevel="1">
      <c r="B1469" s="968" t="s">
        <v>2607</v>
      </c>
      <c r="C1469" s="967">
        <v>92800</v>
      </c>
      <c r="D1469" s="967" t="s">
        <v>2701</v>
      </c>
      <c r="E1469" s="967">
        <v>337669</v>
      </c>
      <c r="F1469" s="967">
        <v>31120575800</v>
      </c>
      <c r="G1469" s="967">
        <v>90700</v>
      </c>
      <c r="H1469" s="967">
        <v>93200</v>
      </c>
      <c r="I1469" s="967">
        <v>90200</v>
      </c>
      <c r="J1469" s="967">
        <v>18560000</v>
      </c>
      <c r="K1469" s="967">
        <v>200000000</v>
      </c>
    </row>
    <row r="1470" spans="2:11" s="1258" customFormat="1" ht="16" hidden="1" outlineLevel="1">
      <c r="B1470" s="968" t="s">
        <v>2605</v>
      </c>
      <c r="C1470" s="967">
        <v>89100</v>
      </c>
      <c r="D1470" s="967" t="s">
        <v>2228</v>
      </c>
      <c r="E1470" s="967">
        <v>401177</v>
      </c>
      <c r="F1470" s="967">
        <v>35998362400</v>
      </c>
      <c r="G1470" s="967">
        <v>88400</v>
      </c>
      <c r="H1470" s="967">
        <v>90300</v>
      </c>
      <c r="I1470" s="967">
        <v>88400</v>
      </c>
      <c r="J1470" s="967">
        <v>17820000</v>
      </c>
      <c r="K1470" s="967">
        <v>200000000</v>
      </c>
    </row>
    <row r="1471" spans="2:11" s="1258" customFormat="1" ht="16" hidden="1" outlineLevel="1">
      <c r="B1471" s="968" t="s">
        <v>2603</v>
      </c>
      <c r="C1471" s="967">
        <v>89200</v>
      </c>
      <c r="D1471" s="967" t="s">
        <v>2760</v>
      </c>
      <c r="E1471" s="967">
        <v>416677</v>
      </c>
      <c r="F1471" s="967">
        <v>37609536600</v>
      </c>
      <c r="G1471" s="967">
        <v>91000</v>
      </c>
      <c r="H1471" s="967">
        <v>91700</v>
      </c>
      <c r="I1471" s="967">
        <v>89200</v>
      </c>
      <c r="J1471" s="967">
        <v>17840000</v>
      </c>
      <c r="K1471" s="967">
        <v>200000000</v>
      </c>
    </row>
    <row r="1472" spans="2:11" s="1258" customFormat="1" ht="16" hidden="1" outlineLevel="1">
      <c r="B1472" s="968" t="s">
        <v>2601</v>
      </c>
      <c r="C1472" s="967">
        <v>93500</v>
      </c>
      <c r="D1472" s="967" t="s">
        <v>2234</v>
      </c>
      <c r="E1472" s="967">
        <v>247466</v>
      </c>
      <c r="F1472" s="967">
        <v>22966893900</v>
      </c>
      <c r="G1472" s="967">
        <v>93000</v>
      </c>
      <c r="H1472" s="967">
        <v>94200</v>
      </c>
      <c r="I1472" s="967">
        <v>91900</v>
      </c>
      <c r="J1472" s="967">
        <v>18700000</v>
      </c>
      <c r="K1472" s="967">
        <v>200000000</v>
      </c>
    </row>
    <row r="1473" spans="2:11" s="1258" customFormat="1" ht="16" hidden="1" outlineLevel="1">
      <c r="B1473" s="968" t="s">
        <v>2599</v>
      </c>
      <c r="C1473" s="967">
        <v>94200</v>
      </c>
      <c r="D1473" s="967" t="s">
        <v>1826</v>
      </c>
      <c r="E1473" s="967">
        <v>394152</v>
      </c>
      <c r="F1473" s="967">
        <v>37622009000</v>
      </c>
      <c r="G1473" s="967">
        <v>94000</v>
      </c>
      <c r="H1473" s="967">
        <v>96900</v>
      </c>
      <c r="I1473" s="967">
        <v>93400</v>
      </c>
      <c r="J1473" s="967">
        <v>18840000</v>
      </c>
      <c r="K1473" s="967">
        <v>200000000</v>
      </c>
    </row>
    <row r="1474" spans="2:11" s="1258" customFormat="1" ht="16" hidden="1" outlineLevel="1">
      <c r="B1474" s="968" t="s">
        <v>2598</v>
      </c>
      <c r="C1474" s="967">
        <v>93700</v>
      </c>
      <c r="D1474" s="967" t="s">
        <v>2638</v>
      </c>
      <c r="E1474" s="967">
        <v>316769</v>
      </c>
      <c r="F1474" s="967">
        <v>29520922200</v>
      </c>
      <c r="G1474" s="967">
        <v>92700</v>
      </c>
      <c r="H1474" s="967">
        <v>94300</v>
      </c>
      <c r="I1474" s="967">
        <v>91800</v>
      </c>
      <c r="J1474" s="967">
        <v>18740000</v>
      </c>
      <c r="K1474" s="967">
        <v>200000000</v>
      </c>
    </row>
    <row r="1475" spans="2:11" s="1258" customFormat="1" ht="16" hidden="1" outlineLevel="1">
      <c r="B1475" s="968" t="s">
        <v>2597</v>
      </c>
      <c r="C1475" s="967">
        <v>92900</v>
      </c>
      <c r="D1475" s="967" t="s">
        <v>2638</v>
      </c>
      <c r="E1475" s="967">
        <v>349539</v>
      </c>
      <c r="F1475" s="967">
        <v>32246487300</v>
      </c>
      <c r="G1475" s="967">
        <v>91400</v>
      </c>
      <c r="H1475" s="967">
        <v>93400</v>
      </c>
      <c r="I1475" s="967">
        <v>90600</v>
      </c>
      <c r="J1475" s="967">
        <v>18580000</v>
      </c>
      <c r="K1475" s="967">
        <v>200000000</v>
      </c>
    </row>
    <row r="1476" spans="2:11" s="1258" customFormat="1" ht="16" hidden="1" outlineLevel="1">
      <c r="B1476" s="968" t="s">
        <v>2596</v>
      </c>
      <c r="C1476" s="967">
        <v>92100</v>
      </c>
      <c r="D1476" s="967" t="s">
        <v>2288</v>
      </c>
      <c r="E1476" s="967">
        <v>478641</v>
      </c>
      <c r="F1476" s="967">
        <v>44280704600</v>
      </c>
      <c r="G1476" s="967">
        <v>91200</v>
      </c>
      <c r="H1476" s="967">
        <v>94200</v>
      </c>
      <c r="I1476" s="967">
        <v>91000</v>
      </c>
      <c r="J1476" s="967">
        <v>18420000</v>
      </c>
      <c r="K1476" s="967">
        <v>200000000</v>
      </c>
    </row>
    <row r="1477" spans="2:11" s="1258" customFormat="1" ht="16" hidden="1" outlineLevel="1">
      <c r="B1477" s="968" t="s">
        <v>2595</v>
      </c>
      <c r="C1477" s="967">
        <v>90100</v>
      </c>
      <c r="D1477" s="967" t="s">
        <v>2240</v>
      </c>
      <c r="E1477" s="967">
        <v>440562</v>
      </c>
      <c r="F1477" s="967">
        <v>39519065700</v>
      </c>
      <c r="G1477" s="967">
        <v>89400</v>
      </c>
      <c r="H1477" s="967">
        <v>90400</v>
      </c>
      <c r="I1477" s="967">
        <v>88800</v>
      </c>
      <c r="J1477" s="967">
        <v>18020000</v>
      </c>
      <c r="K1477" s="967">
        <v>200000000</v>
      </c>
    </row>
    <row r="1478" spans="2:11" s="1258" customFormat="1" ht="16" hidden="1" outlineLevel="1">
      <c r="B1478" s="968" t="s">
        <v>2594</v>
      </c>
      <c r="C1478" s="967">
        <v>88200</v>
      </c>
      <c r="D1478" s="967" t="s">
        <v>2211</v>
      </c>
      <c r="E1478" s="967">
        <v>252472</v>
      </c>
      <c r="F1478" s="967">
        <v>22210857300</v>
      </c>
      <c r="G1478" s="967">
        <v>89400</v>
      </c>
      <c r="H1478" s="967">
        <v>89400</v>
      </c>
      <c r="I1478" s="967">
        <v>87300</v>
      </c>
      <c r="J1478" s="967">
        <v>17640000</v>
      </c>
      <c r="K1478" s="967">
        <v>200000000</v>
      </c>
    </row>
    <row r="1479" spans="2:11" s="1258" customFormat="1" ht="16" hidden="1" outlineLevel="1">
      <c r="B1479" s="968" t="s">
        <v>2592</v>
      </c>
      <c r="C1479" s="967">
        <v>88600</v>
      </c>
      <c r="D1479" s="967" t="s">
        <v>2212</v>
      </c>
      <c r="E1479" s="967">
        <v>319141</v>
      </c>
      <c r="F1479" s="967">
        <v>28455021100</v>
      </c>
      <c r="G1479" s="967">
        <v>88100</v>
      </c>
      <c r="H1479" s="967">
        <v>90100</v>
      </c>
      <c r="I1479" s="967">
        <v>87600</v>
      </c>
      <c r="J1479" s="967">
        <v>17720000</v>
      </c>
      <c r="K1479" s="967">
        <v>200000000</v>
      </c>
    </row>
    <row r="1480" spans="2:11" s="1258" customFormat="1" ht="16" hidden="1" outlineLevel="1">
      <c r="B1480" s="968" t="s">
        <v>2591</v>
      </c>
      <c r="C1480" s="967">
        <v>88500</v>
      </c>
      <c r="D1480" s="967" t="s">
        <v>2658</v>
      </c>
      <c r="E1480" s="967">
        <v>522097</v>
      </c>
      <c r="F1480" s="967">
        <v>46544739300</v>
      </c>
      <c r="G1480" s="967">
        <v>90700</v>
      </c>
      <c r="H1480" s="967">
        <v>91100</v>
      </c>
      <c r="I1480" s="967">
        <v>88200</v>
      </c>
      <c r="J1480" s="967">
        <v>17700000</v>
      </c>
      <c r="K1480" s="967">
        <v>200000000</v>
      </c>
    </row>
    <row r="1481" spans="2:11" s="1258" customFormat="1" ht="16" hidden="1" outlineLevel="1">
      <c r="B1481" s="968" t="s">
        <v>2590</v>
      </c>
      <c r="C1481" s="967">
        <v>90300</v>
      </c>
      <c r="D1481" s="967" t="s">
        <v>2638</v>
      </c>
      <c r="E1481" s="967">
        <v>298441</v>
      </c>
      <c r="F1481" s="967">
        <v>26848201300</v>
      </c>
      <c r="G1481" s="967">
        <v>90100</v>
      </c>
      <c r="H1481" s="967">
        <v>91500</v>
      </c>
      <c r="I1481" s="967">
        <v>89200</v>
      </c>
      <c r="J1481" s="967">
        <v>18060000</v>
      </c>
      <c r="K1481" s="967">
        <v>200000000</v>
      </c>
    </row>
    <row r="1482" spans="2:11" s="1258" customFormat="1" ht="16" hidden="1" outlineLevel="1">
      <c r="B1482" s="968" t="s">
        <v>2589</v>
      </c>
      <c r="C1482" s="967">
        <v>89500</v>
      </c>
      <c r="D1482" s="967" t="s">
        <v>1814</v>
      </c>
      <c r="E1482" s="967">
        <v>348073</v>
      </c>
      <c r="F1482" s="967">
        <v>30795613700</v>
      </c>
      <c r="G1482" s="967">
        <v>88000</v>
      </c>
      <c r="H1482" s="967">
        <v>90000</v>
      </c>
      <c r="I1482" s="967">
        <v>87100</v>
      </c>
      <c r="J1482" s="967">
        <v>17900000</v>
      </c>
      <c r="K1482" s="967">
        <v>200000000</v>
      </c>
    </row>
    <row r="1483" spans="2:11" s="1258" customFormat="1" ht="16" hidden="1" outlineLevel="1">
      <c r="B1483" s="968" t="s">
        <v>2588</v>
      </c>
      <c r="C1483" s="967">
        <v>90000</v>
      </c>
      <c r="D1483" s="967" t="s">
        <v>2242</v>
      </c>
      <c r="E1483" s="967">
        <v>411694</v>
      </c>
      <c r="F1483" s="967">
        <v>37239167500</v>
      </c>
      <c r="G1483" s="967">
        <v>91000</v>
      </c>
      <c r="H1483" s="967">
        <v>92300</v>
      </c>
      <c r="I1483" s="967">
        <v>89500</v>
      </c>
      <c r="J1483" s="967">
        <v>18000000</v>
      </c>
      <c r="K1483" s="967">
        <v>200000000</v>
      </c>
    </row>
    <row r="1484" spans="2:11" s="1258" customFormat="1" ht="16" hidden="1" outlineLevel="1">
      <c r="B1484" s="968" t="s">
        <v>2587</v>
      </c>
      <c r="C1484" s="967">
        <v>92000</v>
      </c>
      <c r="D1484" s="967" t="s">
        <v>2699</v>
      </c>
      <c r="E1484" s="967">
        <v>618914</v>
      </c>
      <c r="F1484" s="967">
        <v>56799739800</v>
      </c>
      <c r="G1484" s="967">
        <v>89800</v>
      </c>
      <c r="H1484" s="967">
        <v>93500</v>
      </c>
      <c r="I1484" s="967">
        <v>89100</v>
      </c>
      <c r="J1484" s="967">
        <v>18400000</v>
      </c>
      <c r="K1484" s="967">
        <v>200000000</v>
      </c>
    </row>
    <row r="1485" spans="2:11" s="1258" customFormat="1" ht="16" hidden="1" outlineLevel="1">
      <c r="B1485" s="968" t="s">
        <v>2586</v>
      </c>
      <c r="C1485" s="967">
        <v>89700</v>
      </c>
      <c r="D1485" s="967" t="s">
        <v>2706</v>
      </c>
      <c r="E1485" s="967">
        <v>1114693</v>
      </c>
      <c r="F1485" s="967">
        <v>99530470000</v>
      </c>
      <c r="G1485" s="967">
        <v>87300</v>
      </c>
      <c r="H1485" s="967">
        <v>91900</v>
      </c>
      <c r="I1485" s="967">
        <v>86500</v>
      </c>
      <c r="J1485" s="967">
        <v>17940000</v>
      </c>
      <c r="K1485" s="967">
        <v>200000000</v>
      </c>
    </row>
    <row r="1486" spans="2:11" s="1258" customFormat="1" ht="16" hidden="1" outlineLevel="1">
      <c r="B1486" s="968" t="s">
        <v>2584</v>
      </c>
      <c r="C1486" s="967">
        <v>85000</v>
      </c>
      <c r="D1486" s="967" t="s">
        <v>2638</v>
      </c>
      <c r="E1486" s="967">
        <v>6745437</v>
      </c>
      <c r="F1486" s="967">
        <v>573144954100</v>
      </c>
      <c r="G1486" s="967">
        <v>84300</v>
      </c>
      <c r="H1486" s="967">
        <v>85000</v>
      </c>
      <c r="I1486" s="967">
        <v>83700</v>
      </c>
      <c r="J1486" s="967">
        <v>17000000</v>
      </c>
      <c r="K1486" s="967">
        <v>200000000</v>
      </c>
    </row>
    <row r="1487" spans="2:11" s="1258" customFormat="1" ht="16" hidden="1" outlineLevel="1">
      <c r="B1487" s="968" t="s">
        <v>2583</v>
      </c>
      <c r="C1487" s="967">
        <v>84200</v>
      </c>
      <c r="D1487" s="967" t="s">
        <v>2232</v>
      </c>
      <c r="E1487" s="967">
        <v>379142</v>
      </c>
      <c r="F1487" s="967">
        <v>32026019300</v>
      </c>
      <c r="G1487" s="967">
        <v>85000</v>
      </c>
      <c r="H1487" s="967">
        <v>85200</v>
      </c>
      <c r="I1487" s="967">
        <v>84000</v>
      </c>
      <c r="J1487" s="967">
        <v>16840000</v>
      </c>
      <c r="K1487" s="967">
        <v>200000000</v>
      </c>
    </row>
    <row r="1488" spans="2:11" s="1258" customFormat="1" ht="16" hidden="1" outlineLevel="1">
      <c r="B1488" s="968" t="s">
        <v>2582</v>
      </c>
      <c r="C1488" s="967">
        <v>84000</v>
      </c>
      <c r="D1488" s="967" t="s">
        <v>2221</v>
      </c>
      <c r="E1488" s="967">
        <v>361740</v>
      </c>
      <c r="F1488" s="967">
        <v>30326178400</v>
      </c>
      <c r="G1488" s="967">
        <v>84500</v>
      </c>
      <c r="H1488" s="967">
        <v>84800</v>
      </c>
      <c r="I1488" s="967">
        <v>83200</v>
      </c>
      <c r="J1488" s="967">
        <v>16800000</v>
      </c>
      <c r="K1488" s="967">
        <v>200000000</v>
      </c>
    </row>
    <row r="1489" spans="2:11" s="1258" customFormat="1" ht="16" hidden="1" outlineLevel="1">
      <c r="B1489" s="968" t="s">
        <v>2581</v>
      </c>
      <c r="C1489" s="967">
        <v>84000</v>
      </c>
      <c r="D1489" s="967" t="s">
        <v>2228</v>
      </c>
      <c r="E1489" s="967">
        <v>158939</v>
      </c>
      <c r="F1489" s="967">
        <v>13381445200</v>
      </c>
      <c r="G1489" s="967">
        <v>84000</v>
      </c>
      <c r="H1489" s="967">
        <v>84800</v>
      </c>
      <c r="I1489" s="967">
        <v>83600</v>
      </c>
      <c r="J1489" s="967">
        <v>16800000</v>
      </c>
      <c r="K1489" s="967">
        <v>200000000</v>
      </c>
    </row>
    <row r="1490" spans="2:11" s="1258" customFormat="1" ht="16" hidden="1" outlineLevel="1">
      <c r="B1490" s="968" t="s">
        <v>2580</v>
      </c>
      <c r="C1490" s="967">
        <v>84100</v>
      </c>
      <c r="D1490" s="967" t="s">
        <v>2247</v>
      </c>
      <c r="E1490" s="967">
        <v>281253</v>
      </c>
      <c r="F1490" s="967">
        <v>23797869300</v>
      </c>
      <c r="G1490" s="967">
        <v>85100</v>
      </c>
      <c r="H1490" s="967">
        <v>85900</v>
      </c>
      <c r="I1490" s="967">
        <v>84000</v>
      </c>
      <c r="J1490" s="967">
        <v>16820000</v>
      </c>
      <c r="K1490" s="967">
        <v>200000000</v>
      </c>
    </row>
    <row r="1491" spans="2:11" s="1258" customFormat="1" ht="16" hidden="1" outlineLevel="1">
      <c r="B1491" s="968" t="s">
        <v>2578</v>
      </c>
      <c r="C1491" s="967">
        <v>85200</v>
      </c>
      <c r="D1491" s="967" t="s">
        <v>2641</v>
      </c>
      <c r="E1491" s="967">
        <v>363445</v>
      </c>
      <c r="F1491" s="967">
        <v>31073506000</v>
      </c>
      <c r="G1491" s="967">
        <v>87200</v>
      </c>
      <c r="H1491" s="967">
        <v>87500</v>
      </c>
      <c r="I1491" s="967">
        <v>84800</v>
      </c>
      <c r="J1491" s="967">
        <v>17040000</v>
      </c>
      <c r="K1491" s="967">
        <v>200000000</v>
      </c>
    </row>
    <row r="1492" spans="2:11" s="1258" customFormat="1" ht="16" hidden="1" outlineLevel="1">
      <c r="B1492" s="968" t="s">
        <v>2577</v>
      </c>
      <c r="C1492" s="967">
        <v>87100</v>
      </c>
      <c r="D1492" s="967" t="s">
        <v>2243</v>
      </c>
      <c r="E1492" s="967">
        <v>268198</v>
      </c>
      <c r="F1492" s="967">
        <v>23408269300</v>
      </c>
      <c r="G1492" s="967">
        <v>88000</v>
      </c>
      <c r="H1492" s="967">
        <v>88100</v>
      </c>
      <c r="I1492" s="967">
        <v>86200</v>
      </c>
      <c r="J1492" s="967">
        <v>17420000</v>
      </c>
      <c r="K1492" s="967">
        <v>200000000</v>
      </c>
    </row>
    <row r="1493" spans="2:11" s="1258" customFormat="1" ht="16" hidden="1" outlineLevel="1">
      <c r="B1493" s="968" t="s">
        <v>2576</v>
      </c>
      <c r="C1493" s="967">
        <v>86800</v>
      </c>
      <c r="D1493" s="967" t="s">
        <v>2250</v>
      </c>
      <c r="E1493" s="967">
        <v>295281</v>
      </c>
      <c r="F1493" s="967">
        <v>25410250100</v>
      </c>
      <c r="G1493" s="967">
        <v>84700</v>
      </c>
      <c r="H1493" s="967">
        <v>87800</v>
      </c>
      <c r="I1493" s="967">
        <v>84500</v>
      </c>
      <c r="J1493" s="967">
        <v>17360000</v>
      </c>
      <c r="K1493" s="967">
        <v>200000000</v>
      </c>
    </row>
    <row r="1494" spans="2:11" s="1258" customFormat="1" ht="16" hidden="1" outlineLevel="1">
      <c r="B1494" s="968" t="s">
        <v>2575</v>
      </c>
      <c r="C1494" s="967">
        <v>85600</v>
      </c>
      <c r="D1494" s="967" t="s">
        <v>2305</v>
      </c>
      <c r="E1494" s="967">
        <v>360494</v>
      </c>
      <c r="F1494" s="967">
        <v>30755625000</v>
      </c>
      <c r="G1494" s="967">
        <v>85500</v>
      </c>
      <c r="H1494" s="967">
        <v>85900</v>
      </c>
      <c r="I1494" s="967">
        <v>84500</v>
      </c>
      <c r="J1494" s="967">
        <v>17120000</v>
      </c>
      <c r="K1494" s="967">
        <v>200000000</v>
      </c>
    </row>
    <row r="1495" spans="2:11" s="1258" customFormat="1" ht="16" hidden="1" outlineLevel="1">
      <c r="B1495" s="968" t="s">
        <v>2574</v>
      </c>
      <c r="C1495" s="967">
        <v>87200</v>
      </c>
      <c r="D1495" s="967" t="s">
        <v>2248</v>
      </c>
      <c r="E1495" s="967">
        <v>256161</v>
      </c>
      <c r="F1495" s="967">
        <v>22403421400</v>
      </c>
      <c r="G1495" s="967">
        <v>89600</v>
      </c>
      <c r="H1495" s="967">
        <v>89600</v>
      </c>
      <c r="I1495" s="967">
        <v>86600</v>
      </c>
      <c r="J1495" s="967">
        <v>17440000</v>
      </c>
      <c r="K1495" s="967">
        <v>200000000</v>
      </c>
    </row>
    <row r="1496" spans="2:11" s="1258" customFormat="1" ht="16" hidden="1" outlineLevel="1">
      <c r="B1496" s="968" t="s">
        <v>2572</v>
      </c>
      <c r="C1496" s="967">
        <v>88200</v>
      </c>
      <c r="D1496" s="967" t="s">
        <v>2245</v>
      </c>
      <c r="E1496" s="967">
        <v>294334</v>
      </c>
      <c r="F1496" s="967">
        <v>25888776700</v>
      </c>
      <c r="G1496" s="967">
        <v>86400</v>
      </c>
      <c r="H1496" s="967">
        <v>89400</v>
      </c>
      <c r="I1496" s="967">
        <v>86200</v>
      </c>
      <c r="J1496" s="967">
        <v>17640000</v>
      </c>
      <c r="K1496" s="967">
        <v>200000000</v>
      </c>
    </row>
    <row r="1497" spans="2:11" s="1258" customFormat="1" ht="16" hidden="1" outlineLevel="1">
      <c r="B1497" s="968" t="s">
        <v>2571</v>
      </c>
      <c r="C1497" s="967">
        <v>86700</v>
      </c>
      <c r="D1497" s="967" t="s">
        <v>2245</v>
      </c>
      <c r="E1497" s="967">
        <v>351539</v>
      </c>
      <c r="F1497" s="967">
        <v>30486870500</v>
      </c>
      <c r="G1497" s="967">
        <v>86300</v>
      </c>
      <c r="H1497" s="967">
        <v>88000</v>
      </c>
      <c r="I1497" s="967">
        <v>86200</v>
      </c>
      <c r="J1497" s="967">
        <v>17340000</v>
      </c>
      <c r="K1497" s="967">
        <v>200000000</v>
      </c>
    </row>
    <row r="1498" spans="2:11" s="1258" customFormat="1" ht="16" hidden="1" outlineLevel="1">
      <c r="B1498" s="968" t="s">
        <v>2569</v>
      </c>
      <c r="C1498" s="967">
        <v>85200</v>
      </c>
      <c r="D1498" s="967" t="s">
        <v>2208</v>
      </c>
      <c r="E1498" s="967">
        <v>386209</v>
      </c>
      <c r="F1498" s="967">
        <v>32952181500</v>
      </c>
      <c r="G1498" s="967">
        <v>86500</v>
      </c>
      <c r="H1498" s="967">
        <v>86800</v>
      </c>
      <c r="I1498" s="967">
        <v>84400</v>
      </c>
      <c r="J1498" s="967">
        <v>17040000</v>
      </c>
      <c r="K1498" s="967">
        <v>200000000</v>
      </c>
    </row>
    <row r="1499" spans="2:11" s="1258" customFormat="1" ht="16" hidden="1" outlineLevel="1">
      <c r="B1499" s="968" t="s">
        <v>2567</v>
      </c>
      <c r="C1499" s="967">
        <v>84500</v>
      </c>
      <c r="D1499" s="967" t="s">
        <v>2221</v>
      </c>
      <c r="E1499" s="967">
        <v>449498</v>
      </c>
      <c r="F1499" s="967">
        <v>37778460300</v>
      </c>
      <c r="G1499" s="967">
        <v>81300</v>
      </c>
      <c r="H1499" s="967">
        <v>86500</v>
      </c>
      <c r="I1499" s="967">
        <v>81300</v>
      </c>
      <c r="J1499" s="967">
        <v>16900000</v>
      </c>
      <c r="K1499" s="967">
        <v>200000000</v>
      </c>
    </row>
    <row r="1500" spans="2:11" s="1258" customFormat="1" ht="16" hidden="1" outlineLevel="1">
      <c r="B1500" s="968" t="s">
        <v>2566</v>
      </c>
      <c r="C1500" s="967">
        <v>84500</v>
      </c>
      <c r="D1500" s="967" t="s">
        <v>2211</v>
      </c>
      <c r="E1500" s="967">
        <v>697901</v>
      </c>
      <c r="F1500" s="967">
        <v>59653983300</v>
      </c>
      <c r="G1500" s="967">
        <v>87200</v>
      </c>
      <c r="H1500" s="967">
        <v>87900</v>
      </c>
      <c r="I1500" s="967">
        <v>84300</v>
      </c>
      <c r="J1500" s="967">
        <v>16900000</v>
      </c>
      <c r="K1500" s="967">
        <v>200000000</v>
      </c>
    </row>
    <row r="1501" spans="2:11" s="1258" customFormat="1" ht="16" hidden="1" outlineLevel="1">
      <c r="B1501" s="968" t="s">
        <v>2564</v>
      </c>
      <c r="C1501" s="967">
        <v>84900</v>
      </c>
      <c r="D1501" s="967" t="s">
        <v>2759</v>
      </c>
      <c r="E1501" s="967">
        <v>824674</v>
      </c>
      <c r="F1501" s="967">
        <v>70409791400</v>
      </c>
      <c r="G1501" s="967">
        <v>89000</v>
      </c>
      <c r="H1501" s="967">
        <v>89900</v>
      </c>
      <c r="I1501" s="967">
        <v>81000</v>
      </c>
      <c r="J1501" s="967">
        <v>16980000</v>
      </c>
      <c r="K1501" s="967">
        <v>200000000</v>
      </c>
    </row>
    <row r="1502" spans="2:11" s="1258" customFormat="1" ht="16" hidden="1" outlineLevel="1">
      <c r="B1502" s="968" t="s">
        <v>2563</v>
      </c>
      <c r="C1502" s="967">
        <v>91100</v>
      </c>
      <c r="D1502" s="967" t="s">
        <v>2758</v>
      </c>
      <c r="E1502" s="967">
        <v>519390</v>
      </c>
      <c r="F1502" s="967">
        <v>48111067500</v>
      </c>
      <c r="G1502" s="967">
        <v>93900</v>
      </c>
      <c r="H1502" s="967">
        <v>95100</v>
      </c>
      <c r="I1502" s="967">
        <v>89900</v>
      </c>
      <c r="J1502" s="967">
        <v>18220000</v>
      </c>
      <c r="K1502" s="967">
        <v>200000000</v>
      </c>
    </row>
    <row r="1503" spans="2:11" s="1258" customFormat="1" ht="16" hidden="1" outlineLevel="1">
      <c r="B1503" s="968" t="s">
        <v>2562</v>
      </c>
      <c r="C1503" s="967">
        <v>95500</v>
      </c>
      <c r="D1503" s="967" t="s">
        <v>2244</v>
      </c>
      <c r="E1503" s="967">
        <v>494150</v>
      </c>
      <c r="F1503" s="967">
        <v>46606066500</v>
      </c>
      <c r="G1503" s="967">
        <v>93200</v>
      </c>
      <c r="H1503" s="967">
        <v>95500</v>
      </c>
      <c r="I1503" s="967">
        <v>93100</v>
      </c>
      <c r="J1503" s="967">
        <v>19100000</v>
      </c>
      <c r="K1503" s="967">
        <v>200000000</v>
      </c>
    </row>
    <row r="1504" spans="2:11" s="1258" customFormat="1" ht="16" hidden="1" outlineLevel="1">
      <c r="B1504" s="968" t="s">
        <v>2561</v>
      </c>
      <c r="C1504" s="967">
        <v>97000</v>
      </c>
      <c r="D1504" s="967" t="s">
        <v>2247</v>
      </c>
      <c r="E1504" s="967">
        <v>322038</v>
      </c>
      <c r="F1504" s="967">
        <v>31329282600</v>
      </c>
      <c r="G1504" s="967">
        <v>98600</v>
      </c>
      <c r="H1504" s="967">
        <v>98700</v>
      </c>
      <c r="I1504" s="967">
        <v>96500</v>
      </c>
      <c r="J1504" s="967">
        <v>19400000</v>
      </c>
      <c r="K1504" s="967">
        <v>200000000</v>
      </c>
    </row>
    <row r="1505" spans="2:11" s="1258" customFormat="1" ht="16" hidden="1" outlineLevel="1">
      <c r="B1505" s="968" t="s">
        <v>2560</v>
      </c>
      <c r="C1505" s="967">
        <v>98100</v>
      </c>
      <c r="D1505" s="967" t="s">
        <v>2298</v>
      </c>
      <c r="E1505" s="967">
        <v>283646</v>
      </c>
      <c r="F1505" s="967">
        <v>27722473500</v>
      </c>
      <c r="G1505" s="967">
        <v>98000</v>
      </c>
      <c r="H1505" s="967">
        <v>98400</v>
      </c>
      <c r="I1505" s="967">
        <v>97200</v>
      </c>
      <c r="J1505" s="967">
        <v>19620000</v>
      </c>
      <c r="K1505" s="967">
        <v>200000000</v>
      </c>
    </row>
    <row r="1506" spans="2:11" s="1258" customFormat="1" ht="16" hidden="1" outlineLevel="1">
      <c r="B1506" s="968" t="s">
        <v>2559</v>
      </c>
      <c r="C1506" s="967">
        <v>99500</v>
      </c>
      <c r="D1506" s="967" t="s">
        <v>2244</v>
      </c>
      <c r="E1506" s="967">
        <v>217022</v>
      </c>
      <c r="F1506" s="967">
        <v>21633794700</v>
      </c>
      <c r="G1506" s="967">
        <v>100500</v>
      </c>
      <c r="H1506" s="967">
        <v>101000</v>
      </c>
      <c r="I1506" s="967">
        <v>99500</v>
      </c>
      <c r="J1506" s="967">
        <v>19900000</v>
      </c>
      <c r="K1506" s="967">
        <v>200000000</v>
      </c>
    </row>
    <row r="1507" spans="2:11" s="1258" customFormat="1" ht="16" hidden="1" outlineLevel="1">
      <c r="B1507" s="968" t="s">
        <v>2557</v>
      </c>
      <c r="C1507" s="967">
        <v>101000</v>
      </c>
      <c r="D1507" s="967" t="s">
        <v>2250</v>
      </c>
      <c r="E1507" s="967">
        <v>296475</v>
      </c>
      <c r="F1507" s="967">
        <v>29847921600</v>
      </c>
      <c r="G1507" s="967">
        <v>100500</v>
      </c>
      <c r="H1507" s="967">
        <v>101000</v>
      </c>
      <c r="I1507" s="967">
        <v>100000</v>
      </c>
      <c r="J1507" s="967">
        <v>20200000</v>
      </c>
      <c r="K1507" s="967">
        <v>200000000</v>
      </c>
    </row>
    <row r="1508" spans="2:11" s="1258" customFormat="1" ht="16" hidden="1" outlineLevel="1">
      <c r="B1508" s="968" t="s">
        <v>2555</v>
      </c>
      <c r="C1508" s="967">
        <v>99800</v>
      </c>
      <c r="D1508" s="967" t="s">
        <v>2228</v>
      </c>
      <c r="E1508" s="967">
        <v>156779</v>
      </c>
      <c r="F1508" s="967">
        <v>15633870000</v>
      </c>
      <c r="G1508" s="967">
        <v>99700</v>
      </c>
      <c r="H1508" s="967">
        <v>99900</v>
      </c>
      <c r="I1508" s="967">
        <v>99400</v>
      </c>
      <c r="J1508" s="967">
        <v>19960000</v>
      </c>
      <c r="K1508" s="967">
        <v>200000000</v>
      </c>
    </row>
    <row r="1509" spans="2:11" s="1258" customFormat="1" ht="16" hidden="1" outlineLevel="1">
      <c r="B1509" s="968" t="s">
        <v>2554</v>
      </c>
      <c r="C1509" s="967">
        <v>99900</v>
      </c>
      <c r="D1509" s="967" t="s">
        <v>2214</v>
      </c>
      <c r="E1509" s="967">
        <v>155372</v>
      </c>
      <c r="F1509" s="967">
        <v>15430345000</v>
      </c>
      <c r="G1509" s="967">
        <v>98600</v>
      </c>
      <c r="H1509" s="967">
        <v>99900</v>
      </c>
      <c r="I1509" s="967">
        <v>98500</v>
      </c>
      <c r="J1509" s="967">
        <v>19980000</v>
      </c>
      <c r="K1509" s="967">
        <v>200000000</v>
      </c>
    </row>
    <row r="1510" spans="2:11" s="1258" customFormat="1" ht="16" hidden="1" outlineLevel="1">
      <c r="B1510" s="968" t="s">
        <v>2552</v>
      </c>
      <c r="C1510" s="967">
        <v>99500</v>
      </c>
      <c r="D1510" s="967" t="s">
        <v>1814</v>
      </c>
      <c r="E1510" s="967">
        <v>192485</v>
      </c>
      <c r="F1510" s="967">
        <v>19163453000</v>
      </c>
      <c r="G1510" s="967">
        <v>100000</v>
      </c>
      <c r="H1510" s="967">
        <v>100000</v>
      </c>
      <c r="I1510" s="967">
        <v>99200</v>
      </c>
      <c r="J1510" s="967">
        <v>19900000</v>
      </c>
      <c r="K1510" s="967">
        <v>200000000</v>
      </c>
    </row>
    <row r="1511" spans="2:11" s="1258" customFormat="1" ht="16" hidden="1" outlineLevel="1">
      <c r="B1511" s="968" t="s">
        <v>2550</v>
      </c>
      <c r="C1511" s="967">
        <v>100000</v>
      </c>
      <c r="D1511" s="967" t="s">
        <v>2246</v>
      </c>
      <c r="E1511" s="967">
        <v>347940</v>
      </c>
      <c r="F1511" s="967">
        <v>34717059000</v>
      </c>
      <c r="G1511" s="967">
        <v>99200</v>
      </c>
      <c r="H1511" s="967">
        <v>100500</v>
      </c>
      <c r="I1511" s="967">
        <v>99200</v>
      </c>
      <c r="J1511" s="967">
        <v>20000000</v>
      </c>
      <c r="K1511" s="967">
        <v>200000000</v>
      </c>
    </row>
    <row r="1512" spans="2:11" s="1258" customFormat="1" ht="16" hidden="1" outlineLevel="1">
      <c r="B1512" s="968" t="s">
        <v>2549</v>
      </c>
      <c r="C1512" s="967">
        <v>99100</v>
      </c>
      <c r="D1512" s="967" t="s">
        <v>2215</v>
      </c>
      <c r="E1512" s="967">
        <v>256220</v>
      </c>
      <c r="F1512" s="967">
        <v>25383303600</v>
      </c>
      <c r="G1512" s="967">
        <v>98900</v>
      </c>
      <c r="H1512" s="967">
        <v>99600</v>
      </c>
      <c r="I1512" s="967">
        <v>98200</v>
      </c>
      <c r="J1512" s="967">
        <v>19820000</v>
      </c>
      <c r="K1512" s="967">
        <v>200000000</v>
      </c>
    </row>
    <row r="1513" spans="2:11" s="1258" customFormat="1" ht="16" hidden="1" outlineLevel="1">
      <c r="B1513" s="968" t="s">
        <v>2548</v>
      </c>
      <c r="C1513" s="967">
        <v>99400</v>
      </c>
      <c r="D1513" s="967" t="s">
        <v>2250</v>
      </c>
      <c r="E1513" s="967">
        <v>443619</v>
      </c>
      <c r="F1513" s="967">
        <v>43837445400</v>
      </c>
      <c r="G1513" s="967">
        <v>98400</v>
      </c>
      <c r="H1513" s="967">
        <v>99400</v>
      </c>
      <c r="I1513" s="967">
        <v>98400</v>
      </c>
      <c r="J1513" s="967">
        <v>19880000</v>
      </c>
      <c r="K1513" s="967">
        <v>200000000</v>
      </c>
    </row>
    <row r="1514" spans="2:11" s="1258" customFormat="1" ht="16" hidden="1" outlineLevel="1">
      <c r="B1514" s="968" t="s">
        <v>2546</v>
      </c>
      <c r="C1514" s="967">
        <v>98200</v>
      </c>
      <c r="D1514" s="967" t="s">
        <v>2215</v>
      </c>
      <c r="E1514" s="967">
        <v>193152</v>
      </c>
      <c r="F1514" s="967">
        <v>18970375900</v>
      </c>
      <c r="G1514" s="967">
        <v>98500</v>
      </c>
      <c r="H1514" s="967">
        <v>98900</v>
      </c>
      <c r="I1514" s="967">
        <v>97800</v>
      </c>
      <c r="J1514" s="967">
        <v>19640000</v>
      </c>
      <c r="K1514" s="967">
        <v>200000000</v>
      </c>
    </row>
    <row r="1515" spans="2:11" s="1258" customFormat="1" ht="16" hidden="1" outlineLevel="1">
      <c r="B1515" s="968" t="s">
        <v>2545</v>
      </c>
      <c r="C1515" s="967">
        <v>98500</v>
      </c>
      <c r="D1515" s="967" t="s">
        <v>2212</v>
      </c>
      <c r="E1515" s="967">
        <v>251437</v>
      </c>
      <c r="F1515" s="967">
        <v>24825172100</v>
      </c>
      <c r="G1515" s="967">
        <v>99000</v>
      </c>
      <c r="H1515" s="967">
        <v>99400</v>
      </c>
      <c r="I1515" s="967">
        <v>98400</v>
      </c>
      <c r="J1515" s="967">
        <v>19700000</v>
      </c>
      <c r="K1515" s="967">
        <v>200000000</v>
      </c>
    </row>
    <row r="1516" spans="2:11" s="1258" customFormat="1" ht="16" hidden="1" outlineLevel="1">
      <c r="B1516" s="968" t="s">
        <v>2544</v>
      </c>
      <c r="C1516" s="967">
        <v>98400</v>
      </c>
      <c r="D1516" s="967" t="s">
        <v>2212</v>
      </c>
      <c r="E1516" s="967">
        <v>284627</v>
      </c>
      <c r="F1516" s="967">
        <v>28038047600</v>
      </c>
      <c r="G1516" s="967">
        <v>98500</v>
      </c>
      <c r="H1516" s="967">
        <v>99100</v>
      </c>
      <c r="I1516" s="967">
        <v>97700</v>
      </c>
      <c r="J1516" s="967">
        <v>19680000</v>
      </c>
      <c r="K1516" s="967">
        <v>200000000</v>
      </c>
    </row>
    <row r="1517" spans="2:11" s="1258" customFormat="1" ht="16" hidden="1" outlineLevel="1">
      <c r="B1517" s="968" t="s">
        <v>2543</v>
      </c>
      <c r="C1517" s="967">
        <v>98300</v>
      </c>
      <c r="D1517" s="967" t="s">
        <v>2649</v>
      </c>
      <c r="E1517" s="967">
        <v>795983</v>
      </c>
      <c r="F1517" s="967">
        <v>78727331200</v>
      </c>
      <c r="G1517" s="967">
        <v>98500</v>
      </c>
      <c r="H1517" s="967">
        <v>101000</v>
      </c>
      <c r="I1517" s="967">
        <v>98200</v>
      </c>
      <c r="J1517" s="967">
        <v>19660000</v>
      </c>
      <c r="K1517" s="967">
        <v>200000000</v>
      </c>
    </row>
    <row r="1518" spans="2:11" s="1258" customFormat="1" ht="16" hidden="1" outlineLevel="1">
      <c r="B1518" s="968" t="s">
        <v>2541</v>
      </c>
      <c r="C1518" s="967">
        <v>95400</v>
      </c>
      <c r="D1518" s="967" t="s">
        <v>2251</v>
      </c>
      <c r="E1518" s="967">
        <v>174196</v>
      </c>
      <c r="F1518" s="967">
        <v>16567027100</v>
      </c>
      <c r="G1518" s="967">
        <v>94600</v>
      </c>
      <c r="H1518" s="967">
        <v>95400</v>
      </c>
      <c r="I1518" s="967">
        <v>94400</v>
      </c>
      <c r="J1518" s="967">
        <v>19080000</v>
      </c>
      <c r="K1518" s="967">
        <v>200000000</v>
      </c>
    </row>
    <row r="1519" spans="2:11" s="1258" customFormat="1" ht="16" hidden="1" outlineLevel="1">
      <c r="B1519" s="968" t="s">
        <v>2540</v>
      </c>
      <c r="C1519" s="967">
        <v>94800</v>
      </c>
      <c r="D1519" s="967" t="s">
        <v>2241</v>
      </c>
      <c r="E1519" s="967">
        <v>289342</v>
      </c>
      <c r="F1519" s="967">
        <v>27356294800</v>
      </c>
      <c r="G1519" s="967">
        <v>95700</v>
      </c>
      <c r="H1519" s="967">
        <v>95700</v>
      </c>
      <c r="I1519" s="967">
        <v>94100</v>
      </c>
      <c r="J1519" s="967">
        <v>18960000</v>
      </c>
      <c r="K1519" s="967">
        <v>200000000</v>
      </c>
    </row>
    <row r="1520" spans="2:11" s="1258" customFormat="1" ht="16" hidden="1" outlineLevel="1">
      <c r="B1520" s="968" t="s">
        <v>2539</v>
      </c>
      <c r="C1520" s="967">
        <v>95700</v>
      </c>
      <c r="D1520" s="967" t="s">
        <v>2224</v>
      </c>
      <c r="E1520" s="967">
        <v>198583</v>
      </c>
      <c r="F1520" s="967">
        <v>19033657500</v>
      </c>
      <c r="G1520" s="967">
        <v>96700</v>
      </c>
      <c r="H1520" s="967">
        <v>96700</v>
      </c>
      <c r="I1520" s="967">
        <v>94900</v>
      </c>
      <c r="J1520" s="967">
        <v>19140000</v>
      </c>
      <c r="K1520" s="967">
        <v>200000000</v>
      </c>
    </row>
    <row r="1521" spans="2:11" s="1258" customFormat="1" ht="16" hidden="1" outlineLevel="1">
      <c r="B1521" s="968" t="s">
        <v>2538</v>
      </c>
      <c r="C1521" s="967">
        <v>95900</v>
      </c>
      <c r="D1521" s="967" t="s">
        <v>2304</v>
      </c>
      <c r="E1521" s="967">
        <v>176423</v>
      </c>
      <c r="F1521" s="967">
        <v>16974623300</v>
      </c>
      <c r="G1521" s="967">
        <v>97000</v>
      </c>
      <c r="H1521" s="967">
        <v>97300</v>
      </c>
      <c r="I1521" s="967">
        <v>95700</v>
      </c>
      <c r="J1521" s="967">
        <v>19180000</v>
      </c>
      <c r="K1521" s="967">
        <v>200000000</v>
      </c>
    </row>
    <row r="1522" spans="2:11" s="1258" customFormat="1" ht="16" hidden="1" outlineLevel="1">
      <c r="B1522" s="968" t="s">
        <v>2537</v>
      </c>
      <c r="C1522" s="967">
        <v>97600</v>
      </c>
      <c r="D1522" s="967" t="s">
        <v>2214</v>
      </c>
      <c r="E1522" s="967">
        <v>215686</v>
      </c>
      <c r="F1522" s="967">
        <v>20878901600</v>
      </c>
      <c r="G1522" s="967">
        <v>96800</v>
      </c>
      <c r="H1522" s="967">
        <v>97700</v>
      </c>
      <c r="I1522" s="967">
        <v>95500</v>
      </c>
      <c r="J1522" s="967">
        <v>19520000</v>
      </c>
      <c r="K1522" s="967">
        <v>200000000</v>
      </c>
    </row>
    <row r="1523" spans="2:11" s="1258" customFormat="1" ht="16" hidden="1" outlineLevel="1">
      <c r="B1523" s="968" t="s">
        <v>2536</v>
      </c>
      <c r="C1523" s="967">
        <v>97200</v>
      </c>
      <c r="D1523" s="967" t="s">
        <v>2634</v>
      </c>
      <c r="E1523" s="967">
        <v>269750</v>
      </c>
      <c r="F1523" s="967">
        <v>26258415300</v>
      </c>
      <c r="G1523" s="967">
        <v>98400</v>
      </c>
      <c r="H1523" s="967">
        <v>98800</v>
      </c>
      <c r="I1523" s="967">
        <v>96400</v>
      </c>
      <c r="J1523" s="967">
        <v>19440000</v>
      </c>
      <c r="K1523" s="967">
        <v>200000000</v>
      </c>
    </row>
    <row r="1524" spans="2:11" s="1258" customFormat="1" ht="16" hidden="1" outlineLevel="1">
      <c r="B1524" s="968" t="s">
        <v>2535</v>
      </c>
      <c r="C1524" s="967">
        <v>98500</v>
      </c>
      <c r="D1524" s="967" t="s">
        <v>2245</v>
      </c>
      <c r="E1524" s="967">
        <v>364435</v>
      </c>
      <c r="F1524" s="967">
        <v>35774920200</v>
      </c>
      <c r="G1524" s="967">
        <v>97500</v>
      </c>
      <c r="H1524" s="967">
        <v>98800</v>
      </c>
      <c r="I1524" s="967">
        <v>97300</v>
      </c>
      <c r="J1524" s="967">
        <v>19700000</v>
      </c>
      <c r="K1524" s="967">
        <v>200000000</v>
      </c>
    </row>
    <row r="1525" spans="2:11" s="1258" customFormat="1" ht="16" hidden="1" outlineLevel="1">
      <c r="B1525" s="968" t="s">
        <v>2534</v>
      </c>
      <c r="C1525" s="967">
        <v>97000</v>
      </c>
      <c r="D1525" s="967" t="s">
        <v>1826</v>
      </c>
      <c r="E1525" s="967">
        <v>137919</v>
      </c>
      <c r="F1525" s="967">
        <v>13348802500</v>
      </c>
      <c r="G1525" s="967">
        <v>96100</v>
      </c>
      <c r="H1525" s="967">
        <v>97000</v>
      </c>
      <c r="I1525" s="967">
        <v>96100</v>
      </c>
      <c r="J1525" s="967">
        <v>19400000</v>
      </c>
      <c r="K1525" s="967">
        <v>200000000</v>
      </c>
    </row>
    <row r="1526" spans="2:11" s="1258" customFormat="1" ht="16" hidden="1" outlineLevel="1">
      <c r="B1526" s="968" t="s">
        <v>2533</v>
      </c>
      <c r="C1526" s="967">
        <v>96500</v>
      </c>
      <c r="D1526" s="967" t="s">
        <v>2237</v>
      </c>
      <c r="E1526" s="967">
        <v>200909</v>
      </c>
      <c r="F1526" s="967">
        <v>19343059100</v>
      </c>
      <c r="G1526" s="967">
        <v>95400</v>
      </c>
      <c r="H1526" s="967">
        <v>96800</v>
      </c>
      <c r="I1526" s="967">
        <v>95200</v>
      </c>
      <c r="J1526" s="967">
        <v>19300000</v>
      </c>
      <c r="K1526" s="967">
        <v>200000000</v>
      </c>
    </row>
    <row r="1527" spans="2:11" s="1258" customFormat="1" ht="16" hidden="1" outlineLevel="1">
      <c r="B1527" s="968" t="s">
        <v>2532</v>
      </c>
      <c r="C1527" s="967">
        <v>95100</v>
      </c>
      <c r="D1527" s="967" t="s">
        <v>2232</v>
      </c>
      <c r="E1527" s="967">
        <v>184759</v>
      </c>
      <c r="F1527" s="967">
        <v>17678936400</v>
      </c>
      <c r="G1527" s="967">
        <v>95700</v>
      </c>
      <c r="H1527" s="967">
        <v>96400</v>
      </c>
      <c r="I1527" s="967">
        <v>95000</v>
      </c>
      <c r="J1527" s="967">
        <v>19020000</v>
      </c>
      <c r="K1527" s="967">
        <v>200000000</v>
      </c>
    </row>
    <row r="1528" spans="2:11" s="1258" customFormat="1" ht="16" hidden="1" outlineLevel="1">
      <c r="B1528" s="968" t="s">
        <v>2531</v>
      </c>
      <c r="C1528" s="967">
        <v>94900</v>
      </c>
      <c r="D1528" s="967" t="s">
        <v>2228</v>
      </c>
      <c r="E1528" s="967">
        <v>181621</v>
      </c>
      <c r="F1528" s="967">
        <v>17236043600</v>
      </c>
      <c r="G1528" s="967">
        <v>96000</v>
      </c>
      <c r="H1528" s="967">
        <v>96000</v>
      </c>
      <c r="I1528" s="967">
        <v>94200</v>
      </c>
      <c r="J1528" s="967">
        <v>18980000</v>
      </c>
      <c r="K1528" s="967">
        <v>200000000</v>
      </c>
    </row>
    <row r="1529" spans="2:11" s="1258" customFormat="1" ht="16" hidden="1" outlineLevel="1">
      <c r="B1529" s="968" t="s">
        <v>2530</v>
      </c>
      <c r="C1529" s="967">
        <v>95000</v>
      </c>
      <c r="D1529" s="967" t="s">
        <v>2250</v>
      </c>
      <c r="E1529" s="967">
        <v>210663</v>
      </c>
      <c r="F1529" s="967">
        <v>19961355900</v>
      </c>
      <c r="G1529" s="967">
        <v>93900</v>
      </c>
      <c r="H1529" s="967">
        <v>95400</v>
      </c>
      <c r="I1529" s="967">
        <v>93700</v>
      </c>
      <c r="J1529" s="967">
        <v>19000000</v>
      </c>
      <c r="K1529" s="967">
        <v>200000000</v>
      </c>
    </row>
    <row r="1530" spans="2:11" s="1258" customFormat="1" ht="16" hidden="1" outlineLevel="1">
      <c r="B1530" s="968" t="s">
        <v>2528</v>
      </c>
      <c r="C1530" s="967">
        <v>93800</v>
      </c>
      <c r="D1530" s="967" t="s">
        <v>2212</v>
      </c>
      <c r="E1530" s="967">
        <v>470142</v>
      </c>
      <c r="F1530" s="967">
        <v>43649840800</v>
      </c>
      <c r="G1530" s="967">
        <v>94000</v>
      </c>
      <c r="H1530" s="967">
        <v>94600</v>
      </c>
      <c r="I1530" s="967">
        <v>91800</v>
      </c>
      <c r="J1530" s="967">
        <v>18760000</v>
      </c>
      <c r="K1530" s="967">
        <v>200000000</v>
      </c>
    </row>
    <row r="1531" spans="2:11" s="1258" customFormat="1" ht="16" hidden="1" outlineLevel="1">
      <c r="B1531" s="968" t="s">
        <v>2527</v>
      </c>
      <c r="C1531" s="967">
        <v>93700</v>
      </c>
      <c r="D1531" s="967" t="s">
        <v>2702</v>
      </c>
      <c r="E1531" s="967">
        <v>348969</v>
      </c>
      <c r="F1531" s="967">
        <v>33200729600</v>
      </c>
      <c r="G1531" s="967">
        <v>97500</v>
      </c>
      <c r="H1531" s="967">
        <v>97600</v>
      </c>
      <c r="I1531" s="967">
        <v>93700</v>
      </c>
      <c r="J1531" s="967">
        <v>18740000</v>
      </c>
      <c r="K1531" s="967">
        <v>200000000</v>
      </c>
    </row>
    <row r="1532" spans="2:11" s="1258" customFormat="1" ht="16" hidden="1" outlineLevel="1">
      <c r="B1532" s="968" t="s">
        <v>2525</v>
      </c>
      <c r="C1532" s="967">
        <v>96400</v>
      </c>
      <c r="D1532" s="967" t="s">
        <v>2212</v>
      </c>
      <c r="E1532" s="967">
        <v>174134</v>
      </c>
      <c r="F1532" s="967">
        <v>16659406200</v>
      </c>
      <c r="G1532" s="967">
        <v>96800</v>
      </c>
      <c r="H1532" s="967">
        <v>96800</v>
      </c>
      <c r="I1532" s="967">
        <v>94800</v>
      </c>
      <c r="J1532" s="967">
        <v>19280000</v>
      </c>
      <c r="K1532" s="967">
        <v>200000000</v>
      </c>
    </row>
    <row r="1533" spans="2:11" s="1258" customFormat="1" ht="16" hidden="1" outlineLevel="1">
      <c r="B1533" s="968" t="s">
        <v>2524</v>
      </c>
      <c r="C1533" s="967">
        <v>96300</v>
      </c>
      <c r="D1533" s="967" t="s">
        <v>1814</v>
      </c>
      <c r="E1533" s="967">
        <v>297660</v>
      </c>
      <c r="F1533" s="967">
        <v>28821158900</v>
      </c>
      <c r="G1533" s="967">
        <v>97200</v>
      </c>
      <c r="H1533" s="967">
        <v>98000</v>
      </c>
      <c r="I1533" s="967">
        <v>95600</v>
      </c>
      <c r="J1533" s="967">
        <v>19260000</v>
      </c>
      <c r="K1533" s="967">
        <v>200000000</v>
      </c>
    </row>
    <row r="1534" spans="2:11" s="1258" customFormat="1" ht="16" hidden="1" outlineLevel="1">
      <c r="B1534" s="968" t="s">
        <v>2523</v>
      </c>
      <c r="C1534" s="967">
        <v>96800</v>
      </c>
      <c r="D1534" s="967" t="s">
        <v>2699</v>
      </c>
      <c r="E1534" s="967">
        <v>932991</v>
      </c>
      <c r="F1534" s="967">
        <v>90609193000</v>
      </c>
      <c r="G1534" s="967">
        <v>94500</v>
      </c>
      <c r="H1534" s="967">
        <v>98800</v>
      </c>
      <c r="I1534" s="967">
        <v>93600</v>
      </c>
      <c r="J1534" s="967">
        <v>19360000</v>
      </c>
      <c r="K1534" s="967">
        <v>200000000</v>
      </c>
    </row>
    <row r="1535" spans="2:11" s="1258" customFormat="1" ht="16" hidden="1" outlineLevel="1">
      <c r="B1535" s="968" t="s">
        <v>2522</v>
      </c>
      <c r="C1535" s="967">
        <v>94500</v>
      </c>
      <c r="D1535" s="967" t="s">
        <v>2252</v>
      </c>
      <c r="E1535" s="967">
        <v>255418</v>
      </c>
      <c r="F1535" s="967">
        <v>24045284800</v>
      </c>
      <c r="G1535" s="967">
        <v>94000</v>
      </c>
      <c r="H1535" s="967">
        <v>94500</v>
      </c>
      <c r="I1535" s="967">
        <v>93700</v>
      </c>
      <c r="J1535" s="967">
        <v>18900000</v>
      </c>
      <c r="K1535" s="967">
        <v>200000000</v>
      </c>
    </row>
    <row r="1536" spans="2:11" s="1258" customFormat="1" ht="16" hidden="1" outlineLevel="1">
      <c r="B1536" s="968" t="s">
        <v>2521</v>
      </c>
      <c r="C1536" s="967">
        <v>93400</v>
      </c>
      <c r="D1536" s="967" t="s">
        <v>2246</v>
      </c>
      <c r="E1536" s="967">
        <v>157906</v>
      </c>
      <c r="F1536" s="967">
        <v>14706975300</v>
      </c>
      <c r="G1536" s="967">
        <v>92500</v>
      </c>
      <c r="H1536" s="967">
        <v>93700</v>
      </c>
      <c r="I1536" s="967">
        <v>92300</v>
      </c>
      <c r="J1536" s="967">
        <v>18680000</v>
      </c>
      <c r="K1536" s="967">
        <v>200000000</v>
      </c>
    </row>
    <row r="1537" spans="2:11" s="1258" customFormat="1" ht="16" hidden="1" outlineLevel="1">
      <c r="B1537" s="968" t="s">
        <v>2520</v>
      </c>
      <c r="C1537" s="967">
        <v>92500</v>
      </c>
      <c r="D1537" s="967" t="s">
        <v>2250</v>
      </c>
      <c r="E1537" s="967">
        <v>281417</v>
      </c>
      <c r="F1537" s="967">
        <v>25954589000</v>
      </c>
      <c r="G1537" s="967">
        <v>91700</v>
      </c>
      <c r="H1537" s="967">
        <v>92800</v>
      </c>
      <c r="I1537" s="967">
        <v>91300</v>
      </c>
      <c r="J1537" s="967">
        <v>18500000</v>
      </c>
      <c r="K1537" s="967">
        <v>200000000</v>
      </c>
    </row>
    <row r="1538" spans="2:11" s="1258" customFormat="1" ht="16" hidden="1" outlineLevel="1">
      <c r="B1538" s="968" t="s">
        <v>2519</v>
      </c>
      <c r="C1538" s="967">
        <v>91300</v>
      </c>
      <c r="D1538" s="967" t="s">
        <v>2221</v>
      </c>
      <c r="E1538" s="967">
        <v>299555</v>
      </c>
      <c r="F1538" s="967">
        <v>27413095600</v>
      </c>
      <c r="G1538" s="967">
        <v>90500</v>
      </c>
      <c r="H1538" s="967">
        <v>92100</v>
      </c>
      <c r="I1538" s="967">
        <v>90500</v>
      </c>
      <c r="J1538" s="967">
        <v>18260000</v>
      </c>
      <c r="K1538" s="967">
        <v>200000000</v>
      </c>
    </row>
    <row r="1539" spans="2:11" s="1258" customFormat="1" ht="16" hidden="1" outlineLevel="1">
      <c r="B1539" s="968" t="s">
        <v>2517</v>
      </c>
      <c r="C1539" s="967">
        <v>91300</v>
      </c>
      <c r="D1539" s="967" t="s">
        <v>2244</v>
      </c>
      <c r="E1539" s="967">
        <v>216882</v>
      </c>
      <c r="F1539" s="967">
        <v>19787740100</v>
      </c>
      <c r="G1539" s="967">
        <v>92500</v>
      </c>
      <c r="H1539" s="967">
        <v>92500</v>
      </c>
      <c r="I1539" s="967">
        <v>90900</v>
      </c>
      <c r="J1539" s="967">
        <v>18260000</v>
      </c>
      <c r="K1539" s="967">
        <v>200000000</v>
      </c>
    </row>
    <row r="1540" spans="2:11" s="1258" customFormat="1" ht="16" hidden="1" outlineLevel="1">
      <c r="B1540" s="968" t="s">
        <v>2516</v>
      </c>
      <c r="C1540" s="967">
        <v>92800</v>
      </c>
      <c r="D1540" s="967" t="s">
        <v>2661</v>
      </c>
      <c r="E1540" s="967">
        <v>355235</v>
      </c>
      <c r="F1540" s="967">
        <v>33111071800</v>
      </c>
      <c r="G1540" s="967">
        <v>95000</v>
      </c>
      <c r="H1540" s="967">
        <v>95200</v>
      </c>
      <c r="I1540" s="967">
        <v>92400</v>
      </c>
      <c r="J1540" s="967">
        <v>18560000</v>
      </c>
      <c r="K1540" s="967">
        <v>200000000</v>
      </c>
    </row>
    <row r="1541" spans="2:11" s="1258" customFormat="1" ht="16" hidden="1" outlineLevel="1">
      <c r="B1541" s="968" t="s">
        <v>2515</v>
      </c>
      <c r="C1541" s="967">
        <v>94900</v>
      </c>
      <c r="D1541" s="967" t="s">
        <v>2214</v>
      </c>
      <c r="E1541" s="967">
        <v>239324</v>
      </c>
      <c r="F1541" s="967">
        <v>22614460800</v>
      </c>
      <c r="G1541" s="967">
        <v>93800</v>
      </c>
      <c r="H1541" s="967">
        <v>95000</v>
      </c>
      <c r="I1541" s="967">
        <v>93700</v>
      </c>
      <c r="J1541" s="967">
        <v>18980000</v>
      </c>
      <c r="K1541" s="967">
        <v>200000000</v>
      </c>
    </row>
    <row r="1542" spans="2:11" s="1258" customFormat="1" ht="16" hidden="1" outlineLevel="1">
      <c r="B1542" s="968" t="s">
        <v>2514</v>
      </c>
      <c r="C1542" s="967">
        <v>94500</v>
      </c>
      <c r="D1542" s="967" t="s">
        <v>2232</v>
      </c>
      <c r="E1542" s="967">
        <v>287658</v>
      </c>
      <c r="F1542" s="967">
        <v>27163254900</v>
      </c>
      <c r="G1542" s="967">
        <v>94000</v>
      </c>
      <c r="H1542" s="967">
        <v>94900</v>
      </c>
      <c r="I1542" s="967">
        <v>93800</v>
      </c>
      <c r="J1542" s="967">
        <v>18900000</v>
      </c>
      <c r="K1542" s="967">
        <v>200000000</v>
      </c>
    </row>
    <row r="1543" spans="2:11" s="1258" customFormat="1" ht="16" hidden="1" outlineLevel="1">
      <c r="B1543" s="968" t="s">
        <v>2513</v>
      </c>
      <c r="C1543" s="967">
        <v>94300</v>
      </c>
      <c r="D1543" s="967" t="s">
        <v>2245</v>
      </c>
      <c r="E1543" s="967">
        <v>500297</v>
      </c>
      <c r="F1543" s="967">
        <v>46749948100</v>
      </c>
      <c r="G1543" s="967">
        <v>93900</v>
      </c>
      <c r="H1543" s="967">
        <v>94300</v>
      </c>
      <c r="I1543" s="967">
        <v>92200</v>
      </c>
      <c r="J1543" s="967">
        <v>18860000</v>
      </c>
      <c r="K1543" s="967">
        <v>200000000</v>
      </c>
    </row>
    <row r="1544" spans="2:11" s="1258" customFormat="1" ht="16" hidden="1" outlineLevel="1">
      <c r="B1544" s="968" t="s">
        <v>2512</v>
      </c>
      <c r="C1544" s="967">
        <v>92800</v>
      </c>
      <c r="D1544" s="967" t="s">
        <v>2212</v>
      </c>
      <c r="E1544" s="967">
        <v>978807</v>
      </c>
      <c r="F1544" s="967">
        <v>91149054600</v>
      </c>
      <c r="G1544" s="967">
        <v>92000</v>
      </c>
      <c r="H1544" s="967">
        <v>94100</v>
      </c>
      <c r="I1544" s="967">
        <v>91400</v>
      </c>
      <c r="J1544" s="967">
        <v>18560000</v>
      </c>
      <c r="K1544" s="967">
        <v>200000000</v>
      </c>
    </row>
    <row r="1545" spans="2:11" s="1258" customFormat="1" ht="16" hidden="1" outlineLevel="1">
      <c r="B1545" s="968" t="s">
        <v>2511</v>
      </c>
      <c r="C1545" s="967">
        <v>92700</v>
      </c>
      <c r="D1545" s="967" t="s">
        <v>1814</v>
      </c>
      <c r="E1545" s="967">
        <v>407916</v>
      </c>
      <c r="F1545" s="967">
        <v>37540766272</v>
      </c>
      <c r="G1545" s="967">
        <v>92500</v>
      </c>
      <c r="H1545" s="967">
        <v>92800</v>
      </c>
      <c r="I1545" s="967">
        <v>91400</v>
      </c>
      <c r="J1545" s="967">
        <v>18540000</v>
      </c>
      <c r="K1545" s="967">
        <v>200000000</v>
      </c>
    </row>
    <row r="1546" spans="2:11" s="1258" customFormat="1" ht="16" hidden="1" outlineLevel="1">
      <c r="B1546" s="968" t="s">
        <v>2510</v>
      </c>
      <c r="C1546" s="967">
        <v>93200</v>
      </c>
      <c r="D1546" s="967" t="s">
        <v>2208</v>
      </c>
      <c r="E1546" s="967">
        <v>382177</v>
      </c>
      <c r="F1546" s="967">
        <v>35385835700</v>
      </c>
      <c r="G1546" s="967">
        <v>92000</v>
      </c>
      <c r="H1546" s="967">
        <v>93400</v>
      </c>
      <c r="I1546" s="967">
        <v>91300</v>
      </c>
      <c r="J1546" s="967">
        <v>18640000</v>
      </c>
      <c r="K1546" s="967">
        <v>200000000</v>
      </c>
    </row>
    <row r="1547" spans="2:11" s="1258" customFormat="1" ht="16" hidden="1" outlineLevel="1">
      <c r="B1547" s="968" t="s">
        <v>2509</v>
      </c>
      <c r="C1547" s="967">
        <v>92500</v>
      </c>
      <c r="D1547" s="967" t="s">
        <v>2252</v>
      </c>
      <c r="E1547" s="967">
        <v>378526</v>
      </c>
      <c r="F1547" s="967">
        <v>34791740800</v>
      </c>
      <c r="G1547" s="967">
        <v>90700</v>
      </c>
      <c r="H1547" s="967">
        <v>92500</v>
      </c>
      <c r="I1547" s="967">
        <v>90700</v>
      </c>
      <c r="J1547" s="967">
        <v>18500000</v>
      </c>
      <c r="K1547" s="967">
        <v>200000000</v>
      </c>
    </row>
    <row r="1548" spans="2:11" s="1258" customFormat="1" ht="16" hidden="1" outlineLevel="1">
      <c r="B1548" s="968" t="s">
        <v>2508</v>
      </c>
      <c r="C1548" s="967">
        <v>91400</v>
      </c>
      <c r="D1548" s="967" t="s">
        <v>2224</v>
      </c>
      <c r="E1548" s="967">
        <v>375763</v>
      </c>
      <c r="F1548" s="967">
        <v>34068712800</v>
      </c>
      <c r="G1548" s="967">
        <v>90800</v>
      </c>
      <c r="H1548" s="967">
        <v>91400</v>
      </c>
      <c r="I1548" s="967">
        <v>90200</v>
      </c>
      <c r="J1548" s="967">
        <v>18280000</v>
      </c>
      <c r="K1548" s="967">
        <v>200000000</v>
      </c>
    </row>
    <row r="1549" spans="2:11" s="1258" customFormat="1" ht="16" hidden="1" outlineLevel="1">
      <c r="B1549" s="968" t="s">
        <v>2507</v>
      </c>
      <c r="C1549" s="967">
        <v>91600</v>
      </c>
      <c r="D1549" s="967" t="s">
        <v>2700</v>
      </c>
      <c r="E1549" s="967">
        <v>551852</v>
      </c>
      <c r="F1549" s="967">
        <v>50460609800</v>
      </c>
      <c r="G1549" s="967">
        <v>90200</v>
      </c>
      <c r="H1549" s="967">
        <v>92300</v>
      </c>
      <c r="I1549" s="967">
        <v>89700</v>
      </c>
      <c r="J1549" s="967">
        <v>18320000</v>
      </c>
      <c r="K1549" s="967">
        <v>200000000</v>
      </c>
    </row>
    <row r="1550" spans="2:11" s="1258" customFormat="1" ht="16" hidden="1" outlineLevel="1">
      <c r="B1550" s="968" t="s">
        <v>2506</v>
      </c>
      <c r="C1550" s="967">
        <v>89800</v>
      </c>
      <c r="D1550" s="967" t="s">
        <v>2245</v>
      </c>
      <c r="E1550" s="967">
        <v>286404</v>
      </c>
      <c r="F1550" s="967">
        <v>25448722700</v>
      </c>
      <c r="G1550" s="967">
        <v>88800</v>
      </c>
      <c r="H1550" s="967">
        <v>89800</v>
      </c>
      <c r="I1550" s="967">
        <v>88300</v>
      </c>
      <c r="J1550" s="967">
        <v>17960000</v>
      </c>
      <c r="K1550" s="967">
        <v>200000000</v>
      </c>
    </row>
    <row r="1551" spans="2:11" s="1258" customFormat="1" ht="16" hidden="1" outlineLevel="1">
      <c r="B1551" s="968" t="s">
        <v>2504</v>
      </c>
      <c r="C1551" s="967">
        <v>88300</v>
      </c>
      <c r="D1551" s="967" t="s">
        <v>2234</v>
      </c>
      <c r="E1551" s="967">
        <v>299371</v>
      </c>
      <c r="F1551" s="967">
        <v>26665638300</v>
      </c>
      <c r="G1551" s="967">
        <v>90300</v>
      </c>
      <c r="H1551" s="967">
        <v>90400</v>
      </c>
      <c r="I1551" s="967">
        <v>88200</v>
      </c>
      <c r="J1551" s="967">
        <v>17660000</v>
      </c>
      <c r="K1551" s="967">
        <v>200000000</v>
      </c>
    </row>
    <row r="1552" spans="2:11" s="1258" customFormat="1" ht="16" hidden="1" outlineLevel="1">
      <c r="B1552" s="968" t="s">
        <v>2503</v>
      </c>
      <c r="C1552" s="967">
        <v>89000</v>
      </c>
      <c r="D1552" s="967" t="s">
        <v>2222</v>
      </c>
      <c r="E1552" s="967">
        <v>1720918</v>
      </c>
      <c r="F1552" s="967">
        <v>150570877600</v>
      </c>
      <c r="G1552" s="967">
        <v>88400</v>
      </c>
      <c r="H1552" s="967">
        <v>89900</v>
      </c>
      <c r="I1552" s="967">
        <v>88400</v>
      </c>
      <c r="J1552" s="967">
        <v>17800000</v>
      </c>
      <c r="K1552" s="967">
        <v>200000000</v>
      </c>
    </row>
    <row r="1553" spans="2:11" s="1258" customFormat="1" ht="16" hidden="1" outlineLevel="1">
      <c r="B1553" s="968" t="s">
        <v>2502</v>
      </c>
      <c r="C1553" s="967">
        <v>89600</v>
      </c>
      <c r="D1553" s="967" t="s">
        <v>2243</v>
      </c>
      <c r="E1553" s="967">
        <v>260474</v>
      </c>
      <c r="F1553" s="967">
        <v>23446311400</v>
      </c>
      <c r="G1553" s="967">
        <v>89300</v>
      </c>
      <c r="H1553" s="967">
        <v>90900</v>
      </c>
      <c r="I1553" s="967">
        <v>89300</v>
      </c>
      <c r="J1553" s="967">
        <v>17920000</v>
      </c>
      <c r="K1553" s="967">
        <v>200000000</v>
      </c>
    </row>
    <row r="1554" spans="2:11" s="1258" customFormat="1" ht="16" hidden="1" outlineLevel="1">
      <c r="B1554" s="968" t="s">
        <v>2501</v>
      </c>
      <c r="C1554" s="967">
        <v>89300</v>
      </c>
      <c r="D1554" s="967" t="s">
        <v>2757</v>
      </c>
      <c r="E1554" s="967">
        <v>564060</v>
      </c>
      <c r="F1554" s="967">
        <v>50811517300</v>
      </c>
      <c r="G1554" s="967">
        <v>92100</v>
      </c>
      <c r="H1554" s="967">
        <v>92200</v>
      </c>
      <c r="I1554" s="967">
        <v>89000</v>
      </c>
      <c r="J1554" s="967">
        <v>17860000</v>
      </c>
      <c r="K1554" s="967">
        <v>200000000</v>
      </c>
    </row>
    <row r="1555" spans="2:11" s="1258" customFormat="1" ht="16" hidden="1" outlineLevel="1">
      <c r="B1555" s="968" t="s">
        <v>2500</v>
      </c>
      <c r="C1555" s="967">
        <v>92200</v>
      </c>
      <c r="D1555" s="967" t="s">
        <v>2641</v>
      </c>
      <c r="E1555" s="967">
        <v>455498</v>
      </c>
      <c r="F1555" s="967">
        <v>41955260300</v>
      </c>
      <c r="G1555" s="967">
        <v>93200</v>
      </c>
      <c r="H1555" s="967">
        <v>93200</v>
      </c>
      <c r="I1555" s="967">
        <v>91100</v>
      </c>
      <c r="J1555" s="967">
        <v>18440000</v>
      </c>
      <c r="K1555" s="967">
        <v>200000000</v>
      </c>
    </row>
    <row r="1556" spans="2:11" s="1258" customFormat="1" ht="16" hidden="1" outlineLevel="1">
      <c r="B1556" s="968" t="s">
        <v>2499</v>
      </c>
      <c r="C1556" s="967">
        <v>94100</v>
      </c>
      <c r="D1556" s="967" t="s">
        <v>2305</v>
      </c>
      <c r="E1556" s="967">
        <v>278682</v>
      </c>
      <c r="F1556" s="967">
        <v>26365616000</v>
      </c>
      <c r="G1556" s="967">
        <v>95100</v>
      </c>
      <c r="H1556" s="967">
        <v>95500</v>
      </c>
      <c r="I1556" s="967">
        <v>94100</v>
      </c>
      <c r="J1556" s="967">
        <v>18820000</v>
      </c>
      <c r="K1556" s="967">
        <v>200000000</v>
      </c>
    </row>
    <row r="1557" spans="2:11" s="1258" customFormat="1" ht="16" hidden="1" outlineLevel="1">
      <c r="B1557" s="968" t="s">
        <v>2498</v>
      </c>
      <c r="C1557" s="967">
        <v>95700</v>
      </c>
      <c r="D1557" s="967" t="s">
        <v>1826</v>
      </c>
      <c r="E1557" s="967">
        <v>263474</v>
      </c>
      <c r="F1557" s="967">
        <v>25034546800</v>
      </c>
      <c r="G1557" s="967">
        <v>95400</v>
      </c>
      <c r="H1557" s="967">
        <v>96300</v>
      </c>
      <c r="I1557" s="967">
        <v>94200</v>
      </c>
      <c r="J1557" s="967">
        <v>19140000</v>
      </c>
      <c r="K1557" s="967">
        <v>200000000</v>
      </c>
    </row>
    <row r="1558" spans="2:11" s="1258" customFormat="1" ht="16" hidden="1" outlineLevel="1">
      <c r="B1558" s="968" t="s">
        <v>2497</v>
      </c>
      <c r="C1558" s="967">
        <v>95200</v>
      </c>
      <c r="D1558" s="967" t="s">
        <v>2244</v>
      </c>
      <c r="E1558" s="967">
        <v>335788</v>
      </c>
      <c r="F1558" s="967">
        <v>32118163100</v>
      </c>
      <c r="G1558" s="967">
        <v>96600</v>
      </c>
      <c r="H1558" s="967">
        <v>96700</v>
      </c>
      <c r="I1558" s="967">
        <v>95100</v>
      </c>
      <c r="J1558" s="967">
        <v>19040000</v>
      </c>
      <c r="K1558" s="967">
        <v>200000000</v>
      </c>
    </row>
    <row r="1559" spans="2:11" s="1258" customFormat="1" ht="16" hidden="1" outlineLevel="1">
      <c r="B1559" s="968" t="s">
        <v>2496</v>
      </c>
      <c r="C1559" s="967">
        <v>96700</v>
      </c>
      <c r="D1559" s="967" t="s">
        <v>2214</v>
      </c>
      <c r="E1559" s="967">
        <v>220026</v>
      </c>
      <c r="F1559" s="967">
        <v>21242074700</v>
      </c>
      <c r="G1559" s="967">
        <v>96700</v>
      </c>
      <c r="H1559" s="967">
        <v>97000</v>
      </c>
      <c r="I1559" s="967">
        <v>96100</v>
      </c>
      <c r="J1559" s="967">
        <v>19340000</v>
      </c>
      <c r="K1559" s="967">
        <v>200000000</v>
      </c>
    </row>
    <row r="1560" spans="2:11" s="1258" customFormat="1" ht="16" hidden="1" outlineLevel="1">
      <c r="B1560" s="968" t="s">
        <v>2495</v>
      </c>
      <c r="C1560" s="967">
        <v>96300</v>
      </c>
      <c r="D1560" s="967" t="s">
        <v>2234</v>
      </c>
      <c r="E1560" s="967">
        <v>311144</v>
      </c>
      <c r="F1560" s="967">
        <v>30136171500</v>
      </c>
      <c r="G1560" s="967">
        <v>97300</v>
      </c>
      <c r="H1560" s="967">
        <v>97600</v>
      </c>
      <c r="I1560" s="967">
        <v>96300</v>
      </c>
      <c r="J1560" s="967">
        <v>19260000</v>
      </c>
      <c r="K1560" s="967">
        <v>200000000</v>
      </c>
    </row>
    <row r="1561" spans="2:11" s="1258" customFormat="1" ht="16" hidden="1" outlineLevel="1">
      <c r="B1561" s="968" t="s">
        <v>2494</v>
      </c>
      <c r="C1561" s="967">
        <v>97000</v>
      </c>
      <c r="D1561" s="967" t="s">
        <v>2247</v>
      </c>
      <c r="E1561" s="967">
        <v>247091</v>
      </c>
      <c r="F1561" s="967">
        <v>24010051000</v>
      </c>
      <c r="G1561" s="967">
        <v>97900</v>
      </c>
      <c r="H1561" s="967">
        <v>97900</v>
      </c>
      <c r="I1561" s="967">
        <v>97000</v>
      </c>
      <c r="J1561" s="967">
        <v>19400000</v>
      </c>
      <c r="K1561" s="967">
        <v>200000000</v>
      </c>
    </row>
    <row r="1562" spans="2:11" s="1258" customFormat="1" ht="16" hidden="1" outlineLevel="1">
      <c r="B1562" s="968" t="s">
        <v>2493</v>
      </c>
      <c r="C1562" s="967">
        <v>98100</v>
      </c>
      <c r="D1562" s="967" t="s">
        <v>2212</v>
      </c>
      <c r="E1562" s="967">
        <v>459450</v>
      </c>
      <c r="F1562" s="967">
        <v>44859700000</v>
      </c>
      <c r="G1562" s="967">
        <v>98600</v>
      </c>
      <c r="H1562" s="967">
        <v>98600</v>
      </c>
      <c r="I1562" s="967">
        <v>96700</v>
      </c>
      <c r="J1562" s="967">
        <v>19620000</v>
      </c>
      <c r="K1562" s="967">
        <v>200000000</v>
      </c>
    </row>
    <row r="1563" spans="2:11" s="1258" customFormat="1" ht="16" hidden="1" outlineLevel="1">
      <c r="B1563" s="968" t="s">
        <v>2492</v>
      </c>
      <c r="C1563" s="967">
        <v>98000</v>
      </c>
      <c r="D1563" s="967" t="s">
        <v>2224</v>
      </c>
      <c r="E1563" s="967">
        <v>361970</v>
      </c>
      <c r="F1563" s="967">
        <v>35496918400</v>
      </c>
      <c r="G1563" s="967">
        <v>98400</v>
      </c>
      <c r="H1563" s="967">
        <v>98500</v>
      </c>
      <c r="I1563" s="967">
        <v>97500</v>
      </c>
      <c r="J1563" s="967">
        <v>19600000</v>
      </c>
      <c r="K1563" s="967">
        <v>200000000</v>
      </c>
    </row>
    <row r="1564" spans="2:11" s="1258" customFormat="1" ht="16" hidden="1" outlineLevel="1">
      <c r="B1564" s="968" t="s">
        <v>2491</v>
      </c>
      <c r="C1564" s="967">
        <v>98200</v>
      </c>
      <c r="D1564" s="967" t="s">
        <v>2214</v>
      </c>
      <c r="E1564" s="967">
        <v>226201</v>
      </c>
      <c r="F1564" s="967">
        <v>22214585100</v>
      </c>
      <c r="G1564" s="967">
        <v>98500</v>
      </c>
      <c r="H1564" s="967">
        <v>98700</v>
      </c>
      <c r="I1564" s="967">
        <v>97900</v>
      </c>
      <c r="J1564" s="967">
        <v>19640000</v>
      </c>
      <c r="K1564" s="967">
        <v>200000000</v>
      </c>
    </row>
    <row r="1565" spans="2:11" s="1258" customFormat="1" ht="16" hidden="1" outlineLevel="1">
      <c r="B1565" s="968" t="s">
        <v>2490</v>
      </c>
      <c r="C1565" s="967">
        <v>97800</v>
      </c>
      <c r="D1565" s="967" t="s">
        <v>2221</v>
      </c>
      <c r="E1565" s="967">
        <v>191572</v>
      </c>
      <c r="F1565" s="967">
        <v>18760188100</v>
      </c>
      <c r="G1565" s="967">
        <v>98100</v>
      </c>
      <c r="H1565" s="967">
        <v>98600</v>
      </c>
      <c r="I1565" s="967">
        <v>97700</v>
      </c>
      <c r="J1565" s="967">
        <v>19560000</v>
      </c>
      <c r="K1565" s="967">
        <v>200000000</v>
      </c>
    </row>
    <row r="1566" spans="2:11" s="1258" customFormat="1" ht="16" hidden="1" outlineLevel="1">
      <c r="B1566" s="968" t="s">
        <v>2489</v>
      </c>
      <c r="C1566" s="967">
        <v>97800</v>
      </c>
      <c r="D1566" s="967" t="s">
        <v>1814</v>
      </c>
      <c r="E1566" s="967">
        <v>317315</v>
      </c>
      <c r="F1566" s="967">
        <v>31162732600</v>
      </c>
      <c r="G1566" s="967">
        <v>97800</v>
      </c>
      <c r="H1566" s="967">
        <v>98600</v>
      </c>
      <c r="I1566" s="967">
        <v>97600</v>
      </c>
      <c r="J1566" s="967">
        <v>19560000</v>
      </c>
      <c r="K1566" s="967">
        <v>200000000</v>
      </c>
    </row>
    <row r="1567" spans="2:11" s="1258" customFormat="1" ht="16" hidden="1" outlineLevel="1">
      <c r="B1567" s="968" t="s">
        <v>2488</v>
      </c>
      <c r="C1567" s="967">
        <v>98300</v>
      </c>
      <c r="D1567" s="967" t="s">
        <v>2214</v>
      </c>
      <c r="E1567" s="967">
        <v>232711</v>
      </c>
      <c r="F1567" s="967">
        <v>22835104900</v>
      </c>
      <c r="G1567" s="967">
        <v>98100</v>
      </c>
      <c r="H1567" s="967">
        <v>98600</v>
      </c>
      <c r="I1567" s="967">
        <v>97800</v>
      </c>
      <c r="J1567" s="967">
        <v>19660000</v>
      </c>
      <c r="K1567" s="967">
        <v>200000000</v>
      </c>
    </row>
    <row r="1568" spans="2:11" s="1258" customFormat="1" ht="16" hidden="1" outlineLevel="1">
      <c r="B1568" s="968" t="s">
        <v>2487</v>
      </c>
      <c r="C1568" s="967">
        <v>97900</v>
      </c>
      <c r="D1568" s="967" t="s">
        <v>2211</v>
      </c>
      <c r="E1568" s="967">
        <v>291139</v>
      </c>
      <c r="F1568" s="967">
        <v>28501187800</v>
      </c>
      <c r="G1568" s="967">
        <v>98300</v>
      </c>
      <c r="H1568" s="967">
        <v>98900</v>
      </c>
      <c r="I1568" s="967">
        <v>97500</v>
      </c>
      <c r="J1568" s="967">
        <v>19580000</v>
      </c>
      <c r="K1568" s="967">
        <v>200000000</v>
      </c>
    </row>
    <row r="1569" spans="2:11" s="1258" customFormat="1" ht="16" hidden="1" outlineLevel="1">
      <c r="B1569" s="968" t="s">
        <v>2485</v>
      </c>
      <c r="C1569" s="967">
        <v>98300</v>
      </c>
      <c r="D1569" s="967" t="s">
        <v>2250</v>
      </c>
      <c r="E1569" s="967">
        <v>353000</v>
      </c>
      <c r="F1569" s="967">
        <v>34733030000</v>
      </c>
      <c r="G1569" s="967">
        <v>97800</v>
      </c>
      <c r="H1569" s="967">
        <v>99300</v>
      </c>
      <c r="I1569" s="967">
        <v>97500</v>
      </c>
      <c r="J1569" s="967">
        <v>19660000</v>
      </c>
      <c r="K1569" s="967">
        <v>200000000</v>
      </c>
    </row>
    <row r="1570" spans="2:11" s="1258" customFormat="1" ht="16" hidden="1" outlineLevel="1">
      <c r="B1570" s="966" t="s">
        <v>2484</v>
      </c>
      <c r="C1570" s="965">
        <v>97100</v>
      </c>
      <c r="D1570" s="965" t="s">
        <v>2253</v>
      </c>
      <c r="E1570" s="965">
        <v>505815</v>
      </c>
      <c r="F1570" s="965">
        <v>49043121400</v>
      </c>
      <c r="G1570" s="965">
        <v>97500</v>
      </c>
      <c r="H1570" s="965">
        <v>97500</v>
      </c>
      <c r="I1570" s="965">
        <v>96600</v>
      </c>
      <c r="J1570" s="965">
        <v>19420000</v>
      </c>
      <c r="K1570" s="965">
        <v>200000000</v>
      </c>
    </row>
    <row r="1571" spans="2:11" s="1258" customFormat="1" ht="16" hidden="1" outlineLevel="1">
      <c r="B1571" s="966" t="s">
        <v>2483</v>
      </c>
      <c r="C1571" s="965">
        <v>97900</v>
      </c>
      <c r="D1571" s="965" t="s">
        <v>1814</v>
      </c>
      <c r="E1571" s="965">
        <v>365679</v>
      </c>
      <c r="F1571" s="965">
        <v>35836017900</v>
      </c>
      <c r="G1571" s="965">
        <v>98800</v>
      </c>
      <c r="H1571" s="965">
        <v>99000</v>
      </c>
      <c r="I1571" s="965">
        <v>97600</v>
      </c>
      <c r="J1571" s="965">
        <v>19580000</v>
      </c>
      <c r="K1571" s="965">
        <v>200000000</v>
      </c>
    </row>
    <row r="1572" spans="2:11" s="1258" customFormat="1" ht="16" hidden="1" outlineLevel="1">
      <c r="B1572" s="966" t="s">
        <v>2482</v>
      </c>
      <c r="C1572" s="965">
        <v>98400</v>
      </c>
      <c r="D1572" s="965" t="s">
        <v>1814</v>
      </c>
      <c r="E1572" s="965">
        <v>460004</v>
      </c>
      <c r="F1572" s="965">
        <v>45630371100</v>
      </c>
      <c r="G1572" s="965">
        <v>98800</v>
      </c>
      <c r="H1572" s="965">
        <v>101000</v>
      </c>
      <c r="I1572" s="965">
        <v>98400</v>
      </c>
      <c r="J1572" s="965">
        <v>19680000</v>
      </c>
      <c r="K1572" s="965">
        <v>200000000</v>
      </c>
    </row>
    <row r="1573" spans="2:11" s="1258" customFormat="1" ht="16" hidden="1" outlineLevel="1">
      <c r="B1573" s="966" t="s">
        <v>2481</v>
      </c>
      <c r="C1573" s="965">
        <v>98900</v>
      </c>
      <c r="D1573" s="965" t="s">
        <v>2228</v>
      </c>
      <c r="E1573" s="965">
        <v>293453</v>
      </c>
      <c r="F1573" s="965">
        <v>28931132900</v>
      </c>
      <c r="G1573" s="965">
        <v>99000</v>
      </c>
      <c r="H1573" s="965">
        <v>99100</v>
      </c>
      <c r="I1573" s="965">
        <v>98200</v>
      </c>
      <c r="J1573" s="965">
        <v>19780000</v>
      </c>
      <c r="K1573" s="965">
        <v>200000000</v>
      </c>
    </row>
    <row r="1574" spans="2:11" s="1258" customFormat="1" ht="16" hidden="1" outlineLevel="1">
      <c r="B1574" s="966" t="s">
        <v>2479</v>
      </c>
      <c r="C1574" s="965">
        <v>99000</v>
      </c>
      <c r="D1574" s="965" t="s">
        <v>2222</v>
      </c>
      <c r="E1574" s="965">
        <v>216497</v>
      </c>
      <c r="F1574" s="965">
        <v>21471974600</v>
      </c>
      <c r="G1574" s="965">
        <v>99900</v>
      </c>
      <c r="H1574" s="965">
        <v>99900</v>
      </c>
      <c r="I1574" s="965">
        <v>99000</v>
      </c>
      <c r="J1574" s="965">
        <v>19800000</v>
      </c>
      <c r="K1574" s="965">
        <v>200000000</v>
      </c>
    </row>
    <row r="1575" spans="2:11" s="1258" customFormat="1" ht="16" hidden="1" outlineLevel="1">
      <c r="B1575" s="966" t="s">
        <v>2478</v>
      </c>
      <c r="C1575" s="965">
        <v>99600</v>
      </c>
      <c r="D1575" s="965" t="s">
        <v>2251</v>
      </c>
      <c r="E1575" s="965">
        <v>397083</v>
      </c>
      <c r="F1575" s="965">
        <v>39480019200</v>
      </c>
      <c r="G1575" s="965">
        <v>99700</v>
      </c>
      <c r="H1575" s="965">
        <v>100500</v>
      </c>
      <c r="I1575" s="965">
        <v>98600</v>
      </c>
      <c r="J1575" s="965">
        <v>19920000</v>
      </c>
      <c r="K1575" s="965">
        <v>200000000</v>
      </c>
    </row>
    <row r="1576" spans="2:11" s="1258" customFormat="1" ht="16" hidden="1" outlineLevel="1">
      <c r="B1576" s="966" t="s">
        <v>2477</v>
      </c>
      <c r="C1576" s="965">
        <v>99000</v>
      </c>
      <c r="D1576" s="965" t="s">
        <v>2242</v>
      </c>
      <c r="E1576" s="965">
        <v>520558</v>
      </c>
      <c r="F1576" s="965">
        <v>51939876900</v>
      </c>
      <c r="G1576" s="965">
        <v>101500</v>
      </c>
      <c r="H1576" s="965">
        <v>102000</v>
      </c>
      <c r="I1576" s="965">
        <v>98500</v>
      </c>
      <c r="J1576" s="965">
        <v>19800000</v>
      </c>
      <c r="K1576" s="965">
        <v>200000000</v>
      </c>
    </row>
    <row r="1577" spans="2:11" s="1258" customFormat="1" ht="16" hidden="1" outlineLevel="1">
      <c r="B1577" s="966" t="s">
        <v>2476</v>
      </c>
      <c r="C1577" s="965">
        <v>101000</v>
      </c>
      <c r="D1577" s="965" t="s">
        <v>2277</v>
      </c>
      <c r="E1577" s="965">
        <v>396724</v>
      </c>
      <c r="F1577" s="965">
        <v>39663571000</v>
      </c>
      <c r="G1577" s="965">
        <v>99300</v>
      </c>
      <c r="H1577" s="965">
        <v>101000</v>
      </c>
      <c r="I1577" s="965">
        <v>98600</v>
      </c>
      <c r="J1577" s="965">
        <v>20200000</v>
      </c>
      <c r="K1577" s="965">
        <v>200000000</v>
      </c>
    </row>
    <row r="1578" spans="2:11" s="1258" customFormat="1" ht="16" hidden="1" outlineLevel="1">
      <c r="B1578" s="966" t="s">
        <v>2475</v>
      </c>
      <c r="C1578" s="965">
        <v>98000</v>
      </c>
      <c r="D1578" s="965" t="s">
        <v>2228</v>
      </c>
      <c r="E1578" s="965">
        <v>309324</v>
      </c>
      <c r="F1578" s="965">
        <v>30426305000</v>
      </c>
      <c r="G1578" s="965">
        <v>97700</v>
      </c>
      <c r="H1578" s="965">
        <v>99100</v>
      </c>
      <c r="I1578" s="965">
        <v>97500</v>
      </c>
      <c r="J1578" s="965">
        <v>19600000</v>
      </c>
      <c r="K1578" s="965">
        <v>200000000</v>
      </c>
    </row>
    <row r="1579" spans="2:11" s="1258" customFormat="1" ht="16" hidden="1" outlineLevel="1">
      <c r="B1579" s="966" t="s">
        <v>2474</v>
      </c>
      <c r="C1579" s="965">
        <v>98100</v>
      </c>
      <c r="D1579" s="965" t="s">
        <v>2244</v>
      </c>
      <c r="E1579" s="965">
        <v>450802</v>
      </c>
      <c r="F1579" s="965">
        <v>44420329500</v>
      </c>
      <c r="G1579" s="965">
        <v>99700</v>
      </c>
      <c r="H1579" s="965">
        <v>99800</v>
      </c>
      <c r="I1579" s="965">
        <v>98100</v>
      </c>
      <c r="J1579" s="965">
        <v>19620000</v>
      </c>
      <c r="K1579" s="965">
        <v>200000000</v>
      </c>
    </row>
    <row r="1580" spans="2:11" s="1258" customFormat="1" ht="16" hidden="1" outlineLevel="1">
      <c r="B1580" s="966" t="s">
        <v>2473</v>
      </c>
      <c r="C1580" s="965">
        <v>99600</v>
      </c>
      <c r="D1580" s="965" t="s">
        <v>2241</v>
      </c>
      <c r="E1580" s="965">
        <v>322783</v>
      </c>
      <c r="F1580" s="965">
        <v>32165628300</v>
      </c>
      <c r="G1580" s="965">
        <v>100000</v>
      </c>
      <c r="H1580" s="965">
        <v>100500</v>
      </c>
      <c r="I1580" s="965">
        <v>99400</v>
      </c>
      <c r="J1580" s="965">
        <v>19920000</v>
      </c>
      <c r="K1580" s="965">
        <v>200000000</v>
      </c>
    </row>
    <row r="1581" spans="2:11" s="1258" customFormat="1" ht="16" hidden="1" outlineLevel="1">
      <c r="B1581" s="966" t="s">
        <v>2472</v>
      </c>
      <c r="C1581" s="965">
        <v>100500</v>
      </c>
      <c r="D1581" s="965" t="s">
        <v>2221</v>
      </c>
      <c r="E1581" s="965">
        <v>295704</v>
      </c>
      <c r="F1581" s="965">
        <v>29529155500</v>
      </c>
      <c r="G1581" s="965">
        <v>100500</v>
      </c>
      <c r="H1581" s="965">
        <v>100500</v>
      </c>
      <c r="I1581" s="965">
        <v>99400</v>
      </c>
      <c r="J1581" s="965">
        <v>20100000</v>
      </c>
      <c r="K1581" s="965">
        <v>200000000</v>
      </c>
    </row>
    <row r="1582" spans="2:11" s="1258" customFormat="1" ht="16" hidden="1" outlineLevel="1">
      <c r="B1582" s="966" t="s">
        <v>2471</v>
      </c>
      <c r="C1582" s="965">
        <v>100500</v>
      </c>
      <c r="D1582" s="965" t="s">
        <v>2250</v>
      </c>
      <c r="E1582" s="965">
        <v>248940</v>
      </c>
      <c r="F1582" s="965">
        <v>24864065400</v>
      </c>
      <c r="G1582" s="965">
        <v>99900</v>
      </c>
      <c r="H1582" s="965">
        <v>100500</v>
      </c>
      <c r="I1582" s="965">
        <v>99500</v>
      </c>
      <c r="J1582" s="965">
        <v>20100000</v>
      </c>
      <c r="K1582" s="965">
        <v>200000000</v>
      </c>
    </row>
    <row r="1583" spans="2:11" s="1258" customFormat="1" ht="16" hidden="1" outlineLevel="1">
      <c r="B1583" s="966" t="s">
        <v>2470</v>
      </c>
      <c r="C1583" s="965">
        <v>99300</v>
      </c>
      <c r="D1583" s="965" t="s">
        <v>2222</v>
      </c>
      <c r="E1583" s="965">
        <v>438462</v>
      </c>
      <c r="F1583" s="965">
        <v>43702400900</v>
      </c>
      <c r="G1583" s="965">
        <v>99900</v>
      </c>
      <c r="H1583" s="965">
        <v>100500</v>
      </c>
      <c r="I1583" s="965">
        <v>99000</v>
      </c>
      <c r="J1583" s="965">
        <v>19860000</v>
      </c>
      <c r="K1583" s="965">
        <v>200000000</v>
      </c>
    </row>
    <row r="1584" spans="2:11" s="1258" customFormat="1" ht="16" hidden="1" outlineLevel="1">
      <c r="B1584" s="966" t="s">
        <v>2468</v>
      </c>
      <c r="C1584" s="965">
        <v>99900</v>
      </c>
      <c r="D1584" s="965" t="s">
        <v>2222</v>
      </c>
      <c r="E1584" s="965">
        <v>480178</v>
      </c>
      <c r="F1584" s="965">
        <v>48150898600</v>
      </c>
      <c r="G1584" s="965">
        <v>100500</v>
      </c>
      <c r="H1584" s="965">
        <v>101500</v>
      </c>
      <c r="I1584" s="965">
        <v>99800</v>
      </c>
      <c r="J1584" s="965">
        <v>19980000</v>
      </c>
      <c r="K1584" s="965">
        <v>200000000</v>
      </c>
    </row>
    <row r="1585" spans="2:11" s="1258" customFormat="1" ht="16" hidden="1" outlineLevel="1">
      <c r="B1585" s="966" t="s">
        <v>2467</v>
      </c>
      <c r="C1585" s="965">
        <v>100500</v>
      </c>
      <c r="D1585" s="965" t="s">
        <v>2248</v>
      </c>
      <c r="E1585" s="965">
        <v>471424</v>
      </c>
      <c r="F1585" s="965">
        <v>47477171500</v>
      </c>
      <c r="G1585" s="965">
        <v>101500</v>
      </c>
      <c r="H1585" s="965">
        <v>102000</v>
      </c>
      <c r="I1585" s="965">
        <v>100500</v>
      </c>
      <c r="J1585" s="965">
        <v>20100000</v>
      </c>
      <c r="K1585" s="965">
        <v>200000000</v>
      </c>
    </row>
    <row r="1586" spans="2:11" s="1258" customFormat="1" ht="16" hidden="1" outlineLevel="1">
      <c r="B1586" s="966" t="s">
        <v>2466</v>
      </c>
      <c r="C1586" s="965">
        <v>101500</v>
      </c>
      <c r="D1586" s="965" t="s">
        <v>2221</v>
      </c>
      <c r="E1586" s="965">
        <v>312793</v>
      </c>
      <c r="F1586" s="965">
        <v>31673387500</v>
      </c>
      <c r="G1586" s="965">
        <v>101500</v>
      </c>
      <c r="H1586" s="965">
        <v>102000</v>
      </c>
      <c r="I1586" s="965">
        <v>101000</v>
      </c>
      <c r="J1586" s="965">
        <v>20300000</v>
      </c>
      <c r="K1586" s="965">
        <v>200000000</v>
      </c>
    </row>
    <row r="1587" spans="2:11" s="1258" customFormat="1" ht="16" hidden="1" outlineLevel="1">
      <c r="B1587" s="966" t="s">
        <v>2465</v>
      </c>
      <c r="C1587" s="965">
        <v>101500</v>
      </c>
      <c r="D1587" s="965" t="s">
        <v>2242</v>
      </c>
      <c r="E1587" s="965">
        <v>650139</v>
      </c>
      <c r="F1587" s="965">
        <v>66091482000</v>
      </c>
      <c r="G1587" s="965">
        <v>103500</v>
      </c>
      <c r="H1587" s="965">
        <v>103500</v>
      </c>
      <c r="I1587" s="965">
        <v>101000</v>
      </c>
      <c r="J1587" s="965">
        <v>20300000</v>
      </c>
      <c r="K1587" s="965">
        <v>200000000</v>
      </c>
    </row>
    <row r="1588" spans="2:11" s="1258" customFormat="1" ht="16" hidden="1" outlineLevel="1">
      <c r="B1588" s="966" t="s">
        <v>2464</v>
      </c>
      <c r="C1588" s="965">
        <v>103500</v>
      </c>
      <c r="D1588" s="965" t="s">
        <v>2236</v>
      </c>
      <c r="E1588" s="965">
        <v>344942</v>
      </c>
      <c r="F1588" s="965">
        <v>35645044000</v>
      </c>
      <c r="G1588" s="965">
        <v>103000</v>
      </c>
      <c r="H1588" s="965">
        <v>104000</v>
      </c>
      <c r="I1588" s="965">
        <v>102500</v>
      </c>
      <c r="J1588" s="965">
        <v>20700000</v>
      </c>
      <c r="K1588" s="965">
        <v>200000000</v>
      </c>
    </row>
    <row r="1589" spans="2:11" s="1258" customFormat="1" ht="16" hidden="1" outlineLevel="1">
      <c r="B1589" s="966" t="s">
        <v>2463</v>
      </c>
      <c r="C1589" s="965">
        <v>102500</v>
      </c>
      <c r="D1589" s="965" t="s">
        <v>1814</v>
      </c>
      <c r="E1589" s="965">
        <v>380358</v>
      </c>
      <c r="F1589" s="965">
        <v>38913761000</v>
      </c>
      <c r="G1589" s="965">
        <v>103000</v>
      </c>
      <c r="H1589" s="965">
        <v>103000</v>
      </c>
      <c r="I1589" s="965">
        <v>102000</v>
      </c>
      <c r="J1589" s="965">
        <v>20500000</v>
      </c>
      <c r="K1589" s="965">
        <v>200000000</v>
      </c>
    </row>
    <row r="1590" spans="2:11" s="1258" customFormat="1" ht="16" hidden="1" outlineLevel="1">
      <c r="B1590" s="966" t="s">
        <v>2461</v>
      </c>
      <c r="C1590" s="965">
        <v>103000</v>
      </c>
      <c r="D1590" s="965" t="s">
        <v>2221</v>
      </c>
      <c r="E1590" s="965">
        <v>370276</v>
      </c>
      <c r="F1590" s="965">
        <v>37899433000</v>
      </c>
      <c r="G1590" s="965">
        <v>102500</v>
      </c>
      <c r="H1590" s="965">
        <v>103000</v>
      </c>
      <c r="I1590" s="965">
        <v>102000</v>
      </c>
      <c r="J1590" s="965">
        <v>20600000</v>
      </c>
      <c r="K1590" s="965">
        <v>200000000</v>
      </c>
    </row>
    <row r="1591" spans="2:11" s="1258" customFormat="1" ht="16" hidden="1" outlineLevel="1">
      <c r="B1591" s="966" t="s">
        <v>2459</v>
      </c>
      <c r="C1591" s="965">
        <v>103000</v>
      </c>
      <c r="D1591" s="965" t="s">
        <v>2245</v>
      </c>
      <c r="E1591" s="965">
        <v>474596</v>
      </c>
      <c r="F1591" s="965">
        <v>48634576500</v>
      </c>
      <c r="G1591" s="965">
        <v>102000</v>
      </c>
      <c r="H1591" s="965">
        <v>103000</v>
      </c>
      <c r="I1591" s="965">
        <v>101500</v>
      </c>
      <c r="J1591" s="965">
        <v>20600000</v>
      </c>
      <c r="K1591" s="965">
        <v>200000000</v>
      </c>
    </row>
    <row r="1592" spans="2:11" s="1258" customFormat="1" ht="16" hidden="1" outlineLevel="1">
      <c r="B1592" s="966" t="s">
        <v>2457</v>
      </c>
      <c r="C1592" s="965">
        <v>101500</v>
      </c>
      <c r="D1592" s="965" t="s">
        <v>2244</v>
      </c>
      <c r="E1592" s="965">
        <v>668068</v>
      </c>
      <c r="F1592" s="965">
        <v>67736567500</v>
      </c>
      <c r="G1592" s="965">
        <v>102000</v>
      </c>
      <c r="H1592" s="965">
        <v>102500</v>
      </c>
      <c r="I1592" s="965">
        <v>101000</v>
      </c>
      <c r="J1592" s="965">
        <v>20300000</v>
      </c>
      <c r="K1592" s="965">
        <v>200000000</v>
      </c>
    </row>
    <row r="1593" spans="2:11" s="1258" customFormat="1" ht="16" hidden="1" outlineLevel="1">
      <c r="B1593" s="966" t="s">
        <v>2455</v>
      </c>
      <c r="C1593" s="965">
        <v>103000</v>
      </c>
      <c r="D1593" s="965" t="s">
        <v>1826</v>
      </c>
      <c r="E1593" s="965">
        <v>223919</v>
      </c>
      <c r="F1593" s="965">
        <v>22947293000</v>
      </c>
      <c r="G1593" s="965">
        <v>102000</v>
      </c>
      <c r="H1593" s="965">
        <v>103000</v>
      </c>
      <c r="I1593" s="965">
        <v>101500</v>
      </c>
      <c r="J1593" s="965">
        <v>20600000</v>
      </c>
      <c r="K1593" s="965">
        <v>200000000</v>
      </c>
    </row>
    <row r="1594" spans="2:11" s="1258" customFormat="1" ht="16" hidden="1" outlineLevel="1">
      <c r="B1594" s="966" t="s">
        <v>2454</v>
      </c>
      <c r="C1594" s="965">
        <v>102500</v>
      </c>
      <c r="D1594" s="965" t="s">
        <v>1814</v>
      </c>
      <c r="E1594" s="965">
        <v>268581</v>
      </c>
      <c r="F1594" s="965">
        <v>27363216000</v>
      </c>
      <c r="G1594" s="965">
        <v>103000</v>
      </c>
      <c r="H1594" s="965">
        <v>103000</v>
      </c>
      <c r="I1594" s="965">
        <v>101500</v>
      </c>
      <c r="J1594" s="965">
        <v>20500000</v>
      </c>
      <c r="K1594" s="965">
        <v>200000000</v>
      </c>
    </row>
    <row r="1595" spans="2:11" s="1258" customFormat="1" ht="16" hidden="1" outlineLevel="1">
      <c r="B1595" s="966" t="s">
        <v>2453</v>
      </c>
      <c r="C1595" s="965">
        <v>103000</v>
      </c>
      <c r="D1595" s="965" t="s">
        <v>2245</v>
      </c>
      <c r="E1595" s="965">
        <v>438934</v>
      </c>
      <c r="F1595" s="965">
        <v>44804013000</v>
      </c>
      <c r="G1595" s="965">
        <v>101500</v>
      </c>
      <c r="H1595" s="965">
        <v>103000</v>
      </c>
      <c r="I1595" s="965">
        <v>101500</v>
      </c>
      <c r="J1595" s="965">
        <v>20600000</v>
      </c>
      <c r="K1595" s="965">
        <v>200000000</v>
      </c>
    </row>
    <row r="1596" spans="2:11" s="1258" customFormat="1" ht="16" hidden="1" outlineLevel="1">
      <c r="B1596" s="966" t="s">
        <v>2451</v>
      </c>
      <c r="C1596" s="965">
        <v>101500</v>
      </c>
      <c r="D1596" s="965" t="s">
        <v>1826</v>
      </c>
      <c r="E1596" s="965">
        <v>422019</v>
      </c>
      <c r="F1596" s="965">
        <v>42708470500</v>
      </c>
      <c r="G1596" s="965">
        <v>101500</v>
      </c>
      <c r="H1596" s="965">
        <v>102000</v>
      </c>
      <c r="I1596" s="965">
        <v>101000</v>
      </c>
      <c r="J1596" s="965">
        <v>20300000</v>
      </c>
      <c r="K1596" s="965">
        <v>200000000</v>
      </c>
    </row>
    <row r="1597" spans="2:11" s="1258" customFormat="1" ht="16" hidden="1" outlineLevel="1">
      <c r="B1597" s="966" t="s">
        <v>2450</v>
      </c>
      <c r="C1597" s="965">
        <v>101000</v>
      </c>
      <c r="D1597" s="965" t="s">
        <v>2248</v>
      </c>
      <c r="E1597" s="965">
        <v>384857</v>
      </c>
      <c r="F1597" s="965">
        <v>38907218500</v>
      </c>
      <c r="G1597" s="965">
        <v>102000</v>
      </c>
      <c r="H1597" s="965">
        <v>102000</v>
      </c>
      <c r="I1597" s="965">
        <v>100500</v>
      </c>
      <c r="J1597" s="965">
        <v>20200000</v>
      </c>
      <c r="K1597" s="965">
        <v>200000000</v>
      </c>
    </row>
    <row r="1598" spans="2:11" s="1258" customFormat="1" ht="16" hidden="1" outlineLevel="1">
      <c r="B1598" s="966" t="s">
        <v>2449</v>
      </c>
      <c r="C1598" s="965">
        <v>102000</v>
      </c>
      <c r="D1598" s="965" t="s">
        <v>1814</v>
      </c>
      <c r="E1598" s="965">
        <v>467829</v>
      </c>
      <c r="F1598" s="965">
        <v>47471487000</v>
      </c>
      <c r="G1598" s="965">
        <v>103000</v>
      </c>
      <c r="H1598" s="965">
        <v>103000</v>
      </c>
      <c r="I1598" s="965">
        <v>101000</v>
      </c>
      <c r="J1598" s="965">
        <v>20400000</v>
      </c>
      <c r="K1598" s="965">
        <v>200000000</v>
      </c>
    </row>
    <row r="1599" spans="2:11" s="1258" customFormat="1" ht="16" hidden="1" outlineLevel="1">
      <c r="B1599" s="966" t="s">
        <v>2448</v>
      </c>
      <c r="C1599" s="965">
        <v>102500</v>
      </c>
      <c r="D1599" s="965" t="s">
        <v>2244</v>
      </c>
      <c r="E1599" s="965">
        <v>499197</v>
      </c>
      <c r="F1599" s="965">
        <v>51179742500</v>
      </c>
      <c r="G1599" s="965">
        <v>104000</v>
      </c>
      <c r="H1599" s="965">
        <v>104500</v>
      </c>
      <c r="I1599" s="965">
        <v>102000</v>
      </c>
      <c r="J1599" s="965">
        <v>20500000</v>
      </c>
      <c r="K1599" s="965">
        <v>200000000</v>
      </c>
    </row>
    <row r="1600" spans="2:11" s="1258" customFormat="1" ht="16" hidden="1" outlineLevel="1">
      <c r="B1600" s="966" t="s">
        <v>2447</v>
      </c>
      <c r="C1600" s="965">
        <v>104000</v>
      </c>
      <c r="D1600" s="965" t="s">
        <v>2220</v>
      </c>
      <c r="E1600" s="965">
        <v>288119</v>
      </c>
      <c r="F1600" s="965">
        <v>29566934500</v>
      </c>
      <c r="G1600" s="965">
        <v>102500</v>
      </c>
      <c r="H1600" s="965">
        <v>104000</v>
      </c>
      <c r="I1600" s="965">
        <v>101000</v>
      </c>
      <c r="J1600" s="965">
        <v>20800000</v>
      </c>
      <c r="K1600" s="965">
        <v>200000000</v>
      </c>
    </row>
    <row r="1601" spans="2:11" s="1258" customFormat="1" ht="16" hidden="1" outlineLevel="1">
      <c r="B1601" s="966" t="s">
        <v>2446</v>
      </c>
      <c r="C1601" s="965">
        <v>101500</v>
      </c>
      <c r="D1601" s="965" t="s">
        <v>1814</v>
      </c>
      <c r="E1601" s="965">
        <v>383294</v>
      </c>
      <c r="F1601" s="965">
        <v>38603752000</v>
      </c>
      <c r="G1601" s="965">
        <v>100000</v>
      </c>
      <c r="H1601" s="965">
        <v>102000</v>
      </c>
      <c r="I1601" s="965">
        <v>100000</v>
      </c>
      <c r="J1601" s="965">
        <v>20300000</v>
      </c>
      <c r="K1601" s="965">
        <v>200000000</v>
      </c>
    </row>
    <row r="1602" spans="2:11" s="1258" customFormat="1" ht="16" hidden="1" outlineLevel="1">
      <c r="B1602" s="966" t="s">
        <v>2445</v>
      </c>
      <c r="C1602" s="965">
        <v>102000</v>
      </c>
      <c r="D1602" s="965" t="s">
        <v>2245</v>
      </c>
      <c r="E1602" s="965">
        <v>367881</v>
      </c>
      <c r="F1602" s="965">
        <v>37702497500</v>
      </c>
      <c r="G1602" s="965">
        <v>101500</v>
      </c>
      <c r="H1602" s="965">
        <v>103500</v>
      </c>
      <c r="I1602" s="965">
        <v>101500</v>
      </c>
      <c r="J1602" s="965">
        <v>20400000</v>
      </c>
      <c r="K1602" s="965">
        <v>200000000</v>
      </c>
    </row>
    <row r="1603" spans="2:11" s="1258" customFormat="1" ht="16" hidden="1" outlineLevel="1">
      <c r="B1603" s="966" t="s">
        <v>2443</v>
      </c>
      <c r="C1603" s="965">
        <v>100500</v>
      </c>
      <c r="D1603" s="965" t="s">
        <v>2274</v>
      </c>
      <c r="E1603" s="965">
        <v>796865</v>
      </c>
      <c r="F1603" s="965">
        <v>80685612100</v>
      </c>
      <c r="G1603" s="965">
        <v>103500</v>
      </c>
      <c r="H1603" s="965">
        <v>104500</v>
      </c>
      <c r="I1603" s="965">
        <v>99700</v>
      </c>
      <c r="J1603" s="965">
        <v>20100000</v>
      </c>
      <c r="K1603" s="965">
        <v>200000000</v>
      </c>
    </row>
    <row r="1604" spans="2:11" s="1258" customFormat="1" ht="16" hidden="1" outlineLevel="1">
      <c r="B1604" s="966" t="s">
        <v>2441</v>
      </c>
      <c r="C1604" s="965">
        <v>104000</v>
      </c>
      <c r="D1604" s="965" t="s">
        <v>2235</v>
      </c>
      <c r="E1604" s="965">
        <v>556320</v>
      </c>
      <c r="F1604" s="965">
        <v>57675425500</v>
      </c>
      <c r="G1604" s="965">
        <v>104000</v>
      </c>
      <c r="H1604" s="965">
        <v>104500</v>
      </c>
      <c r="I1604" s="965">
        <v>102000</v>
      </c>
      <c r="J1604" s="965">
        <v>20800000</v>
      </c>
      <c r="K1604" s="965">
        <v>200000000</v>
      </c>
    </row>
    <row r="1605" spans="2:11" s="1258" customFormat="1" ht="16" hidden="1" outlineLevel="1">
      <c r="B1605" s="966" t="s">
        <v>2439</v>
      </c>
      <c r="C1605" s="965">
        <v>106500</v>
      </c>
      <c r="D1605" s="965" t="s">
        <v>1826</v>
      </c>
      <c r="E1605" s="965">
        <v>298787</v>
      </c>
      <c r="F1605" s="965">
        <v>31668620000</v>
      </c>
      <c r="G1605" s="965">
        <v>105000</v>
      </c>
      <c r="H1605" s="965">
        <v>107000</v>
      </c>
      <c r="I1605" s="965">
        <v>105000</v>
      </c>
      <c r="J1605" s="965">
        <v>21300000</v>
      </c>
      <c r="K1605" s="965">
        <v>200000000</v>
      </c>
    </row>
    <row r="1606" spans="2:11" s="1258" customFormat="1" ht="16" hidden="1" outlineLevel="1">
      <c r="B1606" s="966" t="s">
        <v>2438</v>
      </c>
      <c r="C1606" s="965">
        <v>106000</v>
      </c>
      <c r="D1606" s="965" t="s">
        <v>2235</v>
      </c>
      <c r="E1606" s="965">
        <v>506777</v>
      </c>
      <c r="F1606" s="965">
        <v>54190390500</v>
      </c>
      <c r="G1606" s="965">
        <v>109500</v>
      </c>
      <c r="H1606" s="965">
        <v>109500</v>
      </c>
      <c r="I1606" s="965">
        <v>105500</v>
      </c>
      <c r="J1606" s="965">
        <v>21200000</v>
      </c>
      <c r="K1606" s="965">
        <v>200000000</v>
      </c>
    </row>
    <row r="1607" spans="2:11" s="1258" customFormat="1" ht="16" hidden="1" outlineLevel="1">
      <c r="B1607" s="966" t="s">
        <v>2436</v>
      </c>
      <c r="C1607" s="965">
        <v>108500</v>
      </c>
      <c r="D1607" s="965" t="s">
        <v>2248</v>
      </c>
      <c r="E1607" s="965">
        <v>239966</v>
      </c>
      <c r="F1607" s="965">
        <v>26121117500</v>
      </c>
      <c r="G1607" s="965">
        <v>109500</v>
      </c>
      <c r="H1607" s="965">
        <v>110000</v>
      </c>
      <c r="I1607" s="965">
        <v>108000</v>
      </c>
      <c r="J1607" s="965">
        <v>21700000</v>
      </c>
      <c r="K1607" s="965">
        <v>200000000</v>
      </c>
    </row>
    <row r="1608" spans="2:11" s="1258" customFormat="1" ht="16" hidden="1" outlineLevel="1">
      <c r="B1608" s="966" t="s">
        <v>2435</v>
      </c>
      <c r="C1608" s="965">
        <v>109500</v>
      </c>
      <c r="D1608" s="965" t="s">
        <v>2220</v>
      </c>
      <c r="E1608" s="965">
        <v>207606</v>
      </c>
      <c r="F1608" s="965">
        <v>22626440000</v>
      </c>
      <c r="G1608" s="965">
        <v>107000</v>
      </c>
      <c r="H1608" s="965">
        <v>110000</v>
      </c>
      <c r="I1608" s="965">
        <v>107000</v>
      </c>
      <c r="J1608" s="965">
        <v>21900000</v>
      </c>
      <c r="K1608" s="965">
        <v>200000000</v>
      </c>
    </row>
    <row r="1609" spans="2:11" s="1258" customFormat="1" ht="16" hidden="1" outlineLevel="1">
      <c r="B1609" s="966" t="s">
        <v>2433</v>
      </c>
      <c r="C1609" s="965">
        <v>107000</v>
      </c>
      <c r="D1609" s="965" t="s">
        <v>2235</v>
      </c>
      <c r="E1609" s="965">
        <v>211694</v>
      </c>
      <c r="F1609" s="965">
        <v>22852550500</v>
      </c>
      <c r="G1609" s="965">
        <v>109000</v>
      </c>
      <c r="H1609" s="965">
        <v>109500</v>
      </c>
      <c r="I1609" s="965">
        <v>107000</v>
      </c>
      <c r="J1609" s="965">
        <v>21400000</v>
      </c>
      <c r="K1609" s="965">
        <v>200000000</v>
      </c>
    </row>
    <row r="1610" spans="2:11" s="1258" customFormat="1" ht="16" hidden="1" outlineLevel="1">
      <c r="B1610" s="966" t="s">
        <v>2431</v>
      </c>
      <c r="C1610" s="965">
        <v>109500</v>
      </c>
      <c r="D1610" s="965" t="s">
        <v>2236</v>
      </c>
      <c r="E1610" s="965">
        <v>329501</v>
      </c>
      <c r="F1610" s="965">
        <v>35990646000</v>
      </c>
      <c r="G1610" s="965">
        <v>109500</v>
      </c>
      <c r="H1610" s="965">
        <v>110000</v>
      </c>
      <c r="I1610" s="965">
        <v>108500</v>
      </c>
      <c r="J1610" s="965">
        <v>21900000</v>
      </c>
      <c r="K1610" s="965">
        <v>200000000</v>
      </c>
    </row>
    <row r="1611" spans="2:11" s="1258" customFormat="1" ht="16" hidden="1" outlineLevel="1">
      <c r="B1611" s="966" t="s">
        <v>2430</v>
      </c>
      <c r="C1611" s="965">
        <v>108500</v>
      </c>
      <c r="D1611" s="965" t="s">
        <v>2672</v>
      </c>
      <c r="E1611" s="965">
        <v>285166</v>
      </c>
      <c r="F1611" s="965">
        <v>30841096500</v>
      </c>
      <c r="G1611" s="965">
        <v>106000</v>
      </c>
      <c r="H1611" s="965">
        <v>109000</v>
      </c>
      <c r="I1611" s="965">
        <v>106000</v>
      </c>
      <c r="J1611" s="965">
        <v>21700000</v>
      </c>
      <c r="K1611" s="965">
        <v>200000000</v>
      </c>
    </row>
    <row r="1612" spans="2:11" s="1258" customFormat="1" ht="16" hidden="1" outlineLevel="1">
      <c r="B1612" s="966" t="s">
        <v>2428</v>
      </c>
      <c r="C1612" s="965">
        <v>105000</v>
      </c>
      <c r="D1612" s="965" t="s">
        <v>2244</v>
      </c>
      <c r="E1612" s="965">
        <v>285212</v>
      </c>
      <c r="F1612" s="965">
        <v>30155827000</v>
      </c>
      <c r="G1612" s="965">
        <v>105500</v>
      </c>
      <c r="H1612" s="965">
        <v>106500</v>
      </c>
      <c r="I1612" s="965">
        <v>105000</v>
      </c>
      <c r="J1612" s="965">
        <v>21000000</v>
      </c>
      <c r="K1612" s="965">
        <v>200000000</v>
      </c>
    </row>
    <row r="1613" spans="2:11" s="1258" customFormat="1" ht="16" hidden="1" outlineLevel="1">
      <c r="B1613" s="966" t="s">
        <v>2427</v>
      </c>
      <c r="C1613" s="965">
        <v>106500</v>
      </c>
      <c r="D1613" s="965" t="s">
        <v>2244</v>
      </c>
      <c r="E1613" s="965">
        <v>291452</v>
      </c>
      <c r="F1613" s="965">
        <v>30996644500</v>
      </c>
      <c r="G1613" s="965">
        <v>108000</v>
      </c>
      <c r="H1613" s="965">
        <v>108000</v>
      </c>
      <c r="I1613" s="965">
        <v>105500</v>
      </c>
      <c r="J1613" s="965">
        <v>21300000</v>
      </c>
      <c r="K1613" s="965">
        <v>200000000</v>
      </c>
    </row>
    <row r="1614" spans="2:11" s="1258" customFormat="1" ht="16" hidden="1" outlineLevel="1">
      <c r="B1614" s="966" t="s">
        <v>2425</v>
      </c>
      <c r="C1614" s="965">
        <v>108000</v>
      </c>
      <c r="D1614" s="965" t="s">
        <v>1814</v>
      </c>
      <c r="E1614" s="965">
        <v>336682</v>
      </c>
      <c r="F1614" s="965">
        <v>36230631000</v>
      </c>
      <c r="G1614" s="965">
        <v>108000</v>
      </c>
      <c r="H1614" s="965">
        <v>108500</v>
      </c>
      <c r="I1614" s="965">
        <v>107000</v>
      </c>
      <c r="J1614" s="965">
        <v>21600000</v>
      </c>
      <c r="K1614" s="965">
        <v>200000000</v>
      </c>
    </row>
    <row r="1615" spans="2:11" s="1258" customFormat="1" ht="16" hidden="1" outlineLevel="1">
      <c r="B1615" s="966" t="s">
        <v>2423</v>
      </c>
      <c r="C1615" s="965">
        <v>108500</v>
      </c>
      <c r="D1615" s="965" t="s">
        <v>2244</v>
      </c>
      <c r="E1615" s="965">
        <v>382435</v>
      </c>
      <c r="F1615" s="965">
        <v>41509190000</v>
      </c>
      <c r="G1615" s="965">
        <v>109500</v>
      </c>
      <c r="H1615" s="965">
        <v>110000</v>
      </c>
      <c r="I1615" s="965">
        <v>107500</v>
      </c>
      <c r="J1615" s="965">
        <v>21700000</v>
      </c>
      <c r="K1615" s="965">
        <v>200000000</v>
      </c>
    </row>
    <row r="1616" spans="2:11" s="1258" customFormat="1" ht="16" hidden="1" outlineLevel="1">
      <c r="B1616" s="966" t="s">
        <v>2422</v>
      </c>
      <c r="C1616" s="965">
        <v>110000</v>
      </c>
      <c r="D1616" s="965" t="s">
        <v>2236</v>
      </c>
      <c r="E1616" s="965">
        <v>525226</v>
      </c>
      <c r="F1616" s="965">
        <v>58078213510</v>
      </c>
      <c r="G1616" s="965">
        <v>108500</v>
      </c>
      <c r="H1616" s="965">
        <v>112000</v>
      </c>
      <c r="I1616" s="965">
        <v>108500</v>
      </c>
      <c r="J1616" s="965">
        <v>22000000</v>
      </c>
      <c r="K1616" s="965">
        <v>200000000</v>
      </c>
    </row>
    <row r="1617" spans="2:11" s="1258" customFormat="1" ht="16" hidden="1" outlineLevel="1">
      <c r="B1617" s="966" t="s">
        <v>2420</v>
      </c>
      <c r="C1617" s="965">
        <v>109000</v>
      </c>
      <c r="D1617" s="965" t="s">
        <v>2248</v>
      </c>
      <c r="E1617" s="965">
        <v>429412</v>
      </c>
      <c r="F1617" s="965">
        <v>46474826000</v>
      </c>
      <c r="G1617" s="965">
        <v>109000</v>
      </c>
      <c r="H1617" s="965">
        <v>109500</v>
      </c>
      <c r="I1617" s="965">
        <v>107000</v>
      </c>
      <c r="J1617" s="965">
        <v>21800000</v>
      </c>
      <c r="K1617" s="965">
        <v>200000000</v>
      </c>
    </row>
    <row r="1618" spans="2:11" s="1258" customFormat="1" ht="16" hidden="1" outlineLevel="1">
      <c r="B1618" s="966" t="s">
        <v>2418</v>
      </c>
      <c r="C1618" s="965">
        <v>110000</v>
      </c>
      <c r="D1618" s="965" t="s">
        <v>2235</v>
      </c>
      <c r="E1618" s="965">
        <v>552507</v>
      </c>
      <c r="F1618" s="965">
        <v>60761029500</v>
      </c>
      <c r="G1618" s="965">
        <v>112500</v>
      </c>
      <c r="H1618" s="965">
        <v>112500</v>
      </c>
      <c r="I1618" s="965">
        <v>109000</v>
      </c>
      <c r="J1618" s="965">
        <v>22000000</v>
      </c>
      <c r="K1618" s="965">
        <v>200000000</v>
      </c>
    </row>
    <row r="1619" spans="2:11" s="1258" customFormat="1" ht="16" hidden="1" outlineLevel="1">
      <c r="B1619" s="966" t="s">
        <v>2417</v>
      </c>
      <c r="C1619" s="965">
        <v>112500</v>
      </c>
      <c r="D1619" s="965" t="s">
        <v>1826</v>
      </c>
      <c r="E1619" s="965">
        <v>834842</v>
      </c>
      <c r="F1619" s="965">
        <v>94187965500</v>
      </c>
      <c r="G1619" s="965">
        <v>112000</v>
      </c>
      <c r="H1619" s="965">
        <v>113500</v>
      </c>
      <c r="I1619" s="965">
        <v>112000</v>
      </c>
      <c r="J1619" s="965">
        <v>22500000</v>
      </c>
      <c r="K1619" s="965">
        <v>200000000</v>
      </c>
    </row>
    <row r="1620" spans="2:11" s="1258" customFormat="1" ht="16" hidden="1" outlineLevel="1">
      <c r="B1620" s="966" t="s">
        <v>2416</v>
      </c>
      <c r="C1620" s="965">
        <v>112000</v>
      </c>
      <c r="D1620" s="965" t="s">
        <v>2672</v>
      </c>
      <c r="E1620" s="965">
        <v>2034534</v>
      </c>
      <c r="F1620" s="965">
        <v>226054547000</v>
      </c>
      <c r="G1620" s="965">
        <v>110000</v>
      </c>
      <c r="H1620" s="965">
        <v>112500</v>
      </c>
      <c r="I1620" s="965">
        <v>109000</v>
      </c>
      <c r="J1620" s="965">
        <v>22400000</v>
      </c>
      <c r="K1620" s="965">
        <v>200000000</v>
      </c>
    </row>
    <row r="1621" spans="2:11" s="1258" customFormat="1" ht="16" hidden="1" outlineLevel="1">
      <c r="B1621" s="966" t="s">
        <v>2414</v>
      </c>
      <c r="C1621" s="965">
        <v>108500</v>
      </c>
      <c r="D1621" s="965" t="s">
        <v>2236</v>
      </c>
      <c r="E1621" s="965">
        <v>717670</v>
      </c>
      <c r="F1621" s="965">
        <v>78364802500</v>
      </c>
      <c r="G1621" s="965">
        <v>108000</v>
      </c>
      <c r="H1621" s="965">
        <v>110000</v>
      </c>
      <c r="I1621" s="965">
        <v>107500</v>
      </c>
      <c r="J1621" s="965">
        <v>21700000</v>
      </c>
      <c r="K1621" s="965">
        <v>200000000</v>
      </c>
    </row>
    <row r="1622" spans="2:11" s="1258" customFormat="1" ht="16" hidden="1" outlineLevel="1">
      <c r="B1622" s="966" t="s">
        <v>2412</v>
      </c>
      <c r="C1622" s="965">
        <v>107500</v>
      </c>
      <c r="D1622" s="965" t="s">
        <v>2221</v>
      </c>
      <c r="E1622" s="965">
        <v>386052</v>
      </c>
      <c r="F1622" s="965">
        <v>41675114500</v>
      </c>
      <c r="G1622" s="965">
        <v>108500</v>
      </c>
      <c r="H1622" s="965">
        <v>108500</v>
      </c>
      <c r="I1622" s="965">
        <v>106500</v>
      </c>
      <c r="J1622" s="965">
        <v>21500000</v>
      </c>
      <c r="K1622" s="965">
        <v>200000000</v>
      </c>
    </row>
    <row r="1623" spans="2:11" s="1258" customFormat="1" ht="16" hidden="1" outlineLevel="1">
      <c r="B1623" s="966" t="s">
        <v>2410</v>
      </c>
      <c r="C1623" s="965">
        <v>107500</v>
      </c>
      <c r="D1623" s="965" t="s">
        <v>2644</v>
      </c>
      <c r="E1623" s="965">
        <v>454353</v>
      </c>
      <c r="F1623" s="965">
        <v>48432323500</v>
      </c>
      <c r="G1623" s="965">
        <v>104000</v>
      </c>
      <c r="H1623" s="965">
        <v>108500</v>
      </c>
      <c r="I1623" s="965">
        <v>104000</v>
      </c>
      <c r="J1623" s="965">
        <v>21500000</v>
      </c>
      <c r="K1623" s="965">
        <v>200000000</v>
      </c>
    </row>
    <row r="1624" spans="2:11" s="1258" customFormat="1" ht="16" hidden="1" outlineLevel="1">
      <c r="B1624" s="966" t="s">
        <v>2409</v>
      </c>
      <c r="C1624" s="965">
        <v>103000</v>
      </c>
      <c r="D1624" s="965" t="s">
        <v>2278</v>
      </c>
      <c r="E1624" s="965">
        <v>473824</v>
      </c>
      <c r="F1624" s="965">
        <v>49262333500</v>
      </c>
      <c r="G1624" s="965">
        <v>106500</v>
      </c>
      <c r="H1624" s="965">
        <v>106500</v>
      </c>
      <c r="I1624" s="965">
        <v>102500</v>
      </c>
      <c r="J1624" s="965">
        <v>20600000</v>
      </c>
      <c r="K1624" s="965">
        <v>200000000</v>
      </c>
    </row>
    <row r="1625" spans="2:11" s="1258" customFormat="1" ht="16" hidden="1" outlineLevel="1">
      <c r="B1625" s="966" t="s">
        <v>2407</v>
      </c>
      <c r="C1625" s="965">
        <v>106000</v>
      </c>
      <c r="D1625" s="965" t="s">
        <v>1814</v>
      </c>
      <c r="E1625" s="965">
        <v>366249</v>
      </c>
      <c r="F1625" s="965">
        <v>38991321500</v>
      </c>
      <c r="G1625" s="965">
        <v>106000</v>
      </c>
      <c r="H1625" s="965">
        <v>108000</v>
      </c>
      <c r="I1625" s="965">
        <v>105000</v>
      </c>
      <c r="J1625" s="965">
        <v>21200000</v>
      </c>
      <c r="K1625" s="965">
        <v>200000000</v>
      </c>
    </row>
    <row r="1626" spans="2:11" s="1258" customFormat="1" ht="16" hidden="1" outlineLevel="1">
      <c r="B1626" s="966" t="s">
        <v>2406</v>
      </c>
      <c r="C1626" s="965">
        <v>106500</v>
      </c>
      <c r="D1626" s="965" t="s">
        <v>2242</v>
      </c>
      <c r="E1626" s="965">
        <v>417997</v>
      </c>
      <c r="F1626" s="965">
        <v>44828491500</v>
      </c>
      <c r="G1626" s="965">
        <v>109500</v>
      </c>
      <c r="H1626" s="965">
        <v>109500</v>
      </c>
      <c r="I1626" s="965">
        <v>106000</v>
      </c>
      <c r="J1626" s="965">
        <v>21300000</v>
      </c>
      <c r="K1626" s="965">
        <v>200000000</v>
      </c>
    </row>
    <row r="1627" spans="2:11" s="1258" customFormat="1" ht="16" hidden="1" outlineLevel="1">
      <c r="B1627" s="966" t="s">
        <v>2404</v>
      </c>
      <c r="C1627" s="965">
        <v>108500</v>
      </c>
      <c r="D1627" s="965" t="s">
        <v>2236</v>
      </c>
      <c r="E1627" s="965">
        <v>529488</v>
      </c>
      <c r="F1627" s="965">
        <v>57565857500</v>
      </c>
      <c r="G1627" s="965">
        <v>108500</v>
      </c>
      <c r="H1627" s="965">
        <v>109500</v>
      </c>
      <c r="I1627" s="965">
        <v>107500</v>
      </c>
      <c r="J1627" s="965">
        <v>21700000</v>
      </c>
      <c r="K1627" s="965">
        <v>200000000</v>
      </c>
    </row>
    <row r="1628" spans="2:11" s="1258" customFormat="1" ht="16" hidden="1" outlineLevel="1">
      <c r="B1628" s="966" t="s">
        <v>2403</v>
      </c>
      <c r="C1628" s="965">
        <v>107500</v>
      </c>
      <c r="D1628" s="965" t="s">
        <v>2288</v>
      </c>
      <c r="E1628" s="965">
        <v>350625</v>
      </c>
      <c r="F1628" s="965">
        <v>37819532000</v>
      </c>
      <c r="G1628" s="965">
        <v>107500</v>
      </c>
      <c r="H1628" s="965">
        <v>109000</v>
      </c>
      <c r="I1628" s="965">
        <v>107000</v>
      </c>
      <c r="J1628" s="965">
        <v>21500000</v>
      </c>
      <c r="K1628" s="965">
        <v>200000000</v>
      </c>
    </row>
    <row r="1629" spans="2:11" s="1258" customFormat="1" ht="16" hidden="1" outlineLevel="1">
      <c r="B1629" s="966" t="s">
        <v>2401</v>
      </c>
      <c r="C1629" s="965">
        <v>105500</v>
      </c>
      <c r="D1629" s="965" t="s">
        <v>2220</v>
      </c>
      <c r="E1629" s="965">
        <v>395395</v>
      </c>
      <c r="F1629" s="965">
        <v>41885877000</v>
      </c>
      <c r="G1629" s="965">
        <v>103500</v>
      </c>
      <c r="H1629" s="965">
        <v>107000</v>
      </c>
      <c r="I1629" s="965">
        <v>103000</v>
      </c>
      <c r="J1629" s="965">
        <v>21100000</v>
      </c>
      <c r="K1629" s="965">
        <v>200000000</v>
      </c>
    </row>
    <row r="1630" spans="2:11" s="1258" customFormat="1" ht="16" hidden="1" outlineLevel="1">
      <c r="B1630" s="966" t="s">
        <v>2399</v>
      </c>
      <c r="C1630" s="965">
        <v>103000</v>
      </c>
      <c r="D1630" s="965" t="s">
        <v>2244</v>
      </c>
      <c r="E1630" s="965">
        <v>314424</v>
      </c>
      <c r="F1630" s="965">
        <v>32414645000</v>
      </c>
      <c r="G1630" s="965">
        <v>103500</v>
      </c>
      <c r="H1630" s="965">
        <v>104000</v>
      </c>
      <c r="I1630" s="965">
        <v>102500</v>
      </c>
      <c r="J1630" s="965">
        <v>20600000</v>
      </c>
      <c r="K1630" s="965">
        <v>200000000</v>
      </c>
    </row>
    <row r="1631" spans="2:11" s="1258" customFormat="1" ht="16" hidden="1" outlineLevel="1">
      <c r="B1631" s="966" t="s">
        <v>2397</v>
      </c>
      <c r="C1631" s="965">
        <v>104500</v>
      </c>
      <c r="D1631" s="965" t="s">
        <v>2244</v>
      </c>
      <c r="E1631" s="965">
        <v>265039</v>
      </c>
      <c r="F1631" s="965">
        <v>27726427000</v>
      </c>
      <c r="G1631" s="965">
        <v>105500</v>
      </c>
      <c r="H1631" s="965">
        <v>105500</v>
      </c>
      <c r="I1631" s="965">
        <v>104000</v>
      </c>
      <c r="J1631" s="965">
        <v>20900000</v>
      </c>
      <c r="K1631" s="965">
        <v>200000000</v>
      </c>
    </row>
    <row r="1632" spans="2:11" s="1258" customFormat="1" ht="16" hidden="1" outlineLevel="1">
      <c r="B1632" s="966" t="s">
        <v>2395</v>
      </c>
      <c r="C1632" s="965">
        <v>106000</v>
      </c>
      <c r="D1632" s="965" t="s">
        <v>1814</v>
      </c>
      <c r="E1632" s="965">
        <v>351712</v>
      </c>
      <c r="F1632" s="965">
        <v>37146261500</v>
      </c>
      <c r="G1632" s="965">
        <v>106500</v>
      </c>
      <c r="H1632" s="965">
        <v>107000</v>
      </c>
      <c r="I1632" s="965">
        <v>105000</v>
      </c>
      <c r="J1632" s="965">
        <v>21200000</v>
      </c>
      <c r="K1632" s="965">
        <v>200000000</v>
      </c>
    </row>
    <row r="1633" spans="2:11" s="1258" customFormat="1" ht="16" hidden="1" outlineLevel="1">
      <c r="B1633" s="966" t="s">
        <v>2394</v>
      </c>
      <c r="C1633" s="965">
        <v>106500</v>
      </c>
      <c r="D1633" s="965" t="s">
        <v>1814</v>
      </c>
      <c r="E1633" s="965">
        <v>289012</v>
      </c>
      <c r="F1633" s="965">
        <v>30902119500</v>
      </c>
      <c r="G1633" s="965">
        <v>107500</v>
      </c>
      <c r="H1633" s="965">
        <v>108000</v>
      </c>
      <c r="I1633" s="965">
        <v>106500</v>
      </c>
      <c r="J1633" s="965">
        <v>21300000</v>
      </c>
      <c r="K1633" s="965">
        <v>200000000</v>
      </c>
    </row>
    <row r="1634" spans="2:11" s="1258" customFormat="1" ht="16" hidden="1" outlineLevel="1">
      <c r="B1634" s="966" t="s">
        <v>2393</v>
      </c>
      <c r="C1634" s="965">
        <v>107000</v>
      </c>
      <c r="D1634" s="965" t="s">
        <v>2221</v>
      </c>
      <c r="E1634" s="965">
        <v>393564</v>
      </c>
      <c r="F1634" s="965">
        <v>42157045500</v>
      </c>
      <c r="G1634" s="965">
        <v>107000</v>
      </c>
      <c r="H1634" s="965">
        <v>108000</v>
      </c>
      <c r="I1634" s="965">
        <v>106500</v>
      </c>
      <c r="J1634" s="965">
        <v>21400000</v>
      </c>
      <c r="K1634" s="965">
        <v>200000000</v>
      </c>
    </row>
    <row r="1635" spans="2:11" s="1258" customFormat="1" ht="16" hidden="1" outlineLevel="1">
      <c r="B1635" s="966" t="s">
        <v>2391</v>
      </c>
      <c r="C1635" s="965">
        <v>107000</v>
      </c>
      <c r="D1635" s="965" t="s">
        <v>2248</v>
      </c>
      <c r="E1635" s="965">
        <v>280655</v>
      </c>
      <c r="F1635" s="965">
        <v>30048740500</v>
      </c>
      <c r="G1635" s="965">
        <v>107500</v>
      </c>
      <c r="H1635" s="965">
        <v>108000</v>
      </c>
      <c r="I1635" s="965">
        <v>106000</v>
      </c>
      <c r="J1635" s="965">
        <v>21400000</v>
      </c>
      <c r="K1635" s="965">
        <v>200000000</v>
      </c>
    </row>
    <row r="1636" spans="2:11" s="1258" customFormat="1" ht="16" hidden="1" outlineLevel="1">
      <c r="B1636" s="966" t="s">
        <v>2389</v>
      </c>
      <c r="C1636" s="965">
        <v>108000</v>
      </c>
      <c r="D1636" s="965" t="s">
        <v>2235</v>
      </c>
      <c r="E1636" s="965">
        <v>429482</v>
      </c>
      <c r="F1636" s="965">
        <v>46781259000</v>
      </c>
      <c r="G1636" s="965">
        <v>110000</v>
      </c>
      <c r="H1636" s="965">
        <v>110500</v>
      </c>
      <c r="I1636" s="965">
        <v>108000</v>
      </c>
      <c r="J1636" s="965">
        <v>21600000</v>
      </c>
      <c r="K1636" s="965">
        <v>200000000</v>
      </c>
    </row>
    <row r="1637" spans="2:11" s="1258" customFormat="1" ht="16" hidden="1" outlineLevel="1">
      <c r="B1637" s="966" t="s">
        <v>2388</v>
      </c>
      <c r="C1637" s="965">
        <v>110500</v>
      </c>
      <c r="D1637" s="965" t="s">
        <v>1826</v>
      </c>
      <c r="E1637" s="965">
        <v>424893</v>
      </c>
      <c r="F1637" s="965">
        <v>46652023000</v>
      </c>
      <c r="G1637" s="965">
        <v>110000</v>
      </c>
      <c r="H1637" s="965">
        <v>110500</v>
      </c>
      <c r="I1637" s="965">
        <v>108500</v>
      </c>
      <c r="J1637" s="965">
        <v>22100000</v>
      </c>
      <c r="K1637" s="965">
        <v>200000000</v>
      </c>
    </row>
    <row r="1638" spans="2:11" s="1258" customFormat="1" ht="16" hidden="1" outlineLevel="1">
      <c r="B1638" s="966" t="s">
        <v>2386</v>
      </c>
      <c r="C1638" s="965">
        <v>110000</v>
      </c>
      <c r="D1638" s="965" t="s">
        <v>2236</v>
      </c>
      <c r="E1638" s="965">
        <v>674944</v>
      </c>
      <c r="F1638" s="965">
        <v>74107556000</v>
      </c>
      <c r="G1638" s="965">
        <v>109000</v>
      </c>
      <c r="H1638" s="965">
        <v>110500</v>
      </c>
      <c r="I1638" s="965">
        <v>108000</v>
      </c>
      <c r="J1638" s="965">
        <v>22000000</v>
      </c>
      <c r="K1638" s="965">
        <v>200000000</v>
      </c>
    </row>
    <row r="1639" spans="2:11" s="1258" customFormat="1" ht="16" hidden="1" outlineLevel="1">
      <c r="B1639" s="966" t="s">
        <v>2385</v>
      </c>
      <c r="C1639" s="965">
        <v>109000</v>
      </c>
      <c r="D1639" s="965" t="s">
        <v>1814</v>
      </c>
      <c r="E1639" s="965">
        <v>435051</v>
      </c>
      <c r="F1639" s="965">
        <v>47600565000</v>
      </c>
      <c r="G1639" s="965">
        <v>109500</v>
      </c>
      <c r="H1639" s="965">
        <v>110000</v>
      </c>
      <c r="I1639" s="965">
        <v>108000</v>
      </c>
      <c r="J1639" s="965">
        <v>21800000</v>
      </c>
      <c r="K1639" s="965">
        <v>200000000</v>
      </c>
    </row>
    <row r="1640" spans="2:11" s="1258" customFormat="1" ht="16" hidden="1" outlineLevel="1">
      <c r="B1640" s="966" t="s">
        <v>2383</v>
      </c>
      <c r="C1640" s="965">
        <v>109500</v>
      </c>
      <c r="D1640" s="965" t="s">
        <v>2221</v>
      </c>
      <c r="E1640" s="965">
        <v>563871</v>
      </c>
      <c r="F1640" s="965">
        <v>61916124500</v>
      </c>
      <c r="G1640" s="965">
        <v>110000</v>
      </c>
      <c r="H1640" s="965">
        <v>111000</v>
      </c>
      <c r="I1640" s="965">
        <v>109000</v>
      </c>
      <c r="J1640" s="965">
        <v>21900000</v>
      </c>
      <c r="K1640" s="965">
        <v>200000000</v>
      </c>
    </row>
    <row r="1641" spans="2:11" s="1258" customFormat="1" ht="16" hidden="1" outlineLevel="1">
      <c r="B1641" s="966" t="s">
        <v>2382</v>
      </c>
      <c r="C1641" s="965">
        <v>109500</v>
      </c>
      <c r="D1641" s="965" t="s">
        <v>2672</v>
      </c>
      <c r="E1641" s="965">
        <v>705346</v>
      </c>
      <c r="F1641" s="965">
        <v>76758056000</v>
      </c>
      <c r="G1641" s="965">
        <v>107500</v>
      </c>
      <c r="H1641" s="965">
        <v>109500</v>
      </c>
      <c r="I1641" s="965">
        <v>107000</v>
      </c>
      <c r="J1641" s="965">
        <v>21900000</v>
      </c>
      <c r="K1641" s="965">
        <v>200000000</v>
      </c>
    </row>
    <row r="1642" spans="2:11" s="1258" customFormat="1" ht="16" hidden="1" outlineLevel="1">
      <c r="B1642" s="966" t="s">
        <v>2380</v>
      </c>
      <c r="C1642" s="965">
        <v>106000</v>
      </c>
      <c r="D1642" s="965" t="s">
        <v>1826</v>
      </c>
      <c r="E1642" s="965">
        <v>1003426</v>
      </c>
      <c r="F1642" s="965">
        <v>107691883000</v>
      </c>
      <c r="G1642" s="965">
        <v>105500</v>
      </c>
      <c r="H1642" s="965">
        <v>109500</v>
      </c>
      <c r="I1642" s="965">
        <v>104500</v>
      </c>
      <c r="J1642" s="965">
        <v>21200000</v>
      </c>
      <c r="K1642" s="965">
        <v>200000000</v>
      </c>
    </row>
    <row r="1643" spans="2:11" s="1258" customFormat="1" ht="16" hidden="1" outlineLevel="1">
      <c r="B1643" s="966" t="s">
        <v>2379</v>
      </c>
      <c r="C1643" s="965">
        <v>105500</v>
      </c>
      <c r="D1643" s="965" t="s">
        <v>2274</v>
      </c>
      <c r="E1643" s="965">
        <v>697440</v>
      </c>
      <c r="F1643" s="965">
        <v>73960176500</v>
      </c>
      <c r="G1643" s="965">
        <v>108500</v>
      </c>
      <c r="H1643" s="965">
        <v>108500</v>
      </c>
      <c r="I1643" s="965">
        <v>105000</v>
      </c>
      <c r="J1643" s="965">
        <v>21100000</v>
      </c>
      <c r="K1643" s="965">
        <v>200000000</v>
      </c>
    </row>
    <row r="1644" spans="2:11" s="1258" customFormat="1" ht="16" hidden="1" outlineLevel="1">
      <c r="B1644" s="966" t="s">
        <v>2377</v>
      </c>
      <c r="C1644" s="965">
        <v>109000</v>
      </c>
      <c r="D1644" s="965" t="s">
        <v>2248</v>
      </c>
      <c r="E1644" s="965">
        <v>476403</v>
      </c>
      <c r="F1644" s="965">
        <v>51649834500</v>
      </c>
      <c r="G1644" s="965">
        <v>109500</v>
      </c>
      <c r="H1644" s="965">
        <v>110000</v>
      </c>
      <c r="I1644" s="965">
        <v>107000</v>
      </c>
      <c r="J1644" s="965">
        <v>21800000</v>
      </c>
      <c r="K1644" s="965">
        <v>200000000</v>
      </c>
    </row>
    <row r="1645" spans="2:11" s="1258" customFormat="1" ht="16" hidden="1" outlineLevel="1">
      <c r="B1645" s="966" t="s">
        <v>2376</v>
      </c>
      <c r="C1645" s="965">
        <v>110000</v>
      </c>
      <c r="D1645" s="965" t="s">
        <v>2277</v>
      </c>
      <c r="E1645" s="965">
        <v>1553240</v>
      </c>
      <c r="F1645" s="965">
        <v>170154460000</v>
      </c>
      <c r="G1645" s="965">
        <v>107500</v>
      </c>
      <c r="H1645" s="965">
        <v>110500</v>
      </c>
      <c r="I1645" s="965">
        <v>107000</v>
      </c>
      <c r="J1645" s="965">
        <v>22000000</v>
      </c>
      <c r="K1645" s="965">
        <v>200000000</v>
      </c>
    </row>
    <row r="1646" spans="2:11" s="1258" customFormat="1" ht="16" hidden="1" outlineLevel="1">
      <c r="B1646" s="966" t="s">
        <v>2374</v>
      </c>
      <c r="C1646" s="965">
        <v>107000</v>
      </c>
      <c r="D1646" s="965" t="s">
        <v>2288</v>
      </c>
      <c r="E1646" s="965">
        <v>798853</v>
      </c>
      <c r="F1646" s="965">
        <v>85302721500</v>
      </c>
      <c r="G1646" s="965">
        <v>105500</v>
      </c>
      <c r="H1646" s="965">
        <v>107500</v>
      </c>
      <c r="I1646" s="965">
        <v>105500</v>
      </c>
      <c r="J1646" s="965">
        <v>21400000</v>
      </c>
      <c r="K1646" s="965">
        <v>200000000</v>
      </c>
    </row>
    <row r="1647" spans="2:11" s="1258" customFormat="1" ht="16" hidden="1" outlineLevel="1">
      <c r="B1647" s="966" t="s">
        <v>2373</v>
      </c>
      <c r="C1647" s="965">
        <v>105000</v>
      </c>
      <c r="D1647" s="965" t="s">
        <v>2245</v>
      </c>
      <c r="E1647" s="965">
        <v>902792</v>
      </c>
      <c r="F1647" s="965">
        <v>94377677000</v>
      </c>
      <c r="G1647" s="965">
        <v>104000</v>
      </c>
      <c r="H1647" s="965">
        <v>106000</v>
      </c>
      <c r="I1647" s="965">
        <v>103000</v>
      </c>
      <c r="J1647" s="965">
        <v>21000000</v>
      </c>
      <c r="K1647" s="965">
        <v>200000000</v>
      </c>
    </row>
    <row r="1648" spans="2:11" s="1258" customFormat="1" ht="16" hidden="1" outlineLevel="1">
      <c r="B1648" s="966" t="s">
        <v>2371</v>
      </c>
      <c r="C1648" s="965">
        <v>103500</v>
      </c>
      <c r="D1648" s="965" t="s">
        <v>1814</v>
      </c>
      <c r="E1648" s="965">
        <v>310599</v>
      </c>
      <c r="F1648" s="965">
        <v>31995840500</v>
      </c>
      <c r="G1648" s="965">
        <v>104000</v>
      </c>
      <c r="H1648" s="965">
        <v>104000</v>
      </c>
      <c r="I1648" s="965">
        <v>102500</v>
      </c>
      <c r="J1648" s="965">
        <v>20700000</v>
      </c>
      <c r="K1648" s="965">
        <v>200000000</v>
      </c>
    </row>
    <row r="1649" spans="2:11" s="1258" customFormat="1" ht="16" hidden="1" outlineLevel="1">
      <c r="B1649" s="966" t="s">
        <v>2369</v>
      </c>
      <c r="C1649" s="965">
        <v>104000</v>
      </c>
      <c r="D1649" s="965" t="s">
        <v>2221</v>
      </c>
      <c r="E1649" s="965">
        <v>371070</v>
      </c>
      <c r="F1649" s="965">
        <v>38564154000</v>
      </c>
      <c r="G1649" s="965">
        <v>104000</v>
      </c>
      <c r="H1649" s="965">
        <v>104500</v>
      </c>
      <c r="I1649" s="965">
        <v>103000</v>
      </c>
      <c r="J1649" s="965">
        <v>20800000</v>
      </c>
      <c r="K1649" s="965">
        <v>200000000</v>
      </c>
    </row>
    <row r="1650" spans="2:11" s="1258" customFormat="1" ht="16" hidden="1" outlineLevel="1">
      <c r="B1650" s="966" t="s">
        <v>2367</v>
      </c>
      <c r="C1650" s="965">
        <v>104000</v>
      </c>
      <c r="D1650" s="965" t="s">
        <v>2245</v>
      </c>
      <c r="E1650" s="965">
        <v>483605</v>
      </c>
      <c r="F1650" s="965">
        <v>50205570000</v>
      </c>
      <c r="G1650" s="965">
        <v>104000</v>
      </c>
      <c r="H1650" s="965">
        <v>104500</v>
      </c>
      <c r="I1650" s="965">
        <v>103000</v>
      </c>
      <c r="J1650" s="965">
        <v>20800000</v>
      </c>
      <c r="K1650" s="965">
        <v>200000000</v>
      </c>
    </row>
    <row r="1651" spans="2:11" s="1258" customFormat="1" ht="16" hidden="1" outlineLevel="1">
      <c r="B1651" s="966" t="s">
        <v>2365</v>
      </c>
      <c r="C1651" s="965">
        <v>102500</v>
      </c>
      <c r="D1651" s="965" t="s">
        <v>1826</v>
      </c>
      <c r="E1651" s="965">
        <v>307032</v>
      </c>
      <c r="F1651" s="965">
        <v>31569095000</v>
      </c>
      <c r="G1651" s="965">
        <v>102000</v>
      </c>
      <c r="H1651" s="965">
        <v>103500</v>
      </c>
      <c r="I1651" s="965">
        <v>102000</v>
      </c>
      <c r="J1651" s="965">
        <v>20500000</v>
      </c>
      <c r="K1651" s="965">
        <v>200000000</v>
      </c>
    </row>
    <row r="1652" spans="2:11" s="1258" customFormat="1" ht="16" hidden="1" outlineLevel="1">
      <c r="B1652" s="966" t="s">
        <v>2364</v>
      </c>
      <c r="C1652" s="965">
        <v>102000</v>
      </c>
      <c r="D1652" s="965" t="s">
        <v>2248</v>
      </c>
      <c r="E1652" s="965">
        <v>274941</v>
      </c>
      <c r="F1652" s="965">
        <v>28060281000</v>
      </c>
      <c r="G1652" s="965">
        <v>102000</v>
      </c>
      <c r="H1652" s="965">
        <v>103000</v>
      </c>
      <c r="I1652" s="965">
        <v>101500</v>
      </c>
      <c r="J1652" s="965">
        <v>20400000</v>
      </c>
      <c r="K1652" s="965">
        <v>200000000</v>
      </c>
    </row>
    <row r="1653" spans="2:11" s="1258" customFormat="1" ht="16" hidden="1" outlineLevel="1">
      <c r="B1653" s="966" t="s">
        <v>2362</v>
      </c>
      <c r="C1653" s="965">
        <v>103000</v>
      </c>
      <c r="D1653" s="965" t="s">
        <v>1826</v>
      </c>
      <c r="E1653" s="965">
        <v>419764</v>
      </c>
      <c r="F1653" s="965">
        <v>43184155500</v>
      </c>
      <c r="G1653" s="965">
        <v>103500</v>
      </c>
      <c r="H1653" s="965">
        <v>104000</v>
      </c>
      <c r="I1653" s="965">
        <v>102000</v>
      </c>
      <c r="J1653" s="965">
        <v>20600000</v>
      </c>
      <c r="K1653" s="965">
        <v>200000000</v>
      </c>
    </row>
    <row r="1654" spans="2:11" s="1258" customFormat="1" ht="16" hidden="1" outlineLevel="1">
      <c r="B1654" s="966" t="s">
        <v>2360</v>
      </c>
      <c r="C1654" s="965">
        <v>102500</v>
      </c>
      <c r="D1654" s="965" t="s">
        <v>2289</v>
      </c>
      <c r="E1654" s="965">
        <v>1317754</v>
      </c>
      <c r="F1654" s="965">
        <v>135223023700</v>
      </c>
      <c r="G1654" s="965">
        <v>99500</v>
      </c>
      <c r="H1654" s="965">
        <v>104000</v>
      </c>
      <c r="I1654" s="965">
        <v>99500</v>
      </c>
      <c r="J1654" s="965">
        <v>20500000</v>
      </c>
      <c r="K1654" s="965">
        <v>200000000</v>
      </c>
    </row>
    <row r="1655" spans="2:11" s="1258" customFormat="1" ht="16" hidden="1" outlineLevel="1">
      <c r="B1655" s="966" t="s">
        <v>2358</v>
      </c>
      <c r="C1655" s="965">
        <v>99200</v>
      </c>
      <c r="D1655" s="965" t="s">
        <v>2215</v>
      </c>
      <c r="E1655" s="965">
        <v>171126</v>
      </c>
      <c r="F1655" s="965">
        <v>16964242900</v>
      </c>
      <c r="G1655" s="965">
        <v>99500</v>
      </c>
      <c r="H1655" s="965">
        <v>99500</v>
      </c>
      <c r="I1655" s="965">
        <v>98900</v>
      </c>
      <c r="J1655" s="965">
        <v>19840000</v>
      </c>
      <c r="K1655" s="965">
        <v>200000000</v>
      </c>
    </row>
    <row r="1656" spans="2:11" s="1258" customFormat="1" ht="16" hidden="1" outlineLevel="1">
      <c r="B1656" s="966" t="s">
        <v>2357</v>
      </c>
      <c r="C1656" s="965">
        <v>99500</v>
      </c>
      <c r="D1656" s="965" t="s">
        <v>2232</v>
      </c>
      <c r="E1656" s="965">
        <v>151199</v>
      </c>
      <c r="F1656" s="965">
        <v>15020686300</v>
      </c>
      <c r="G1656" s="965">
        <v>99400</v>
      </c>
      <c r="H1656" s="965">
        <v>99700</v>
      </c>
      <c r="I1656" s="965">
        <v>99000</v>
      </c>
      <c r="J1656" s="965">
        <v>19900000</v>
      </c>
      <c r="K1656" s="965">
        <v>200000000</v>
      </c>
    </row>
    <row r="1657" spans="2:11" s="1258" customFormat="1" ht="16" hidden="1" outlineLevel="1">
      <c r="B1657" s="966" t="s">
        <v>2656</v>
      </c>
      <c r="C1657" s="965">
        <v>99300</v>
      </c>
      <c r="D1657" s="965" t="s">
        <v>2688</v>
      </c>
      <c r="E1657" s="965">
        <v>215391</v>
      </c>
      <c r="F1657" s="965">
        <v>21461337400</v>
      </c>
      <c r="G1657" s="965">
        <v>100500</v>
      </c>
      <c r="H1657" s="965">
        <v>100500</v>
      </c>
      <c r="I1657" s="965">
        <v>99300</v>
      </c>
      <c r="J1657" s="965">
        <v>19860000</v>
      </c>
      <c r="K1657" s="965">
        <v>200000000</v>
      </c>
    </row>
    <row r="1658" spans="2:11" s="1258" customFormat="1" ht="16" hidden="1" outlineLevel="1">
      <c r="B1658" s="966" t="s">
        <v>2655</v>
      </c>
      <c r="C1658" s="965">
        <v>100500</v>
      </c>
      <c r="D1658" s="965" t="s">
        <v>2288</v>
      </c>
      <c r="E1658" s="965">
        <v>450118</v>
      </c>
      <c r="F1658" s="965">
        <v>45103387400</v>
      </c>
      <c r="G1658" s="965">
        <v>98600</v>
      </c>
      <c r="H1658" s="965">
        <v>101000</v>
      </c>
      <c r="I1658" s="965">
        <v>98600</v>
      </c>
      <c r="J1658" s="965">
        <v>20100000</v>
      </c>
      <c r="K1658" s="965">
        <v>200000000</v>
      </c>
    </row>
    <row r="1659" spans="2:11" s="1258" customFormat="1" ht="16" hidden="1" outlineLevel="1">
      <c r="B1659" s="966" t="s">
        <v>2654</v>
      </c>
      <c r="C1659" s="965">
        <v>98500</v>
      </c>
      <c r="D1659" s="965" t="s">
        <v>2222</v>
      </c>
      <c r="E1659" s="965">
        <v>461506</v>
      </c>
      <c r="F1659" s="965">
        <v>45313804800</v>
      </c>
      <c r="G1659" s="965">
        <v>98500</v>
      </c>
      <c r="H1659" s="965">
        <v>98700</v>
      </c>
      <c r="I1659" s="965">
        <v>97900</v>
      </c>
      <c r="J1659" s="965">
        <v>19700000</v>
      </c>
      <c r="K1659" s="965">
        <v>200000000</v>
      </c>
    </row>
    <row r="1660" spans="2:11" s="1258" customFormat="1" ht="16" hidden="1" outlineLevel="1">
      <c r="B1660" s="966" t="s">
        <v>2653</v>
      </c>
      <c r="C1660" s="965">
        <v>99100</v>
      </c>
      <c r="D1660" s="965" t="s">
        <v>2253</v>
      </c>
      <c r="E1660" s="965">
        <v>330418</v>
      </c>
      <c r="F1660" s="965">
        <v>32886606500</v>
      </c>
      <c r="G1660" s="965">
        <v>100000</v>
      </c>
      <c r="H1660" s="965">
        <v>100000</v>
      </c>
      <c r="I1660" s="965">
        <v>99100</v>
      </c>
      <c r="J1660" s="965">
        <v>19820000</v>
      </c>
      <c r="K1660" s="965">
        <v>200000000</v>
      </c>
    </row>
    <row r="1661" spans="2:11" s="1258" customFormat="1" ht="16" hidden="1" outlineLevel="1">
      <c r="B1661" s="966" t="s">
        <v>2652</v>
      </c>
      <c r="C1661" s="965">
        <v>99900</v>
      </c>
      <c r="D1661" s="965" t="s">
        <v>2228</v>
      </c>
      <c r="E1661" s="965">
        <v>209437</v>
      </c>
      <c r="F1661" s="965">
        <v>20908348700</v>
      </c>
      <c r="G1661" s="965">
        <v>99900</v>
      </c>
      <c r="H1661" s="965">
        <v>100000</v>
      </c>
      <c r="I1661" s="965">
        <v>99500</v>
      </c>
      <c r="J1661" s="965">
        <v>19980000</v>
      </c>
      <c r="K1661" s="965">
        <v>200000000</v>
      </c>
    </row>
    <row r="1662" spans="2:11" s="1258" customFormat="1" ht="16" hidden="1" outlineLevel="1">
      <c r="B1662" s="966" t="s">
        <v>2651</v>
      </c>
      <c r="C1662" s="965">
        <v>100000</v>
      </c>
      <c r="D1662" s="965" t="s">
        <v>1814</v>
      </c>
      <c r="E1662" s="965">
        <v>353437</v>
      </c>
      <c r="F1662" s="965">
        <v>35310823500</v>
      </c>
      <c r="G1662" s="965">
        <v>100500</v>
      </c>
      <c r="H1662" s="965">
        <v>100500</v>
      </c>
      <c r="I1662" s="965">
        <v>99500</v>
      </c>
      <c r="J1662" s="965">
        <v>20000000</v>
      </c>
      <c r="K1662" s="965">
        <v>200000000</v>
      </c>
    </row>
    <row r="1663" spans="2:11" s="1258" customFormat="1" ht="16" hidden="1" outlineLevel="1">
      <c r="B1663" s="966" t="s">
        <v>2650</v>
      </c>
      <c r="C1663" s="965">
        <v>100500</v>
      </c>
      <c r="D1663" s="965" t="s">
        <v>2221</v>
      </c>
      <c r="E1663" s="965">
        <v>205367</v>
      </c>
      <c r="F1663" s="965">
        <v>20579183500</v>
      </c>
      <c r="G1663" s="965">
        <v>100500</v>
      </c>
      <c r="H1663" s="965">
        <v>101000</v>
      </c>
      <c r="I1663" s="965">
        <v>100000</v>
      </c>
      <c r="J1663" s="965">
        <v>20100000</v>
      </c>
      <c r="K1663" s="965">
        <v>200000000</v>
      </c>
    </row>
    <row r="1664" spans="2:11" s="1258" customFormat="1" ht="16" hidden="1" outlineLevel="1">
      <c r="B1664" s="966" t="s">
        <v>2648</v>
      </c>
      <c r="C1664" s="965">
        <v>100500</v>
      </c>
      <c r="D1664" s="965" t="s">
        <v>1826</v>
      </c>
      <c r="E1664" s="965">
        <v>187461</v>
      </c>
      <c r="F1664" s="965">
        <v>18788025500</v>
      </c>
      <c r="G1664" s="965">
        <v>100500</v>
      </c>
      <c r="H1664" s="965">
        <v>100500</v>
      </c>
      <c r="I1664" s="965">
        <v>99900</v>
      </c>
      <c r="J1664" s="965">
        <v>20100000</v>
      </c>
      <c r="K1664" s="965">
        <v>200000000</v>
      </c>
    </row>
    <row r="1665" spans="2:11" s="1258" customFormat="1" ht="16" hidden="1" outlineLevel="1">
      <c r="B1665" s="966" t="s">
        <v>2647</v>
      </c>
      <c r="C1665" s="965">
        <v>100000</v>
      </c>
      <c r="D1665" s="965" t="s">
        <v>1814</v>
      </c>
      <c r="E1665" s="965">
        <v>203661</v>
      </c>
      <c r="F1665" s="965">
        <v>20394248500</v>
      </c>
      <c r="G1665" s="965">
        <v>100500</v>
      </c>
      <c r="H1665" s="965">
        <v>101000</v>
      </c>
      <c r="I1665" s="965">
        <v>99800</v>
      </c>
      <c r="J1665" s="965">
        <v>20000000</v>
      </c>
      <c r="K1665" s="965">
        <v>200000000</v>
      </c>
    </row>
    <row r="1666" spans="2:11" s="1258" customFormat="1" ht="16" hidden="1" outlineLevel="1">
      <c r="B1666" s="966" t="s">
        <v>2646</v>
      </c>
      <c r="C1666" s="965">
        <v>100500</v>
      </c>
      <c r="D1666" s="965" t="s">
        <v>2638</v>
      </c>
      <c r="E1666" s="965">
        <v>327670</v>
      </c>
      <c r="F1666" s="965">
        <v>32787607400</v>
      </c>
      <c r="G1666" s="965">
        <v>100000</v>
      </c>
      <c r="H1666" s="965">
        <v>100500</v>
      </c>
      <c r="I1666" s="965">
        <v>99600</v>
      </c>
      <c r="J1666" s="965">
        <v>20100000</v>
      </c>
      <c r="K1666" s="965">
        <v>200000000</v>
      </c>
    </row>
    <row r="1667" spans="2:11" s="1258" customFormat="1" ht="16" hidden="1" outlineLevel="1">
      <c r="B1667" s="966" t="s">
        <v>2645</v>
      </c>
      <c r="C1667" s="965">
        <v>99700</v>
      </c>
      <c r="D1667" s="965" t="s">
        <v>2253</v>
      </c>
      <c r="E1667" s="965">
        <v>234723</v>
      </c>
      <c r="F1667" s="965">
        <v>23451137600</v>
      </c>
      <c r="G1667" s="965">
        <v>100500</v>
      </c>
      <c r="H1667" s="965">
        <v>101000</v>
      </c>
      <c r="I1667" s="965">
        <v>99600</v>
      </c>
      <c r="J1667" s="965">
        <v>19940000</v>
      </c>
      <c r="K1667" s="965">
        <v>200000000</v>
      </c>
    </row>
    <row r="1668" spans="2:11" s="1258" customFormat="1" ht="16" hidden="1" outlineLevel="1">
      <c r="B1668" s="966" t="s">
        <v>2643</v>
      </c>
      <c r="C1668" s="965">
        <v>100500</v>
      </c>
      <c r="D1668" s="965" t="s">
        <v>1826</v>
      </c>
      <c r="E1668" s="965">
        <v>293851</v>
      </c>
      <c r="F1668" s="965">
        <v>29661781000</v>
      </c>
      <c r="G1668" s="965">
        <v>101000</v>
      </c>
      <c r="H1668" s="965">
        <v>101500</v>
      </c>
      <c r="I1668" s="965">
        <v>100000</v>
      </c>
      <c r="J1668" s="965">
        <v>20100000</v>
      </c>
      <c r="K1668" s="965">
        <v>200000000</v>
      </c>
    </row>
    <row r="1669" spans="2:11" s="1258" customFormat="1" ht="16" hidden="1" outlineLevel="1">
      <c r="B1669" s="966" t="s">
        <v>2642</v>
      </c>
      <c r="C1669" s="965">
        <v>100000</v>
      </c>
      <c r="D1669" s="965" t="s">
        <v>2236</v>
      </c>
      <c r="E1669" s="965">
        <v>353781</v>
      </c>
      <c r="F1669" s="965">
        <v>35222593600</v>
      </c>
      <c r="G1669" s="965">
        <v>99100</v>
      </c>
      <c r="H1669" s="965">
        <v>101000</v>
      </c>
      <c r="I1669" s="965">
        <v>98600</v>
      </c>
      <c r="J1669" s="965">
        <v>20000000</v>
      </c>
      <c r="K1669" s="965">
        <v>200000000</v>
      </c>
    </row>
    <row r="1670" spans="2:11" s="1258" customFormat="1" ht="16" hidden="1" outlineLevel="1">
      <c r="B1670" s="966" t="s">
        <v>2640</v>
      </c>
      <c r="C1670" s="965">
        <v>99000</v>
      </c>
      <c r="D1670" s="965" t="s">
        <v>2214</v>
      </c>
      <c r="E1670" s="965">
        <v>225522</v>
      </c>
      <c r="F1670" s="965">
        <v>22251171800</v>
      </c>
      <c r="G1670" s="965">
        <v>98900</v>
      </c>
      <c r="H1670" s="965">
        <v>99000</v>
      </c>
      <c r="I1670" s="965">
        <v>98400</v>
      </c>
      <c r="J1670" s="965">
        <v>19800000</v>
      </c>
      <c r="K1670" s="965">
        <v>200000000</v>
      </c>
    </row>
    <row r="1671" spans="2:11" s="1258" customFormat="1" ht="16" hidden="1" outlineLevel="1">
      <c r="B1671" s="966" t="s">
        <v>2639</v>
      </c>
      <c r="C1671" s="965">
        <v>98600</v>
      </c>
      <c r="D1671" s="965" t="s">
        <v>2224</v>
      </c>
      <c r="E1671" s="965">
        <v>299447</v>
      </c>
      <c r="F1671" s="965">
        <v>29482426100</v>
      </c>
      <c r="G1671" s="965">
        <v>98900</v>
      </c>
      <c r="H1671" s="965">
        <v>99500</v>
      </c>
      <c r="I1671" s="965">
        <v>98000</v>
      </c>
      <c r="J1671" s="965">
        <v>19720000</v>
      </c>
      <c r="K1671" s="965">
        <v>200000000</v>
      </c>
    </row>
    <row r="1672" spans="2:11" s="1258" customFormat="1" ht="16" hidden="1" outlineLevel="1">
      <c r="B1672" s="966" t="s">
        <v>2637</v>
      </c>
      <c r="C1672" s="965">
        <v>98800</v>
      </c>
      <c r="D1672" s="965" t="s">
        <v>2252</v>
      </c>
      <c r="E1672" s="965">
        <v>190753</v>
      </c>
      <c r="F1672" s="965">
        <v>18811598800</v>
      </c>
      <c r="G1672" s="965">
        <v>97700</v>
      </c>
      <c r="H1672" s="965">
        <v>99200</v>
      </c>
      <c r="I1672" s="965">
        <v>97500</v>
      </c>
      <c r="J1672" s="965">
        <v>19760000</v>
      </c>
      <c r="K1672" s="965">
        <v>200000000</v>
      </c>
    </row>
    <row r="1673" spans="2:11" s="1258" customFormat="1" ht="16" hidden="1" outlineLevel="1">
      <c r="B1673" s="966" t="s">
        <v>2636</v>
      </c>
      <c r="C1673" s="965">
        <v>97700</v>
      </c>
      <c r="D1673" s="965" t="s">
        <v>1826</v>
      </c>
      <c r="E1673" s="965">
        <v>287881</v>
      </c>
      <c r="F1673" s="965">
        <v>28193911400</v>
      </c>
      <c r="G1673" s="965">
        <v>97200</v>
      </c>
      <c r="H1673" s="965">
        <v>98900</v>
      </c>
      <c r="I1673" s="965">
        <v>97000</v>
      </c>
      <c r="J1673" s="965">
        <v>19540000</v>
      </c>
      <c r="K1673" s="965">
        <v>200000000</v>
      </c>
    </row>
    <row r="1674" spans="2:11" s="1258" customFormat="1" ht="16" hidden="1" outlineLevel="1">
      <c r="B1674" s="966" t="s">
        <v>2635</v>
      </c>
      <c r="C1674" s="965">
        <v>97200</v>
      </c>
      <c r="D1674" s="965" t="s">
        <v>2688</v>
      </c>
      <c r="E1674" s="965">
        <v>512948</v>
      </c>
      <c r="F1674" s="965">
        <v>49916779700</v>
      </c>
      <c r="G1674" s="965">
        <v>97800</v>
      </c>
      <c r="H1674" s="965">
        <v>98400</v>
      </c>
      <c r="I1674" s="965">
        <v>97000</v>
      </c>
      <c r="J1674" s="965">
        <v>19440000</v>
      </c>
      <c r="K1674" s="965">
        <v>200000000</v>
      </c>
    </row>
    <row r="1675" spans="2:11" s="1258" customFormat="1" ht="16" hidden="1" outlineLevel="1">
      <c r="B1675" s="966" t="s">
        <v>2633</v>
      </c>
      <c r="C1675" s="965">
        <v>98400</v>
      </c>
      <c r="D1675" s="965" t="s">
        <v>2253</v>
      </c>
      <c r="E1675" s="965">
        <v>500368</v>
      </c>
      <c r="F1675" s="965">
        <v>49255513600</v>
      </c>
      <c r="G1675" s="965">
        <v>99400</v>
      </c>
      <c r="H1675" s="965">
        <v>99400</v>
      </c>
      <c r="I1675" s="965">
        <v>97700</v>
      </c>
      <c r="J1675" s="965">
        <v>19680000</v>
      </c>
      <c r="K1675" s="965">
        <v>200000000</v>
      </c>
    </row>
    <row r="1676" spans="2:11" s="1258" customFormat="1" ht="16" hidden="1" outlineLevel="1">
      <c r="B1676" s="966" t="s">
        <v>2632</v>
      </c>
      <c r="C1676" s="965">
        <v>99200</v>
      </c>
      <c r="D1676" s="965" t="s">
        <v>2211</v>
      </c>
      <c r="E1676" s="965">
        <v>386682</v>
      </c>
      <c r="F1676" s="965">
        <v>38380776800</v>
      </c>
      <c r="G1676" s="965">
        <v>100000</v>
      </c>
      <c r="H1676" s="965">
        <v>100000</v>
      </c>
      <c r="I1676" s="965">
        <v>99000</v>
      </c>
      <c r="J1676" s="965">
        <v>19840000</v>
      </c>
      <c r="K1676" s="965">
        <v>200000000</v>
      </c>
    </row>
    <row r="1677" spans="2:11" s="1258" customFormat="1" ht="16" hidden="1" outlineLevel="1">
      <c r="B1677" s="966" t="s">
        <v>2631</v>
      </c>
      <c r="C1677" s="965">
        <v>99600</v>
      </c>
      <c r="D1677" s="965" t="s">
        <v>2241</v>
      </c>
      <c r="E1677" s="965">
        <v>581370</v>
      </c>
      <c r="F1677" s="965">
        <v>57641933800</v>
      </c>
      <c r="G1677" s="965">
        <v>97600</v>
      </c>
      <c r="H1677" s="965">
        <v>100000</v>
      </c>
      <c r="I1677" s="965">
        <v>97600</v>
      </c>
      <c r="J1677" s="965">
        <v>19920000</v>
      </c>
      <c r="K1677" s="965">
        <v>200000000</v>
      </c>
    </row>
    <row r="1678" spans="2:11" s="1258" customFormat="1" ht="16" hidden="1" outlineLevel="1">
      <c r="B1678" s="966" t="s">
        <v>2630</v>
      </c>
      <c r="C1678" s="965">
        <v>100500</v>
      </c>
      <c r="D1678" s="965" t="s">
        <v>2221</v>
      </c>
      <c r="E1678" s="965">
        <v>409803</v>
      </c>
      <c r="F1678" s="965">
        <v>40945956700</v>
      </c>
      <c r="G1678" s="965">
        <v>100500</v>
      </c>
      <c r="H1678" s="965">
        <v>101000</v>
      </c>
      <c r="I1678" s="965">
        <v>100000</v>
      </c>
      <c r="J1678" s="965">
        <v>20100000</v>
      </c>
      <c r="K1678" s="965">
        <v>200000000</v>
      </c>
    </row>
    <row r="1679" spans="2:11" s="1258" customFormat="1" ht="16" hidden="1" outlineLevel="1">
      <c r="B1679" s="966" t="s">
        <v>2629</v>
      </c>
      <c r="C1679" s="965">
        <v>100500</v>
      </c>
      <c r="D1679" s="965" t="s">
        <v>2221</v>
      </c>
      <c r="E1679" s="965">
        <v>368595</v>
      </c>
      <c r="F1679" s="965">
        <v>36997845000</v>
      </c>
      <c r="G1679" s="965">
        <v>101000</v>
      </c>
      <c r="H1679" s="965">
        <v>101500</v>
      </c>
      <c r="I1679" s="965">
        <v>100000</v>
      </c>
      <c r="J1679" s="965">
        <v>20100000</v>
      </c>
      <c r="K1679" s="965">
        <v>200000000</v>
      </c>
    </row>
    <row r="1680" spans="2:11" s="1258" customFormat="1" ht="16" hidden="1" outlineLevel="1">
      <c r="B1680" s="966" t="s">
        <v>2628</v>
      </c>
      <c r="C1680" s="965">
        <v>100500</v>
      </c>
      <c r="D1680" s="965" t="s">
        <v>2221</v>
      </c>
      <c r="E1680" s="965">
        <v>354832</v>
      </c>
      <c r="F1680" s="965">
        <v>35606707500</v>
      </c>
      <c r="G1680" s="965">
        <v>100500</v>
      </c>
      <c r="H1680" s="965">
        <v>101000</v>
      </c>
      <c r="I1680" s="965">
        <v>100000</v>
      </c>
      <c r="J1680" s="965">
        <v>20100000</v>
      </c>
      <c r="K1680" s="965">
        <v>200000000</v>
      </c>
    </row>
    <row r="1681" spans="2:11" s="1258" customFormat="1" ht="16" hidden="1" outlineLevel="1">
      <c r="B1681" s="966" t="s">
        <v>2626</v>
      </c>
      <c r="C1681" s="965">
        <v>100500</v>
      </c>
      <c r="D1681" s="965" t="s">
        <v>1826</v>
      </c>
      <c r="E1681" s="965">
        <v>234059</v>
      </c>
      <c r="F1681" s="965">
        <v>23549477500</v>
      </c>
      <c r="G1681" s="965">
        <v>100500</v>
      </c>
      <c r="H1681" s="965">
        <v>101000</v>
      </c>
      <c r="I1681" s="965">
        <v>100000</v>
      </c>
      <c r="J1681" s="965">
        <v>20100000</v>
      </c>
      <c r="K1681" s="965">
        <v>200000000</v>
      </c>
    </row>
    <row r="1682" spans="2:11" s="1258" customFormat="1" ht="16" hidden="1" outlineLevel="1">
      <c r="B1682" s="966" t="s">
        <v>2624</v>
      </c>
      <c r="C1682" s="965">
        <v>100000</v>
      </c>
      <c r="D1682" s="965" t="s">
        <v>2248</v>
      </c>
      <c r="E1682" s="965">
        <v>404616</v>
      </c>
      <c r="F1682" s="965">
        <v>40564395000</v>
      </c>
      <c r="G1682" s="965">
        <v>100500</v>
      </c>
      <c r="H1682" s="965">
        <v>101000</v>
      </c>
      <c r="I1682" s="965">
        <v>100000</v>
      </c>
      <c r="J1682" s="965">
        <v>20000000</v>
      </c>
      <c r="K1682" s="965">
        <v>200000000</v>
      </c>
    </row>
    <row r="1683" spans="2:11" s="1258" customFormat="1" ht="16" hidden="1" outlineLevel="1">
      <c r="B1683" s="966" t="s">
        <v>2623</v>
      </c>
      <c r="C1683" s="965">
        <v>101000</v>
      </c>
      <c r="D1683" s="965" t="s">
        <v>2244</v>
      </c>
      <c r="E1683" s="965">
        <v>588932</v>
      </c>
      <c r="F1683" s="965">
        <v>59891425000</v>
      </c>
      <c r="G1683" s="965">
        <v>103500</v>
      </c>
      <c r="H1683" s="965">
        <v>104000</v>
      </c>
      <c r="I1683" s="965">
        <v>100500</v>
      </c>
      <c r="J1683" s="965">
        <v>20200000</v>
      </c>
      <c r="K1683" s="965">
        <v>200000000</v>
      </c>
    </row>
    <row r="1684" spans="2:11" s="1258" customFormat="1" ht="16" hidden="1" outlineLevel="1">
      <c r="B1684" s="966" t="s">
        <v>2621</v>
      </c>
      <c r="C1684" s="965">
        <v>102500</v>
      </c>
      <c r="D1684" s="965" t="s">
        <v>2236</v>
      </c>
      <c r="E1684" s="965">
        <v>303672</v>
      </c>
      <c r="F1684" s="965">
        <v>31101787500</v>
      </c>
      <c r="G1684" s="965">
        <v>101500</v>
      </c>
      <c r="H1684" s="965">
        <v>103000</v>
      </c>
      <c r="I1684" s="965">
        <v>101500</v>
      </c>
      <c r="J1684" s="965">
        <v>20500000</v>
      </c>
      <c r="K1684" s="965">
        <v>200000000</v>
      </c>
    </row>
    <row r="1685" spans="2:11" s="1258" customFormat="1" ht="16" hidden="1" outlineLevel="1">
      <c r="B1685" s="966" t="s">
        <v>2619</v>
      </c>
      <c r="C1685" s="965">
        <v>101500</v>
      </c>
      <c r="D1685" s="965" t="s">
        <v>1826</v>
      </c>
      <c r="E1685" s="965">
        <v>442159</v>
      </c>
      <c r="F1685" s="965">
        <v>44920745000</v>
      </c>
      <c r="G1685" s="965">
        <v>102000</v>
      </c>
      <c r="H1685" s="965">
        <v>103000</v>
      </c>
      <c r="I1685" s="965">
        <v>101000</v>
      </c>
      <c r="J1685" s="965">
        <v>20300000</v>
      </c>
      <c r="K1685" s="965">
        <v>200000000</v>
      </c>
    </row>
    <row r="1686" spans="2:11" s="1258" customFormat="1" ht="16" hidden="1" outlineLevel="1">
      <c r="B1686" s="966" t="s">
        <v>2618</v>
      </c>
      <c r="C1686" s="965">
        <v>101000</v>
      </c>
      <c r="D1686" s="965" t="s">
        <v>2242</v>
      </c>
      <c r="E1686" s="965">
        <v>559703</v>
      </c>
      <c r="F1686" s="965">
        <v>56967091500</v>
      </c>
      <c r="G1686" s="965">
        <v>103000</v>
      </c>
      <c r="H1686" s="965">
        <v>103000</v>
      </c>
      <c r="I1686" s="965">
        <v>101000</v>
      </c>
      <c r="J1686" s="965">
        <v>20200000</v>
      </c>
      <c r="K1686" s="965">
        <v>200000000</v>
      </c>
    </row>
    <row r="1687" spans="2:11" s="1258" customFormat="1" ht="16" hidden="1" outlineLevel="1">
      <c r="B1687" s="966" t="s">
        <v>2617</v>
      </c>
      <c r="C1687" s="965">
        <v>103000</v>
      </c>
      <c r="D1687" s="965" t="s">
        <v>1814</v>
      </c>
      <c r="E1687" s="965">
        <v>224079</v>
      </c>
      <c r="F1687" s="965">
        <v>23126309000</v>
      </c>
      <c r="G1687" s="965">
        <v>103500</v>
      </c>
      <c r="H1687" s="965">
        <v>104000</v>
      </c>
      <c r="I1687" s="965">
        <v>103000</v>
      </c>
      <c r="J1687" s="965">
        <v>20600000</v>
      </c>
      <c r="K1687" s="965">
        <v>200000000</v>
      </c>
    </row>
    <row r="1688" spans="2:11" s="1258" customFormat="1" ht="16" hidden="1" outlineLevel="1">
      <c r="B1688" s="966" t="s">
        <v>2616</v>
      </c>
      <c r="C1688" s="965">
        <v>103500</v>
      </c>
      <c r="D1688" s="965" t="s">
        <v>1814</v>
      </c>
      <c r="E1688" s="965">
        <v>186504</v>
      </c>
      <c r="F1688" s="965">
        <v>19321125000</v>
      </c>
      <c r="G1688" s="965">
        <v>104000</v>
      </c>
      <c r="H1688" s="965">
        <v>104500</v>
      </c>
      <c r="I1688" s="965">
        <v>103000</v>
      </c>
      <c r="J1688" s="965">
        <v>20700000</v>
      </c>
      <c r="K1688" s="965">
        <v>200000000</v>
      </c>
    </row>
    <row r="1689" spans="2:11" s="1258" customFormat="1" ht="16" hidden="1" outlineLevel="1">
      <c r="B1689" s="966" t="s">
        <v>2615</v>
      </c>
      <c r="C1689" s="965">
        <v>104000</v>
      </c>
      <c r="D1689" s="965" t="s">
        <v>2221</v>
      </c>
      <c r="E1689" s="965">
        <v>207691</v>
      </c>
      <c r="F1689" s="965">
        <v>21565790500</v>
      </c>
      <c r="G1689" s="965">
        <v>104500</v>
      </c>
      <c r="H1689" s="965">
        <v>104500</v>
      </c>
      <c r="I1689" s="965">
        <v>103500</v>
      </c>
      <c r="J1689" s="965">
        <v>20800000</v>
      </c>
      <c r="K1689" s="965">
        <v>200000000</v>
      </c>
    </row>
    <row r="1690" spans="2:11" s="1258" customFormat="1" ht="16" hidden="1" outlineLevel="1">
      <c r="B1690" s="966" t="s">
        <v>2614</v>
      </c>
      <c r="C1690" s="965">
        <v>104000</v>
      </c>
      <c r="D1690" s="965" t="s">
        <v>2236</v>
      </c>
      <c r="E1690" s="965">
        <v>323600</v>
      </c>
      <c r="F1690" s="965">
        <v>33650032000</v>
      </c>
      <c r="G1690" s="965">
        <v>104000</v>
      </c>
      <c r="H1690" s="965">
        <v>104500</v>
      </c>
      <c r="I1690" s="965">
        <v>103500</v>
      </c>
      <c r="J1690" s="965">
        <v>20800000</v>
      </c>
      <c r="K1690" s="965">
        <v>200000000</v>
      </c>
    </row>
    <row r="1691" spans="2:11" s="1258" customFormat="1" ht="16" hidden="1" outlineLevel="1">
      <c r="B1691" s="966" t="s">
        <v>2613</v>
      </c>
      <c r="C1691" s="965">
        <v>103000</v>
      </c>
      <c r="D1691" s="965" t="s">
        <v>1826</v>
      </c>
      <c r="E1691" s="965">
        <v>379896</v>
      </c>
      <c r="F1691" s="965">
        <v>39346213000</v>
      </c>
      <c r="G1691" s="965">
        <v>103000</v>
      </c>
      <c r="H1691" s="965">
        <v>104500</v>
      </c>
      <c r="I1691" s="965">
        <v>102500</v>
      </c>
      <c r="J1691" s="965">
        <v>20600000</v>
      </c>
      <c r="K1691" s="965">
        <v>200000000</v>
      </c>
    </row>
    <row r="1692" spans="2:11" s="1258" customFormat="1" ht="16" hidden="1" outlineLevel="1">
      <c r="B1692" s="966" t="s">
        <v>2612</v>
      </c>
      <c r="C1692" s="965">
        <v>102500</v>
      </c>
      <c r="D1692" s="965" t="s">
        <v>2245</v>
      </c>
      <c r="E1692" s="965">
        <v>481710</v>
      </c>
      <c r="F1692" s="965">
        <v>49480447000</v>
      </c>
      <c r="G1692" s="965">
        <v>101500</v>
      </c>
      <c r="H1692" s="965">
        <v>103500</v>
      </c>
      <c r="I1692" s="965">
        <v>101500</v>
      </c>
      <c r="J1692" s="965">
        <v>20500000</v>
      </c>
      <c r="K1692" s="965">
        <v>200000000</v>
      </c>
    </row>
    <row r="1693" spans="2:11" s="1258" customFormat="1" ht="16" hidden="1" outlineLevel="1">
      <c r="B1693" s="966" t="s">
        <v>2611</v>
      </c>
      <c r="C1693" s="965">
        <v>101000</v>
      </c>
      <c r="D1693" s="965" t="s">
        <v>1814</v>
      </c>
      <c r="E1693" s="965">
        <v>264972</v>
      </c>
      <c r="F1693" s="965">
        <v>26788591000</v>
      </c>
      <c r="G1693" s="965">
        <v>101000</v>
      </c>
      <c r="H1693" s="965">
        <v>101500</v>
      </c>
      <c r="I1693" s="965">
        <v>100500</v>
      </c>
      <c r="J1693" s="965">
        <v>20200000</v>
      </c>
      <c r="K1693" s="965">
        <v>200000000</v>
      </c>
    </row>
    <row r="1694" spans="2:11" s="1258" customFormat="1" ht="16" hidden="1" outlineLevel="1">
      <c r="B1694" s="966" t="s">
        <v>2610</v>
      </c>
      <c r="C1694" s="965">
        <v>101500</v>
      </c>
      <c r="D1694" s="965" t="s">
        <v>2236</v>
      </c>
      <c r="E1694" s="965">
        <v>273216</v>
      </c>
      <c r="F1694" s="965">
        <v>27675557500</v>
      </c>
      <c r="G1694" s="965">
        <v>101000</v>
      </c>
      <c r="H1694" s="965">
        <v>102000</v>
      </c>
      <c r="I1694" s="965">
        <v>100500</v>
      </c>
      <c r="J1694" s="965">
        <v>20300000</v>
      </c>
      <c r="K1694" s="965">
        <v>200000000</v>
      </c>
    </row>
    <row r="1695" spans="2:11" ht="15" collapsed="1" thickBot="1">
      <c r="B1695" s="960" t="s">
        <v>2609</v>
      </c>
      <c r="C1695" s="959"/>
      <c r="D1695" s="961"/>
      <c r="E1695" s="959"/>
      <c r="F1695" s="959"/>
      <c r="G1695" s="959"/>
      <c r="H1695" s="959"/>
      <c r="I1695" s="959"/>
      <c r="J1695" s="960">
        <f>AVERAGE(J1447:J1569)</f>
        <v>18464878.048780486</v>
      </c>
      <c r="K1695" s="959"/>
    </row>
    <row r="1698" spans="2:11">
      <c r="B1698" s="980" t="s">
        <v>2756</v>
      </c>
    </row>
    <row r="1701" spans="2:11">
      <c r="B1701" s="977" t="s">
        <v>1917</v>
      </c>
      <c r="C1701" s="977"/>
      <c r="D1701" s="1048" t="s">
        <v>2755</v>
      </c>
      <c r="E1701" s="1048" t="s">
        <v>2754</v>
      </c>
      <c r="F1701" s="977" t="s">
        <v>1935</v>
      </c>
      <c r="G1701" s="976" t="s">
        <v>1936</v>
      </c>
      <c r="H1701" s="977"/>
      <c r="I1701" s="977" t="s">
        <v>1919</v>
      </c>
      <c r="J1701" s="977" t="s">
        <v>1440</v>
      </c>
      <c r="K1701" s="977" t="s">
        <v>2682</v>
      </c>
    </row>
    <row r="1702" spans="2:11">
      <c r="B1702" s="957" t="s">
        <v>1937</v>
      </c>
      <c r="D1702" s="1046" t="s">
        <v>2681</v>
      </c>
      <c r="E1702" s="957" t="s">
        <v>2679</v>
      </c>
      <c r="F1702" s="957" t="s">
        <v>1938</v>
      </c>
      <c r="G1702" s="1046" t="s">
        <v>1939</v>
      </c>
      <c r="I1702" s="1047">
        <v>63.6</v>
      </c>
      <c r="J1702" s="957">
        <v>97946</v>
      </c>
      <c r="K1702" s="957">
        <f t="shared" ref="K1702:K1707" si="2">J1702</f>
        <v>97946</v>
      </c>
    </row>
    <row r="1703" spans="2:11">
      <c r="B1703" s="957" t="s">
        <v>1940</v>
      </c>
      <c r="D1703" s="1046" t="s">
        <v>2681</v>
      </c>
      <c r="E1703" s="957" t="s">
        <v>2679</v>
      </c>
      <c r="F1703" s="957" t="s">
        <v>1938</v>
      </c>
      <c r="G1703" s="1046" t="s">
        <v>1941</v>
      </c>
      <c r="I1703" s="1047">
        <v>45</v>
      </c>
      <c r="J1703" s="957">
        <v>3600</v>
      </c>
      <c r="K1703" s="957">
        <f t="shared" si="2"/>
        <v>3600</v>
      </c>
    </row>
    <row r="1704" spans="2:11">
      <c r="B1704" s="957" t="s">
        <v>1942</v>
      </c>
      <c r="D1704" s="1046" t="s">
        <v>2681</v>
      </c>
      <c r="E1704" s="957" t="s">
        <v>2679</v>
      </c>
      <c r="F1704" s="957" t="s">
        <v>1938</v>
      </c>
      <c r="G1704" s="1046" t="s">
        <v>1943</v>
      </c>
      <c r="I1704" s="1047">
        <v>51.3</v>
      </c>
      <c r="J1704" s="957">
        <v>20016</v>
      </c>
      <c r="K1704" s="957">
        <f t="shared" si="2"/>
        <v>20016</v>
      </c>
    </row>
    <row r="1705" spans="2:11">
      <c r="B1705" s="957" t="s">
        <v>1944</v>
      </c>
      <c r="C1705" s="957" t="s">
        <v>1945</v>
      </c>
      <c r="D1705" s="1046" t="s">
        <v>2681</v>
      </c>
      <c r="E1705" s="957" t="s">
        <v>2679</v>
      </c>
      <c r="F1705" s="957" t="s">
        <v>1938</v>
      </c>
      <c r="G1705" s="1046" t="s">
        <v>1946</v>
      </c>
      <c r="I1705" s="1047">
        <v>27.6</v>
      </c>
      <c r="J1705" s="957">
        <v>0</v>
      </c>
      <c r="K1705" s="957">
        <f t="shared" si="2"/>
        <v>0</v>
      </c>
    </row>
    <row r="1706" spans="2:11">
      <c r="B1706" s="957" t="s">
        <v>1947</v>
      </c>
      <c r="C1706" s="957" t="s">
        <v>1948</v>
      </c>
      <c r="D1706" s="1046" t="s">
        <v>2681</v>
      </c>
      <c r="E1706" s="957" t="s">
        <v>2679</v>
      </c>
      <c r="F1706" s="957" t="s">
        <v>1938</v>
      </c>
      <c r="G1706" s="1046" t="s">
        <v>1949</v>
      </c>
      <c r="I1706" s="1047">
        <v>25</v>
      </c>
      <c r="J1706" s="957">
        <v>9396</v>
      </c>
      <c r="K1706" s="957">
        <f t="shared" si="2"/>
        <v>9396</v>
      </c>
    </row>
    <row r="1707" spans="2:11">
      <c r="B1707" s="957" t="s">
        <v>1950</v>
      </c>
      <c r="C1707" s="957" t="s">
        <v>1945</v>
      </c>
      <c r="D1707" s="1046" t="s">
        <v>2681</v>
      </c>
      <c r="E1707" s="957" t="s">
        <v>2679</v>
      </c>
      <c r="F1707" s="957" t="s">
        <v>1938</v>
      </c>
      <c r="G1707" s="1046" t="s">
        <v>1951</v>
      </c>
      <c r="I1707" s="1047">
        <v>10.4</v>
      </c>
      <c r="J1707" s="957">
        <v>23082</v>
      </c>
      <c r="K1707" s="957">
        <f t="shared" si="2"/>
        <v>23082</v>
      </c>
    </row>
    <row r="1708" spans="2:11">
      <c r="B1708" s="977" t="s">
        <v>2678</v>
      </c>
      <c r="C1708" s="977"/>
      <c r="D1708" s="976"/>
      <c r="E1708" s="977"/>
      <c r="F1708" s="977"/>
      <c r="G1708" s="977"/>
      <c r="H1708" s="977"/>
      <c r="I1708" s="977"/>
      <c r="J1708" s="977">
        <f>SUM(J1702:J1707)</f>
        <v>154040</v>
      </c>
      <c r="K1708" s="977">
        <f>SUM(K1702:K1707)</f>
        <v>154040</v>
      </c>
    </row>
    <row r="1712" spans="2:11">
      <c r="B1712" s="980" t="s">
        <v>2753</v>
      </c>
    </row>
    <row r="1714" spans="2:11">
      <c r="B1714" s="977"/>
      <c r="C1714" s="977"/>
      <c r="D1714" s="976"/>
      <c r="E1714" s="977" t="s">
        <v>2752</v>
      </c>
      <c r="F1714" s="977" t="s">
        <v>2751</v>
      </c>
      <c r="G1714" s="977" t="s">
        <v>2750</v>
      </c>
    </row>
    <row r="1715" spans="2:11">
      <c r="B1715" s="957" t="s">
        <v>2736</v>
      </c>
      <c r="C1715" s="957" t="s">
        <v>2749</v>
      </c>
      <c r="E1715" s="957">
        <v>321728.33799999999</v>
      </c>
      <c r="F1715" s="957">
        <f>E1715</f>
        <v>321728.33799999999</v>
      </c>
    </row>
    <row r="1716" spans="2:11">
      <c r="C1716" s="957" t="s">
        <v>2734</v>
      </c>
      <c r="E1716" s="957">
        <v>4860750.6785490001</v>
      </c>
      <c r="F1716" s="957">
        <f>SUMIF(D1725:D1766,"비영업",K1725:K1766)</f>
        <v>1219021.1870000002</v>
      </c>
    </row>
    <row r="1717" spans="2:11">
      <c r="C1717" s="957" t="s">
        <v>1209</v>
      </c>
      <c r="E1717" s="957">
        <v>450810.86725399998</v>
      </c>
      <c r="F1717" s="957">
        <f>E1717</f>
        <v>450810.86725399998</v>
      </c>
    </row>
    <row r="1718" spans="2:11">
      <c r="B1718" s="979"/>
      <c r="C1718" s="979" t="s">
        <v>192</v>
      </c>
      <c r="E1718" s="957">
        <v>254873.764</v>
      </c>
      <c r="F1718" s="957">
        <f>E1718</f>
        <v>254873.764</v>
      </c>
    </row>
    <row r="1719" spans="2:11">
      <c r="B1719" s="977"/>
      <c r="C1719" s="977" t="s">
        <v>2678</v>
      </c>
      <c r="D1719" s="976"/>
      <c r="E1719" s="977">
        <f>SUM(E1715:E1718)</f>
        <v>5888163.6478030011</v>
      </c>
      <c r="F1719" s="977">
        <f>SUM(F1715:F1718)</f>
        <v>2246434.156254</v>
      </c>
      <c r="G1719" s="977"/>
    </row>
    <row r="1724" spans="2:11">
      <c r="B1724" s="977" t="s">
        <v>2737</v>
      </c>
      <c r="C1724" s="977"/>
      <c r="D1724" s="977" t="s">
        <v>2685</v>
      </c>
      <c r="E1724" s="977" t="s">
        <v>2684</v>
      </c>
      <c r="F1724" s="977" t="s">
        <v>1935</v>
      </c>
      <c r="G1724" s="977" t="s">
        <v>1952</v>
      </c>
      <c r="H1724" s="977"/>
      <c r="I1724" s="977" t="s">
        <v>1953</v>
      </c>
      <c r="J1724" s="977" t="s">
        <v>1440</v>
      </c>
      <c r="K1724" s="977" t="s">
        <v>2682</v>
      </c>
    </row>
    <row r="1725" spans="2:11">
      <c r="B1725" s="957" t="s">
        <v>1954</v>
      </c>
      <c r="D1725" s="1046" t="s">
        <v>2681</v>
      </c>
      <c r="E1725" s="957" t="s">
        <v>2679</v>
      </c>
      <c r="F1725" s="957" t="s">
        <v>1955</v>
      </c>
      <c r="G1725" s="957" t="s">
        <v>1956</v>
      </c>
      <c r="I1725" s="957">
        <v>25</v>
      </c>
      <c r="J1725" s="957">
        <v>157380.02600000001</v>
      </c>
      <c r="K1725" s="957">
        <f t="shared" ref="K1725:K1734" si="3">J1725</f>
        <v>157380.02600000001</v>
      </c>
    </row>
    <row r="1726" spans="2:11">
      <c r="B1726" s="957" t="s">
        <v>1957</v>
      </c>
      <c r="D1726" s="1046" t="s">
        <v>2681</v>
      </c>
      <c r="E1726" s="957" t="s">
        <v>2679</v>
      </c>
      <c r="F1726" s="957" t="s">
        <v>1955</v>
      </c>
      <c r="G1726" s="957" t="s">
        <v>1956</v>
      </c>
      <c r="I1726" s="957">
        <v>34.39</v>
      </c>
      <c r="J1726" s="957">
        <v>11610.349</v>
      </c>
      <c r="K1726" s="957">
        <f t="shared" si="3"/>
        <v>11610.349</v>
      </c>
    </row>
    <row r="1727" spans="2:11">
      <c r="B1727" s="957" t="s">
        <v>1958</v>
      </c>
      <c r="D1727" s="1046" t="s">
        <v>2681</v>
      </c>
      <c r="E1727" s="957" t="s">
        <v>2679</v>
      </c>
      <c r="F1727" s="957" t="s">
        <v>1955</v>
      </c>
      <c r="G1727" s="957" t="s">
        <v>1959</v>
      </c>
      <c r="I1727" s="957">
        <v>32.17</v>
      </c>
      <c r="J1727" s="957">
        <v>83333.282999999996</v>
      </c>
      <c r="K1727" s="957">
        <f t="shared" si="3"/>
        <v>83333.282999999996</v>
      </c>
    </row>
    <row r="1728" spans="2:11">
      <c r="B1728" s="957" t="s">
        <v>1960</v>
      </c>
      <c r="D1728" s="1046" t="s">
        <v>2681</v>
      </c>
      <c r="E1728" s="957" t="s">
        <v>2679</v>
      </c>
      <c r="F1728" s="957" t="s">
        <v>1955</v>
      </c>
      <c r="G1728" s="957" t="s">
        <v>1961</v>
      </c>
      <c r="I1728" s="957">
        <v>49</v>
      </c>
      <c r="J1728" s="957">
        <v>24826.941999999999</v>
      </c>
      <c r="K1728" s="957">
        <f t="shared" si="3"/>
        <v>24826.941999999999</v>
      </c>
    </row>
    <row r="1729" spans="2:11">
      <c r="B1729" s="957" t="s">
        <v>1962</v>
      </c>
      <c r="D1729" s="1046" t="s">
        <v>2681</v>
      </c>
      <c r="E1729" s="957" t="s">
        <v>2679</v>
      </c>
      <c r="F1729" s="957" t="s">
        <v>1955</v>
      </c>
      <c r="G1729" s="957" t="s">
        <v>1961</v>
      </c>
      <c r="I1729" s="957">
        <v>20</v>
      </c>
      <c r="J1729" s="957">
        <v>16105.745999999999</v>
      </c>
      <c r="K1729" s="957">
        <f t="shared" si="3"/>
        <v>16105.745999999999</v>
      </c>
    </row>
    <row r="1730" spans="2:11">
      <c r="B1730" s="957" t="s">
        <v>1963</v>
      </c>
      <c r="D1730" s="1046" t="s">
        <v>2681</v>
      </c>
      <c r="E1730" s="957" t="s">
        <v>2679</v>
      </c>
      <c r="F1730" s="957" t="s">
        <v>1964</v>
      </c>
      <c r="G1730" s="957" t="s">
        <v>1965</v>
      </c>
      <c r="I1730" s="957">
        <v>30.81</v>
      </c>
      <c r="J1730" s="957">
        <v>110907.855</v>
      </c>
      <c r="K1730" s="957">
        <f t="shared" si="3"/>
        <v>110907.855</v>
      </c>
    </row>
    <row r="1731" spans="2:11">
      <c r="B1731" s="957" t="s">
        <v>1966</v>
      </c>
      <c r="D1731" s="1046" t="s">
        <v>2681</v>
      </c>
      <c r="E1731" s="957" t="s">
        <v>2679</v>
      </c>
      <c r="F1731" s="957" t="s">
        <v>1967</v>
      </c>
      <c r="G1731" s="957" t="s">
        <v>1956</v>
      </c>
      <c r="I1731" s="957">
        <v>50</v>
      </c>
      <c r="J1731" s="957">
        <v>0</v>
      </c>
      <c r="K1731" s="957">
        <f t="shared" si="3"/>
        <v>0</v>
      </c>
    </row>
    <row r="1732" spans="2:11">
      <c r="B1732" s="957" t="s">
        <v>1968</v>
      </c>
      <c r="D1732" s="1046" t="s">
        <v>2681</v>
      </c>
      <c r="E1732" s="957" t="s">
        <v>2679</v>
      </c>
      <c r="F1732" s="957" t="s">
        <v>1969</v>
      </c>
      <c r="G1732" s="957" t="s">
        <v>1965</v>
      </c>
      <c r="I1732" s="957">
        <v>45</v>
      </c>
      <c r="J1732" s="957">
        <v>55130.944000000003</v>
      </c>
      <c r="K1732" s="957">
        <f t="shared" si="3"/>
        <v>55130.944000000003</v>
      </c>
    </row>
    <row r="1733" spans="2:11">
      <c r="B1733" s="957" t="s">
        <v>1970</v>
      </c>
      <c r="D1733" s="1046" t="s">
        <v>2681</v>
      </c>
      <c r="E1733" s="957" t="s">
        <v>2679</v>
      </c>
      <c r="F1733" s="957" t="s">
        <v>1955</v>
      </c>
      <c r="G1733" s="957" t="s">
        <v>1971</v>
      </c>
      <c r="I1733" s="957">
        <v>30</v>
      </c>
      <c r="J1733" s="957">
        <v>150</v>
      </c>
      <c r="K1733" s="957">
        <f t="shared" si="3"/>
        <v>150</v>
      </c>
    </row>
    <row r="1734" spans="2:11">
      <c r="B1734" s="957" t="s">
        <v>1972</v>
      </c>
      <c r="D1734" s="1046" t="s">
        <v>2681</v>
      </c>
      <c r="E1734" s="957" t="s">
        <v>2679</v>
      </c>
      <c r="F1734" s="957" t="s">
        <v>1955</v>
      </c>
      <c r="G1734" s="957" t="s">
        <v>1971</v>
      </c>
      <c r="I1734" s="957">
        <v>90.54</v>
      </c>
      <c r="J1734" s="957">
        <v>9529.7080000000005</v>
      </c>
      <c r="K1734" s="957">
        <f t="shared" si="3"/>
        <v>9529.7080000000005</v>
      </c>
    </row>
    <row r="1735" spans="2:11">
      <c r="B1735" s="957" t="s">
        <v>1973</v>
      </c>
      <c r="D1735" s="1046" t="s">
        <v>2681</v>
      </c>
      <c r="E1735" s="957" t="s">
        <v>2732</v>
      </c>
      <c r="F1735" s="957" t="s">
        <v>1955</v>
      </c>
      <c r="G1735" s="957" t="s">
        <v>1956</v>
      </c>
      <c r="I1735" s="957">
        <v>79.010000000000005</v>
      </c>
      <c r="J1735" s="957">
        <v>582875.14899999998</v>
      </c>
      <c r="K1735" s="1051">
        <f>J2021*I1735%</f>
        <v>958414.96445853659</v>
      </c>
    </row>
    <row r="1736" spans="2:11">
      <c r="B1736" s="957" t="s">
        <v>1974</v>
      </c>
      <c r="D1736" s="1046" t="s">
        <v>2681</v>
      </c>
      <c r="E1736" s="957" t="s">
        <v>2679</v>
      </c>
      <c r="F1736" s="957" t="s">
        <v>1955</v>
      </c>
      <c r="G1736" s="957" t="s">
        <v>1956</v>
      </c>
      <c r="I1736" s="957">
        <v>53.03</v>
      </c>
      <c r="J1736" s="957">
        <v>393213.07400000002</v>
      </c>
      <c r="K1736" s="957">
        <f t="shared" ref="K1736:K1766" si="4">J1736</f>
        <v>393213.07400000002</v>
      </c>
    </row>
    <row r="1737" spans="2:11">
      <c r="B1737" s="957" t="s">
        <v>1975</v>
      </c>
      <c r="D1737" s="1046" t="s">
        <v>2681</v>
      </c>
      <c r="E1737" s="957" t="s">
        <v>2679</v>
      </c>
      <c r="F1737" s="957" t="s">
        <v>1955</v>
      </c>
      <c r="G1737" s="957" t="s">
        <v>1956</v>
      </c>
      <c r="I1737" s="957">
        <v>51.44</v>
      </c>
      <c r="J1737" s="957">
        <v>82470.835000000006</v>
      </c>
      <c r="K1737" s="957">
        <f t="shared" si="4"/>
        <v>82470.835000000006</v>
      </c>
    </row>
    <row r="1738" spans="2:11">
      <c r="B1738" s="957" t="s">
        <v>1976</v>
      </c>
      <c r="D1738" s="1046" t="s">
        <v>2681</v>
      </c>
      <c r="E1738" s="957" t="s">
        <v>2679</v>
      </c>
      <c r="F1738" s="957" t="s">
        <v>1955</v>
      </c>
      <c r="G1738" s="957" t="s">
        <v>1956</v>
      </c>
      <c r="I1738" s="957">
        <v>100</v>
      </c>
      <c r="J1738" s="957">
        <v>520041.9</v>
      </c>
      <c r="K1738" s="957">
        <f t="shared" si="4"/>
        <v>520041.9</v>
      </c>
    </row>
    <row r="1739" spans="2:11">
      <c r="B1739" s="957" t="s">
        <v>1977</v>
      </c>
      <c r="D1739" s="1046" t="s">
        <v>2681</v>
      </c>
      <c r="E1739" s="957" t="s">
        <v>2679</v>
      </c>
      <c r="F1739" s="957" t="s">
        <v>1955</v>
      </c>
      <c r="G1739" s="957" t="s">
        <v>1978</v>
      </c>
      <c r="I1739" s="957">
        <v>94.5</v>
      </c>
      <c r="J1739" s="957">
        <v>18876.353999999999</v>
      </c>
      <c r="K1739" s="957">
        <f t="shared" si="4"/>
        <v>18876.353999999999</v>
      </c>
    </row>
    <row r="1740" spans="2:11">
      <c r="B1740" s="957" t="s">
        <v>1979</v>
      </c>
      <c r="D1740" s="1046" t="s">
        <v>2681</v>
      </c>
      <c r="E1740" s="957" t="s">
        <v>2679</v>
      </c>
      <c r="F1740" s="957" t="s">
        <v>1980</v>
      </c>
      <c r="G1740" s="957" t="s">
        <v>1965</v>
      </c>
      <c r="I1740" s="957">
        <v>100</v>
      </c>
      <c r="J1740" s="957">
        <v>932124.09900000005</v>
      </c>
      <c r="K1740" s="957">
        <f t="shared" si="4"/>
        <v>932124.09900000005</v>
      </c>
    </row>
    <row r="1741" spans="2:11">
      <c r="B1741" s="957" t="s">
        <v>1981</v>
      </c>
      <c r="D1741" s="1046" t="s">
        <v>2681</v>
      </c>
      <c r="E1741" s="957" t="s">
        <v>2679</v>
      </c>
      <c r="F1741" s="957" t="s">
        <v>1982</v>
      </c>
      <c r="G1741" s="957" t="s">
        <v>1965</v>
      </c>
      <c r="I1741" s="957">
        <v>100</v>
      </c>
      <c r="J1741" s="957">
        <v>230062.57800000001</v>
      </c>
      <c r="K1741" s="957">
        <f t="shared" si="4"/>
        <v>230062.57800000001</v>
      </c>
    </row>
    <row r="1742" spans="2:11">
      <c r="B1742" s="957" t="s">
        <v>1983</v>
      </c>
      <c r="D1742" s="1046" t="s">
        <v>2681</v>
      </c>
      <c r="E1742" s="957" t="s">
        <v>2679</v>
      </c>
      <c r="F1742" s="957" t="s">
        <v>1984</v>
      </c>
      <c r="G1742" s="957" t="s">
        <v>1956</v>
      </c>
      <c r="I1742" s="957">
        <v>80</v>
      </c>
      <c r="J1742" s="957">
        <v>0</v>
      </c>
      <c r="K1742" s="957">
        <f t="shared" si="4"/>
        <v>0</v>
      </c>
    </row>
    <row r="1743" spans="2:11">
      <c r="B1743" s="957" t="s">
        <v>1985</v>
      </c>
      <c r="D1743" s="1046" t="s">
        <v>2681</v>
      </c>
      <c r="E1743" s="957" t="s">
        <v>2679</v>
      </c>
      <c r="F1743" s="957" t="s">
        <v>1967</v>
      </c>
      <c r="G1743" s="957" t="s">
        <v>1956</v>
      </c>
      <c r="I1743" s="957">
        <v>55.43</v>
      </c>
      <c r="J1743" s="957">
        <v>30047.807000000001</v>
      </c>
      <c r="K1743" s="957">
        <f t="shared" si="4"/>
        <v>30047.807000000001</v>
      </c>
    </row>
    <row r="1744" spans="2:11">
      <c r="B1744" s="957" t="s">
        <v>1986</v>
      </c>
      <c r="D1744" s="1046" t="s">
        <v>2681</v>
      </c>
      <c r="E1744" s="957" t="s">
        <v>2679</v>
      </c>
      <c r="F1744" s="957" t="s">
        <v>1967</v>
      </c>
      <c r="G1744" s="957" t="s">
        <v>1956</v>
      </c>
      <c r="I1744" s="957">
        <v>100</v>
      </c>
      <c r="J1744" s="957">
        <v>158133.73800000001</v>
      </c>
      <c r="K1744" s="957">
        <f t="shared" si="4"/>
        <v>158133.73800000001</v>
      </c>
    </row>
    <row r="1745" spans="2:11">
      <c r="B1745" s="957" t="s">
        <v>1987</v>
      </c>
      <c r="D1745" s="1046" t="s">
        <v>2681</v>
      </c>
      <c r="E1745" s="957" t="s">
        <v>2679</v>
      </c>
      <c r="F1745" s="957" t="s">
        <v>1967</v>
      </c>
      <c r="G1745" s="957" t="s">
        <v>1956</v>
      </c>
      <c r="I1745" s="957">
        <v>40.78</v>
      </c>
      <c r="J1745" s="957">
        <v>10841.12</v>
      </c>
      <c r="K1745" s="957">
        <f t="shared" si="4"/>
        <v>10841.12</v>
      </c>
    </row>
    <row r="1746" spans="2:11">
      <c r="B1746" s="957" t="s">
        <v>1988</v>
      </c>
      <c r="D1746" s="1046" t="s">
        <v>2681</v>
      </c>
      <c r="E1746" s="957" t="s">
        <v>2679</v>
      </c>
      <c r="F1746" s="957" t="s">
        <v>1989</v>
      </c>
      <c r="G1746" s="957" t="s">
        <v>1956</v>
      </c>
      <c r="I1746" s="957">
        <v>55</v>
      </c>
      <c r="J1746" s="957">
        <v>214067.989</v>
      </c>
      <c r="K1746" s="957">
        <f t="shared" si="4"/>
        <v>214067.989</v>
      </c>
    </row>
    <row r="1747" spans="2:11">
      <c r="B1747" s="957" t="s">
        <v>1990</v>
      </c>
      <c r="D1747" s="957" t="s">
        <v>2680</v>
      </c>
      <c r="E1747" s="957" t="s">
        <v>2679</v>
      </c>
      <c r="F1747" s="957" t="s">
        <v>1955</v>
      </c>
      <c r="G1747" s="957" t="s">
        <v>1991</v>
      </c>
      <c r="I1747" s="957">
        <v>30</v>
      </c>
      <c r="J1747" s="957">
        <v>27284.691999999999</v>
      </c>
      <c r="K1747" s="957">
        <f t="shared" si="4"/>
        <v>27284.691999999999</v>
      </c>
    </row>
    <row r="1748" spans="2:11">
      <c r="B1748" s="957" t="s">
        <v>1992</v>
      </c>
      <c r="D1748" s="957" t="s">
        <v>2680</v>
      </c>
      <c r="E1748" s="957" t="s">
        <v>2679</v>
      </c>
      <c r="F1748" s="957" t="s">
        <v>1955</v>
      </c>
      <c r="G1748" s="957" t="s">
        <v>1993</v>
      </c>
      <c r="I1748" s="957">
        <v>20.22</v>
      </c>
      <c r="J1748" s="957">
        <v>70213.884999999995</v>
      </c>
      <c r="K1748" s="957">
        <f t="shared" si="4"/>
        <v>70213.884999999995</v>
      </c>
    </row>
    <row r="1749" spans="2:11">
      <c r="B1749" s="957" t="s">
        <v>1994</v>
      </c>
      <c r="D1749" s="957" t="s">
        <v>2680</v>
      </c>
      <c r="E1749" s="957" t="s">
        <v>2679</v>
      </c>
      <c r="F1749" s="957" t="s">
        <v>1955</v>
      </c>
      <c r="G1749" s="957" t="s">
        <v>1995</v>
      </c>
      <c r="I1749" s="957">
        <v>23.9</v>
      </c>
      <c r="J1749" s="957">
        <v>5635.692</v>
      </c>
      <c r="K1749" s="957">
        <f t="shared" si="4"/>
        <v>5635.692</v>
      </c>
    </row>
    <row r="1750" spans="2:11">
      <c r="B1750" s="957" t="s">
        <v>1996</v>
      </c>
      <c r="D1750" s="957" t="s">
        <v>2680</v>
      </c>
      <c r="E1750" s="957" t="s">
        <v>2679</v>
      </c>
      <c r="F1750" s="957" t="s">
        <v>1955</v>
      </c>
      <c r="G1750" s="957" t="s">
        <v>1995</v>
      </c>
      <c r="I1750" s="957">
        <v>31.96</v>
      </c>
      <c r="J1750" s="957">
        <v>43479.733999999997</v>
      </c>
      <c r="K1750" s="957">
        <f t="shared" si="4"/>
        <v>43479.733999999997</v>
      </c>
    </row>
    <row r="1751" spans="2:11">
      <c r="B1751" s="957" t="s">
        <v>1997</v>
      </c>
      <c r="D1751" s="957" t="s">
        <v>2680</v>
      </c>
      <c r="E1751" s="957" t="s">
        <v>2679</v>
      </c>
      <c r="F1751" s="957" t="s">
        <v>1955</v>
      </c>
      <c r="G1751" s="957" t="s">
        <v>1995</v>
      </c>
      <c r="I1751" s="957">
        <v>22.22</v>
      </c>
      <c r="J1751" s="957">
        <v>16672.766</v>
      </c>
      <c r="K1751" s="957">
        <f t="shared" si="4"/>
        <v>16672.766</v>
      </c>
    </row>
    <row r="1752" spans="2:11">
      <c r="B1752" s="957" t="s">
        <v>1998</v>
      </c>
      <c r="D1752" s="957" t="s">
        <v>2680</v>
      </c>
      <c r="E1752" s="957" t="s">
        <v>2679</v>
      </c>
      <c r="F1752" s="957" t="s">
        <v>1955</v>
      </c>
      <c r="G1752" s="957" t="s">
        <v>1999</v>
      </c>
      <c r="I1752" s="957">
        <v>30</v>
      </c>
      <c r="J1752" s="957">
        <v>823.19399999999996</v>
      </c>
      <c r="K1752" s="957">
        <f t="shared" si="4"/>
        <v>823.19399999999996</v>
      </c>
    </row>
    <row r="1753" spans="2:11">
      <c r="B1753" s="957" t="s">
        <v>2000</v>
      </c>
      <c r="D1753" s="957" t="s">
        <v>2680</v>
      </c>
      <c r="E1753" s="957" t="s">
        <v>2679</v>
      </c>
      <c r="F1753" s="957" t="s">
        <v>1955</v>
      </c>
      <c r="G1753" s="957" t="s">
        <v>1995</v>
      </c>
      <c r="I1753" s="957">
        <v>23.9</v>
      </c>
      <c r="J1753" s="957">
        <v>71.989999999999995</v>
      </c>
      <c r="K1753" s="957">
        <f t="shared" si="4"/>
        <v>71.989999999999995</v>
      </c>
    </row>
    <row r="1754" spans="2:11">
      <c r="B1754" s="957" t="s">
        <v>2001</v>
      </c>
      <c r="D1754" s="957" t="s">
        <v>2680</v>
      </c>
      <c r="E1754" s="957" t="s">
        <v>2679</v>
      </c>
      <c r="F1754" s="957" t="s">
        <v>1955</v>
      </c>
      <c r="G1754" s="957" t="s">
        <v>2002</v>
      </c>
      <c r="I1754" s="957">
        <v>50</v>
      </c>
      <c r="J1754" s="957">
        <v>0</v>
      </c>
      <c r="K1754" s="957">
        <f t="shared" si="4"/>
        <v>0</v>
      </c>
    </row>
    <row r="1755" spans="2:11">
      <c r="B1755" s="957" t="s">
        <v>2003</v>
      </c>
      <c r="D1755" s="957" t="s">
        <v>2680</v>
      </c>
      <c r="E1755" s="957" t="s">
        <v>2679</v>
      </c>
      <c r="F1755" s="957" t="s">
        <v>1955</v>
      </c>
      <c r="G1755" s="957" t="s">
        <v>2004</v>
      </c>
      <c r="I1755" s="957">
        <v>25</v>
      </c>
      <c r="J1755" s="957">
        <v>2500</v>
      </c>
      <c r="K1755" s="957">
        <f t="shared" si="4"/>
        <v>2500</v>
      </c>
    </row>
    <row r="1756" spans="2:11">
      <c r="B1756" s="957" t="s">
        <v>2005</v>
      </c>
      <c r="D1756" s="957" t="s">
        <v>2680</v>
      </c>
      <c r="E1756" s="957" t="s">
        <v>2679</v>
      </c>
      <c r="F1756" s="957" t="s">
        <v>1955</v>
      </c>
      <c r="G1756" s="957" t="s">
        <v>2004</v>
      </c>
      <c r="I1756" s="957">
        <v>20</v>
      </c>
      <c r="J1756" s="957">
        <v>1000</v>
      </c>
      <c r="K1756" s="957">
        <f t="shared" si="4"/>
        <v>1000</v>
      </c>
    </row>
    <row r="1757" spans="2:11">
      <c r="B1757" s="957" t="s">
        <v>2006</v>
      </c>
      <c r="D1757" s="957" t="s">
        <v>2680</v>
      </c>
      <c r="E1757" s="957" t="s">
        <v>2679</v>
      </c>
      <c r="F1757" s="957" t="s">
        <v>1967</v>
      </c>
      <c r="G1757" s="957" t="s">
        <v>2007</v>
      </c>
      <c r="I1757" s="957">
        <v>49</v>
      </c>
      <c r="J1757" s="957">
        <v>1496.002</v>
      </c>
      <c r="K1757" s="957">
        <f t="shared" si="4"/>
        <v>1496.002</v>
      </c>
    </row>
    <row r="1758" spans="2:11">
      <c r="B1758" s="957" t="s">
        <v>2008</v>
      </c>
      <c r="D1758" s="957" t="s">
        <v>2680</v>
      </c>
      <c r="E1758" s="957" t="s">
        <v>2679</v>
      </c>
      <c r="F1758" s="957" t="s">
        <v>1955</v>
      </c>
      <c r="G1758" s="957" t="s">
        <v>2004</v>
      </c>
      <c r="I1758" s="957">
        <v>37.5</v>
      </c>
      <c r="J1758" s="957">
        <v>0</v>
      </c>
      <c r="K1758" s="957">
        <f t="shared" si="4"/>
        <v>0</v>
      </c>
    </row>
    <row r="1759" spans="2:11">
      <c r="B1759" s="957" t="s">
        <v>2009</v>
      </c>
      <c r="D1759" s="957" t="s">
        <v>2680</v>
      </c>
      <c r="E1759" s="957" t="s">
        <v>2679</v>
      </c>
      <c r="F1759" s="957" t="s">
        <v>1955</v>
      </c>
      <c r="G1759" s="957" t="s">
        <v>2004</v>
      </c>
      <c r="I1759" s="957">
        <v>26.67</v>
      </c>
      <c r="J1759" s="957">
        <v>4000</v>
      </c>
      <c r="K1759" s="957">
        <f t="shared" si="4"/>
        <v>4000</v>
      </c>
    </row>
    <row r="1760" spans="2:11">
      <c r="B1760" s="957" t="s">
        <v>2010</v>
      </c>
      <c r="D1760" s="957" t="s">
        <v>2680</v>
      </c>
      <c r="E1760" s="957" t="s">
        <v>2679</v>
      </c>
      <c r="F1760" s="957" t="s">
        <v>1955</v>
      </c>
      <c r="G1760" s="957" t="s">
        <v>2004</v>
      </c>
      <c r="I1760" s="957">
        <v>25</v>
      </c>
      <c r="J1760" s="957">
        <v>3000</v>
      </c>
      <c r="K1760" s="957">
        <f t="shared" si="4"/>
        <v>3000</v>
      </c>
    </row>
    <row r="1761" spans="2:11">
      <c r="B1761" s="957" t="s">
        <v>2011</v>
      </c>
      <c r="D1761" s="957" t="s">
        <v>2680</v>
      </c>
      <c r="E1761" s="957" t="s">
        <v>2679</v>
      </c>
      <c r="F1761" s="957" t="s">
        <v>1967</v>
      </c>
      <c r="G1761" s="957" t="s">
        <v>2007</v>
      </c>
      <c r="I1761" s="957">
        <v>49</v>
      </c>
      <c r="J1761" s="957">
        <v>2047.7670000000001</v>
      </c>
      <c r="K1761" s="957">
        <f t="shared" si="4"/>
        <v>2047.7670000000001</v>
      </c>
    </row>
    <row r="1762" spans="2:11">
      <c r="B1762" s="957" t="s">
        <v>2012</v>
      </c>
      <c r="D1762" s="957" t="s">
        <v>2680</v>
      </c>
      <c r="E1762" s="957" t="s">
        <v>2679</v>
      </c>
      <c r="F1762" s="957" t="s">
        <v>1955</v>
      </c>
      <c r="G1762" s="957" t="s">
        <v>2013</v>
      </c>
      <c r="I1762" s="957">
        <v>92.54</v>
      </c>
      <c r="J1762" s="957">
        <v>982949.821</v>
      </c>
      <c r="K1762" s="957">
        <f t="shared" si="4"/>
        <v>982949.821</v>
      </c>
    </row>
    <row r="1763" spans="2:11">
      <c r="B1763" s="957" t="s">
        <v>2014</v>
      </c>
      <c r="D1763" s="957" t="s">
        <v>2680</v>
      </c>
      <c r="E1763" s="957" t="s">
        <v>2679</v>
      </c>
      <c r="F1763" s="957" t="s">
        <v>1955</v>
      </c>
      <c r="G1763" s="957" t="s">
        <v>2015</v>
      </c>
      <c r="I1763" s="957">
        <v>100</v>
      </c>
      <c r="J1763" s="957">
        <v>300</v>
      </c>
      <c r="K1763" s="957">
        <f t="shared" si="4"/>
        <v>300</v>
      </c>
    </row>
    <row r="1764" spans="2:11">
      <c r="B1764" s="957" t="s">
        <v>2016</v>
      </c>
      <c r="D1764" s="957" t="s">
        <v>2680</v>
      </c>
      <c r="E1764" s="957" t="s">
        <v>2679</v>
      </c>
      <c r="F1764" s="957" t="s">
        <v>1955</v>
      </c>
      <c r="G1764" s="957" t="s">
        <v>1995</v>
      </c>
      <c r="I1764" s="957">
        <v>95</v>
      </c>
      <c r="J1764" s="957">
        <v>14297.5</v>
      </c>
      <c r="K1764" s="957">
        <f t="shared" si="4"/>
        <v>14297.5</v>
      </c>
    </row>
    <row r="1765" spans="2:11">
      <c r="B1765" s="957" t="s">
        <v>2017</v>
      </c>
      <c r="D1765" s="957" t="s">
        <v>2680</v>
      </c>
      <c r="E1765" s="957" t="s">
        <v>2679</v>
      </c>
      <c r="F1765" s="957" t="s">
        <v>1955</v>
      </c>
      <c r="G1765" s="957" t="s">
        <v>1995</v>
      </c>
      <c r="I1765" s="957">
        <v>39.22</v>
      </c>
      <c r="J1765" s="957">
        <v>40000</v>
      </c>
      <c r="K1765" s="957">
        <f t="shared" si="4"/>
        <v>40000</v>
      </c>
    </row>
    <row r="1766" spans="2:11">
      <c r="B1766" s="978" t="s">
        <v>2018</v>
      </c>
      <c r="C1766" s="978"/>
      <c r="D1766" s="957" t="s">
        <v>2680</v>
      </c>
      <c r="E1766" s="978" t="s">
        <v>1933</v>
      </c>
      <c r="F1766" s="978" t="s">
        <v>1984</v>
      </c>
      <c r="G1766" s="978" t="s">
        <v>2007</v>
      </c>
      <c r="H1766" s="978"/>
      <c r="I1766" s="978">
        <v>90</v>
      </c>
      <c r="J1766" s="978">
        <v>3248.1439999999998</v>
      </c>
      <c r="K1766" s="978">
        <f t="shared" si="4"/>
        <v>3248.1439999999998</v>
      </c>
    </row>
    <row r="1767" spans="2:11">
      <c r="B1767" s="977" t="s">
        <v>2678</v>
      </c>
      <c r="C1767" s="977"/>
      <c r="D1767" s="976"/>
      <c r="E1767" s="977"/>
      <c r="F1767" s="977"/>
      <c r="G1767" s="976"/>
      <c r="H1767" s="977"/>
      <c r="I1767" s="977"/>
      <c r="J1767" s="977">
        <f>SUM(J1725:J1766)</f>
        <v>4860750.6830000002</v>
      </c>
      <c r="K1767" s="977">
        <f>SUM(K1725:K1766)</f>
        <v>5236290.4984585373</v>
      </c>
    </row>
    <row r="1770" spans="2:11">
      <c r="B1770" s="971" t="s">
        <v>2748</v>
      </c>
    </row>
    <row r="1771" spans="2:11" hidden="1" outlineLevel="1"/>
    <row r="1772" spans="2:11" ht="16" hidden="1" outlineLevel="1">
      <c r="B1772" s="969" t="s">
        <v>1839</v>
      </c>
      <c r="C1772" s="969" t="s">
        <v>1838</v>
      </c>
      <c r="D1772" s="970" t="s">
        <v>1837</v>
      </c>
      <c r="E1772" s="969" t="s">
        <v>1836</v>
      </c>
      <c r="F1772" s="969" t="s">
        <v>1835</v>
      </c>
      <c r="G1772" s="969" t="s">
        <v>1834</v>
      </c>
      <c r="H1772" s="969" t="s">
        <v>1833</v>
      </c>
      <c r="I1772" s="969" t="s">
        <v>1832</v>
      </c>
      <c r="J1772" s="969" t="s">
        <v>1785</v>
      </c>
      <c r="K1772" s="969" t="s">
        <v>1831</v>
      </c>
    </row>
    <row r="1773" spans="2:11" ht="16" hidden="1" outlineLevel="1">
      <c r="B1773" s="968" t="s">
        <v>1830</v>
      </c>
      <c r="C1773" s="967">
        <v>16050</v>
      </c>
      <c r="D1773" s="967" t="s">
        <v>2229</v>
      </c>
      <c r="E1773" s="974">
        <v>373622</v>
      </c>
      <c r="F1773" s="974">
        <v>6127787200</v>
      </c>
      <c r="G1773" s="974">
        <v>16700</v>
      </c>
      <c r="H1773" s="974">
        <v>16750</v>
      </c>
      <c r="I1773" s="974">
        <v>16000</v>
      </c>
      <c r="J1773" s="974">
        <v>1045631</v>
      </c>
      <c r="K1773" s="974">
        <v>65148322</v>
      </c>
    </row>
    <row r="1774" spans="2:11" ht="16" hidden="1" outlineLevel="1">
      <c r="B1774" s="968" t="s">
        <v>1828</v>
      </c>
      <c r="C1774" s="967">
        <v>16400</v>
      </c>
      <c r="D1774" s="967" t="s">
        <v>2206</v>
      </c>
      <c r="E1774" s="974">
        <v>471811</v>
      </c>
      <c r="F1774" s="974">
        <v>7696651600</v>
      </c>
      <c r="G1774" s="974">
        <v>15950</v>
      </c>
      <c r="H1774" s="974">
        <v>16650</v>
      </c>
      <c r="I1774" s="974">
        <v>15800</v>
      </c>
      <c r="J1774" s="974">
        <v>1068432</v>
      </c>
      <c r="K1774" s="974">
        <v>65148322</v>
      </c>
    </row>
    <row r="1775" spans="2:11" ht="16" hidden="1" outlineLevel="1">
      <c r="B1775" s="968" t="s">
        <v>1827</v>
      </c>
      <c r="C1775" s="967">
        <v>15850</v>
      </c>
      <c r="D1775" s="967" t="s">
        <v>2212</v>
      </c>
      <c r="E1775" s="974">
        <v>214825</v>
      </c>
      <c r="F1775" s="974">
        <v>3371615750</v>
      </c>
      <c r="G1775" s="974">
        <v>15400</v>
      </c>
      <c r="H1775" s="974">
        <v>16000</v>
      </c>
      <c r="I1775" s="974">
        <v>15350</v>
      </c>
      <c r="J1775" s="974">
        <v>1032601</v>
      </c>
      <c r="K1775" s="974">
        <v>65148322</v>
      </c>
    </row>
    <row r="1776" spans="2:11" ht="16" hidden="1" outlineLevel="1">
      <c r="B1776" s="968" t="s">
        <v>1825</v>
      </c>
      <c r="C1776" s="967">
        <v>15750</v>
      </c>
      <c r="D1776" s="967" t="s">
        <v>2293</v>
      </c>
      <c r="E1776" s="974">
        <v>234325</v>
      </c>
      <c r="F1776" s="974">
        <v>3702014250</v>
      </c>
      <c r="G1776" s="974">
        <v>16200</v>
      </c>
      <c r="H1776" s="974">
        <v>16200</v>
      </c>
      <c r="I1776" s="974">
        <v>15600</v>
      </c>
      <c r="J1776" s="974">
        <v>1026086</v>
      </c>
      <c r="K1776" s="974">
        <v>65148322</v>
      </c>
    </row>
    <row r="1777" spans="2:11" ht="16" hidden="1" outlineLevel="1">
      <c r="B1777" s="968" t="s">
        <v>1823</v>
      </c>
      <c r="C1777" s="967">
        <v>16000</v>
      </c>
      <c r="D1777" s="967" t="s">
        <v>2206</v>
      </c>
      <c r="E1777" s="974">
        <v>314268</v>
      </c>
      <c r="F1777" s="974">
        <v>5013562500</v>
      </c>
      <c r="G1777" s="974">
        <v>15700</v>
      </c>
      <c r="H1777" s="974">
        <v>16150</v>
      </c>
      <c r="I1777" s="974">
        <v>15550</v>
      </c>
      <c r="J1777" s="974">
        <v>1042373</v>
      </c>
      <c r="K1777" s="974">
        <v>65148322</v>
      </c>
    </row>
    <row r="1778" spans="2:11" ht="16" hidden="1" outlineLevel="1">
      <c r="B1778" s="968" t="s">
        <v>1821</v>
      </c>
      <c r="C1778" s="967">
        <v>15450</v>
      </c>
      <c r="D1778" s="967" t="s">
        <v>2283</v>
      </c>
      <c r="E1778" s="974">
        <v>218182</v>
      </c>
      <c r="F1778" s="974">
        <v>3339556400</v>
      </c>
      <c r="G1778" s="974">
        <v>15400</v>
      </c>
      <c r="H1778" s="974">
        <v>15650</v>
      </c>
      <c r="I1778" s="974">
        <v>14900</v>
      </c>
      <c r="J1778" s="974">
        <v>1006542</v>
      </c>
      <c r="K1778" s="974">
        <v>65148322</v>
      </c>
    </row>
    <row r="1779" spans="2:11" ht="16" hidden="1" outlineLevel="1">
      <c r="B1779" s="968" t="s">
        <v>1819</v>
      </c>
      <c r="C1779" s="967">
        <v>15000</v>
      </c>
      <c r="D1779" s="967" t="s">
        <v>2218</v>
      </c>
      <c r="E1779" s="974">
        <v>352218</v>
      </c>
      <c r="F1779" s="974">
        <v>5573734000</v>
      </c>
      <c r="G1779" s="974">
        <v>16100</v>
      </c>
      <c r="H1779" s="974">
        <v>16600</v>
      </c>
      <c r="I1779" s="974">
        <v>14800</v>
      </c>
      <c r="J1779" s="974">
        <v>977225</v>
      </c>
      <c r="K1779" s="974">
        <v>65148322</v>
      </c>
    </row>
    <row r="1780" spans="2:11" ht="16" hidden="1" outlineLevel="1">
      <c r="B1780" s="968" t="s">
        <v>1817</v>
      </c>
      <c r="C1780" s="967">
        <v>16150</v>
      </c>
      <c r="D1780" s="967" t="s">
        <v>2226</v>
      </c>
      <c r="E1780" s="974">
        <v>304800</v>
      </c>
      <c r="F1780" s="974">
        <v>4921904000</v>
      </c>
      <c r="G1780" s="974">
        <v>16400</v>
      </c>
      <c r="H1780" s="974">
        <v>16500</v>
      </c>
      <c r="I1780" s="974">
        <v>15950</v>
      </c>
      <c r="J1780" s="974">
        <v>1052145</v>
      </c>
      <c r="K1780" s="974">
        <v>65148322</v>
      </c>
    </row>
    <row r="1781" spans="2:11" ht="16" hidden="1" outlineLevel="1">
      <c r="B1781" s="968" t="s">
        <v>1815</v>
      </c>
      <c r="C1781" s="967">
        <v>16200</v>
      </c>
      <c r="D1781" s="967" t="s">
        <v>2222</v>
      </c>
      <c r="E1781" s="974">
        <v>268128</v>
      </c>
      <c r="F1781" s="974">
        <v>4375809600</v>
      </c>
      <c r="G1781" s="974">
        <v>16250</v>
      </c>
      <c r="H1781" s="974">
        <v>16600</v>
      </c>
      <c r="I1781" s="974">
        <v>16050</v>
      </c>
      <c r="J1781" s="974">
        <v>1055403</v>
      </c>
      <c r="K1781" s="974">
        <v>65148322</v>
      </c>
    </row>
    <row r="1782" spans="2:11" ht="16" hidden="1" outlineLevel="1">
      <c r="B1782" s="968" t="s">
        <v>1813</v>
      </c>
      <c r="C1782" s="967">
        <v>16800</v>
      </c>
      <c r="D1782" s="967" t="s">
        <v>2300</v>
      </c>
      <c r="E1782" s="974">
        <v>487076</v>
      </c>
      <c r="F1782" s="974">
        <v>7933488500</v>
      </c>
      <c r="G1782" s="974">
        <v>15750</v>
      </c>
      <c r="H1782" s="974">
        <v>16800</v>
      </c>
      <c r="I1782" s="974">
        <v>15700</v>
      </c>
      <c r="J1782" s="974">
        <v>1094492</v>
      </c>
      <c r="K1782" s="974">
        <v>65148322</v>
      </c>
    </row>
    <row r="1783" spans="2:11" ht="16" hidden="1" outlineLevel="1">
      <c r="B1783" s="968" t="s">
        <v>1812</v>
      </c>
      <c r="C1783" s="967">
        <v>15650</v>
      </c>
      <c r="D1783" s="967" t="s">
        <v>2224</v>
      </c>
      <c r="E1783" s="974">
        <v>227228</v>
      </c>
      <c r="F1783" s="974">
        <v>3525311400</v>
      </c>
      <c r="G1783" s="974">
        <v>16000</v>
      </c>
      <c r="H1783" s="974">
        <v>16000</v>
      </c>
      <c r="I1783" s="974">
        <v>15350</v>
      </c>
      <c r="J1783" s="974">
        <v>1019571</v>
      </c>
      <c r="K1783" s="974">
        <v>65148322</v>
      </c>
    </row>
    <row r="1784" spans="2:11" ht="16" hidden="1" outlineLevel="1">
      <c r="B1784" s="968" t="s">
        <v>1810</v>
      </c>
      <c r="C1784" s="967">
        <v>15850</v>
      </c>
      <c r="D1784" s="967" t="s">
        <v>2219</v>
      </c>
      <c r="E1784" s="974">
        <v>276788</v>
      </c>
      <c r="F1784" s="974">
        <v>4396535800</v>
      </c>
      <c r="G1784" s="974">
        <v>16050</v>
      </c>
      <c r="H1784" s="974">
        <v>16200</v>
      </c>
      <c r="I1784" s="974">
        <v>15700</v>
      </c>
      <c r="J1784" s="974">
        <v>1032601</v>
      </c>
      <c r="K1784" s="974">
        <v>65148322</v>
      </c>
    </row>
    <row r="1785" spans="2:11" ht="16" hidden="1" outlineLevel="1">
      <c r="B1785" s="968" t="s">
        <v>1809</v>
      </c>
      <c r="C1785" s="967">
        <v>15700</v>
      </c>
      <c r="D1785" s="967" t="s">
        <v>2230</v>
      </c>
      <c r="E1785" s="974">
        <v>314014</v>
      </c>
      <c r="F1785" s="974">
        <v>4917679200</v>
      </c>
      <c r="G1785" s="974">
        <v>15200</v>
      </c>
      <c r="H1785" s="974">
        <v>16150</v>
      </c>
      <c r="I1785" s="974">
        <v>15200</v>
      </c>
      <c r="J1785" s="974">
        <v>1022829</v>
      </c>
      <c r="K1785" s="974">
        <v>65148322</v>
      </c>
    </row>
    <row r="1786" spans="2:11" ht="16" hidden="1" outlineLevel="1">
      <c r="B1786" s="968" t="s">
        <v>1807</v>
      </c>
      <c r="C1786" s="967">
        <v>15350</v>
      </c>
      <c r="D1786" s="967" t="s">
        <v>2232</v>
      </c>
      <c r="E1786" s="974">
        <v>439005</v>
      </c>
      <c r="F1786" s="974">
        <v>6782433750</v>
      </c>
      <c r="G1786" s="974">
        <v>15600</v>
      </c>
      <c r="H1786" s="974">
        <v>15700</v>
      </c>
      <c r="I1786" s="974">
        <v>15200</v>
      </c>
      <c r="J1786" s="974">
        <v>1000027</v>
      </c>
      <c r="K1786" s="974">
        <v>65148322</v>
      </c>
    </row>
    <row r="1787" spans="2:11" ht="16" hidden="1" outlineLevel="1">
      <c r="B1787" s="968" t="s">
        <v>1805</v>
      </c>
      <c r="C1787" s="967">
        <v>15150</v>
      </c>
      <c r="D1787" s="967" t="s">
        <v>2243</v>
      </c>
      <c r="E1787" s="974">
        <v>895780</v>
      </c>
      <c r="F1787" s="974">
        <v>13514514500</v>
      </c>
      <c r="G1787" s="974">
        <v>14650</v>
      </c>
      <c r="H1787" s="974">
        <v>15650</v>
      </c>
      <c r="I1787" s="974">
        <v>14650</v>
      </c>
      <c r="J1787" s="974">
        <v>986997</v>
      </c>
      <c r="K1787" s="974">
        <v>65148322</v>
      </c>
    </row>
    <row r="1788" spans="2:11" ht="16" hidden="1" outlineLevel="1">
      <c r="B1788" s="968" t="s">
        <v>1803</v>
      </c>
      <c r="C1788" s="967">
        <v>14850</v>
      </c>
      <c r="D1788" s="967" t="s">
        <v>2299</v>
      </c>
      <c r="E1788" s="974">
        <v>778085</v>
      </c>
      <c r="F1788" s="974">
        <v>11240276450</v>
      </c>
      <c r="G1788" s="974">
        <v>13450</v>
      </c>
      <c r="H1788" s="974">
        <v>14850</v>
      </c>
      <c r="I1788" s="974">
        <v>13350</v>
      </c>
      <c r="J1788" s="974">
        <v>967453</v>
      </c>
      <c r="K1788" s="974">
        <v>65148322</v>
      </c>
    </row>
    <row r="1789" spans="2:11" ht="16" hidden="1" outlineLevel="1">
      <c r="B1789" s="968" t="s">
        <v>1801</v>
      </c>
      <c r="C1789" s="967">
        <v>12950</v>
      </c>
      <c r="D1789" s="967" t="s">
        <v>2207</v>
      </c>
      <c r="E1789" s="974">
        <v>498438</v>
      </c>
      <c r="F1789" s="974">
        <v>6662478350</v>
      </c>
      <c r="G1789" s="974">
        <v>13650</v>
      </c>
      <c r="H1789" s="974">
        <v>13800</v>
      </c>
      <c r="I1789" s="974">
        <v>12950</v>
      </c>
      <c r="J1789" s="974">
        <v>843671</v>
      </c>
      <c r="K1789" s="974">
        <v>65148322</v>
      </c>
    </row>
    <row r="1790" spans="2:11" ht="16" hidden="1" outlineLevel="1">
      <c r="B1790" s="968" t="s">
        <v>1799</v>
      </c>
      <c r="C1790" s="967">
        <v>12900</v>
      </c>
      <c r="D1790" s="967" t="s">
        <v>2298</v>
      </c>
      <c r="E1790" s="974">
        <v>527786</v>
      </c>
      <c r="F1790" s="974">
        <v>7088630900</v>
      </c>
      <c r="G1790" s="974">
        <v>14450</v>
      </c>
      <c r="H1790" s="974">
        <v>14750</v>
      </c>
      <c r="I1790" s="974">
        <v>12750</v>
      </c>
      <c r="J1790" s="974">
        <v>840413</v>
      </c>
      <c r="K1790" s="974">
        <v>65148322</v>
      </c>
    </row>
    <row r="1791" spans="2:11" ht="16" hidden="1" outlineLevel="1">
      <c r="B1791" s="968" t="s">
        <v>1797</v>
      </c>
      <c r="C1791" s="967">
        <v>14300</v>
      </c>
      <c r="D1791" s="967" t="s">
        <v>2297</v>
      </c>
      <c r="E1791" s="974">
        <v>402076</v>
      </c>
      <c r="F1791" s="974">
        <v>5751317650</v>
      </c>
      <c r="G1791" s="974">
        <v>14850</v>
      </c>
      <c r="H1791" s="974">
        <v>14900</v>
      </c>
      <c r="I1791" s="974">
        <v>13900</v>
      </c>
      <c r="J1791" s="974">
        <v>931621</v>
      </c>
      <c r="K1791" s="974">
        <v>65148322</v>
      </c>
    </row>
    <row r="1792" spans="2:11" ht="16" hidden="1" outlineLevel="1">
      <c r="B1792" s="968" t="s">
        <v>1795</v>
      </c>
      <c r="C1792" s="967">
        <v>15950</v>
      </c>
      <c r="D1792" s="967" t="s">
        <v>2221</v>
      </c>
      <c r="E1792" s="974">
        <v>317082</v>
      </c>
      <c r="F1792" s="974">
        <v>5091665150</v>
      </c>
      <c r="G1792" s="974">
        <v>16000</v>
      </c>
      <c r="H1792" s="974">
        <v>16500</v>
      </c>
      <c r="I1792" s="974">
        <v>15700</v>
      </c>
      <c r="J1792" s="974">
        <v>1039116</v>
      </c>
      <c r="K1792" s="974">
        <v>65148322</v>
      </c>
    </row>
    <row r="1793" spans="2:11" ht="16" hidden="1" outlineLevel="1">
      <c r="B1793" s="968" t="s">
        <v>1793</v>
      </c>
      <c r="C1793" s="967">
        <v>15950</v>
      </c>
      <c r="D1793" s="967" t="s">
        <v>2283</v>
      </c>
      <c r="E1793" s="974">
        <v>403477</v>
      </c>
      <c r="F1793" s="974">
        <v>6289355400</v>
      </c>
      <c r="G1793" s="974">
        <v>15250</v>
      </c>
      <c r="H1793" s="974">
        <v>16100</v>
      </c>
      <c r="I1793" s="974">
        <v>15200</v>
      </c>
      <c r="J1793" s="974">
        <v>1039116</v>
      </c>
      <c r="K1793" s="974">
        <v>65148322</v>
      </c>
    </row>
    <row r="1794" spans="2:11" ht="16" hidden="1" outlineLevel="1">
      <c r="B1794" s="968" t="s">
        <v>1791</v>
      </c>
      <c r="C1794" s="967">
        <v>15500</v>
      </c>
      <c r="D1794" s="967" t="s">
        <v>2212</v>
      </c>
      <c r="E1794" s="967">
        <v>268081</v>
      </c>
      <c r="F1794" s="967">
        <v>4231818350</v>
      </c>
      <c r="G1794" s="967">
        <v>15800</v>
      </c>
      <c r="H1794" s="967">
        <v>16100</v>
      </c>
      <c r="I1794" s="967">
        <v>15500</v>
      </c>
      <c r="J1794" s="967">
        <v>1009799</v>
      </c>
      <c r="K1794" s="967">
        <v>65148322</v>
      </c>
    </row>
    <row r="1795" spans="2:11" s="1258" customFormat="1" ht="16" hidden="1" outlineLevel="1">
      <c r="B1795" s="968" t="s">
        <v>2607</v>
      </c>
      <c r="C1795" s="967">
        <v>15400</v>
      </c>
      <c r="D1795" s="967" t="s">
        <v>2216</v>
      </c>
      <c r="E1795" s="967">
        <v>607394</v>
      </c>
      <c r="F1795" s="967">
        <v>9352106500</v>
      </c>
      <c r="G1795" s="967">
        <v>15050</v>
      </c>
      <c r="H1795" s="967">
        <v>15950</v>
      </c>
      <c r="I1795" s="967">
        <v>15000</v>
      </c>
      <c r="J1795" s="967">
        <v>1003284</v>
      </c>
      <c r="K1795" s="967">
        <v>65148322</v>
      </c>
    </row>
    <row r="1796" spans="2:11" s="1258" customFormat="1" ht="16" hidden="1" outlineLevel="1">
      <c r="B1796" s="968" t="s">
        <v>2605</v>
      </c>
      <c r="C1796" s="967">
        <v>14550</v>
      </c>
      <c r="D1796" s="967" t="s">
        <v>2747</v>
      </c>
      <c r="E1796" s="967">
        <v>715709</v>
      </c>
      <c r="F1796" s="967">
        <v>11260467450</v>
      </c>
      <c r="G1796" s="967">
        <v>17450</v>
      </c>
      <c r="H1796" s="967">
        <v>17800</v>
      </c>
      <c r="I1796" s="967">
        <v>14550</v>
      </c>
      <c r="J1796" s="967">
        <v>947908</v>
      </c>
      <c r="K1796" s="967">
        <v>65148322</v>
      </c>
    </row>
    <row r="1797" spans="2:11" s="1258" customFormat="1" ht="16" hidden="1" outlineLevel="1">
      <c r="B1797" s="968" t="s">
        <v>2603</v>
      </c>
      <c r="C1797" s="967">
        <v>17100</v>
      </c>
      <c r="D1797" s="967" t="s">
        <v>2690</v>
      </c>
      <c r="E1797" s="967">
        <v>303682</v>
      </c>
      <c r="F1797" s="967">
        <v>5334422150</v>
      </c>
      <c r="G1797" s="967">
        <v>17500</v>
      </c>
      <c r="H1797" s="967">
        <v>18000</v>
      </c>
      <c r="I1797" s="967">
        <v>17100</v>
      </c>
      <c r="J1797" s="967">
        <v>1114036</v>
      </c>
      <c r="K1797" s="967">
        <v>65148322</v>
      </c>
    </row>
    <row r="1798" spans="2:11" s="1258" customFormat="1" ht="16" hidden="1" outlineLevel="1">
      <c r="B1798" s="968" t="s">
        <v>2601</v>
      </c>
      <c r="C1798" s="967">
        <v>18550</v>
      </c>
      <c r="D1798" s="967" t="s">
        <v>2688</v>
      </c>
      <c r="E1798" s="967">
        <v>329095</v>
      </c>
      <c r="F1798" s="967">
        <v>6229260450</v>
      </c>
      <c r="G1798" s="967">
        <v>19150</v>
      </c>
      <c r="H1798" s="967">
        <v>19500</v>
      </c>
      <c r="I1798" s="967">
        <v>18400</v>
      </c>
      <c r="J1798" s="967">
        <v>1208501</v>
      </c>
      <c r="K1798" s="967">
        <v>65148322</v>
      </c>
    </row>
    <row r="1799" spans="2:11" s="1258" customFormat="1" ht="16" hidden="1" outlineLevel="1">
      <c r="B1799" s="968" t="s">
        <v>2599</v>
      </c>
      <c r="C1799" s="967">
        <v>19750</v>
      </c>
      <c r="D1799" s="967" t="s">
        <v>2229</v>
      </c>
      <c r="E1799" s="967">
        <v>304015</v>
      </c>
      <c r="F1799" s="967">
        <v>6000566700</v>
      </c>
      <c r="G1799" s="967">
        <v>20200</v>
      </c>
      <c r="H1799" s="967">
        <v>20300</v>
      </c>
      <c r="I1799" s="967">
        <v>19550</v>
      </c>
      <c r="J1799" s="967">
        <v>1286679</v>
      </c>
      <c r="K1799" s="967">
        <v>65148322</v>
      </c>
    </row>
    <row r="1800" spans="2:11" s="1258" customFormat="1" ht="16" hidden="1" outlineLevel="1">
      <c r="B1800" s="968" t="s">
        <v>2598</v>
      </c>
      <c r="C1800" s="967">
        <v>20100</v>
      </c>
      <c r="D1800" s="967" t="s">
        <v>2212</v>
      </c>
      <c r="E1800" s="967">
        <v>148709</v>
      </c>
      <c r="F1800" s="967">
        <v>2958252750</v>
      </c>
      <c r="G1800" s="967">
        <v>20000</v>
      </c>
      <c r="H1800" s="967">
        <v>20150</v>
      </c>
      <c r="I1800" s="967">
        <v>19500</v>
      </c>
      <c r="J1800" s="967">
        <v>1309481</v>
      </c>
      <c r="K1800" s="967">
        <v>65148322</v>
      </c>
    </row>
    <row r="1801" spans="2:11" s="1258" customFormat="1" ht="16" hidden="1" outlineLevel="1">
      <c r="B1801" s="968" t="s">
        <v>2597</v>
      </c>
      <c r="C1801" s="967">
        <v>20000</v>
      </c>
      <c r="D1801" s="967" t="s">
        <v>2210</v>
      </c>
      <c r="E1801" s="967">
        <v>130908</v>
      </c>
      <c r="F1801" s="967">
        <v>2675872700</v>
      </c>
      <c r="G1801" s="967">
        <v>20500</v>
      </c>
      <c r="H1801" s="967">
        <v>20950</v>
      </c>
      <c r="I1801" s="967">
        <v>20000</v>
      </c>
      <c r="J1801" s="967">
        <v>1302966</v>
      </c>
      <c r="K1801" s="967">
        <v>65148322</v>
      </c>
    </row>
    <row r="1802" spans="2:11" s="1258" customFormat="1" ht="16" hidden="1" outlineLevel="1">
      <c r="B1802" s="968" t="s">
        <v>2596</v>
      </c>
      <c r="C1802" s="967">
        <v>20450</v>
      </c>
      <c r="D1802" s="967" t="s">
        <v>2282</v>
      </c>
      <c r="E1802" s="967">
        <v>153346</v>
      </c>
      <c r="F1802" s="967">
        <v>3118683400</v>
      </c>
      <c r="G1802" s="967">
        <v>20400</v>
      </c>
      <c r="H1802" s="967">
        <v>20650</v>
      </c>
      <c r="I1802" s="967">
        <v>20100</v>
      </c>
      <c r="J1802" s="967">
        <v>1332283</v>
      </c>
      <c r="K1802" s="967">
        <v>65148322</v>
      </c>
    </row>
    <row r="1803" spans="2:11" s="1258" customFormat="1" ht="16" hidden="1" outlineLevel="1">
      <c r="B1803" s="968" t="s">
        <v>2595</v>
      </c>
      <c r="C1803" s="967">
        <v>19800</v>
      </c>
      <c r="D1803" s="967" t="s">
        <v>2207</v>
      </c>
      <c r="E1803" s="967">
        <v>250712</v>
      </c>
      <c r="F1803" s="967">
        <v>5024563000</v>
      </c>
      <c r="G1803" s="967">
        <v>20450</v>
      </c>
      <c r="H1803" s="967">
        <v>20650</v>
      </c>
      <c r="I1803" s="967">
        <v>19300</v>
      </c>
      <c r="J1803" s="967">
        <v>1289937</v>
      </c>
      <c r="K1803" s="967">
        <v>65148322</v>
      </c>
    </row>
    <row r="1804" spans="2:11" s="1258" customFormat="1" ht="16" hidden="1" outlineLevel="1">
      <c r="B1804" s="968" t="s">
        <v>2594</v>
      </c>
      <c r="C1804" s="967">
        <v>19750</v>
      </c>
      <c r="D1804" s="967" t="s">
        <v>2661</v>
      </c>
      <c r="E1804" s="967">
        <v>245375</v>
      </c>
      <c r="F1804" s="967">
        <v>5085321050</v>
      </c>
      <c r="G1804" s="967">
        <v>21600</v>
      </c>
      <c r="H1804" s="967">
        <v>22000</v>
      </c>
      <c r="I1804" s="967">
        <v>19700</v>
      </c>
      <c r="J1804" s="967">
        <v>1286679</v>
      </c>
      <c r="K1804" s="967">
        <v>65148322</v>
      </c>
    </row>
    <row r="1805" spans="2:11" s="1258" customFormat="1" ht="16" hidden="1" outlineLevel="1">
      <c r="B1805" s="968" t="s">
        <v>2592</v>
      </c>
      <c r="C1805" s="967">
        <v>21850</v>
      </c>
      <c r="D1805" s="967" t="s">
        <v>2213</v>
      </c>
      <c r="E1805" s="967">
        <v>149710</v>
      </c>
      <c r="F1805" s="967">
        <v>3269978600</v>
      </c>
      <c r="G1805" s="967">
        <v>21800</v>
      </c>
      <c r="H1805" s="967">
        <v>22150</v>
      </c>
      <c r="I1805" s="967">
        <v>21500</v>
      </c>
      <c r="J1805" s="967">
        <v>1423491</v>
      </c>
      <c r="K1805" s="967">
        <v>65148322</v>
      </c>
    </row>
    <row r="1806" spans="2:11" s="1258" customFormat="1" ht="16" hidden="1" outlineLevel="1">
      <c r="B1806" s="968" t="s">
        <v>2591</v>
      </c>
      <c r="C1806" s="967">
        <v>21600</v>
      </c>
      <c r="D1806" s="967" t="s">
        <v>2247</v>
      </c>
      <c r="E1806" s="967">
        <v>265608</v>
      </c>
      <c r="F1806" s="967">
        <v>5877058700</v>
      </c>
      <c r="G1806" s="967">
        <v>23000</v>
      </c>
      <c r="H1806" s="967">
        <v>23050</v>
      </c>
      <c r="I1806" s="967">
        <v>21600</v>
      </c>
      <c r="J1806" s="967">
        <v>1407204</v>
      </c>
      <c r="K1806" s="967">
        <v>65148322</v>
      </c>
    </row>
    <row r="1807" spans="2:11" s="1258" customFormat="1" ht="16" hidden="1" outlineLevel="1">
      <c r="B1807" s="968" t="s">
        <v>2590</v>
      </c>
      <c r="C1807" s="967">
        <v>22700</v>
      </c>
      <c r="D1807" s="967" t="s">
        <v>2246</v>
      </c>
      <c r="E1807" s="967">
        <v>200430</v>
      </c>
      <c r="F1807" s="967">
        <v>4518425000</v>
      </c>
      <c r="G1807" s="967">
        <v>22400</v>
      </c>
      <c r="H1807" s="967">
        <v>22750</v>
      </c>
      <c r="I1807" s="967">
        <v>22350</v>
      </c>
      <c r="J1807" s="967">
        <v>1478867</v>
      </c>
      <c r="K1807" s="967">
        <v>65148322</v>
      </c>
    </row>
    <row r="1808" spans="2:11" s="1258" customFormat="1" ht="16" hidden="1" outlineLevel="1">
      <c r="B1808" s="968" t="s">
        <v>2589</v>
      </c>
      <c r="C1808" s="967">
        <v>21800</v>
      </c>
      <c r="D1808" s="967" t="s">
        <v>2690</v>
      </c>
      <c r="E1808" s="967">
        <v>284257</v>
      </c>
      <c r="F1808" s="967">
        <v>6345145600</v>
      </c>
      <c r="G1808" s="967">
        <v>23000</v>
      </c>
      <c r="H1808" s="967">
        <v>23150</v>
      </c>
      <c r="I1808" s="967">
        <v>21350</v>
      </c>
      <c r="J1808" s="967">
        <v>1420233</v>
      </c>
      <c r="K1808" s="967">
        <v>65148322</v>
      </c>
    </row>
    <row r="1809" spans="2:11" s="1258" customFormat="1" ht="16" hidden="1" outlineLevel="1">
      <c r="B1809" s="968" t="s">
        <v>2588</v>
      </c>
      <c r="C1809" s="967">
        <v>23250</v>
      </c>
      <c r="D1809" s="967" t="s">
        <v>2693</v>
      </c>
      <c r="E1809" s="967">
        <v>245501</v>
      </c>
      <c r="F1809" s="967">
        <v>5820894750</v>
      </c>
      <c r="G1809" s="967">
        <v>23900</v>
      </c>
      <c r="H1809" s="967">
        <v>24100</v>
      </c>
      <c r="I1809" s="967">
        <v>23250</v>
      </c>
      <c r="J1809" s="967">
        <v>1514698</v>
      </c>
      <c r="K1809" s="967">
        <v>65148322</v>
      </c>
    </row>
    <row r="1810" spans="2:11" s="1258" customFormat="1" ht="16" hidden="1" outlineLevel="1">
      <c r="B1810" s="968" t="s">
        <v>2587</v>
      </c>
      <c r="C1810" s="967">
        <v>24300</v>
      </c>
      <c r="D1810" s="967" t="s">
        <v>2251</v>
      </c>
      <c r="E1810" s="967">
        <v>275822</v>
      </c>
      <c r="F1810" s="967">
        <v>6601728400</v>
      </c>
      <c r="G1810" s="967">
        <v>23500</v>
      </c>
      <c r="H1810" s="967">
        <v>24300</v>
      </c>
      <c r="I1810" s="967">
        <v>23450</v>
      </c>
      <c r="J1810" s="967">
        <v>1583104</v>
      </c>
      <c r="K1810" s="967">
        <v>65148322</v>
      </c>
    </row>
    <row r="1811" spans="2:11" s="1258" customFormat="1" ht="16" hidden="1" outlineLevel="1">
      <c r="B1811" s="968" t="s">
        <v>2586</v>
      </c>
      <c r="C1811" s="967">
        <v>23700</v>
      </c>
      <c r="D1811" s="967" t="s">
        <v>1814</v>
      </c>
      <c r="E1811" s="967">
        <v>462196</v>
      </c>
      <c r="F1811" s="967">
        <v>11023308100</v>
      </c>
      <c r="G1811" s="967">
        <v>24300</v>
      </c>
      <c r="H1811" s="967">
        <v>24500</v>
      </c>
      <c r="I1811" s="967">
        <v>23050</v>
      </c>
      <c r="J1811" s="967">
        <v>1544015</v>
      </c>
      <c r="K1811" s="967">
        <v>65148322</v>
      </c>
    </row>
    <row r="1812" spans="2:11" s="1258" customFormat="1" ht="16" hidden="1" outlineLevel="1">
      <c r="B1812" s="968" t="s">
        <v>2584</v>
      </c>
      <c r="C1812" s="967">
        <v>24200</v>
      </c>
      <c r="D1812" s="967" t="s">
        <v>2232</v>
      </c>
      <c r="E1812" s="967">
        <v>545418</v>
      </c>
      <c r="F1812" s="967">
        <v>13285282600</v>
      </c>
      <c r="G1812" s="967">
        <v>24000</v>
      </c>
      <c r="H1812" s="967">
        <v>24800</v>
      </c>
      <c r="I1812" s="967">
        <v>23750</v>
      </c>
      <c r="J1812" s="967">
        <v>1576589</v>
      </c>
      <c r="K1812" s="967">
        <v>65148322</v>
      </c>
    </row>
    <row r="1813" spans="2:11" s="1258" customFormat="1" ht="16" hidden="1" outlineLevel="1">
      <c r="B1813" s="968" t="s">
        <v>2583</v>
      </c>
      <c r="C1813" s="967">
        <v>24000</v>
      </c>
      <c r="D1813" s="967" t="s">
        <v>2246</v>
      </c>
      <c r="E1813" s="967">
        <v>534604</v>
      </c>
      <c r="F1813" s="967">
        <v>12725314850</v>
      </c>
      <c r="G1813" s="967">
        <v>23450</v>
      </c>
      <c r="H1813" s="967">
        <v>24150</v>
      </c>
      <c r="I1813" s="967">
        <v>23300</v>
      </c>
      <c r="J1813" s="967">
        <v>1563560</v>
      </c>
      <c r="K1813" s="967">
        <v>65148322</v>
      </c>
    </row>
    <row r="1814" spans="2:11" s="1258" customFormat="1" ht="16" hidden="1" outlineLevel="1">
      <c r="B1814" s="968" t="s">
        <v>2582</v>
      </c>
      <c r="C1814" s="967">
        <v>23100</v>
      </c>
      <c r="D1814" s="967" t="s">
        <v>2213</v>
      </c>
      <c r="E1814" s="967">
        <v>391216</v>
      </c>
      <c r="F1814" s="967">
        <v>8995216100</v>
      </c>
      <c r="G1814" s="967">
        <v>23200</v>
      </c>
      <c r="H1814" s="967">
        <v>23500</v>
      </c>
      <c r="I1814" s="967">
        <v>22650</v>
      </c>
      <c r="J1814" s="967">
        <v>1504926</v>
      </c>
      <c r="K1814" s="967">
        <v>65148322</v>
      </c>
    </row>
    <row r="1815" spans="2:11" s="1258" customFormat="1" ht="16" hidden="1" outlineLevel="1">
      <c r="B1815" s="968" t="s">
        <v>2581</v>
      </c>
      <c r="C1815" s="967">
        <v>22850</v>
      </c>
      <c r="D1815" s="967" t="s">
        <v>2232</v>
      </c>
      <c r="E1815" s="967">
        <v>337230</v>
      </c>
      <c r="F1815" s="967">
        <v>7546463000</v>
      </c>
      <c r="G1815" s="967">
        <v>22550</v>
      </c>
      <c r="H1815" s="967">
        <v>22950</v>
      </c>
      <c r="I1815" s="967">
        <v>21500</v>
      </c>
      <c r="J1815" s="967">
        <v>1488639</v>
      </c>
      <c r="K1815" s="967">
        <v>65148322</v>
      </c>
    </row>
    <row r="1816" spans="2:11" s="1258" customFormat="1" ht="16" hidden="1" outlineLevel="1">
      <c r="B1816" s="968" t="s">
        <v>2580</v>
      </c>
      <c r="C1816" s="967">
        <v>22650</v>
      </c>
      <c r="D1816" s="967" t="s">
        <v>2214</v>
      </c>
      <c r="E1816" s="967">
        <v>281450</v>
      </c>
      <c r="F1816" s="967">
        <v>6388770250</v>
      </c>
      <c r="G1816" s="967">
        <v>23400</v>
      </c>
      <c r="H1816" s="967">
        <v>23400</v>
      </c>
      <c r="I1816" s="967">
        <v>22050</v>
      </c>
      <c r="J1816" s="967">
        <v>1475609</v>
      </c>
      <c r="K1816" s="967">
        <v>65148322</v>
      </c>
    </row>
    <row r="1817" spans="2:11" s="1258" customFormat="1" ht="16" hidden="1" outlineLevel="1">
      <c r="B1817" s="968" t="s">
        <v>2578</v>
      </c>
      <c r="C1817" s="967">
        <v>22250</v>
      </c>
      <c r="D1817" s="967" t="s">
        <v>2224</v>
      </c>
      <c r="E1817" s="967">
        <v>602277</v>
      </c>
      <c r="F1817" s="967">
        <v>13744151550</v>
      </c>
      <c r="G1817" s="967">
        <v>22850</v>
      </c>
      <c r="H1817" s="967">
        <v>23500</v>
      </c>
      <c r="I1817" s="967">
        <v>22000</v>
      </c>
      <c r="J1817" s="967">
        <v>1449550</v>
      </c>
      <c r="K1817" s="967">
        <v>65148322</v>
      </c>
    </row>
    <row r="1818" spans="2:11" s="1258" customFormat="1" ht="16" hidden="1" outlineLevel="1">
      <c r="B1818" s="968" t="s">
        <v>2577</v>
      </c>
      <c r="C1818" s="967">
        <v>22450</v>
      </c>
      <c r="D1818" s="967" t="s">
        <v>2695</v>
      </c>
      <c r="E1818" s="967">
        <v>473762</v>
      </c>
      <c r="F1818" s="967">
        <v>10398433000</v>
      </c>
      <c r="G1818" s="967">
        <v>20850</v>
      </c>
      <c r="H1818" s="967">
        <v>22500</v>
      </c>
      <c r="I1818" s="967">
        <v>20850</v>
      </c>
      <c r="J1818" s="967">
        <v>1462580</v>
      </c>
      <c r="K1818" s="967">
        <v>65148322</v>
      </c>
    </row>
    <row r="1819" spans="2:11" s="1258" customFormat="1" ht="16" hidden="1" outlineLevel="1">
      <c r="B1819" s="968" t="s">
        <v>2576</v>
      </c>
      <c r="C1819" s="967">
        <v>20750</v>
      </c>
      <c r="D1819" s="967" t="s">
        <v>2248</v>
      </c>
      <c r="E1819" s="967">
        <v>412877</v>
      </c>
      <c r="F1819" s="967">
        <v>8783061900</v>
      </c>
      <c r="G1819" s="967">
        <v>21750</v>
      </c>
      <c r="H1819" s="967">
        <v>22350</v>
      </c>
      <c r="I1819" s="967">
        <v>20500</v>
      </c>
      <c r="J1819" s="967">
        <v>1351828</v>
      </c>
      <c r="K1819" s="967">
        <v>65148322</v>
      </c>
    </row>
    <row r="1820" spans="2:11" s="1258" customFormat="1" ht="16" hidden="1" outlineLevel="1">
      <c r="B1820" s="968" t="s">
        <v>2575</v>
      </c>
      <c r="C1820" s="967">
        <v>21750</v>
      </c>
      <c r="D1820" s="967" t="s">
        <v>2242</v>
      </c>
      <c r="E1820" s="967">
        <v>578937</v>
      </c>
      <c r="F1820" s="967">
        <v>13017843300</v>
      </c>
      <c r="G1820" s="967">
        <v>22550</v>
      </c>
      <c r="H1820" s="967">
        <v>23350</v>
      </c>
      <c r="I1820" s="967">
        <v>21750</v>
      </c>
      <c r="J1820" s="967">
        <v>1416976</v>
      </c>
      <c r="K1820" s="967">
        <v>65148322</v>
      </c>
    </row>
    <row r="1821" spans="2:11" s="1258" customFormat="1" ht="16" hidden="1" outlineLevel="1">
      <c r="B1821" s="968" t="s">
        <v>2574</v>
      </c>
      <c r="C1821" s="967">
        <v>23750</v>
      </c>
      <c r="D1821" s="967" t="s">
        <v>2236</v>
      </c>
      <c r="E1821" s="967">
        <v>934920</v>
      </c>
      <c r="F1821" s="967">
        <v>22070497200</v>
      </c>
      <c r="G1821" s="967">
        <v>22950</v>
      </c>
      <c r="H1821" s="967">
        <v>24250</v>
      </c>
      <c r="I1821" s="967">
        <v>22450</v>
      </c>
      <c r="J1821" s="967">
        <v>1547273</v>
      </c>
      <c r="K1821" s="967">
        <v>65148322</v>
      </c>
    </row>
    <row r="1822" spans="2:11" s="1258" customFormat="1" ht="16" hidden="1" outlineLevel="1">
      <c r="B1822" s="968" t="s">
        <v>2572</v>
      </c>
      <c r="C1822" s="967">
        <v>22750</v>
      </c>
      <c r="D1822" s="967" t="s">
        <v>2206</v>
      </c>
      <c r="E1822" s="967">
        <v>594307</v>
      </c>
      <c r="F1822" s="967">
        <v>13454560500</v>
      </c>
      <c r="G1822" s="967">
        <v>22150</v>
      </c>
      <c r="H1822" s="967">
        <v>23100</v>
      </c>
      <c r="I1822" s="967">
        <v>21900</v>
      </c>
      <c r="J1822" s="967">
        <v>1482124</v>
      </c>
      <c r="K1822" s="967">
        <v>65148322</v>
      </c>
    </row>
    <row r="1823" spans="2:11" s="1258" customFormat="1" ht="16" hidden="1" outlineLevel="1">
      <c r="B1823" s="968" t="s">
        <v>2571</v>
      </c>
      <c r="C1823" s="967">
        <v>22200</v>
      </c>
      <c r="D1823" s="967" t="s">
        <v>2638</v>
      </c>
      <c r="E1823" s="967">
        <v>548366</v>
      </c>
      <c r="F1823" s="967">
        <v>12234053000</v>
      </c>
      <c r="G1823" s="967">
        <v>22400</v>
      </c>
      <c r="H1823" s="967">
        <v>22850</v>
      </c>
      <c r="I1823" s="967">
        <v>21900</v>
      </c>
      <c r="J1823" s="967">
        <v>1446293</v>
      </c>
      <c r="K1823" s="967">
        <v>65148322</v>
      </c>
    </row>
    <row r="1824" spans="2:11" s="1258" customFormat="1" ht="16" hidden="1" outlineLevel="1">
      <c r="B1824" s="968" t="s">
        <v>2569</v>
      </c>
      <c r="C1824" s="967">
        <v>21400</v>
      </c>
      <c r="D1824" s="967" t="s">
        <v>2253</v>
      </c>
      <c r="E1824" s="967">
        <v>771000</v>
      </c>
      <c r="F1824" s="967">
        <v>17106647050</v>
      </c>
      <c r="G1824" s="967">
        <v>22650</v>
      </c>
      <c r="H1824" s="967">
        <v>22950</v>
      </c>
      <c r="I1824" s="967">
        <v>21400</v>
      </c>
      <c r="J1824" s="967">
        <v>1394174</v>
      </c>
      <c r="K1824" s="967">
        <v>65148322</v>
      </c>
    </row>
    <row r="1825" spans="2:11" s="1258" customFormat="1" ht="16" hidden="1" outlineLevel="1">
      <c r="B1825" s="968" t="s">
        <v>2567</v>
      </c>
      <c r="C1825" s="967">
        <v>22200</v>
      </c>
      <c r="D1825" s="967" t="s">
        <v>2746</v>
      </c>
      <c r="E1825" s="967">
        <v>1115172</v>
      </c>
      <c r="F1825" s="967">
        <v>23582738900</v>
      </c>
      <c r="G1825" s="967">
        <v>19000</v>
      </c>
      <c r="H1825" s="967">
        <v>22800</v>
      </c>
      <c r="I1825" s="967">
        <v>18900</v>
      </c>
      <c r="J1825" s="967">
        <v>1446293</v>
      </c>
      <c r="K1825" s="967">
        <v>65148322</v>
      </c>
    </row>
    <row r="1826" spans="2:11" s="1258" customFormat="1" ht="16" hidden="1" outlineLevel="1">
      <c r="B1826" s="968" t="s">
        <v>2566</v>
      </c>
      <c r="C1826" s="967">
        <v>20150</v>
      </c>
      <c r="D1826" s="967" t="s">
        <v>2282</v>
      </c>
      <c r="E1826" s="967">
        <v>769986</v>
      </c>
      <c r="F1826" s="967">
        <v>15693445350</v>
      </c>
      <c r="G1826" s="967">
        <v>20700</v>
      </c>
      <c r="H1826" s="967">
        <v>21150</v>
      </c>
      <c r="I1826" s="967">
        <v>19850</v>
      </c>
      <c r="J1826" s="967">
        <v>1312739</v>
      </c>
      <c r="K1826" s="967">
        <v>65148322</v>
      </c>
    </row>
    <row r="1827" spans="2:11" s="1258" customFormat="1" ht="16" hidden="1" outlineLevel="1">
      <c r="B1827" s="968" t="s">
        <v>2564</v>
      </c>
      <c r="C1827" s="967">
        <v>19500</v>
      </c>
      <c r="D1827" s="967" t="s">
        <v>2688</v>
      </c>
      <c r="E1827" s="967">
        <v>916703</v>
      </c>
      <c r="F1827" s="967">
        <v>17569543100</v>
      </c>
      <c r="G1827" s="967">
        <v>19900</v>
      </c>
      <c r="H1827" s="967">
        <v>20000</v>
      </c>
      <c r="I1827" s="967">
        <v>17750</v>
      </c>
      <c r="J1827" s="967">
        <v>1270392</v>
      </c>
      <c r="K1827" s="967">
        <v>65148322</v>
      </c>
    </row>
    <row r="1828" spans="2:11" s="1258" customFormat="1" ht="16" hidden="1" outlineLevel="1">
      <c r="B1828" s="968" t="s">
        <v>2563</v>
      </c>
      <c r="C1828" s="967">
        <v>20700</v>
      </c>
      <c r="D1828" s="967" t="s">
        <v>2745</v>
      </c>
      <c r="E1828" s="967">
        <v>881085</v>
      </c>
      <c r="F1828" s="967">
        <v>18153298250</v>
      </c>
      <c r="G1828" s="967">
        <v>22000</v>
      </c>
      <c r="H1828" s="967">
        <v>22600</v>
      </c>
      <c r="I1828" s="967">
        <v>19100</v>
      </c>
      <c r="J1828" s="967">
        <v>1348570</v>
      </c>
      <c r="K1828" s="967">
        <v>65148322</v>
      </c>
    </row>
    <row r="1829" spans="2:11" s="1258" customFormat="1" ht="16" hidden="1" outlineLevel="1">
      <c r="B1829" s="968" t="s">
        <v>2562</v>
      </c>
      <c r="C1829" s="967">
        <v>22450</v>
      </c>
      <c r="D1829" s="967" t="s">
        <v>2280</v>
      </c>
      <c r="E1829" s="967">
        <v>564741</v>
      </c>
      <c r="F1829" s="967">
        <v>12421795000</v>
      </c>
      <c r="G1829" s="967">
        <v>21200</v>
      </c>
      <c r="H1829" s="967">
        <v>22900</v>
      </c>
      <c r="I1829" s="967">
        <v>21150</v>
      </c>
      <c r="J1829" s="967">
        <v>1462580</v>
      </c>
      <c r="K1829" s="967">
        <v>65148322</v>
      </c>
    </row>
    <row r="1830" spans="2:11" s="1258" customFormat="1" ht="16" hidden="1" outlineLevel="1">
      <c r="B1830" s="968" t="s">
        <v>2561</v>
      </c>
      <c r="C1830" s="967">
        <v>23200</v>
      </c>
      <c r="D1830" s="967" t="s">
        <v>1814</v>
      </c>
      <c r="E1830" s="967">
        <v>483870</v>
      </c>
      <c r="F1830" s="967">
        <v>11625153650</v>
      </c>
      <c r="G1830" s="967">
        <v>23900</v>
      </c>
      <c r="H1830" s="967">
        <v>24900</v>
      </c>
      <c r="I1830" s="967">
        <v>22950</v>
      </c>
      <c r="J1830" s="967">
        <v>1511441</v>
      </c>
      <c r="K1830" s="967">
        <v>65148322</v>
      </c>
    </row>
    <row r="1831" spans="2:11" s="1258" customFormat="1" ht="16" hidden="1" outlineLevel="1">
      <c r="B1831" s="968" t="s">
        <v>2560</v>
      </c>
      <c r="C1831" s="967">
        <v>23700</v>
      </c>
      <c r="D1831" s="967" t="s">
        <v>2215</v>
      </c>
      <c r="E1831" s="967">
        <v>472641</v>
      </c>
      <c r="F1831" s="967">
        <v>11129071700</v>
      </c>
      <c r="G1831" s="967">
        <v>23800</v>
      </c>
      <c r="H1831" s="967">
        <v>24150</v>
      </c>
      <c r="I1831" s="967">
        <v>22900</v>
      </c>
      <c r="J1831" s="967">
        <v>1544015</v>
      </c>
      <c r="K1831" s="967">
        <v>65148322</v>
      </c>
    </row>
    <row r="1832" spans="2:11" s="1258" customFormat="1" ht="16" hidden="1" outlineLevel="1">
      <c r="B1832" s="968" t="s">
        <v>2559</v>
      </c>
      <c r="C1832" s="967">
        <v>24000</v>
      </c>
      <c r="D1832" s="967" t="s">
        <v>2241</v>
      </c>
      <c r="E1832" s="967">
        <v>698405</v>
      </c>
      <c r="F1832" s="967">
        <v>17159094400</v>
      </c>
      <c r="G1832" s="967">
        <v>24700</v>
      </c>
      <c r="H1832" s="967">
        <v>25500</v>
      </c>
      <c r="I1832" s="967">
        <v>23550</v>
      </c>
      <c r="J1832" s="967">
        <v>1563560</v>
      </c>
      <c r="K1832" s="967">
        <v>65148322</v>
      </c>
    </row>
    <row r="1833" spans="2:11" s="1258" customFormat="1" ht="16" hidden="1" outlineLevel="1">
      <c r="B1833" s="968" t="s">
        <v>2557</v>
      </c>
      <c r="C1833" s="967">
        <v>24900</v>
      </c>
      <c r="D1833" s="967" t="s">
        <v>2241</v>
      </c>
      <c r="E1833" s="967">
        <v>474746</v>
      </c>
      <c r="F1833" s="967">
        <v>12022354700</v>
      </c>
      <c r="G1833" s="967">
        <v>26250</v>
      </c>
      <c r="H1833" s="967">
        <v>26400</v>
      </c>
      <c r="I1833" s="967">
        <v>24650</v>
      </c>
      <c r="J1833" s="967">
        <v>1622193</v>
      </c>
      <c r="K1833" s="967">
        <v>65148322</v>
      </c>
    </row>
    <row r="1834" spans="2:11" s="1258" customFormat="1" ht="16" hidden="1" outlineLevel="1">
      <c r="B1834" s="968" t="s">
        <v>2555</v>
      </c>
      <c r="C1834" s="967">
        <v>25800</v>
      </c>
      <c r="D1834" s="967" t="s">
        <v>2230</v>
      </c>
      <c r="E1834" s="967">
        <v>633093</v>
      </c>
      <c r="F1834" s="967">
        <v>16413860400</v>
      </c>
      <c r="G1834" s="967">
        <v>25700</v>
      </c>
      <c r="H1834" s="967">
        <v>26500</v>
      </c>
      <c r="I1834" s="967">
        <v>25400</v>
      </c>
      <c r="J1834" s="967">
        <v>1680827</v>
      </c>
      <c r="K1834" s="967">
        <v>65148322</v>
      </c>
    </row>
    <row r="1835" spans="2:11" s="1258" customFormat="1" ht="16" hidden="1" outlineLevel="1">
      <c r="B1835" s="968" t="s">
        <v>2554</v>
      </c>
      <c r="C1835" s="967">
        <v>25450</v>
      </c>
      <c r="D1835" s="967" t="s">
        <v>2283</v>
      </c>
      <c r="E1835" s="967">
        <v>461247</v>
      </c>
      <c r="F1835" s="967">
        <v>11625037200</v>
      </c>
      <c r="G1835" s="967">
        <v>24500</v>
      </c>
      <c r="H1835" s="967">
        <v>25700</v>
      </c>
      <c r="I1835" s="967">
        <v>24250</v>
      </c>
      <c r="J1835" s="967">
        <v>1658025</v>
      </c>
      <c r="K1835" s="967">
        <v>65148322</v>
      </c>
    </row>
    <row r="1836" spans="2:11" s="1258" customFormat="1" ht="16" hidden="1" outlineLevel="1">
      <c r="B1836" s="968" t="s">
        <v>2552</v>
      </c>
      <c r="C1836" s="967">
        <v>25000</v>
      </c>
      <c r="D1836" s="967" t="s">
        <v>2228</v>
      </c>
      <c r="E1836" s="967">
        <v>625925</v>
      </c>
      <c r="F1836" s="967">
        <v>15917082250</v>
      </c>
      <c r="G1836" s="967">
        <v>25450</v>
      </c>
      <c r="H1836" s="967">
        <v>26000</v>
      </c>
      <c r="I1836" s="967">
        <v>25000</v>
      </c>
      <c r="J1836" s="967">
        <v>1628708</v>
      </c>
      <c r="K1836" s="967">
        <v>65148322</v>
      </c>
    </row>
    <row r="1837" spans="2:11" s="1258" customFormat="1" ht="16" hidden="1" outlineLevel="1">
      <c r="B1837" s="968" t="s">
        <v>2550</v>
      </c>
      <c r="C1837" s="967">
        <v>25100</v>
      </c>
      <c r="D1837" s="967" t="s">
        <v>2689</v>
      </c>
      <c r="E1837" s="967">
        <v>825464</v>
      </c>
      <c r="F1837" s="967">
        <v>19959170450</v>
      </c>
      <c r="G1837" s="967">
        <v>23750</v>
      </c>
      <c r="H1837" s="967">
        <v>25150</v>
      </c>
      <c r="I1837" s="967">
        <v>23200</v>
      </c>
      <c r="J1837" s="967">
        <v>1635223</v>
      </c>
      <c r="K1837" s="967">
        <v>65148322</v>
      </c>
    </row>
    <row r="1838" spans="2:11" s="1258" customFormat="1" ht="16" hidden="1" outlineLevel="1">
      <c r="B1838" s="968" t="s">
        <v>2549</v>
      </c>
      <c r="C1838" s="967">
        <v>23750</v>
      </c>
      <c r="D1838" s="967" t="s">
        <v>2728</v>
      </c>
      <c r="E1838" s="967">
        <v>1175896</v>
      </c>
      <c r="F1838" s="967">
        <v>29367192800</v>
      </c>
      <c r="G1838" s="967">
        <v>24550</v>
      </c>
      <c r="H1838" s="967">
        <v>26300</v>
      </c>
      <c r="I1838" s="967">
        <v>23400</v>
      </c>
      <c r="J1838" s="967">
        <v>1547273</v>
      </c>
      <c r="K1838" s="967">
        <v>65148322</v>
      </c>
    </row>
    <row r="1839" spans="2:11" s="1258" customFormat="1" ht="16" hidden="1" outlineLevel="1">
      <c r="B1839" s="968" t="s">
        <v>2548</v>
      </c>
      <c r="C1839" s="967">
        <v>24700</v>
      </c>
      <c r="D1839" s="967" t="s">
        <v>2246</v>
      </c>
      <c r="E1839" s="967">
        <v>1897036</v>
      </c>
      <c r="F1839" s="967">
        <v>47730970050</v>
      </c>
      <c r="G1839" s="967">
        <v>24100</v>
      </c>
      <c r="H1839" s="967">
        <v>26800</v>
      </c>
      <c r="I1839" s="967">
        <v>23250</v>
      </c>
      <c r="J1839" s="967">
        <v>1609164</v>
      </c>
      <c r="K1839" s="967">
        <v>65148322</v>
      </c>
    </row>
    <row r="1840" spans="2:11" s="1258" customFormat="1" ht="16" hidden="1" outlineLevel="1">
      <c r="B1840" s="968" t="s">
        <v>2546</v>
      </c>
      <c r="C1840" s="967">
        <v>23800</v>
      </c>
      <c r="D1840" s="967" t="s">
        <v>2282</v>
      </c>
      <c r="E1840" s="967">
        <v>1171218</v>
      </c>
      <c r="F1840" s="967">
        <v>27571933650</v>
      </c>
      <c r="G1840" s="967">
        <v>23400</v>
      </c>
      <c r="H1840" s="967">
        <v>24350</v>
      </c>
      <c r="I1840" s="967">
        <v>22850</v>
      </c>
      <c r="J1840" s="967">
        <v>1550530</v>
      </c>
      <c r="K1840" s="967">
        <v>65148322</v>
      </c>
    </row>
    <row r="1841" spans="2:11" s="1258" customFormat="1" ht="16" hidden="1" outlineLevel="1">
      <c r="B1841" s="968" t="s">
        <v>2545</v>
      </c>
      <c r="C1841" s="967">
        <v>23150</v>
      </c>
      <c r="D1841" s="967" t="s">
        <v>2306</v>
      </c>
      <c r="E1841" s="967">
        <v>2929237</v>
      </c>
      <c r="F1841" s="967">
        <v>67680524850</v>
      </c>
      <c r="G1841" s="967">
        <v>22400</v>
      </c>
      <c r="H1841" s="967">
        <v>24600</v>
      </c>
      <c r="I1841" s="967">
        <v>21550</v>
      </c>
      <c r="J1841" s="967">
        <v>1508184</v>
      </c>
      <c r="K1841" s="967">
        <v>65148322</v>
      </c>
    </row>
    <row r="1842" spans="2:11" s="1258" customFormat="1" ht="16" hidden="1" outlineLevel="1">
      <c r="B1842" s="968" t="s">
        <v>2544</v>
      </c>
      <c r="C1842" s="967">
        <v>22100</v>
      </c>
      <c r="D1842" s="967" t="s">
        <v>2744</v>
      </c>
      <c r="E1842" s="967">
        <v>1992220</v>
      </c>
      <c r="F1842" s="967">
        <v>41864034800</v>
      </c>
      <c r="G1842" s="967">
        <v>19700</v>
      </c>
      <c r="H1842" s="967">
        <v>22500</v>
      </c>
      <c r="I1842" s="967">
        <v>19500</v>
      </c>
      <c r="J1842" s="967">
        <v>1439778</v>
      </c>
      <c r="K1842" s="967">
        <v>65148322</v>
      </c>
    </row>
    <row r="1843" spans="2:11" s="1258" customFormat="1" ht="16" hidden="1" outlineLevel="1">
      <c r="B1843" s="968" t="s">
        <v>2543</v>
      </c>
      <c r="C1843" s="967">
        <v>19650</v>
      </c>
      <c r="D1843" s="967" t="s">
        <v>2214</v>
      </c>
      <c r="E1843" s="967">
        <v>725999</v>
      </c>
      <c r="F1843" s="967">
        <v>14105581250</v>
      </c>
      <c r="G1843" s="967">
        <v>19200</v>
      </c>
      <c r="H1843" s="967">
        <v>19850</v>
      </c>
      <c r="I1843" s="967">
        <v>18850</v>
      </c>
      <c r="J1843" s="967">
        <v>1280165</v>
      </c>
      <c r="K1843" s="967">
        <v>65148322</v>
      </c>
    </row>
    <row r="1844" spans="2:11" s="1258" customFormat="1" ht="16" hidden="1" outlineLevel="1">
      <c r="B1844" s="968" t="s">
        <v>2541</v>
      </c>
      <c r="C1844" s="967">
        <v>19250</v>
      </c>
      <c r="D1844" s="967" t="s">
        <v>2213</v>
      </c>
      <c r="E1844" s="967">
        <v>678244</v>
      </c>
      <c r="F1844" s="967">
        <v>12922961950</v>
      </c>
      <c r="G1844" s="967">
        <v>19000</v>
      </c>
      <c r="H1844" s="967">
        <v>19350</v>
      </c>
      <c r="I1844" s="967">
        <v>18700</v>
      </c>
      <c r="J1844" s="967">
        <v>1254105</v>
      </c>
      <c r="K1844" s="967">
        <v>65148322</v>
      </c>
    </row>
    <row r="1845" spans="2:11" s="1258" customFormat="1" ht="16" hidden="1" outlineLevel="1">
      <c r="B1845" s="968" t="s">
        <v>2540</v>
      </c>
      <c r="C1845" s="967">
        <v>19000</v>
      </c>
      <c r="D1845" s="967" t="s">
        <v>2300</v>
      </c>
      <c r="E1845" s="967">
        <v>1440308</v>
      </c>
      <c r="F1845" s="967">
        <v>26652246250</v>
      </c>
      <c r="G1845" s="967">
        <v>17850</v>
      </c>
      <c r="H1845" s="967">
        <v>19000</v>
      </c>
      <c r="I1845" s="967">
        <v>17850</v>
      </c>
      <c r="J1845" s="967">
        <v>1237818</v>
      </c>
      <c r="K1845" s="967">
        <v>65148322</v>
      </c>
    </row>
    <row r="1846" spans="2:11" s="1258" customFormat="1" ht="16" hidden="1" outlineLevel="1">
      <c r="B1846" s="968" t="s">
        <v>2539</v>
      </c>
      <c r="C1846" s="967">
        <v>17850</v>
      </c>
      <c r="D1846" s="967" t="s">
        <v>2213</v>
      </c>
      <c r="E1846" s="967">
        <v>530305</v>
      </c>
      <c r="F1846" s="967">
        <v>9455642900</v>
      </c>
      <c r="G1846" s="967">
        <v>17650</v>
      </c>
      <c r="H1846" s="967">
        <v>18200</v>
      </c>
      <c r="I1846" s="967">
        <v>17450</v>
      </c>
      <c r="J1846" s="967">
        <v>1162898</v>
      </c>
      <c r="K1846" s="967">
        <v>65148322</v>
      </c>
    </row>
    <row r="1847" spans="2:11" s="1258" customFormat="1" ht="16" hidden="1" outlineLevel="1">
      <c r="B1847" s="968" t="s">
        <v>2538</v>
      </c>
      <c r="C1847" s="967">
        <v>17600</v>
      </c>
      <c r="D1847" s="967" t="s">
        <v>2214</v>
      </c>
      <c r="E1847" s="967">
        <v>386780</v>
      </c>
      <c r="F1847" s="967">
        <v>6709140900</v>
      </c>
      <c r="G1847" s="967">
        <v>16950</v>
      </c>
      <c r="H1847" s="967">
        <v>17650</v>
      </c>
      <c r="I1847" s="967">
        <v>16900</v>
      </c>
      <c r="J1847" s="967">
        <v>1146610</v>
      </c>
      <c r="K1847" s="967">
        <v>65148322</v>
      </c>
    </row>
    <row r="1848" spans="2:11" s="1258" customFormat="1" ht="16" hidden="1" outlineLevel="1">
      <c r="B1848" s="968" t="s">
        <v>2537</v>
      </c>
      <c r="C1848" s="967">
        <v>17200</v>
      </c>
      <c r="D1848" s="967" t="s">
        <v>2215</v>
      </c>
      <c r="E1848" s="967">
        <v>396491</v>
      </c>
      <c r="F1848" s="967">
        <v>6978623000</v>
      </c>
      <c r="G1848" s="967">
        <v>17600</v>
      </c>
      <c r="H1848" s="967">
        <v>17900</v>
      </c>
      <c r="I1848" s="967">
        <v>17200</v>
      </c>
      <c r="J1848" s="967">
        <v>1120551</v>
      </c>
      <c r="K1848" s="967">
        <v>65148322</v>
      </c>
    </row>
    <row r="1849" spans="2:11" s="1258" customFormat="1" ht="16" hidden="1" outlineLevel="1">
      <c r="B1849" s="968" t="s">
        <v>2536</v>
      </c>
      <c r="C1849" s="967">
        <v>17500</v>
      </c>
      <c r="D1849" s="967" t="s">
        <v>2283</v>
      </c>
      <c r="E1849" s="967">
        <v>338928</v>
      </c>
      <c r="F1849" s="967">
        <v>5866290400</v>
      </c>
      <c r="G1849" s="967">
        <v>17100</v>
      </c>
      <c r="H1849" s="967">
        <v>17550</v>
      </c>
      <c r="I1849" s="967">
        <v>16950</v>
      </c>
      <c r="J1849" s="967">
        <v>1140096</v>
      </c>
      <c r="K1849" s="967">
        <v>65148322</v>
      </c>
    </row>
    <row r="1850" spans="2:11" s="1258" customFormat="1" ht="16" hidden="1" outlineLevel="1">
      <c r="B1850" s="968" t="s">
        <v>2535</v>
      </c>
      <c r="C1850" s="967">
        <v>17050</v>
      </c>
      <c r="D1850" s="967" t="s">
        <v>2243</v>
      </c>
      <c r="E1850" s="967">
        <v>169171</v>
      </c>
      <c r="F1850" s="967">
        <v>2859303950</v>
      </c>
      <c r="G1850" s="967">
        <v>16800</v>
      </c>
      <c r="H1850" s="967">
        <v>17150</v>
      </c>
      <c r="I1850" s="967">
        <v>16750</v>
      </c>
      <c r="J1850" s="967">
        <v>1110779</v>
      </c>
      <c r="K1850" s="967">
        <v>65148322</v>
      </c>
    </row>
    <row r="1851" spans="2:11" s="1258" customFormat="1" ht="16" hidden="1" outlineLevel="1">
      <c r="B1851" s="968" t="s">
        <v>2534</v>
      </c>
      <c r="C1851" s="967">
        <v>16750</v>
      </c>
      <c r="D1851" s="967" t="s">
        <v>2224</v>
      </c>
      <c r="E1851" s="967">
        <v>131270</v>
      </c>
      <c r="F1851" s="967">
        <v>2208085500</v>
      </c>
      <c r="G1851" s="967">
        <v>16900</v>
      </c>
      <c r="H1851" s="967">
        <v>17050</v>
      </c>
      <c r="I1851" s="967">
        <v>16700</v>
      </c>
      <c r="J1851" s="967">
        <v>1091234</v>
      </c>
      <c r="K1851" s="967">
        <v>65148322</v>
      </c>
    </row>
    <row r="1852" spans="2:11" s="1258" customFormat="1" ht="16" hidden="1" outlineLevel="1">
      <c r="B1852" s="968" t="s">
        <v>2533</v>
      </c>
      <c r="C1852" s="967">
        <v>16950</v>
      </c>
      <c r="D1852" s="967" t="s">
        <v>2228</v>
      </c>
      <c r="E1852" s="967">
        <v>139116</v>
      </c>
      <c r="F1852" s="967">
        <v>2354507400</v>
      </c>
      <c r="G1852" s="967">
        <v>17000</v>
      </c>
      <c r="H1852" s="967">
        <v>17150</v>
      </c>
      <c r="I1852" s="967">
        <v>16800</v>
      </c>
      <c r="J1852" s="967">
        <v>1104264</v>
      </c>
      <c r="K1852" s="967">
        <v>65148322</v>
      </c>
    </row>
    <row r="1853" spans="2:11" s="1258" customFormat="1" ht="16" hidden="1" outlineLevel="1">
      <c r="B1853" s="968" t="s">
        <v>2532</v>
      </c>
      <c r="C1853" s="967">
        <v>17050</v>
      </c>
      <c r="D1853" s="967" t="s">
        <v>2226</v>
      </c>
      <c r="E1853" s="967">
        <v>134558</v>
      </c>
      <c r="F1853" s="967">
        <v>2294582900</v>
      </c>
      <c r="G1853" s="967">
        <v>17200</v>
      </c>
      <c r="H1853" s="967">
        <v>17250</v>
      </c>
      <c r="I1853" s="967">
        <v>16900</v>
      </c>
      <c r="J1853" s="967">
        <v>1110779</v>
      </c>
      <c r="K1853" s="967">
        <v>65148322</v>
      </c>
    </row>
    <row r="1854" spans="2:11" s="1258" customFormat="1" ht="16" hidden="1" outlineLevel="1">
      <c r="B1854" s="968" t="s">
        <v>2531</v>
      </c>
      <c r="C1854" s="967">
        <v>17100</v>
      </c>
      <c r="D1854" s="967" t="s">
        <v>2226</v>
      </c>
      <c r="E1854" s="967">
        <v>141831</v>
      </c>
      <c r="F1854" s="967">
        <v>2424458600</v>
      </c>
      <c r="G1854" s="967">
        <v>17200</v>
      </c>
      <c r="H1854" s="967">
        <v>17350</v>
      </c>
      <c r="I1854" s="967">
        <v>16950</v>
      </c>
      <c r="J1854" s="967">
        <v>1114036</v>
      </c>
      <c r="K1854" s="967">
        <v>65148322</v>
      </c>
    </row>
    <row r="1855" spans="2:11" s="1258" customFormat="1" ht="16" hidden="1" outlineLevel="1">
      <c r="B1855" s="968" t="s">
        <v>2530</v>
      </c>
      <c r="C1855" s="967">
        <v>17150</v>
      </c>
      <c r="D1855" s="967" t="s">
        <v>2230</v>
      </c>
      <c r="E1855" s="967">
        <v>216093</v>
      </c>
      <c r="F1855" s="967">
        <v>3672232250</v>
      </c>
      <c r="G1855" s="967">
        <v>16950</v>
      </c>
      <c r="H1855" s="967">
        <v>17200</v>
      </c>
      <c r="I1855" s="967">
        <v>16650</v>
      </c>
      <c r="J1855" s="967">
        <v>1117294</v>
      </c>
      <c r="K1855" s="967">
        <v>65148322</v>
      </c>
    </row>
    <row r="1856" spans="2:11" s="1258" customFormat="1" ht="16" hidden="1" outlineLevel="1">
      <c r="B1856" s="968" t="s">
        <v>2528</v>
      </c>
      <c r="C1856" s="967">
        <v>16800</v>
      </c>
      <c r="D1856" s="967" t="s">
        <v>2226</v>
      </c>
      <c r="E1856" s="967">
        <v>182855</v>
      </c>
      <c r="F1856" s="967">
        <v>3108123650</v>
      </c>
      <c r="G1856" s="967">
        <v>16950</v>
      </c>
      <c r="H1856" s="967">
        <v>17300</v>
      </c>
      <c r="I1856" s="967">
        <v>16700</v>
      </c>
      <c r="J1856" s="967">
        <v>1094492</v>
      </c>
      <c r="K1856" s="967">
        <v>65148322</v>
      </c>
    </row>
    <row r="1857" spans="2:11" s="1258" customFormat="1" ht="16" hidden="1" outlineLevel="1">
      <c r="B1857" s="968" t="s">
        <v>2527</v>
      </c>
      <c r="C1857" s="967">
        <v>16850</v>
      </c>
      <c r="D1857" s="967" t="s">
        <v>2243</v>
      </c>
      <c r="E1857" s="967">
        <v>122782</v>
      </c>
      <c r="F1857" s="967">
        <v>2067245000</v>
      </c>
      <c r="G1857" s="967">
        <v>16700</v>
      </c>
      <c r="H1857" s="967">
        <v>16950</v>
      </c>
      <c r="I1857" s="967">
        <v>16600</v>
      </c>
      <c r="J1857" s="967">
        <v>1097749</v>
      </c>
      <c r="K1857" s="967">
        <v>65148322</v>
      </c>
    </row>
    <row r="1858" spans="2:11" s="1258" customFormat="1" ht="16" hidden="1" outlineLevel="1">
      <c r="B1858" s="968" t="s">
        <v>2525</v>
      </c>
      <c r="C1858" s="967">
        <v>16550</v>
      </c>
      <c r="D1858" s="967" t="s">
        <v>2224</v>
      </c>
      <c r="E1858" s="967">
        <v>71931</v>
      </c>
      <c r="F1858" s="967">
        <v>1195955050</v>
      </c>
      <c r="G1858" s="967">
        <v>16750</v>
      </c>
      <c r="H1858" s="967">
        <v>16850</v>
      </c>
      <c r="I1858" s="967">
        <v>16550</v>
      </c>
      <c r="J1858" s="967">
        <v>1078205</v>
      </c>
      <c r="K1858" s="967">
        <v>65148322</v>
      </c>
    </row>
    <row r="1859" spans="2:11" s="1258" customFormat="1" ht="16" hidden="1" outlineLevel="1">
      <c r="B1859" s="968" t="s">
        <v>2524</v>
      </c>
      <c r="C1859" s="967">
        <v>16750</v>
      </c>
      <c r="D1859" s="967" t="s">
        <v>2207</v>
      </c>
      <c r="E1859" s="967">
        <v>122148</v>
      </c>
      <c r="F1859" s="967">
        <v>2051729100</v>
      </c>
      <c r="G1859" s="967">
        <v>16750</v>
      </c>
      <c r="H1859" s="967">
        <v>17000</v>
      </c>
      <c r="I1859" s="967">
        <v>16650</v>
      </c>
      <c r="J1859" s="967">
        <v>1091234</v>
      </c>
      <c r="K1859" s="967">
        <v>65148322</v>
      </c>
    </row>
    <row r="1860" spans="2:11" s="1258" customFormat="1" ht="16" hidden="1" outlineLevel="1">
      <c r="B1860" s="968" t="s">
        <v>2523</v>
      </c>
      <c r="C1860" s="967">
        <v>16700</v>
      </c>
      <c r="D1860" s="967" t="s">
        <v>2226</v>
      </c>
      <c r="E1860" s="967">
        <v>233450</v>
      </c>
      <c r="F1860" s="967">
        <v>3971636250</v>
      </c>
      <c r="G1860" s="967">
        <v>16800</v>
      </c>
      <c r="H1860" s="967">
        <v>17300</v>
      </c>
      <c r="I1860" s="967">
        <v>16700</v>
      </c>
      <c r="J1860" s="967">
        <v>1087977</v>
      </c>
      <c r="K1860" s="967">
        <v>65148322</v>
      </c>
    </row>
    <row r="1861" spans="2:11" s="1258" customFormat="1" ht="16" hidden="1" outlineLevel="1">
      <c r="B1861" s="968" t="s">
        <v>2522</v>
      </c>
      <c r="C1861" s="967">
        <v>16750</v>
      </c>
      <c r="D1861" s="967" t="s">
        <v>2230</v>
      </c>
      <c r="E1861" s="967">
        <v>119345</v>
      </c>
      <c r="F1861" s="967">
        <v>1992040750</v>
      </c>
      <c r="G1861" s="967">
        <v>16550</v>
      </c>
      <c r="H1861" s="967">
        <v>16850</v>
      </c>
      <c r="I1861" s="967">
        <v>16450</v>
      </c>
      <c r="J1861" s="967">
        <v>1091234</v>
      </c>
      <c r="K1861" s="967">
        <v>65148322</v>
      </c>
    </row>
    <row r="1862" spans="2:11" s="1258" customFormat="1" ht="16" hidden="1" outlineLevel="1">
      <c r="B1862" s="968" t="s">
        <v>2521</v>
      </c>
      <c r="C1862" s="967">
        <v>16400</v>
      </c>
      <c r="D1862" s="967" t="s">
        <v>2225</v>
      </c>
      <c r="E1862" s="967">
        <v>77375</v>
      </c>
      <c r="F1862" s="967">
        <v>1268767150</v>
      </c>
      <c r="G1862" s="967">
        <v>16650</v>
      </c>
      <c r="H1862" s="967">
        <v>16700</v>
      </c>
      <c r="I1862" s="967">
        <v>16200</v>
      </c>
      <c r="J1862" s="967">
        <v>1068432</v>
      </c>
      <c r="K1862" s="967">
        <v>65148322</v>
      </c>
    </row>
    <row r="1863" spans="2:11" s="1258" customFormat="1" ht="16" hidden="1" outlineLevel="1">
      <c r="B1863" s="968" t="s">
        <v>2520</v>
      </c>
      <c r="C1863" s="967">
        <v>16550</v>
      </c>
      <c r="D1863" s="967" t="s">
        <v>2232</v>
      </c>
      <c r="E1863" s="967">
        <v>86634</v>
      </c>
      <c r="F1863" s="967">
        <v>1437115550</v>
      </c>
      <c r="G1863" s="967">
        <v>16450</v>
      </c>
      <c r="H1863" s="967">
        <v>16700</v>
      </c>
      <c r="I1863" s="967">
        <v>16450</v>
      </c>
      <c r="J1863" s="967">
        <v>1078205</v>
      </c>
      <c r="K1863" s="967">
        <v>65148322</v>
      </c>
    </row>
    <row r="1864" spans="2:11" s="1258" customFormat="1" ht="16" hidden="1" outlineLevel="1">
      <c r="B1864" s="968" t="s">
        <v>2519</v>
      </c>
      <c r="C1864" s="967">
        <v>16350</v>
      </c>
      <c r="D1864" s="967" t="s">
        <v>2219</v>
      </c>
      <c r="E1864" s="967">
        <v>132450</v>
      </c>
      <c r="F1864" s="967">
        <v>2176128550</v>
      </c>
      <c r="G1864" s="967">
        <v>16450</v>
      </c>
      <c r="H1864" s="967">
        <v>16750</v>
      </c>
      <c r="I1864" s="967">
        <v>16250</v>
      </c>
      <c r="J1864" s="967">
        <v>1065175</v>
      </c>
      <c r="K1864" s="967">
        <v>65148322</v>
      </c>
    </row>
    <row r="1865" spans="2:11" s="1258" customFormat="1" ht="16" hidden="1" outlineLevel="1">
      <c r="B1865" s="968" t="s">
        <v>2517</v>
      </c>
      <c r="C1865" s="967">
        <v>16200</v>
      </c>
      <c r="D1865" s="967" t="s">
        <v>2210</v>
      </c>
      <c r="E1865" s="967">
        <v>98774</v>
      </c>
      <c r="F1865" s="967">
        <v>1612825800</v>
      </c>
      <c r="G1865" s="967">
        <v>16300</v>
      </c>
      <c r="H1865" s="967">
        <v>16550</v>
      </c>
      <c r="I1865" s="967">
        <v>16150</v>
      </c>
      <c r="J1865" s="967">
        <v>1055403</v>
      </c>
      <c r="K1865" s="967">
        <v>65148322</v>
      </c>
    </row>
    <row r="1866" spans="2:11" s="1258" customFormat="1" ht="16" hidden="1" outlineLevel="1">
      <c r="B1866" s="968" t="s">
        <v>2516</v>
      </c>
      <c r="C1866" s="967">
        <v>16650</v>
      </c>
      <c r="D1866" s="967" t="s">
        <v>2232</v>
      </c>
      <c r="E1866" s="967">
        <v>108748</v>
      </c>
      <c r="F1866" s="967">
        <v>1815449350</v>
      </c>
      <c r="G1866" s="967">
        <v>16600</v>
      </c>
      <c r="H1866" s="967">
        <v>16950</v>
      </c>
      <c r="I1866" s="967">
        <v>16400</v>
      </c>
      <c r="J1866" s="967">
        <v>1084720</v>
      </c>
      <c r="K1866" s="967">
        <v>65148322</v>
      </c>
    </row>
    <row r="1867" spans="2:11" s="1258" customFormat="1" ht="16" hidden="1" outlineLevel="1">
      <c r="B1867" s="968" t="s">
        <v>2515</v>
      </c>
      <c r="C1867" s="967">
        <v>16450</v>
      </c>
      <c r="D1867" s="967" t="s">
        <v>2243</v>
      </c>
      <c r="E1867" s="967">
        <v>96586</v>
      </c>
      <c r="F1867" s="967">
        <v>1582125600</v>
      </c>
      <c r="G1867" s="967">
        <v>16000</v>
      </c>
      <c r="H1867" s="967">
        <v>16650</v>
      </c>
      <c r="I1867" s="967">
        <v>16000</v>
      </c>
      <c r="J1867" s="967">
        <v>1071690</v>
      </c>
      <c r="K1867" s="967">
        <v>65148322</v>
      </c>
    </row>
    <row r="1868" spans="2:11" s="1258" customFormat="1" ht="16" hidden="1" outlineLevel="1">
      <c r="B1868" s="968" t="s">
        <v>2514</v>
      </c>
      <c r="C1868" s="967">
        <v>16150</v>
      </c>
      <c r="D1868" s="967" t="s">
        <v>2294</v>
      </c>
      <c r="E1868" s="967">
        <v>163199</v>
      </c>
      <c r="F1868" s="967">
        <v>2660908800</v>
      </c>
      <c r="G1868" s="967">
        <v>16400</v>
      </c>
      <c r="H1868" s="967">
        <v>16650</v>
      </c>
      <c r="I1868" s="967">
        <v>16100</v>
      </c>
      <c r="J1868" s="967">
        <v>1052145</v>
      </c>
      <c r="K1868" s="967">
        <v>65148322</v>
      </c>
    </row>
    <row r="1869" spans="2:11" s="1258" customFormat="1" ht="16" hidden="1" outlineLevel="1">
      <c r="B1869" s="968" t="s">
        <v>2513</v>
      </c>
      <c r="C1869" s="967">
        <v>16700</v>
      </c>
      <c r="D1869" s="967" t="s">
        <v>2280</v>
      </c>
      <c r="E1869" s="967">
        <v>215887</v>
      </c>
      <c r="F1869" s="967">
        <v>3659234550</v>
      </c>
      <c r="G1869" s="967">
        <v>17350</v>
      </c>
      <c r="H1869" s="967">
        <v>17450</v>
      </c>
      <c r="I1869" s="967">
        <v>16650</v>
      </c>
      <c r="J1869" s="967">
        <v>1087977</v>
      </c>
      <c r="K1869" s="967">
        <v>65148322</v>
      </c>
    </row>
    <row r="1870" spans="2:11" s="1258" customFormat="1" ht="16" hidden="1" outlineLevel="1">
      <c r="B1870" s="968" t="s">
        <v>2512</v>
      </c>
      <c r="C1870" s="967">
        <v>17450</v>
      </c>
      <c r="D1870" s="967" t="s">
        <v>2282</v>
      </c>
      <c r="E1870" s="967">
        <v>375913</v>
      </c>
      <c r="F1870" s="967">
        <v>6554517350</v>
      </c>
      <c r="G1870" s="967">
        <v>17000</v>
      </c>
      <c r="H1870" s="967">
        <v>17800</v>
      </c>
      <c r="I1870" s="967">
        <v>17000</v>
      </c>
      <c r="J1870" s="967">
        <v>1136838</v>
      </c>
      <c r="K1870" s="967">
        <v>65148322</v>
      </c>
    </row>
    <row r="1871" spans="2:11" s="1258" customFormat="1" ht="16" hidden="1" outlineLevel="1">
      <c r="B1871" s="968" t="s">
        <v>2511</v>
      </c>
      <c r="C1871" s="967">
        <v>16800</v>
      </c>
      <c r="D1871" s="967" t="s">
        <v>2217</v>
      </c>
      <c r="E1871" s="967">
        <v>278653</v>
      </c>
      <c r="F1871" s="967">
        <v>4755720300</v>
      </c>
      <c r="G1871" s="967">
        <v>17450</v>
      </c>
      <c r="H1871" s="967">
        <v>17500</v>
      </c>
      <c r="I1871" s="967">
        <v>16700</v>
      </c>
      <c r="J1871" s="967">
        <v>1094492</v>
      </c>
      <c r="K1871" s="967">
        <v>65148322</v>
      </c>
    </row>
    <row r="1872" spans="2:11" s="1258" customFormat="1" ht="16" hidden="1" outlineLevel="1">
      <c r="B1872" s="968" t="s">
        <v>2510</v>
      </c>
      <c r="C1872" s="967">
        <v>17450</v>
      </c>
      <c r="D1872" s="967" t="s">
        <v>2213</v>
      </c>
      <c r="E1872" s="967">
        <v>922939</v>
      </c>
      <c r="F1872" s="967">
        <v>16684625650</v>
      </c>
      <c r="G1872" s="967">
        <v>17900</v>
      </c>
      <c r="H1872" s="967">
        <v>18800</v>
      </c>
      <c r="I1872" s="967">
        <v>17450</v>
      </c>
      <c r="J1872" s="967">
        <v>1136838</v>
      </c>
      <c r="K1872" s="967">
        <v>65148322</v>
      </c>
    </row>
    <row r="1873" spans="2:11" s="1258" customFormat="1" ht="16" hidden="1" outlineLevel="1">
      <c r="B1873" s="968" t="s">
        <v>2509</v>
      </c>
      <c r="C1873" s="967">
        <v>17200</v>
      </c>
      <c r="D1873" s="967" t="s">
        <v>2221</v>
      </c>
      <c r="E1873" s="967">
        <v>167370</v>
      </c>
      <c r="F1873" s="967">
        <v>2890373800</v>
      </c>
      <c r="G1873" s="967">
        <v>17250</v>
      </c>
      <c r="H1873" s="967">
        <v>17600</v>
      </c>
      <c r="I1873" s="967">
        <v>17100</v>
      </c>
      <c r="J1873" s="967">
        <v>1120551</v>
      </c>
      <c r="K1873" s="967">
        <v>65148322</v>
      </c>
    </row>
    <row r="1874" spans="2:11" s="1258" customFormat="1" ht="16" hidden="1" outlineLevel="1">
      <c r="B1874" s="968" t="s">
        <v>2508</v>
      </c>
      <c r="C1874" s="967">
        <v>17200</v>
      </c>
      <c r="D1874" s="967" t="s">
        <v>2232</v>
      </c>
      <c r="E1874" s="967">
        <v>225663</v>
      </c>
      <c r="F1874" s="967">
        <v>3869641150</v>
      </c>
      <c r="G1874" s="967">
        <v>16700</v>
      </c>
      <c r="H1874" s="967">
        <v>17450</v>
      </c>
      <c r="I1874" s="967">
        <v>16550</v>
      </c>
      <c r="J1874" s="967">
        <v>1120551</v>
      </c>
      <c r="K1874" s="967">
        <v>65148322</v>
      </c>
    </row>
    <row r="1875" spans="2:11" s="1258" customFormat="1" ht="16" hidden="1" outlineLevel="1">
      <c r="B1875" s="968" t="s">
        <v>2507</v>
      </c>
      <c r="C1875" s="967">
        <v>17000</v>
      </c>
      <c r="D1875" s="967" t="s">
        <v>2213</v>
      </c>
      <c r="E1875" s="967">
        <v>407858</v>
      </c>
      <c r="F1875" s="967">
        <v>7026697950</v>
      </c>
      <c r="G1875" s="967">
        <v>16850</v>
      </c>
      <c r="H1875" s="967">
        <v>17600</v>
      </c>
      <c r="I1875" s="967">
        <v>16700</v>
      </c>
      <c r="J1875" s="967">
        <v>1107521</v>
      </c>
      <c r="K1875" s="967">
        <v>65148322</v>
      </c>
    </row>
    <row r="1876" spans="2:11" s="1258" customFormat="1" ht="16" hidden="1" outlineLevel="1">
      <c r="B1876" s="968" t="s">
        <v>2506</v>
      </c>
      <c r="C1876" s="967">
        <v>16750</v>
      </c>
      <c r="D1876" s="967" t="s">
        <v>2230</v>
      </c>
      <c r="E1876" s="967">
        <v>177651</v>
      </c>
      <c r="F1876" s="967">
        <v>2973169700</v>
      </c>
      <c r="G1876" s="967">
        <v>16450</v>
      </c>
      <c r="H1876" s="967">
        <v>17000</v>
      </c>
      <c r="I1876" s="967">
        <v>16350</v>
      </c>
      <c r="J1876" s="967">
        <v>1091234</v>
      </c>
      <c r="K1876" s="967">
        <v>65148322</v>
      </c>
    </row>
    <row r="1877" spans="2:11" s="1258" customFormat="1" ht="16" hidden="1" outlineLevel="1">
      <c r="B1877" s="968" t="s">
        <v>2504</v>
      </c>
      <c r="C1877" s="967">
        <v>16400</v>
      </c>
      <c r="D1877" s="967" t="s">
        <v>2228</v>
      </c>
      <c r="E1877" s="967">
        <v>50379</v>
      </c>
      <c r="F1877" s="967">
        <v>826435100</v>
      </c>
      <c r="G1877" s="967">
        <v>16550</v>
      </c>
      <c r="H1877" s="967">
        <v>16650</v>
      </c>
      <c r="I1877" s="967">
        <v>16300</v>
      </c>
      <c r="J1877" s="967">
        <v>1068432</v>
      </c>
      <c r="K1877" s="967">
        <v>65148322</v>
      </c>
    </row>
    <row r="1878" spans="2:11" s="1258" customFormat="1" ht="16" hidden="1" outlineLevel="1">
      <c r="B1878" s="968" t="s">
        <v>2503</v>
      </c>
      <c r="C1878" s="967">
        <v>16500</v>
      </c>
      <c r="D1878" s="967" t="s">
        <v>2213</v>
      </c>
      <c r="E1878" s="967">
        <v>119239</v>
      </c>
      <c r="F1878" s="967">
        <v>1970398600</v>
      </c>
      <c r="G1878" s="967">
        <v>16250</v>
      </c>
      <c r="H1878" s="967">
        <v>16800</v>
      </c>
      <c r="I1878" s="967">
        <v>16050</v>
      </c>
      <c r="J1878" s="967">
        <v>1074947</v>
      </c>
      <c r="K1878" s="967">
        <v>65148322</v>
      </c>
    </row>
    <row r="1879" spans="2:11" s="1258" customFormat="1" ht="16" hidden="1" outlineLevel="1">
      <c r="B1879" s="968" t="s">
        <v>2502</v>
      </c>
      <c r="C1879" s="967">
        <v>16250</v>
      </c>
      <c r="D1879" s="967" t="s">
        <v>2214</v>
      </c>
      <c r="E1879" s="967">
        <v>68706</v>
      </c>
      <c r="F1879" s="967">
        <v>1110730000</v>
      </c>
      <c r="G1879" s="967">
        <v>15950</v>
      </c>
      <c r="H1879" s="967">
        <v>16300</v>
      </c>
      <c r="I1879" s="967">
        <v>15950</v>
      </c>
      <c r="J1879" s="967">
        <v>1058660</v>
      </c>
      <c r="K1879" s="967">
        <v>65148322</v>
      </c>
    </row>
    <row r="1880" spans="2:11" s="1258" customFormat="1" ht="16" hidden="1" outlineLevel="1">
      <c r="B1880" s="968" t="s">
        <v>2501</v>
      </c>
      <c r="C1880" s="967">
        <v>15850</v>
      </c>
      <c r="D1880" s="967" t="s">
        <v>2228</v>
      </c>
      <c r="E1880" s="967">
        <v>59260</v>
      </c>
      <c r="F1880" s="967">
        <v>946966500</v>
      </c>
      <c r="G1880" s="967">
        <v>16150</v>
      </c>
      <c r="H1880" s="967">
        <v>16300</v>
      </c>
      <c r="I1880" s="967">
        <v>15800</v>
      </c>
      <c r="J1880" s="967">
        <v>1032601</v>
      </c>
      <c r="K1880" s="967">
        <v>65148322</v>
      </c>
    </row>
    <row r="1881" spans="2:11" s="1258" customFormat="1" ht="16" hidden="1" outlineLevel="1">
      <c r="B1881" s="968" t="s">
        <v>2500</v>
      </c>
      <c r="C1881" s="967">
        <v>15950</v>
      </c>
      <c r="D1881" s="967" t="s">
        <v>2226</v>
      </c>
      <c r="E1881" s="967">
        <v>67692</v>
      </c>
      <c r="F1881" s="967">
        <v>1076252900</v>
      </c>
      <c r="G1881" s="967">
        <v>15800</v>
      </c>
      <c r="H1881" s="967">
        <v>16050</v>
      </c>
      <c r="I1881" s="967">
        <v>15750</v>
      </c>
      <c r="J1881" s="967">
        <v>1039116</v>
      </c>
      <c r="K1881" s="967">
        <v>65148322</v>
      </c>
    </row>
    <row r="1882" spans="2:11" s="1258" customFormat="1" ht="16" hidden="1" outlineLevel="1">
      <c r="B1882" s="968" t="s">
        <v>2499</v>
      </c>
      <c r="C1882" s="967">
        <v>16000</v>
      </c>
      <c r="D1882" s="967" t="s">
        <v>2217</v>
      </c>
      <c r="E1882" s="967">
        <v>103916</v>
      </c>
      <c r="F1882" s="967">
        <v>1688540600</v>
      </c>
      <c r="G1882" s="967">
        <v>16500</v>
      </c>
      <c r="H1882" s="967">
        <v>16600</v>
      </c>
      <c r="I1882" s="967">
        <v>15950</v>
      </c>
      <c r="J1882" s="967">
        <v>1042373</v>
      </c>
      <c r="K1882" s="967">
        <v>65148322</v>
      </c>
    </row>
    <row r="1883" spans="2:11" s="1258" customFormat="1" ht="16" hidden="1" outlineLevel="1">
      <c r="B1883" s="968" t="s">
        <v>2498</v>
      </c>
      <c r="C1883" s="967">
        <v>16650</v>
      </c>
      <c r="D1883" s="967" t="s">
        <v>2213</v>
      </c>
      <c r="E1883" s="967">
        <v>136422</v>
      </c>
      <c r="F1883" s="967">
        <v>2240962400</v>
      </c>
      <c r="G1883" s="967">
        <v>16550</v>
      </c>
      <c r="H1883" s="967">
        <v>16750</v>
      </c>
      <c r="I1883" s="967">
        <v>16250</v>
      </c>
      <c r="J1883" s="967">
        <v>1084720</v>
      </c>
      <c r="K1883" s="967">
        <v>65148322</v>
      </c>
    </row>
    <row r="1884" spans="2:11" s="1258" customFormat="1" ht="16" hidden="1" outlineLevel="1">
      <c r="B1884" s="968" t="s">
        <v>2497</v>
      </c>
      <c r="C1884" s="967">
        <v>16400</v>
      </c>
      <c r="D1884" s="967" t="s">
        <v>2215</v>
      </c>
      <c r="E1884" s="967">
        <v>263783</v>
      </c>
      <c r="F1884" s="967">
        <v>4433778200</v>
      </c>
      <c r="G1884" s="967">
        <v>16900</v>
      </c>
      <c r="H1884" s="967">
        <v>17200</v>
      </c>
      <c r="I1884" s="967">
        <v>16300</v>
      </c>
      <c r="J1884" s="967">
        <v>1068432</v>
      </c>
      <c r="K1884" s="967">
        <v>65148322</v>
      </c>
    </row>
    <row r="1885" spans="2:11" s="1258" customFormat="1" ht="16" hidden="1" outlineLevel="1">
      <c r="B1885" s="968" t="s">
        <v>2496</v>
      </c>
      <c r="C1885" s="967">
        <v>16700</v>
      </c>
      <c r="D1885" s="967" t="s">
        <v>2228</v>
      </c>
      <c r="E1885" s="967">
        <v>166756</v>
      </c>
      <c r="F1885" s="967">
        <v>2821085800</v>
      </c>
      <c r="G1885" s="967">
        <v>16850</v>
      </c>
      <c r="H1885" s="967">
        <v>17200</v>
      </c>
      <c r="I1885" s="967">
        <v>16700</v>
      </c>
      <c r="J1885" s="967">
        <v>1087977</v>
      </c>
      <c r="K1885" s="967">
        <v>65148322</v>
      </c>
    </row>
    <row r="1886" spans="2:11" s="1258" customFormat="1" ht="16" hidden="1" outlineLevel="1">
      <c r="B1886" s="968" t="s">
        <v>2495</v>
      </c>
      <c r="C1886" s="967">
        <v>16800</v>
      </c>
      <c r="D1886" s="967" t="s">
        <v>2232</v>
      </c>
      <c r="E1886" s="967">
        <v>206179</v>
      </c>
      <c r="F1886" s="967">
        <v>3467739700</v>
      </c>
      <c r="G1886" s="967">
        <v>16400</v>
      </c>
      <c r="H1886" s="967">
        <v>17100</v>
      </c>
      <c r="I1886" s="967">
        <v>16400</v>
      </c>
      <c r="J1886" s="967">
        <v>1094492</v>
      </c>
      <c r="K1886" s="967">
        <v>65148322</v>
      </c>
    </row>
    <row r="1887" spans="2:11" s="1258" customFormat="1" ht="16" hidden="1" outlineLevel="1">
      <c r="B1887" s="968" t="s">
        <v>2494</v>
      </c>
      <c r="C1887" s="967">
        <v>16600</v>
      </c>
      <c r="D1887" s="967" t="s">
        <v>2232</v>
      </c>
      <c r="E1887" s="967">
        <v>101035</v>
      </c>
      <c r="F1887" s="967">
        <v>1675465600</v>
      </c>
      <c r="G1887" s="967">
        <v>16500</v>
      </c>
      <c r="H1887" s="967">
        <v>16750</v>
      </c>
      <c r="I1887" s="967">
        <v>16300</v>
      </c>
      <c r="J1887" s="967">
        <v>1081462</v>
      </c>
      <c r="K1887" s="967">
        <v>65148322</v>
      </c>
    </row>
    <row r="1888" spans="2:11" s="1258" customFormat="1" ht="16" hidden="1" outlineLevel="1">
      <c r="B1888" s="968" t="s">
        <v>2493</v>
      </c>
      <c r="C1888" s="967">
        <v>16400</v>
      </c>
      <c r="D1888" s="967" t="s">
        <v>2214</v>
      </c>
      <c r="E1888" s="967">
        <v>137592</v>
      </c>
      <c r="F1888" s="967">
        <v>2272864500</v>
      </c>
      <c r="G1888" s="967">
        <v>16050</v>
      </c>
      <c r="H1888" s="967">
        <v>16850</v>
      </c>
      <c r="I1888" s="967">
        <v>16050</v>
      </c>
      <c r="J1888" s="967">
        <v>1068432</v>
      </c>
      <c r="K1888" s="967">
        <v>65148322</v>
      </c>
    </row>
    <row r="1889" spans="2:11" s="1258" customFormat="1" ht="16" hidden="1" outlineLevel="1">
      <c r="B1889" s="968" t="s">
        <v>2492</v>
      </c>
      <c r="C1889" s="967">
        <v>16000</v>
      </c>
      <c r="D1889" s="967" t="s">
        <v>2225</v>
      </c>
      <c r="E1889" s="967">
        <v>60229</v>
      </c>
      <c r="F1889" s="967">
        <v>961224350</v>
      </c>
      <c r="G1889" s="967">
        <v>15900</v>
      </c>
      <c r="H1889" s="967">
        <v>16150</v>
      </c>
      <c r="I1889" s="967">
        <v>15850</v>
      </c>
      <c r="J1889" s="967">
        <v>1042373</v>
      </c>
      <c r="K1889" s="967">
        <v>65148322</v>
      </c>
    </row>
    <row r="1890" spans="2:11" s="1258" customFormat="1" ht="16" hidden="1" outlineLevel="1">
      <c r="B1890" s="968" t="s">
        <v>2491</v>
      </c>
      <c r="C1890" s="967">
        <v>16150</v>
      </c>
      <c r="D1890" s="967" t="s">
        <v>2232</v>
      </c>
      <c r="E1890" s="967">
        <v>53129</v>
      </c>
      <c r="F1890" s="967">
        <v>859797450</v>
      </c>
      <c r="G1890" s="967">
        <v>16050</v>
      </c>
      <c r="H1890" s="967">
        <v>16400</v>
      </c>
      <c r="I1890" s="967">
        <v>16050</v>
      </c>
      <c r="J1890" s="967">
        <v>1052145</v>
      </c>
      <c r="K1890" s="967">
        <v>65148322</v>
      </c>
    </row>
    <row r="1891" spans="2:11" s="1258" customFormat="1" ht="16" hidden="1" outlineLevel="1">
      <c r="B1891" s="968" t="s">
        <v>2490</v>
      </c>
      <c r="C1891" s="967">
        <v>15950</v>
      </c>
      <c r="D1891" s="967" t="s">
        <v>2212</v>
      </c>
      <c r="E1891" s="967">
        <v>82236</v>
      </c>
      <c r="F1891" s="967">
        <v>1313062200</v>
      </c>
      <c r="G1891" s="967">
        <v>15950</v>
      </c>
      <c r="H1891" s="967">
        <v>16150</v>
      </c>
      <c r="I1891" s="967">
        <v>15750</v>
      </c>
      <c r="J1891" s="967">
        <v>1039116</v>
      </c>
      <c r="K1891" s="967">
        <v>65148322</v>
      </c>
    </row>
    <row r="1892" spans="2:11" s="1258" customFormat="1" ht="16" hidden="1" outlineLevel="1">
      <c r="B1892" s="968" t="s">
        <v>2489</v>
      </c>
      <c r="C1892" s="967">
        <v>15850</v>
      </c>
      <c r="D1892" s="967" t="s">
        <v>2210</v>
      </c>
      <c r="E1892" s="967">
        <v>90934</v>
      </c>
      <c r="F1892" s="967">
        <v>1462394900</v>
      </c>
      <c r="G1892" s="967">
        <v>16500</v>
      </c>
      <c r="H1892" s="967">
        <v>16500</v>
      </c>
      <c r="I1892" s="967">
        <v>15850</v>
      </c>
      <c r="J1892" s="967">
        <v>1032601</v>
      </c>
      <c r="K1892" s="967">
        <v>65148322</v>
      </c>
    </row>
    <row r="1893" spans="2:11" s="1258" customFormat="1" ht="16" hidden="1" outlineLevel="1">
      <c r="B1893" s="968" t="s">
        <v>2488</v>
      </c>
      <c r="C1893" s="967">
        <v>16300</v>
      </c>
      <c r="D1893" s="967" t="s">
        <v>2211</v>
      </c>
      <c r="E1893" s="967">
        <v>85453</v>
      </c>
      <c r="F1893" s="967">
        <v>1396498000</v>
      </c>
      <c r="G1893" s="967">
        <v>16600</v>
      </c>
      <c r="H1893" s="967">
        <v>16700</v>
      </c>
      <c r="I1893" s="967">
        <v>16100</v>
      </c>
      <c r="J1893" s="967">
        <v>1061918</v>
      </c>
      <c r="K1893" s="967">
        <v>65148322</v>
      </c>
    </row>
    <row r="1894" spans="2:11" s="1258" customFormat="1" ht="16" hidden="1" outlineLevel="1">
      <c r="B1894" s="968" t="s">
        <v>2487</v>
      </c>
      <c r="C1894" s="967">
        <v>16700</v>
      </c>
      <c r="D1894" s="967" t="s">
        <v>2228</v>
      </c>
      <c r="E1894" s="967">
        <v>90487</v>
      </c>
      <c r="F1894" s="967">
        <v>1504943600</v>
      </c>
      <c r="G1894" s="967">
        <v>17000</v>
      </c>
      <c r="H1894" s="967">
        <v>17000</v>
      </c>
      <c r="I1894" s="967">
        <v>16400</v>
      </c>
      <c r="J1894" s="967">
        <v>1087977</v>
      </c>
      <c r="K1894" s="967">
        <v>65148322</v>
      </c>
    </row>
    <row r="1895" spans="2:11" s="1258" customFormat="1" ht="16" hidden="1" outlineLevel="1">
      <c r="B1895" s="968" t="s">
        <v>2485</v>
      </c>
      <c r="C1895" s="967">
        <v>16800</v>
      </c>
      <c r="D1895" s="967" t="s">
        <v>2300</v>
      </c>
      <c r="E1895" s="967">
        <v>334827</v>
      </c>
      <c r="F1895" s="967">
        <v>5578053750</v>
      </c>
      <c r="G1895" s="967">
        <v>16350</v>
      </c>
      <c r="H1895" s="967">
        <v>17150</v>
      </c>
      <c r="I1895" s="967">
        <v>16200</v>
      </c>
      <c r="J1895" s="967">
        <v>1094492</v>
      </c>
      <c r="K1895" s="967">
        <v>65148322</v>
      </c>
    </row>
    <row r="1896" spans="2:11" s="1258" customFormat="1" ht="16" hidden="1" outlineLevel="1">
      <c r="B1896" s="968" t="s">
        <v>2484</v>
      </c>
      <c r="C1896" s="967">
        <v>15650</v>
      </c>
      <c r="D1896" s="967" t="s">
        <v>2229</v>
      </c>
      <c r="E1896" s="967">
        <v>121397</v>
      </c>
      <c r="F1896" s="967">
        <v>1922759050</v>
      </c>
      <c r="G1896" s="967">
        <v>16050</v>
      </c>
      <c r="H1896" s="967">
        <v>16250</v>
      </c>
      <c r="I1896" s="967">
        <v>15650</v>
      </c>
      <c r="J1896" s="967">
        <v>1019571</v>
      </c>
      <c r="K1896" s="967">
        <v>65148322</v>
      </c>
    </row>
    <row r="1897" spans="2:11" s="1258" customFormat="1" ht="16" hidden="1" outlineLevel="1">
      <c r="B1897" s="966" t="s">
        <v>2483</v>
      </c>
      <c r="C1897" s="965">
        <v>16000</v>
      </c>
      <c r="D1897" s="965" t="s">
        <v>2293</v>
      </c>
      <c r="E1897" s="965">
        <v>122243</v>
      </c>
      <c r="F1897" s="965">
        <v>1976906100</v>
      </c>
      <c r="G1897" s="965">
        <v>16500</v>
      </c>
      <c r="H1897" s="965">
        <v>16500</v>
      </c>
      <c r="I1897" s="965">
        <v>15950</v>
      </c>
      <c r="J1897" s="965">
        <v>1042373</v>
      </c>
      <c r="K1897" s="965">
        <v>65148322</v>
      </c>
    </row>
    <row r="1898" spans="2:11" s="1258" customFormat="1" ht="16" hidden="1" outlineLevel="1">
      <c r="B1898" s="966" t="s">
        <v>2482</v>
      </c>
      <c r="C1898" s="965">
        <v>16250</v>
      </c>
      <c r="D1898" s="965" t="s">
        <v>2219</v>
      </c>
      <c r="E1898" s="965">
        <v>119254</v>
      </c>
      <c r="F1898" s="965">
        <v>1952731850</v>
      </c>
      <c r="G1898" s="965">
        <v>16300</v>
      </c>
      <c r="H1898" s="965">
        <v>16550</v>
      </c>
      <c r="I1898" s="965">
        <v>16200</v>
      </c>
      <c r="J1898" s="965">
        <v>1058660</v>
      </c>
      <c r="K1898" s="965">
        <v>65148322</v>
      </c>
    </row>
    <row r="1899" spans="2:11" s="1258" customFormat="1" ht="16" hidden="1" outlineLevel="1">
      <c r="B1899" s="966" t="s">
        <v>2481</v>
      </c>
      <c r="C1899" s="965">
        <v>16100</v>
      </c>
      <c r="D1899" s="965" t="s">
        <v>2222</v>
      </c>
      <c r="E1899" s="965">
        <v>228045</v>
      </c>
      <c r="F1899" s="965">
        <v>3725159150</v>
      </c>
      <c r="G1899" s="965">
        <v>16800</v>
      </c>
      <c r="H1899" s="965">
        <v>16900</v>
      </c>
      <c r="I1899" s="965">
        <v>16100</v>
      </c>
      <c r="J1899" s="965">
        <v>1048888</v>
      </c>
      <c r="K1899" s="965">
        <v>65148322</v>
      </c>
    </row>
    <row r="1900" spans="2:11" s="1258" customFormat="1" ht="16" hidden="1" outlineLevel="1">
      <c r="B1900" s="966" t="s">
        <v>2479</v>
      </c>
      <c r="C1900" s="965">
        <v>16700</v>
      </c>
      <c r="D1900" s="965" t="s">
        <v>2207</v>
      </c>
      <c r="E1900" s="965">
        <v>127107</v>
      </c>
      <c r="F1900" s="965">
        <v>2138642050</v>
      </c>
      <c r="G1900" s="965">
        <v>16900</v>
      </c>
      <c r="H1900" s="965">
        <v>17050</v>
      </c>
      <c r="I1900" s="965">
        <v>16700</v>
      </c>
      <c r="J1900" s="965">
        <v>1087977</v>
      </c>
      <c r="K1900" s="965">
        <v>65148322</v>
      </c>
    </row>
    <row r="1901" spans="2:11" s="1258" customFormat="1" ht="16" hidden="1" outlineLevel="1">
      <c r="B1901" s="966" t="s">
        <v>2478</v>
      </c>
      <c r="C1901" s="965">
        <v>16650</v>
      </c>
      <c r="D1901" s="965" t="s">
        <v>2226</v>
      </c>
      <c r="E1901" s="965">
        <v>205465</v>
      </c>
      <c r="F1901" s="965">
        <v>3469714150</v>
      </c>
      <c r="G1901" s="965">
        <v>16700</v>
      </c>
      <c r="H1901" s="965">
        <v>17200</v>
      </c>
      <c r="I1901" s="965">
        <v>16600</v>
      </c>
      <c r="J1901" s="965">
        <v>1084720</v>
      </c>
      <c r="K1901" s="965">
        <v>65148322</v>
      </c>
    </row>
    <row r="1902" spans="2:11" s="1258" customFormat="1" ht="16" hidden="1" outlineLevel="1">
      <c r="B1902" s="966" t="s">
        <v>2477</v>
      </c>
      <c r="C1902" s="965">
        <v>16700</v>
      </c>
      <c r="D1902" s="965" t="s">
        <v>2221</v>
      </c>
      <c r="E1902" s="965">
        <v>162570</v>
      </c>
      <c r="F1902" s="965">
        <v>2731287000</v>
      </c>
      <c r="G1902" s="965">
        <v>16850</v>
      </c>
      <c r="H1902" s="965">
        <v>17100</v>
      </c>
      <c r="I1902" s="965">
        <v>16650</v>
      </c>
      <c r="J1902" s="965">
        <v>1087977</v>
      </c>
      <c r="K1902" s="965">
        <v>65148322</v>
      </c>
    </row>
    <row r="1903" spans="2:11" s="1258" customFormat="1" ht="16" hidden="1" outlineLevel="1">
      <c r="B1903" s="966" t="s">
        <v>2476</v>
      </c>
      <c r="C1903" s="965">
        <v>16700</v>
      </c>
      <c r="D1903" s="965" t="s">
        <v>2232</v>
      </c>
      <c r="E1903" s="965">
        <v>149961</v>
      </c>
      <c r="F1903" s="965">
        <v>2511668700</v>
      </c>
      <c r="G1903" s="965">
        <v>16650</v>
      </c>
      <c r="H1903" s="965">
        <v>17000</v>
      </c>
      <c r="I1903" s="965">
        <v>16550</v>
      </c>
      <c r="J1903" s="965">
        <v>1087977</v>
      </c>
      <c r="K1903" s="965">
        <v>65148322</v>
      </c>
    </row>
    <row r="1904" spans="2:11" s="1258" customFormat="1" ht="16" hidden="1" outlineLevel="1">
      <c r="B1904" s="966" t="s">
        <v>2475</v>
      </c>
      <c r="C1904" s="965">
        <v>16500</v>
      </c>
      <c r="D1904" s="965" t="s">
        <v>2211</v>
      </c>
      <c r="E1904" s="965">
        <v>182611</v>
      </c>
      <c r="F1904" s="965">
        <v>3031224000</v>
      </c>
      <c r="G1904" s="965">
        <v>16650</v>
      </c>
      <c r="H1904" s="965">
        <v>16950</v>
      </c>
      <c r="I1904" s="965">
        <v>16150</v>
      </c>
      <c r="J1904" s="965">
        <v>1074947</v>
      </c>
      <c r="K1904" s="965">
        <v>65148322</v>
      </c>
    </row>
    <row r="1905" spans="2:11" s="1258" customFormat="1" ht="16" hidden="1" outlineLevel="1">
      <c r="B1905" s="966" t="s">
        <v>2474</v>
      </c>
      <c r="C1905" s="965">
        <v>16900</v>
      </c>
      <c r="D1905" s="965" t="s">
        <v>2222</v>
      </c>
      <c r="E1905" s="965">
        <v>225380</v>
      </c>
      <c r="F1905" s="965">
        <v>3886099200</v>
      </c>
      <c r="G1905" s="965">
        <v>17600</v>
      </c>
      <c r="H1905" s="965">
        <v>17800</v>
      </c>
      <c r="I1905" s="965">
        <v>16850</v>
      </c>
      <c r="J1905" s="965">
        <v>1101007</v>
      </c>
      <c r="K1905" s="965">
        <v>65148322</v>
      </c>
    </row>
    <row r="1906" spans="2:11" s="1258" customFormat="1" ht="16" hidden="1" outlineLevel="1">
      <c r="B1906" s="966" t="s">
        <v>2473</v>
      </c>
      <c r="C1906" s="965">
        <v>17500</v>
      </c>
      <c r="D1906" s="965" t="s">
        <v>2212</v>
      </c>
      <c r="E1906" s="965">
        <v>117669</v>
      </c>
      <c r="F1906" s="965">
        <v>2051818650</v>
      </c>
      <c r="G1906" s="965">
        <v>17250</v>
      </c>
      <c r="H1906" s="965">
        <v>17650</v>
      </c>
      <c r="I1906" s="965">
        <v>17250</v>
      </c>
      <c r="J1906" s="965">
        <v>1140096</v>
      </c>
      <c r="K1906" s="965">
        <v>65148322</v>
      </c>
    </row>
    <row r="1907" spans="2:11" s="1258" customFormat="1" ht="16" hidden="1" outlineLevel="1">
      <c r="B1907" s="966" t="s">
        <v>2472</v>
      </c>
      <c r="C1907" s="965">
        <v>17400</v>
      </c>
      <c r="D1907" s="965" t="s">
        <v>2293</v>
      </c>
      <c r="E1907" s="965">
        <v>135156</v>
      </c>
      <c r="F1907" s="965">
        <v>2351637900</v>
      </c>
      <c r="G1907" s="965">
        <v>17650</v>
      </c>
      <c r="H1907" s="965">
        <v>17750</v>
      </c>
      <c r="I1907" s="965">
        <v>17250</v>
      </c>
      <c r="J1907" s="965">
        <v>1133581</v>
      </c>
      <c r="K1907" s="965">
        <v>65148322</v>
      </c>
    </row>
    <row r="1908" spans="2:11" s="1258" customFormat="1" ht="16" hidden="1" outlineLevel="1">
      <c r="B1908" s="966" t="s">
        <v>2471</v>
      </c>
      <c r="C1908" s="965">
        <v>17650</v>
      </c>
      <c r="D1908" s="965" t="s">
        <v>2214</v>
      </c>
      <c r="E1908" s="965">
        <v>108559</v>
      </c>
      <c r="F1908" s="965">
        <v>1889547400</v>
      </c>
      <c r="G1908" s="965">
        <v>17300</v>
      </c>
      <c r="H1908" s="965">
        <v>17650</v>
      </c>
      <c r="I1908" s="965">
        <v>17200</v>
      </c>
      <c r="J1908" s="965">
        <v>1149868</v>
      </c>
      <c r="K1908" s="965">
        <v>65148322</v>
      </c>
    </row>
    <row r="1909" spans="2:11" s="1258" customFormat="1" ht="16" hidden="1" outlineLevel="1">
      <c r="B1909" s="966" t="s">
        <v>2470</v>
      </c>
      <c r="C1909" s="965">
        <v>17250</v>
      </c>
      <c r="D1909" s="965" t="s">
        <v>2728</v>
      </c>
      <c r="E1909" s="965">
        <v>299603</v>
      </c>
      <c r="F1909" s="965">
        <v>5300909150</v>
      </c>
      <c r="G1909" s="965">
        <v>18100</v>
      </c>
      <c r="H1909" s="965">
        <v>18100</v>
      </c>
      <c r="I1909" s="965">
        <v>17250</v>
      </c>
      <c r="J1909" s="965">
        <v>1123809</v>
      </c>
      <c r="K1909" s="965">
        <v>65148322</v>
      </c>
    </row>
    <row r="1910" spans="2:11" s="1258" customFormat="1" ht="16" hidden="1" outlineLevel="1">
      <c r="B1910" s="966" t="s">
        <v>2468</v>
      </c>
      <c r="C1910" s="965">
        <v>18200</v>
      </c>
      <c r="D1910" s="965" t="s">
        <v>2216</v>
      </c>
      <c r="E1910" s="965">
        <v>360522</v>
      </c>
      <c r="F1910" s="965">
        <v>6437290950</v>
      </c>
      <c r="G1910" s="965">
        <v>17500</v>
      </c>
      <c r="H1910" s="965">
        <v>18200</v>
      </c>
      <c r="I1910" s="965">
        <v>17400</v>
      </c>
      <c r="J1910" s="965">
        <v>1185699</v>
      </c>
      <c r="K1910" s="965">
        <v>65148322</v>
      </c>
    </row>
    <row r="1911" spans="2:11" s="1258" customFormat="1" ht="16" hidden="1" outlineLevel="1">
      <c r="B1911" s="966" t="s">
        <v>2467</v>
      </c>
      <c r="C1911" s="965">
        <v>17350</v>
      </c>
      <c r="D1911" s="965" t="s">
        <v>2226</v>
      </c>
      <c r="E1911" s="965">
        <v>157690</v>
      </c>
      <c r="F1911" s="965">
        <v>2759639800</v>
      </c>
      <c r="G1911" s="965">
        <v>17300</v>
      </c>
      <c r="H1911" s="965">
        <v>17700</v>
      </c>
      <c r="I1911" s="965">
        <v>17250</v>
      </c>
      <c r="J1911" s="965">
        <v>1130323</v>
      </c>
      <c r="K1911" s="965">
        <v>65148322</v>
      </c>
    </row>
    <row r="1912" spans="2:11" s="1258" customFormat="1" ht="16" hidden="1" outlineLevel="1">
      <c r="B1912" s="966" t="s">
        <v>2466</v>
      </c>
      <c r="C1912" s="965">
        <v>17400</v>
      </c>
      <c r="D1912" s="965" t="s">
        <v>2213</v>
      </c>
      <c r="E1912" s="965">
        <v>126837</v>
      </c>
      <c r="F1912" s="965">
        <v>2201852300</v>
      </c>
      <c r="G1912" s="965">
        <v>17350</v>
      </c>
      <c r="H1912" s="965">
        <v>17600</v>
      </c>
      <c r="I1912" s="965">
        <v>17200</v>
      </c>
      <c r="J1912" s="965">
        <v>1133581</v>
      </c>
      <c r="K1912" s="965">
        <v>65148322</v>
      </c>
    </row>
    <row r="1913" spans="2:11" s="1258" customFormat="1" ht="16" hidden="1" outlineLevel="1">
      <c r="B1913" s="966" t="s">
        <v>2465</v>
      </c>
      <c r="C1913" s="965">
        <v>17150</v>
      </c>
      <c r="D1913" s="965" t="s">
        <v>2294</v>
      </c>
      <c r="E1913" s="965">
        <v>237011</v>
      </c>
      <c r="F1913" s="965">
        <v>4119206600</v>
      </c>
      <c r="G1913" s="965">
        <v>17800</v>
      </c>
      <c r="H1913" s="965">
        <v>17900</v>
      </c>
      <c r="I1913" s="965">
        <v>17050</v>
      </c>
      <c r="J1913" s="965">
        <v>1117294</v>
      </c>
      <c r="K1913" s="965">
        <v>65148322</v>
      </c>
    </row>
    <row r="1914" spans="2:11" s="1258" customFormat="1" ht="16" hidden="1" outlineLevel="1">
      <c r="B1914" s="966" t="s">
        <v>2464</v>
      </c>
      <c r="C1914" s="965">
        <v>17700</v>
      </c>
      <c r="D1914" s="965" t="s">
        <v>2215</v>
      </c>
      <c r="E1914" s="965">
        <v>162724</v>
      </c>
      <c r="F1914" s="965">
        <v>2923300400</v>
      </c>
      <c r="G1914" s="965">
        <v>18200</v>
      </c>
      <c r="H1914" s="965">
        <v>18200</v>
      </c>
      <c r="I1914" s="965">
        <v>17700</v>
      </c>
      <c r="J1914" s="965">
        <v>1153125</v>
      </c>
      <c r="K1914" s="965">
        <v>65148322</v>
      </c>
    </row>
    <row r="1915" spans="2:11" s="1258" customFormat="1" ht="16" hidden="1" outlineLevel="1">
      <c r="B1915" s="966" t="s">
        <v>2463</v>
      </c>
      <c r="C1915" s="965">
        <v>18000</v>
      </c>
      <c r="D1915" s="965" t="s">
        <v>2214</v>
      </c>
      <c r="E1915" s="965">
        <v>304120</v>
      </c>
      <c r="F1915" s="965">
        <v>5465585100</v>
      </c>
      <c r="G1915" s="965">
        <v>17650</v>
      </c>
      <c r="H1915" s="965">
        <v>18250</v>
      </c>
      <c r="I1915" s="965">
        <v>17650</v>
      </c>
      <c r="J1915" s="965">
        <v>1172670</v>
      </c>
      <c r="K1915" s="965">
        <v>65148322</v>
      </c>
    </row>
    <row r="1916" spans="2:11" s="1258" customFormat="1" ht="16" hidden="1" outlineLevel="1">
      <c r="B1916" s="966" t="s">
        <v>2461</v>
      </c>
      <c r="C1916" s="965">
        <v>17600</v>
      </c>
      <c r="D1916" s="965" t="s">
        <v>2225</v>
      </c>
      <c r="E1916" s="965">
        <v>280155</v>
      </c>
      <c r="F1916" s="965">
        <v>4992838700</v>
      </c>
      <c r="G1916" s="965">
        <v>17650</v>
      </c>
      <c r="H1916" s="965">
        <v>18200</v>
      </c>
      <c r="I1916" s="965">
        <v>17450</v>
      </c>
      <c r="J1916" s="965">
        <v>1146610</v>
      </c>
      <c r="K1916" s="965">
        <v>65148322</v>
      </c>
    </row>
    <row r="1917" spans="2:11" s="1258" customFormat="1" ht="16" hidden="1" outlineLevel="1">
      <c r="B1917" s="966" t="s">
        <v>2459</v>
      </c>
      <c r="C1917" s="965">
        <v>17750</v>
      </c>
      <c r="D1917" s="965" t="s">
        <v>2213</v>
      </c>
      <c r="E1917" s="965">
        <v>181615</v>
      </c>
      <c r="F1917" s="965">
        <v>3189812900</v>
      </c>
      <c r="G1917" s="965">
        <v>17450</v>
      </c>
      <c r="H1917" s="965">
        <v>17800</v>
      </c>
      <c r="I1917" s="965">
        <v>17300</v>
      </c>
      <c r="J1917" s="965">
        <v>1156383</v>
      </c>
      <c r="K1917" s="965">
        <v>65148322</v>
      </c>
    </row>
    <row r="1918" spans="2:11" s="1258" customFormat="1" ht="16" hidden="1" outlineLevel="1">
      <c r="B1918" s="966" t="s">
        <v>2457</v>
      </c>
      <c r="C1918" s="965">
        <v>17500</v>
      </c>
      <c r="D1918" s="965" t="s">
        <v>2246</v>
      </c>
      <c r="E1918" s="965">
        <v>779938</v>
      </c>
      <c r="F1918" s="965">
        <v>13765122100</v>
      </c>
      <c r="G1918" s="965">
        <v>16750</v>
      </c>
      <c r="H1918" s="965">
        <v>18500</v>
      </c>
      <c r="I1918" s="965">
        <v>16650</v>
      </c>
      <c r="J1918" s="965">
        <v>1140096</v>
      </c>
      <c r="K1918" s="965">
        <v>65148322</v>
      </c>
    </row>
    <row r="1919" spans="2:11" s="1258" customFormat="1" ht="16" hidden="1" outlineLevel="1">
      <c r="B1919" s="966" t="s">
        <v>2455</v>
      </c>
      <c r="C1919" s="965">
        <v>16600</v>
      </c>
      <c r="D1919" s="965" t="s">
        <v>2219</v>
      </c>
      <c r="E1919" s="965">
        <v>95896</v>
      </c>
      <c r="F1919" s="965">
        <v>1598424300</v>
      </c>
      <c r="G1919" s="965">
        <v>16400</v>
      </c>
      <c r="H1919" s="965">
        <v>16900</v>
      </c>
      <c r="I1919" s="965">
        <v>16400</v>
      </c>
      <c r="J1919" s="965">
        <v>1081462</v>
      </c>
      <c r="K1919" s="965">
        <v>65148322</v>
      </c>
    </row>
    <row r="1920" spans="2:11" s="1258" customFormat="1" ht="16" hidden="1" outlineLevel="1">
      <c r="B1920" s="966" t="s">
        <v>2454</v>
      </c>
      <c r="C1920" s="965">
        <v>16450</v>
      </c>
      <c r="D1920" s="965" t="s">
        <v>2226</v>
      </c>
      <c r="E1920" s="965">
        <v>67566</v>
      </c>
      <c r="F1920" s="965">
        <v>1115888200</v>
      </c>
      <c r="G1920" s="965">
        <v>16600</v>
      </c>
      <c r="H1920" s="965">
        <v>16750</v>
      </c>
      <c r="I1920" s="965">
        <v>16400</v>
      </c>
      <c r="J1920" s="965">
        <v>1071690</v>
      </c>
      <c r="K1920" s="965">
        <v>65148322</v>
      </c>
    </row>
    <row r="1921" spans="2:11" s="1258" customFormat="1" ht="16" hidden="1" outlineLevel="1">
      <c r="B1921" s="966" t="s">
        <v>2453</v>
      </c>
      <c r="C1921" s="965">
        <v>16500</v>
      </c>
      <c r="D1921" s="965" t="s">
        <v>2224</v>
      </c>
      <c r="E1921" s="965">
        <v>95710</v>
      </c>
      <c r="F1921" s="965">
        <v>1586280600</v>
      </c>
      <c r="G1921" s="965">
        <v>16950</v>
      </c>
      <c r="H1921" s="965">
        <v>16950</v>
      </c>
      <c r="I1921" s="965">
        <v>16400</v>
      </c>
      <c r="J1921" s="965">
        <v>1074947</v>
      </c>
      <c r="K1921" s="965">
        <v>65148322</v>
      </c>
    </row>
    <row r="1922" spans="2:11" s="1258" customFormat="1" ht="16" hidden="1" outlineLevel="1">
      <c r="B1922" s="966" t="s">
        <v>2451</v>
      </c>
      <c r="C1922" s="965">
        <v>16700</v>
      </c>
      <c r="D1922" s="965" t="s">
        <v>2213</v>
      </c>
      <c r="E1922" s="965">
        <v>292277</v>
      </c>
      <c r="F1922" s="965">
        <v>4951057950</v>
      </c>
      <c r="G1922" s="965">
        <v>16500</v>
      </c>
      <c r="H1922" s="965">
        <v>17300</v>
      </c>
      <c r="I1922" s="965">
        <v>16500</v>
      </c>
      <c r="J1922" s="965">
        <v>1087977</v>
      </c>
      <c r="K1922" s="965">
        <v>65148322</v>
      </c>
    </row>
    <row r="1923" spans="2:11" s="1258" customFormat="1" ht="16" hidden="1" outlineLevel="1">
      <c r="B1923" s="966" t="s">
        <v>2450</v>
      </c>
      <c r="C1923" s="965">
        <v>16450</v>
      </c>
      <c r="D1923" s="965" t="s">
        <v>2207</v>
      </c>
      <c r="E1923" s="965">
        <v>128026</v>
      </c>
      <c r="F1923" s="965">
        <v>2108817700</v>
      </c>
      <c r="G1923" s="965">
        <v>16550</v>
      </c>
      <c r="H1923" s="965">
        <v>16700</v>
      </c>
      <c r="I1923" s="965">
        <v>16200</v>
      </c>
      <c r="J1923" s="965">
        <v>1071690</v>
      </c>
      <c r="K1923" s="965">
        <v>65148322</v>
      </c>
    </row>
    <row r="1924" spans="2:11" s="1258" customFormat="1" ht="16" hidden="1" outlineLevel="1">
      <c r="B1924" s="966" t="s">
        <v>2449</v>
      </c>
      <c r="C1924" s="965">
        <v>16400</v>
      </c>
      <c r="D1924" s="965" t="s">
        <v>2226</v>
      </c>
      <c r="E1924" s="965">
        <v>320251</v>
      </c>
      <c r="F1924" s="965">
        <v>5391486950</v>
      </c>
      <c r="G1924" s="965">
        <v>16550</v>
      </c>
      <c r="H1924" s="965">
        <v>17250</v>
      </c>
      <c r="I1924" s="965">
        <v>16400</v>
      </c>
      <c r="J1924" s="965">
        <v>1068432</v>
      </c>
      <c r="K1924" s="965">
        <v>65148322</v>
      </c>
    </row>
    <row r="1925" spans="2:11" s="1258" customFormat="1" ht="16" hidden="1" outlineLevel="1">
      <c r="B1925" s="966" t="s">
        <v>2448</v>
      </c>
      <c r="C1925" s="965">
        <v>16450</v>
      </c>
      <c r="D1925" s="965" t="s">
        <v>2231</v>
      </c>
      <c r="E1925" s="965">
        <v>203580</v>
      </c>
      <c r="F1925" s="965">
        <v>3323142250</v>
      </c>
      <c r="G1925" s="965">
        <v>15750</v>
      </c>
      <c r="H1925" s="965">
        <v>16700</v>
      </c>
      <c r="I1925" s="965">
        <v>15750</v>
      </c>
      <c r="J1925" s="965">
        <v>1071690</v>
      </c>
      <c r="K1925" s="965">
        <v>65148322</v>
      </c>
    </row>
    <row r="1926" spans="2:11" s="1258" customFormat="1" ht="16" hidden="1" outlineLevel="1">
      <c r="B1926" s="966" t="s">
        <v>2447</v>
      </c>
      <c r="C1926" s="965">
        <v>15700</v>
      </c>
      <c r="D1926" s="965" t="s">
        <v>2212</v>
      </c>
      <c r="E1926" s="965">
        <v>100488</v>
      </c>
      <c r="F1926" s="965">
        <v>1568363100</v>
      </c>
      <c r="G1926" s="965">
        <v>15650</v>
      </c>
      <c r="H1926" s="965">
        <v>15850</v>
      </c>
      <c r="I1926" s="965">
        <v>15400</v>
      </c>
      <c r="J1926" s="965">
        <v>1022829</v>
      </c>
      <c r="K1926" s="965">
        <v>65148322</v>
      </c>
    </row>
    <row r="1927" spans="2:11" s="1258" customFormat="1" ht="16" hidden="1" outlineLevel="1">
      <c r="B1927" s="966" t="s">
        <v>2446</v>
      </c>
      <c r="C1927" s="965">
        <v>15600</v>
      </c>
      <c r="D1927" s="965" t="s">
        <v>2212</v>
      </c>
      <c r="E1927" s="965">
        <v>128689</v>
      </c>
      <c r="F1927" s="965">
        <v>1972957400</v>
      </c>
      <c r="G1927" s="965">
        <v>15100</v>
      </c>
      <c r="H1927" s="965">
        <v>15700</v>
      </c>
      <c r="I1927" s="965">
        <v>15050</v>
      </c>
      <c r="J1927" s="965">
        <v>1016314</v>
      </c>
      <c r="K1927" s="965">
        <v>65148322</v>
      </c>
    </row>
    <row r="1928" spans="2:11" s="1258" customFormat="1" ht="16" hidden="1" outlineLevel="1">
      <c r="B1928" s="966" t="s">
        <v>2445</v>
      </c>
      <c r="C1928" s="965">
        <v>15500</v>
      </c>
      <c r="D1928" s="965" t="s">
        <v>2214</v>
      </c>
      <c r="E1928" s="965">
        <v>150032</v>
      </c>
      <c r="F1928" s="965">
        <v>2283253000</v>
      </c>
      <c r="G1928" s="965">
        <v>15250</v>
      </c>
      <c r="H1928" s="965">
        <v>15500</v>
      </c>
      <c r="I1928" s="965">
        <v>14900</v>
      </c>
      <c r="J1928" s="965">
        <v>1009799</v>
      </c>
      <c r="K1928" s="965">
        <v>65148322</v>
      </c>
    </row>
    <row r="1929" spans="2:11" s="1258" customFormat="1" ht="16" hidden="1" outlineLevel="1">
      <c r="B1929" s="966" t="s">
        <v>2443</v>
      </c>
      <c r="C1929" s="965">
        <v>15100</v>
      </c>
      <c r="D1929" s="965" t="s">
        <v>2294</v>
      </c>
      <c r="E1929" s="965">
        <v>296350</v>
      </c>
      <c r="F1929" s="965">
        <v>4543235000</v>
      </c>
      <c r="G1929" s="965">
        <v>15700</v>
      </c>
      <c r="H1929" s="965">
        <v>16050</v>
      </c>
      <c r="I1929" s="965">
        <v>14550</v>
      </c>
      <c r="J1929" s="965">
        <v>983740</v>
      </c>
      <c r="K1929" s="965">
        <v>65148322</v>
      </c>
    </row>
    <row r="1930" spans="2:11" s="1258" customFormat="1" ht="16" hidden="1" outlineLevel="1">
      <c r="B1930" s="966" t="s">
        <v>2441</v>
      </c>
      <c r="C1930" s="965">
        <v>15650</v>
      </c>
      <c r="D1930" s="965" t="s">
        <v>2218</v>
      </c>
      <c r="E1930" s="965">
        <v>329542</v>
      </c>
      <c r="F1930" s="965">
        <v>5209878300</v>
      </c>
      <c r="G1930" s="965">
        <v>16400</v>
      </c>
      <c r="H1930" s="965">
        <v>16500</v>
      </c>
      <c r="I1930" s="965">
        <v>15300</v>
      </c>
      <c r="J1930" s="965">
        <v>1019571</v>
      </c>
      <c r="K1930" s="965">
        <v>65148322</v>
      </c>
    </row>
    <row r="1931" spans="2:11" s="1258" customFormat="1" ht="16" hidden="1" outlineLevel="1">
      <c r="B1931" s="966" t="s">
        <v>2439</v>
      </c>
      <c r="C1931" s="965">
        <v>16800</v>
      </c>
      <c r="D1931" s="965" t="s">
        <v>2210</v>
      </c>
      <c r="E1931" s="965">
        <v>212896</v>
      </c>
      <c r="F1931" s="965">
        <v>3636037250</v>
      </c>
      <c r="G1931" s="965">
        <v>16900</v>
      </c>
      <c r="H1931" s="965">
        <v>17550</v>
      </c>
      <c r="I1931" s="965">
        <v>16800</v>
      </c>
      <c r="J1931" s="965">
        <v>1094492</v>
      </c>
      <c r="K1931" s="965">
        <v>65148322</v>
      </c>
    </row>
    <row r="1932" spans="2:11" s="1258" customFormat="1" ht="16" hidden="1" outlineLevel="1">
      <c r="B1932" s="966" t="s">
        <v>2438</v>
      </c>
      <c r="C1932" s="965">
        <v>17250</v>
      </c>
      <c r="D1932" s="965" t="s">
        <v>2206</v>
      </c>
      <c r="E1932" s="965">
        <v>538683</v>
      </c>
      <c r="F1932" s="965">
        <v>9307312450</v>
      </c>
      <c r="G1932" s="965">
        <v>16700</v>
      </c>
      <c r="H1932" s="965">
        <v>17650</v>
      </c>
      <c r="I1932" s="965">
        <v>16600</v>
      </c>
      <c r="J1932" s="965">
        <v>1123809</v>
      </c>
      <c r="K1932" s="965">
        <v>65148322</v>
      </c>
    </row>
    <row r="1933" spans="2:11" s="1258" customFormat="1" ht="16" hidden="1" outlineLevel="1">
      <c r="B1933" s="966" t="s">
        <v>2436</v>
      </c>
      <c r="C1933" s="965">
        <v>16700</v>
      </c>
      <c r="D1933" s="965" t="s">
        <v>2215</v>
      </c>
      <c r="E1933" s="965">
        <v>224436</v>
      </c>
      <c r="F1933" s="965">
        <v>3752374600</v>
      </c>
      <c r="G1933" s="965">
        <v>16950</v>
      </c>
      <c r="H1933" s="965">
        <v>17050</v>
      </c>
      <c r="I1933" s="965">
        <v>16550</v>
      </c>
      <c r="J1933" s="965">
        <v>1087977</v>
      </c>
      <c r="K1933" s="965">
        <v>65148322</v>
      </c>
    </row>
    <row r="1934" spans="2:11" s="1258" customFormat="1" ht="16" hidden="1" outlineLevel="1">
      <c r="B1934" s="966" t="s">
        <v>2435</v>
      </c>
      <c r="C1934" s="965">
        <v>17000</v>
      </c>
      <c r="D1934" s="965" t="s">
        <v>2300</v>
      </c>
      <c r="E1934" s="965">
        <v>658014</v>
      </c>
      <c r="F1934" s="965">
        <v>11093519100</v>
      </c>
      <c r="G1934" s="965">
        <v>16000</v>
      </c>
      <c r="H1934" s="965">
        <v>17300</v>
      </c>
      <c r="I1934" s="965">
        <v>15950</v>
      </c>
      <c r="J1934" s="965">
        <v>1107521</v>
      </c>
      <c r="K1934" s="965">
        <v>65148322</v>
      </c>
    </row>
    <row r="1935" spans="2:11" s="1258" customFormat="1" ht="16" hidden="1" outlineLevel="1">
      <c r="B1935" s="966" t="s">
        <v>2433</v>
      </c>
      <c r="C1935" s="965">
        <v>15850</v>
      </c>
      <c r="D1935" s="965" t="s">
        <v>2243</v>
      </c>
      <c r="E1935" s="965">
        <v>160879</v>
      </c>
      <c r="F1935" s="965">
        <v>2556881300</v>
      </c>
      <c r="G1935" s="965">
        <v>15800</v>
      </c>
      <c r="H1935" s="965">
        <v>16200</v>
      </c>
      <c r="I1935" s="965">
        <v>15600</v>
      </c>
      <c r="J1935" s="965">
        <v>1032601</v>
      </c>
      <c r="K1935" s="965">
        <v>65148322</v>
      </c>
    </row>
    <row r="1936" spans="2:11" s="1258" customFormat="1" ht="16" hidden="1" outlineLevel="1">
      <c r="B1936" s="966" t="s">
        <v>2431</v>
      </c>
      <c r="C1936" s="965">
        <v>15550</v>
      </c>
      <c r="D1936" s="965" t="s">
        <v>2212</v>
      </c>
      <c r="E1936" s="965">
        <v>125547</v>
      </c>
      <c r="F1936" s="965">
        <v>1957891250</v>
      </c>
      <c r="G1936" s="965">
        <v>15600</v>
      </c>
      <c r="H1936" s="965">
        <v>15800</v>
      </c>
      <c r="I1936" s="965">
        <v>15350</v>
      </c>
      <c r="J1936" s="965">
        <v>1013056</v>
      </c>
      <c r="K1936" s="965">
        <v>65148322</v>
      </c>
    </row>
    <row r="1937" spans="2:11" s="1258" customFormat="1" ht="16" hidden="1" outlineLevel="1">
      <c r="B1937" s="966" t="s">
        <v>2430</v>
      </c>
      <c r="C1937" s="965">
        <v>15450</v>
      </c>
      <c r="D1937" s="965" t="s">
        <v>2243</v>
      </c>
      <c r="E1937" s="965">
        <v>219356</v>
      </c>
      <c r="F1937" s="965">
        <v>3334626550</v>
      </c>
      <c r="G1937" s="965">
        <v>15150</v>
      </c>
      <c r="H1937" s="965">
        <v>15500</v>
      </c>
      <c r="I1937" s="965">
        <v>14800</v>
      </c>
      <c r="J1937" s="965">
        <v>1006542</v>
      </c>
      <c r="K1937" s="965">
        <v>65148322</v>
      </c>
    </row>
    <row r="1938" spans="2:11" s="1258" customFormat="1" ht="16" hidden="1" outlineLevel="1">
      <c r="B1938" s="966" t="s">
        <v>2428</v>
      </c>
      <c r="C1938" s="965">
        <v>15150</v>
      </c>
      <c r="D1938" s="965" t="s">
        <v>2248</v>
      </c>
      <c r="E1938" s="965">
        <v>278334</v>
      </c>
      <c r="F1938" s="965">
        <v>4308782600</v>
      </c>
      <c r="G1938" s="965">
        <v>16000</v>
      </c>
      <c r="H1938" s="965">
        <v>16100</v>
      </c>
      <c r="I1938" s="965">
        <v>15150</v>
      </c>
      <c r="J1938" s="965">
        <v>986997</v>
      </c>
      <c r="K1938" s="965">
        <v>65148322</v>
      </c>
    </row>
    <row r="1939" spans="2:11" s="1258" customFormat="1" ht="16" hidden="1" outlineLevel="1">
      <c r="B1939" s="966" t="s">
        <v>2427</v>
      </c>
      <c r="C1939" s="965">
        <v>16150</v>
      </c>
      <c r="D1939" s="965" t="s">
        <v>2213</v>
      </c>
      <c r="E1939" s="965">
        <v>106767</v>
      </c>
      <c r="F1939" s="965">
        <v>1723462050</v>
      </c>
      <c r="G1939" s="965">
        <v>16050</v>
      </c>
      <c r="H1939" s="965">
        <v>16450</v>
      </c>
      <c r="I1939" s="965">
        <v>15800</v>
      </c>
      <c r="J1939" s="965">
        <v>1052145</v>
      </c>
      <c r="K1939" s="965">
        <v>65148322</v>
      </c>
    </row>
    <row r="1940" spans="2:11" s="1258" customFormat="1" ht="16" hidden="1" outlineLevel="1">
      <c r="B1940" s="966" t="s">
        <v>2425</v>
      </c>
      <c r="C1940" s="965">
        <v>15900</v>
      </c>
      <c r="D1940" s="965" t="s">
        <v>2212</v>
      </c>
      <c r="E1940" s="965">
        <v>104346</v>
      </c>
      <c r="F1940" s="965">
        <v>1661188350</v>
      </c>
      <c r="G1940" s="965">
        <v>15800</v>
      </c>
      <c r="H1940" s="965">
        <v>16050</v>
      </c>
      <c r="I1940" s="965">
        <v>15800</v>
      </c>
      <c r="J1940" s="965">
        <v>1035858</v>
      </c>
      <c r="K1940" s="965">
        <v>65148322</v>
      </c>
    </row>
    <row r="1941" spans="2:11" s="1258" customFormat="1" ht="16" hidden="1" outlineLevel="1">
      <c r="B1941" s="966" t="s">
        <v>2423</v>
      </c>
      <c r="C1941" s="965">
        <v>15800</v>
      </c>
      <c r="D1941" s="965" t="s">
        <v>2224</v>
      </c>
      <c r="E1941" s="965">
        <v>120678</v>
      </c>
      <c r="F1941" s="965">
        <v>1931780600</v>
      </c>
      <c r="G1941" s="965">
        <v>16000</v>
      </c>
      <c r="H1941" s="965">
        <v>16350</v>
      </c>
      <c r="I1941" s="965">
        <v>15750</v>
      </c>
      <c r="J1941" s="965">
        <v>1029343</v>
      </c>
      <c r="K1941" s="965">
        <v>65148322</v>
      </c>
    </row>
    <row r="1942" spans="2:11" s="1258" customFormat="1" ht="16" hidden="1" outlineLevel="1">
      <c r="B1942" s="966" t="s">
        <v>2422</v>
      </c>
      <c r="C1942" s="965">
        <v>16000</v>
      </c>
      <c r="D1942" s="965" t="s">
        <v>2229</v>
      </c>
      <c r="E1942" s="965">
        <v>164880</v>
      </c>
      <c r="F1942" s="965">
        <v>2663364700</v>
      </c>
      <c r="G1942" s="965">
        <v>16100</v>
      </c>
      <c r="H1942" s="965">
        <v>16500</v>
      </c>
      <c r="I1942" s="965">
        <v>16000</v>
      </c>
      <c r="J1942" s="965">
        <v>1042373</v>
      </c>
      <c r="K1942" s="965">
        <v>65148322</v>
      </c>
    </row>
    <row r="1943" spans="2:11" s="1258" customFormat="1" ht="16" hidden="1" outlineLevel="1">
      <c r="B1943" s="966" t="s">
        <v>2420</v>
      </c>
      <c r="C1943" s="965">
        <v>16350</v>
      </c>
      <c r="D1943" s="965" t="s">
        <v>2234</v>
      </c>
      <c r="E1943" s="965">
        <v>208927</v>
      </c>
      <c r="F1943" s="965">
        <v>3463096400</v>
      </c>
      <c r="G1943" s="965">
        <v>16900</v>
      </c>
      <c r="H1943" s="965">
        <v>17050</v>
      </c>
      <c r="I1943" s="965">
        <v>16350</v>
      </c>
      <c r="J1943" s="965">
        <v>1065175</v>
      </c>
      <c r="K1943" s="965">
        <v>65148322</v>
      </c>
    </row>
    <row r="1944" spans="2:11" s="1258" customFormat="1" ht="16" hidden="1" outlineLevel="1">
      <c r="B1944" s="966" t="s">
        <v>2418</v>
      </c>
      <c r="C1944" s="965">
        <v>17050</v>
      </c>
      <c r="D1944" s="965" t="s">
        <v>2282</v>
      </c>
      <c r="E1944" s="965">
        <v>286050</v>
      </c>
      <c r="F1944" s="965">
        <v>4850229000</v>
      </c>
      <c r="G1944" s="965">
        <v>16550</v>
      </c>
      <c r="H1944" s="965">
        <v>17250</v>
      </c>
      <c r="I1944" s="965">
        <v>16450</v>
      </c>
      <c r="J1944" s="965">
        <v>1110779</v>
      </c>
      <c r="K1944" s="965">
        <v>65148322</v>
      </c>
    </row>
    <row r="1945" spans="2:11" s="1258" customFormat="1" ht="16" hidden="1" outlineLevel="1">
      <c r="B1945" s="966" t="s">
        <v>2417</v>
      </c>
      <c r="C1945" s="965">
        <v>16400</v>
      </c>
      <c r="D1945" s="965" t="s">
        <v>2221</v>
      </c>
      <c r="E1945" s="965">
        <v>215532</v>
      </c>
      <c r="F1945" s="965">
        <v>3582890900</v>
      </c>
      <c r="G1945" s="965">
        <v>16400</v>
      </c>
      <c r="H1945" s="965">
        <v>16950</v>
      </c>
      <c r="I1945" s="965">
        <v>16300</v>
      </c>
      <c r="J1945" s="965">
        <v>1068432</v>
      </c>
      <c r="K1945" s="965">
        <v>65148322</v>
      </c>
    </row>
    <row r="1946" spans="2:11" s="1258" customFormat="1" ht="16" hidden="1" outlineLevel="1">
      <c r="B1946" s="966" t="s">
        <v>2416</v>
      </c>
      <c r="C1946" s="965">
        <v>16400</v>
      </c>
      <c r="D1946" s="965" t="s">
        <v>2243</v>
      </c>
      <c r="E1946" s="965">
        <v>176002</v>
      </c>
      <c r="F1946" s="965">
        <v>2874478800</v>
      </c>
      <c r="G1946" s="965">
        <v>16150</v>
      </c>
      <c r="H1946" s="965">
        <v>16800</v>
      </c>
      <c r="I1946" s="965">
        <v>15950</v>
      </c>
      <c r="J1946" s="965">
        <v>1068432</v>
      </c>
      <c r="K1946" s="965">
        <v>65148322</v>
      </c>
    </row>
    <row r="1947" spans="2:11" s="1258" customFormat="1" ht="16" hidden="1" outlineLevel="1">
      <c r="B1947" s="966" t="s">
        <v>2414</v>
      </c>
      <c r="C1947" s="965">
        <v>16100</v>
      </c>
      <c r="D1947" s="965" t="s">
        <v>2225</v>
      </c>
      <c r="E1947" s="965">
        <v>152111</v>
      </c>
      <c r="F1947" s="965">
        <v>2471249100</v>
      </c>
      <c r="G1947" s="965">
        <v>16150</v>
      </c>
      <c r="H1947" s="965">
        <v>16600</v>
      </c>
      <c r="I1947" s="965">
        <v>15950</v>
      </c>
      <c r="J1947" s="965">
        <v>1048888</v>
      </c>
      <c r="K1947" s="965">
        <v>65148322</v>
      </c>
    </row>
    <row r="1948" spans="2:11" s="1258" customFormat="1" ht="16" hidden="1" outlineLevel="1">
      <c r="B1948" s="966" t="s">
        <v>2412</v>
      </c>
      <c r="C1948" s="965">
        <v>16250</v>
      </c>
      <c r="D1948" s="965" t="s">
        <v>2251</v>
      </c>
      <c r="E1948" s="965">
        <v>221612</v>
      </c>
      <c r="F1948" s="965">
        <v>3594252000</v>
      </c>
      <c r="G1948" s="965">
        <v>15700</v>
      </c>
      <c r="H1948" s="965">
        <v>16550</v>
      </c>
      <c r="I1948" s="965">
        <v>15700</v>
      </c>
      <c r="J1948" s="965">
        <v>1058660</v>
      </c>
      <c r="K1948" s="965">
        <v>65148322</v>
      </c>
    </row>
    <row r="1949" spans="2:11" s="1258" customFormat="1" ht="16" hidden="1" outlineLevel="1">
      <c r="B1949" s="966" t="s">
        <v>2410</v>
      </c>
      <c r="C1949" s="965">
        <v>15650</v>
      </c>
      <c r="D1949" s="965" t="s">
        <v>2226</v>
      </c>
      <c r="E1949" s="965">
        <v>168382</v>
      </c>
      <c r="F1949" s="965">
        <v>2644122000</v>
      </c>
      <c r="G1949" s="965">
        <v>15750</v>
      </c>
      <c r="H1949" s="965">
        <v>16000</v>
      </c>
      <c r="I1949" s="965">
        <v>15500</v>
      </c>
      <c r="J1949" s="965">
        <v>1019571</v>
      </c>
      <c r="K1949" s="965">
        <v>65148322</v>
      </c>
    </row>
    <row r="1950" spans="2:11" s="1258" customFormat="1" ht="16" hidden="1" outlineLevel="1">
      <c r="B1950" s="966" t="s">
        <v>2409</v>
      </c>
      <c r="C1950" s="965">
        <v>15700</v>
      </c>
      <c r="D1950" s="965" t="s">
        <v>2210</v>
      </c>
      <c r="E1950" s="965">
        <v>221912</v>
      </c>
      <c r="F1950" s="965">
        <v>3549514200</v>
      </c>
      <c r="G1950" s="965">
        <v>16300</v>
      </c>
      <c r="H1950" s="965">
        <v>16550</v>
      </c>
      <c r="I1950" s="965">
        <v>15600</v>
      </c>
      <c r="J1950" s="965">
        <v>1022829</v>
      </c>
      <c r="K1950" s="965">
        <v>65148322</v>
      </c>
    </row>
    <row r="1951" spans="2:11" s="1258" customFormat="1" ht="16" hidden="1" outlineLevel="1">
      <c r="B1951" s="966" t="s">
        <v>2407</v>
      </c>
      <c r="C1951" s="965">
        <v>16150</v>
      </c>
      <c r="D1951" s="965" t="s">
        <v>2217</v>
      </c>
      <c r="E1951" s="965">
        <v>241520</v>
      </c>
      <c r="F1951" s="965">
        <v>3959915750</v>
      </c>
      <c r="G1951" s="965">
        <v>16950</v>
      </c>
      <c r="H1951" s="965">
        <v>16950</v>
      </c>
      <c r="I1951" s="965">
        <v>16050</v>
      </c>
      <c r="J1951" s="965">
        <v>1052145</v>
      </c>
      <c r="K1951" s="965">
        <v>65148322</v>
      </c>
    </row>
    <row r="1952" spans="2:11" s="1258" customFormat="1" ht="16" hidden="1" outlineLevel="1">
      <c r="B1952" s="966" t="s">
        <v>2406</v>
      </c>
      <c r="C1952" s="965">
        <v>16800</v>
      </c>
      <c r="D1952" s="965" t="s">
        <v>2283</v>
      </c>
      <c r="E1952" s="965">
        <v>420498</v>
      </c>
      <c r="F1952" s="965">
        <v>7133559850</v>
      </c>
      <c r="G1952" s="965">
        <v>16400</v>
      </c>
      <c r="H1952" s="965">
        <v>17350</v>
      </c>
      <c r="I1952" s="965">
        <v>16350</v>
      </c>
      <c r="J1952" s="965">
        <v>1094492</v>
      </c>
      <c r="K1952" s="965">
        <v>65148322</v>
      </c>
    </row>
    <row r="1953" spans="2:11" s="1258" customFormat="1" ht="16" hidden="1" outlineLevel="1">
      <c r="B1953" s="966" t="s">
        <v>2404</v>
      </c>
      <c r="C1953" s="965">
        <v>16350</v>
      </c>
      <c r="D1953" s="965" t="s">
        <v>2219</v>
      </c>
      <c r="E1953" s="965">
        <v>223235</v>
      </c>
      <c r="F1953" s="965">
        <v>3683101200</v>
      </c>
      <c r="G1953" s="965">
        <v>16400</v>
      </c>
      <c r="H1953" s="965">
        <v>16700</v>
      </c>
      <c r="I1953" s="965">
        <v>16200</v>
      </c>
      <c r="J1953" s="965">
        <v>1065175</v>
      </c>
      <c r="K1953" s="965">
        <v>65148322</v>
      </c>
    </row>
    <row r="1954" spans="2:11" s="1258" customFormat="1" ht="16" hidden="1" outlineLevel="1">
      <c r="B1954" s="966" t="s">
        <v>2403</v>
      </c>
      <c r="C1954" s="965">
        <v>16200</v>
      </c>
      <c r="D1954" s="965" t="s">
        <v>2210</v>
      </c>
      <c r="E1954" s="965">
        <v>291796</v>
      </c>
      <c r="F1954" s="965">
        <v>4833034200</v>
      </c>
      <c r="G1954" s="965">
        <v>16950</v>
      </c>
      <c r="H1954" s="965">
        <v>17050</v>
      </c>
      <c r="I1954" s="965">
        <v>16150</v>
      </c>
      <c r="J1954" s="965">
        <v>1055403</v>
      </c>
      <c r="K1954" s="965">
        <v>65148322</v>
      </c>
    </row>
    <row r="1955" spans="2:11" s="1258" customFormat="1" ht="16" hidden="1" outlineLevel="1">
      <c r="B1955" s="966" t="s">
        <v>2401</v>
      </c>
      <c r="C1955" s="965">
        <v>16650</v>
      </c>
      <c r="D1955" s="965" t="s">
        <v>2226</v>
      </c>
      <c r="E1955" s="965">
        <v>108771</v>
      </c>
      <c r="F1955" s="965">
        <v>1820482200</v>
      </c>
      <c r="G1955" s="965">
        <v>16800</v>
      </c>
      <c r="H1955" s="965">
        <v>16950</v>
      </c>
      <c r="I1955" s="965">
        <v>16550</v>
      </c>
      <c r="J1955" s="965">
        <v>1084720</v>
      </c>
      <c r="K1955" s="965">
        <v>65148322</v>
      </c>
    </row>
    <row r="1956" spans="2:11" s="1258" customFormat="1" ht="16" hidden="1" outlineLevel="1">
      <c r="B1956" s="966" t="s">
        <v>2399</v>
      </c>
      <c r="C1956" s="965">
        <v>16700</v>
      </c>
      <c r="D1956" s="965" t="s">
        <v>2225</v>
      </c>
      <c r="E1956" s="965">
        <v>147612</v>
      </c>
      <c r="F1956" s="965">
        <v>2481688600</v>
      </c>
      <c r="G1956" s="965">
        <v>16450</v>
      </c>
      <c r="H1956" s="965">
        <v>17150</v>
      </c>
      <c r="I1956" s="965">
        <v>16250</v>
      </c>
      <c r="J1956" s="965">
        <v>1087977</v>
      </c>
      <c r="K1956" s="965">
        <v>65148322</v>
      </c>
    </row>
    <row r="1957" spans="2:11" s="1258" customFormat="1" ht="16" hidden="1" outlineLevel="1">
      <c r="B1957" s="966" t="s">
        <v>2397</v>
      </c>
      <c r="C1957" s="965">
        <v>16850</v>
      </c>
      <c r="D1957" s="965" t="s">
        <v>2293</v>
      </c>
      <c r="E1957" s="965">
        <v>169390</v>
      </c>
      <c r="F1957" s="965">
        <v>2879987050</v>
      </c>
      <c r="G1957" s="965">
        <v>17200</v>
      </c>
      <c r="H1957" s="965">
        <v>17350</v>
      </c>
      <c r="I1957" s="965">
        <v>16800</v>
      </c>
      <c r="J1957" s="965">
        <v>1097749</v>
      </c>
      <c r="K1957" s="965">
        <v>65148322</v>
      </c>
    </row>
    <row r="1958" spans="2:11" s="1258" customFormat="1" ht="16" hidden="1" outlineLevel="1">
      <c r="B1958" s="966" t="s">
        <v>2395</v>
      </c>
      <c r="C1958" s="965">
        <v>17100</v>
      </c>
      <c r="D1958" s="965" t="s">
        <v>2207</v>
      </c>
      <c r="E1958" s="965">
        <v>201277</v>
      </c>
      <c r="F1958" s="965">
        <v>3437403850</v>
      </c>
      <c r="G1958" s="965">
        <v>17200</v>
      </c>
      <c r="H1958" s="965">
        <v>17450</v>
      </c>
      <c r="I1958" s="965">
        <v>16800</v>
      </c>
      <c r="J1958" s="965">
        <v>1114036</v>
      </c>
      <c r="K1958" s="965">
        <v>65148322</v>
      </c>
    </row>
    <row r="1959" spans="2:11" s="1258" customFormat="1" ht="16" hidden="1" outlineLevel="1">
      <c r="B1959" s="966" t="s">
        <v>2394</v>
      </c>
      <c r="C1959" s="965">
        <v>17050</v>
      </c>
      <c r="D1959" s="965" t="s">
        <v>2207</v>
      </c>
      <c r="E1959" s="965">
        <v>250897</v>
      </c>
      <c r="F1959" s="965">
        <v>4251450500</v>
      </c>
      <c r="G1959" s="965">
        <v>17000</v>
      </c>
      <c r="H1959" s="965">
        <v>17350</v>
      </c>
      <c r="I1959" s="965">
        <v>16600</v>
      </c>
      <c r="J1959" s="965">
        <v>1110779</v>
      </c>
      <c r="K1959" s="965">
        <v>65148322</v>
      </c>
    </row>
    <row r="1960" spans="2:11" s="1258" customFormat="1" ht="16" hidden="1" outlineLevel="1">
      <c r="B1960" s="966" t="s">
        <v>2393</v>
      </c>
      <c r="C1960" s="965">
        <v>17000</v>
      </c>
      <c r="D1960" s="965" t="s">
        <v>2207</v>
      </c>
      <c r="E1960" s="965">
        <v>250148</v>
      </c>
      <c r="F1960" s="965">
        <v>4323369500</v>
      </c>
      <c r="G1960" s="965">
        <v>17250</v>
      </c>
      <c r="H1960" s="965">
        <v>17700</v>
      </c>
      <c r="I1960" s="965">
        <v>16950</v>
      </c>
      <c r="J1960" s="965">
        <v>1107521</v>
      </c>
      <c r="K1960" s="965">
        <v>65148322</v>
      </c>
    </row>
    <row r="1961" spans="2:11" s="1258" customFormat="1" ht="16" hidden="1" outlineLevel="1">
      <c r="B1961" s="966" t="s">
        <v>2391</v>
      </c>
      <c r="C1961" s="965">
        <v>16950</v>
      </c>
      <c r="D1961" s="965" t="s">
        <v>2253</v>
      </c>
      <c r="E1961" s="965">
        <v>423093</v>
      </c>
      <c r="F1961" s="965">
        <v>7257149700</v>
      </c>
      <c r="G1961" s="965">
        <v>17650</v>
      </c>
      <c r="H1961" s="965">
        <v>17850</v>
      </c>
      <c r="I1961" s="965">
        <v>16850</v>
      </c>
      <c r="J1961" s="965">
        <v>1104264</v>
      </c>
      <c r="K1961" s="965">
        <v>65148322</v>
      </c>
    </row>
    <row r="1962" spans="2:11" s="1258" customFormat="1" ht="16" hidden="1" outlineLevel="1">
      <c r="B1962" s="966" t="s">
        <v>2389</v>
      </c>
      <c r="C1962" s="965">
        <v>17750</v>
      </c>
      <c r="D1962" s="965" t="s">
        <v>2296</v>
      </c>
      <c r="E1962" s="965">
        <v>329895</v>
      </c>
      <c r="F1962" s="965">
        <v>5942707600</v>
      </c>
      <c r="G1962" s="965">
        <v>18500</v>
      </c>
      <c r="H1962" s="965">
        <v>18700</v>
      </c>
      <c r="I1962" s="965">
        <v>17550</v>
      </c>
      <c r="J1962" s="965">
        <v>1156383</v>
      </c>
      <c r="K1962" s="965">
        <v>65148322</v>
      </c>
    </row>
    <row r="1963" spans="2:11" s="1258" customFormat="1" ht="16" hidden="1" outlineLevel="1">
      <c r="B1963" s="966" t="s">
        <v>2388</v>
      </c>
      <c r="C1963" s="965">
        <v>18600</v>
      </c>
      <c r="D1963" s="965" t="s">
        <v>2219</v>
      </c>
      <c r="E1963" s="965">
        <v>422021</v>
      </c>
      <c r="F1963" s="965">
        <v>7793433450</v>
      </c>
      <c r="G1963" s="965">
        <v>18300</v>
      </c>
      <c r="H1963" s="965">
        <v>18750</v>
      </c>
      <c r="I1963" s="965">
        <v>18050</v>
      </c>
      <c r="J1963" s="965">
        <v>1211759</v>
      </c>
      <c r="K1963" s="965">
        <v>65148322</v>
      </c>
    </row>
    <row r="1964" spans="2:11" s="1258" customFormat="1" ht="16" hidden="1" outlineLevel="1">
      <c r="B1964" s="966" t="s">
        <v>2386</v>
      </c>
      <c r="C1964" s="965">
        <v>18450</v>
      </c>
      <c r="D1964" s="965" t="s">
        <v>2300</v>
      </c>
      <c r="E1964" s="965">
        <v>588410</v>
      </c>
      <c r="F1964" s="965">
        <v>10602073750</v>
      </c>
      <c r="G1964" s="965">
        <v>17450</v>
      </c>
      <c r="H1964" s="965">
        <v>18450</v>
      </c>
      <c r="I1964" s="965">
        <v>17400</v>
      </c>
      <c r="J1964" s="965">
        <v>1201987</v>
      </c>
      <c r="K1964" s="965">
        <v>65148322</v>
      </c>
    </row>
    <row r="1965" spans="2:11" s="1258" customFormat="1" ht="16" hidden="1" outlineLevel="1">
      <c r="B1965" s="966" t="s">
        <v>2385</v>
      </c>
      <c r="C1965" s="965">
        <v>17300</v>
      </c>
      <c r="D1965" s="965" t="s">
        <v>2222</v>
      </c>
      <c r="E1965" s="965">
        <v>411747</v>
      </c>
      <c r="F1965" s="965">
        <v>7299512600</v>
      </c>
      <c r="G1965" s="965">
        <v>17900</v>
      </c>
      <c r="H1965" s="965">
        <v>18200</v>
      </c>
      <c r="I1965" s="965">
        <v>17250</v>
      </c>
      <c r="J1965" s="965">
        <v>1127066</v>
      </c>
      <c r="K1965" s="965">
        <v>65148322</v>
      </c>
    </row>
    <row r="1966" spans="2:11" s="1258" customFormat="1" ht="16" hidden="1" outlineLevel="1">
      <c r="B1966" s="966" t="s">
        <v>2383</v>
      </c>
      <c r="C1966" s="965">
        <v>17900</v>
      </c>
      <c r="D1966" s="965" t="s">
        <v>2229</v>
      </c>
      <c r="E1966" s="965">
        <v>342071</v>
      </c>
      <c r="F1966" s="965">
        <v>6226055700</v>
      </c>
      <c r="G1966" s="965">
        <v>18300</v>
      </c>
      <c r="H1966" s="965">
        <v>18550</v>
      </c>
      <c r="I1966" s="965">
        <v>17900</v>
      </c>
      <c r="J1966" s="965">
        <v>1166155</v>
      </c>
      <c r="K1966" s="965">
        <v>65148322</v>
      </c>
    </row>
    <row r="1967" spans="2:11" s="1258" customFormat="1" ht="16" hidden="1" outlineLevel="1">
      <c r="B1967" s="966" t="s">
        <v>2382</v>
      </c>
      <c r="C1967" s="965">
        <v>18250</v>
      </c>
      <c r="D1967" s="965" t="s">
        <v>2253</v>
      </c>
      <c r="E1967" s="965">
        <v>505842</v>
      </c>
      <c r="F1967" s="965">
        <v>9508028500</v>
      </c>
      <c r="G1967" s="965">
        <v>19350</v>
      </c>
      <c r="H1967" s="965">
        <v>19400</v>
      </c>
      <c r="I1967" s="965">
        <v>18150</v>
      </c>
      <c r="J1967" s="965">
        <v>1188957</v>
      </c>
      <c r="K1967" s="965">
        <v>65148322</v>
      </c>
    </row>
    <row r="1968" spans="2:11" s="1258" customFormat="1" ht="16" hidden="1" outlineLevel="1">
      <c r="B1968" s="966" t="s">
        <v>2380</v>
      </c>
      <c r="C1968" s="965">
        <v>19050</v>
      </c>
      <c r="D1968" s="965" t="s">
        <v>2282</v>
      </c>
      <c r="E1968" s="965">
        <v>677408</v>
      </c>
      <c r="F1968" s="965">
        <v>12794433650</v>
      </c>
      <c r="G1968" s="965">
        <v>18600</v>
      </c>
      <c r="H1968" s="965">
        <v>19300</v>
      </c>
      <c r="I1968" s="965">
        <v>18350</v>
      </c>
      <c r="J1968" s="965">
        <v>1241076</v>
      </c>
      <c r="K1968" s="965">
        <v>65148322</v>
      </c>
    </row>
    <row r="1969" spans="2:11" s="1258" customFormat="1" ht="16" hidden="1" outlineLevel="1">
      <c r="B1969" s="966" t="s">
        <v>2379</v>
      </c>
      <c r="C1969" s="965">
        <v>18400</v>
      </c>
      <c r="D1969" s="965" t="s">
        <v>2215</v>
      </c>
      <c r="E1969" s="965">
        <v>1023786</v>
      </c>
      <c r="F1969" s="965">
        <v>18881122200</v>
      </c>
      <c r="G1969" s="965">
        <v>18550</v>
      </c>
      <c r="H1969" s="965">
        <v>19150</v>
      </c>
      <c r="I1969" s="965">
        <v>17800</v>
      </c>
      <c r="J1969" s="965">
        <v>1198729</v>
      </c>
      <c r="K1969" s="965">
        <v>65148322</v>
      </c>
    </row>
    <row r="1970" spans="2:11" s="1258" customFormat="1" ht="16" hidden="1" outlineLevel="1">
      <c r="B1970" s="966" t="s">
        <v>2377</v>
      </c>
      <c r="C1970" s="965">
        <v>18700</v>
      </c>
      <c r="D1970" s="965" t="s">
        <v>2221</v>
      </c>
      <c r="E1970" s="965">
        <v>759193</v>
      </c>
      <c r="F1970" s="965">
        <v>14336214450</v>
      </c>
      <c r="G1970" s="965">
        <v>19250</v>
      </c>
      <c r="H1970" s="965">
        <v>19450</v>
      </c>
      <c r="I1970" s="965">
        <v>18500</v>
      </c>
      <c r="J1970" s="965">
        <v>1218274</v>
      </c>
      <c r="K1970" s="965">
        <v>65148322</v>
      </c>
    </row>
    <row r="1971" spans="2:11" s="1258" customFormat="1" ht="16" hidden="1" outlineLevel="1">
      <c r="B1971" s="966" t="s">
        <v>2376</v>
      </c>
      <c r="C1971" s="965">
        <v>18700</v>
      </c>
      <c r="D1971" s="965" t="s">
        <v>2221</v>
      </c>
      <c r="E1971" s="965">
        <v>1185413</v>
      </c>
      <c r="F1971" s="965">
        <v>22904689200</v>
      </c>
      <c r="G1971" s="965">
        <v>19050</v>
      </c>
      <c r="H1971" s="965">
        <v>20000</v>
      </c>
      <c r="I1971" s="965">
        <v>18700</v>
      </c>
      <c r="J1971" s="965">
        <v>1218274</v>
      </c>
      <c r="K1971" s="965">
        <v>65148322</v>
      </c>
    </row>
    <row r="1972" spans="2:11" s="1258" customFormat="1" ht="16" hidden="1" outlineLevel="1">
      <c r="B1972" s="966" t="s">
        <v>2374</v>
      </c>
      <c r="C1972" s="965">
        <v>18700</v>
      </c>
      <c r="D1972" s="965" t="s">
        <v>2243</v>
      </c>
      <c r="E1972" s="965">
        <v>2818792</v>
      </c>
      <c r="F1972" s="965">
        <v>53471839650</v>
      </c>
      <c r="G1972" s="965">
        <v>18450</v>
      </c>
      <c r="H1972" s="965">
        <v>19750</v>
      </c>
      <c r="I1972" s="965">
        <v>18200</v>
      </c>
      <c r="J1972" s="965">
        <v>1218274</v>
      </c>
      <c r="K1972" s="965">
        <v>65148322</v>
      </c>
    </row>
    <row r="1973" spans="2:11" s="1258" customFormat="1" ht="16" hidden="1" outlineLevel="1">
      <c r="B1973" s="966" t="s">
        <v>2373</v>
      </c>
      <c r="C1973" s="965">
        <v>18400</v>
      </c>
      <c r="D1973" s="965" t="s">
        <v>2242</v>
      </c>
      <c r="E1973" s="965">
        <v>5135166</v>
      </c>
      <c r="F1973" s="965">
        <v>99642000650</v>
      </c>
      <c r="G1973" s="965">
        <v>21700</v>
      </c>
      <c r="H1973" s="965">
        <v>21900</v>
      </c>
      <c r="I1973" s="965">
        <v>17400</v>
      </c>
      <c r="J1973" s="965">
        <v>1198729</v>
      </c>
      <c r="K1973" s="965">
        <v>65148322</v>
      </c>
    </row>
    <row r="1974" spans="2:11" s="1258" customFormat="1" ht="16" hidden="1" outlineLevel="1">
      <c r="B1974" s="966" t="s">
        <v>2371</v>
      </c>
      <c r="C1974" s="965">
        <v>20400</v>
      </c>
      <c r="D1974" s="965" t="s">
        <v>2743</v>
      </c>
      <c r="E1974" s="965">
        <v>4185597</v>
      </c>
      <c r="F1974" s="965">
        <v>82691387600</v>
      </c>
      <c r="G1974" s="965">
        <v>19000</v>
      </c>
      <c r="H1974" s="965">
        <v>20400</v>
      </c>
      <c r="I1974" s="965">
        <v>18900</v>
      </c>
      <c r="J1974" s="965">
        <v>1329026</v>
      </c>
      <c r="K1974" s="965">
        <v>65148322</v>
      </c>
    </row>
    <row r="1975" spans="2:11" s="1258" customFormat="1" ht="16" hidden="1" outlineLevel="1">
      <c r="B1975" s="966" t="s">
        <v>2369</v>
      </c>
      <c r="C1975" s="965">
        <v>17750</v>
      </c>
      <c r="D1975" s="965" t="s">
        <v>2742</v>
      </c>
      <c r="E1975" s="965">
        <v>2462280</v>
      </c>
      <c r="F1975" s="965">
        <v>42141752000</v>
      </c>
      <c r="G1975" s="965">
        <v>15800</v>
      </c>
      <c r="H1975" s="965">
        <v>17750</v>
      </c>
      <c r="I1975" s="965">
        <v>15750</v>
      </c>
      <c r="J1975" s="965">
        <v>1156383</v>
      </c>
      <c r="K1975" s="965">
        <v>65148322</v>
      </c>
    </row>
    <row r="1976" spans="2:11" s="1258" customFormat="1" ht="16" hidden="1" outlineLevel="1">
      <c r="B1976" s="966" t="s">
        <v>2367</v>
      </c>
      <c r="C1976" s="965">
        <v>15450</v>
      </c>
      <c r="D1976" s="965" t="s">
        <v>2282</v>
      </c>
      <c r="E1976" s="965">
        <v>297074</v>
      </c>
      <c r="F1976" s="965">
        <v>4533735300</v>
      </c>
      <c r="G1976" s="965">
        <v>14900</v>
      </c>
      <c r="H1976" s="965">
        <v>15450</v>
      </c>
      <c r="I1976" s="965">
        <v>14800</v>
      </c>
      <c r="J1976" s="965">
        <v>1006542</v>
      </c>
      <c r="K1976" s="965">
        <v>65148322</v>
      </c>
    </row>
    <row r="1977" spans="2:11" s="1258" customFormat="1" ht="16" hidden="1" outlineLevel="1">
      <c r="B1977" s="966" t="s">
        <v>2365</v>
      </c>
      <c r="C1977" s="965">
        <v>14800</v>
      </c>
      <c r="D1977" s="965" t="s">
        <v>2226</v>
      </c>
      <c r="E1977" s="965">
        <v>107940</v>
      </c>
      <c r="F1977" s="965">
        <v>1596714500</v>
      </c>
      <c r="G1977" s="965">
        <v>14850</v>
      </c>
      <c r="H1977" s="965">
        <v>15000</v>
      </c>
      <c r="I1977" s="965">
        <v>14700</v>
      </c>
      <c r="J1977" s="965">
        <v>964195</v>
      </c>
      <c r="K1977" s="965">
        <v>65148322</v>
      </c>
    </row>
    <row r="1978" spans="2:11" s="1258" customFormat="1" ht="16" hidden="1" outlineLevel="1">
      <c r="B1978" s="966" t="s">
        <v>2364</v>
      </c>
      <c r="C1978" s="965">
        <v>14850</v>
      </c>
      <c r="D1978" s="965" t="s">
        <v>2243</v>
      </c>
      <c r="E1978" s="965">
        <v>123024</v>
      </c>
      <c r="F1978" s="965">
        <v>1805356400</v>
      </c>
      <c r="G1978" s="965">
        <v>14550</v>
      </c>
      <c r="H1978" s="965">
        <v>14850</v>
      </c>
      <c r="I1978" s="965">
        <v>14550</v>
      </c>
      <c r="J1978" s="965">
        <v>967453</v>
      </c>
      <c r="K1978" s="965">
        <v>65148322</v>
      </c>
    </row>
    <row r="1979" spans="2:11" s="1258" customFormat="1" ht="16" hidden="1" outlineLevel="1">
      <c r="B1979" s="966" t="s">
        <v>2362</v>
      </c>
      <c r="C1979" s="965">
        <v>14550</v>
      </c>
      <c r="D1979" s="965" t="s">
        <v>2225</v>
      </c>
      <c r="E1979" s="965">
        <v>119870</v>
      </c>
      <c r="F1979" s="965">
        <v>1763486500</v>
      </c>
      <c r="G1979" s="965">
        <v>14700</v>
      </c>
      <c r="H1979" s="965">
        <v>14900</v>
      </c>
      <c r="I1979" s="965">
        <v>14450</v>
      </c>
      <c r="J1979" s="965">
        <v>947908</v>
      </c>
      <c r="K1979" s="965">
        <v>65148322</v>
      </c>
    </row>
    <row r="1980" spans="2:11" s="1258" customFormat="1" ht="16" hidden="1" outlineLevel="1">
      <c r="B1980" s="966" t="s">
        <v>2360</v>
      </c>
      <c r="C1980" s="965">
        <v>14700</v>
      </c>
      <c r="D1980" s="965" t="s">
        <v>2224</v>
      </c>
      <c r="E1980" s="965">
        <v>94436</v>
      </c>
      <c r="F1980" s="965">
        <v>1393979700</v>
      </c>
      <c r="G1980" s="965">
        <v>14900</v>
      </c>
      <c r="H1980" s="965">
        <v>14900</v>
      </c>
      <c r="I1980" s="965">
        <v>14650</v>
      </c>
      <c r="J1980" s="965">
        <v>957680</v>
      </c>
      <c r="K1980" s="965">
        <v>65148322</v>
      </c>
    </row>
    <row r="1981" spans="2:11" s="1258" customFormat="1" ht="16" hidden="1" outlineLevel="1">
      <c r="B1981" s="966" t="s">
        <v>2358</v>
      </c>
      <c r="C1981" s="965">
        <v>14900</v>
      </c>
      <c r="D1981" s="965" t="s">
        <v>2293</v>
      </c>
      <c r="E1981" s="965">
        <v>146190</v>
      </c>
      <c r="F1981" s="965">
        <v>2196357000</v>
      </c>
      <c r="G1981" s="965">
        <v>15050</v>
      </c>
      <c r="H1981" s="965">
        <v>15300</v>
      </c>
      <c r="I1981" s="965">
        <v>14850</v>
      </c>
      <c r="J1981" s="965">
        <v>970710</v>
      </c>
      <c r="K1981" s="965">
        <v>65148322</v>
      </c>
    </row>
    <row r="1982" spans="2:11" s="1258" customFormat="1" ht="16" hidden="1" outlineLevel="1">
      <c r="B1982" s="966" t="s">
        <v>2357</v>
      </c>
      <c r="C1982" s="965">
        <v>15150</v>
      </c>
      <c r="D1982" s="965" t="s">
        <v>2251</v>
      </c>
      <c r="E1982" s="965">
        <v>228776</v>
      </c>
      <c r="F1982" s="965">
        <v>3416915900</v>
      </c>
      <c r="G1982" s="965">
        <v>14750</v>
      </c>
      <c r="H1982" s="965">
        <v>15200</v>
      </c>
      <c r="I1982" s="965">
        <v>14550</v>
      </c>
      <c r="J1982" s="965">
        <v>986997</v>
      </c>
      <c r="K1982" s="965">
        <v>65148322</v>
      </c>
    </row>
    <row r="1983" spans="2:11" s="1258" customFormat="1" ht="16" hidden="1" outlineLevel="1">
      <c r="B1983" s="966" t="s">
        <v>2656</v>
      </c>
      <c r="C1983" s="965">
        <v>14550</v>
      </c>
      <c r="D1983" s="965" t="s">
        <v>2225</v>
      </c>
      <c r="E1983" s="965">
        <v>109750</v>
      </c>
      <c r="F1983" s="965">
        <v>1609237250</v>
      </c>
      <c r="G1983" s="965">
        <v>14850</v>
      </c>
      <c r="H1983" s="965">
        <v>14900</v>
      </c>
      <c r="I1983" s="965">
        <v>14550</v>
      </c>
      <c r="J1983" s="965">
        <v>947908</v>
      </c>
      <c r="K1983" s="965">
        <v>65148322</v>
      </c>
    </row>
    <row r="1984" spans="2:11" s="1258" customFormat="1" ht="16" hidden="1" outlineLevel="1">
      <c r="B1984" s="966" t="s">
        <v>2655</v>
      </c>
      <c r="C1984" s="965">
        <v>14700</v>
      </c>
      <c r="D1984" s="965" t="s">
        <v>2207</v>
      </c>
      <c r="E1984" s="965">
        <v>144994</v>
      </c>
      <c r="F1984" s="965">
        <v>2139539050</v>
      </c>
      <c r="G1984" s="965">
        <v>14850</v>
      </c>
      <c r="H1984" s="965">
        <v>14950</v>
      </c>
      <c r="I1984" s="965">
        <v>14650</v>
      </c>
      <c r="J1984" s="965">
        <v>957680</v>
      </c>
      <c r="K1984" s="965">
        <v>65148322</v>
      </c>
    </row>
    <row r="1985" spans="2:11" s="1258" customFormat="1" ht="16" hidden="1" outlineLevel="1">
      <c r="B1985" s="966" t="s">
        <v>2654</v>
      </c>
      <c r="C1985" s="965">
        <v>14650</v>
      </c>
      <c r="D1985" s="965" t="s">
        <v>2210</v>
      </c>
      <c r="E1985" s="965">
        <v>215543</v>
      </c>
      <c r="F1985" s="965">
        <v>3132353450</v>
      </c>
      <c r="G1985" s="965">
        <v>14650</v>
      </c>
      <c r="H1985" s="965">
        <v>14800</v>
      </c>
      <c r="I1985" s="965">
        <v>14350</v>
      </c>
      <c r="J1985" s="965">
        <v>954423</v>
      </c>
      <c r="K1985" s="965">
        <v>65148322</v>
      </c>
    </row>
    <row r="1986" spans="2:11" s="1258" customFormat="1" ht="16" hidden="1" outlineLevel="1">
      <c r="B1986" s="966" t="s">
        <v>2653</v>
      </c>
      <c r="C1986" s="965">
        <v>15100</v>
      </c>
      <c r="D1986" s="965" t="s">
        <v>2221</v>
      </c>
      <c r="E1986" s="965">
        <v>227517</v>
      </c>
      <c r="F1986" s="965">
        <v>3447883650</v>
      </c>
      <c r="G1986" s="965">
        <v>15200</v>
      </c>
      <c r="H1986" s="965">
        <v>15450</v>
      </c>
      <c r="I1986" s="965">
        <v>14900</v>
      </c>
      <c r="J1986" s="965">
        <v>983740</v>
      </c>
      <c r="K1986" s="965">
        <v>65148322</v>
      </c>
    </row>
    <row r="1987" spans="2:11" s="1258" customFormat="1" ht="16" hidden="1" outlineLevel="1">
      <c r="B1987" s="966" t="s">
        <v>2652</v>
      </c>
      <c r="C1987" s="965">
        <v>15100</v>
      </c>
      <c r="D1987" s="965" t="s">
        <v>2212</v>
      </c>
      <c r="E1987" s="965">
        <v>240735</v>
      </c>
      <c r="F1987" s="965">
        <v>3658931000</v>
      </c>
      <c r="G1987" s="965">
        <v>15050</v>
      </c>
      <c r="H1987" s="965">
        <v>15450</v>
      </c>
      <c r="I1987" s="965">
        <v>14850</v>
      </c>
      <c r="J1987" s="965">
        <v>983740</v>
      </c>
      <c r="K1987" s="965">
        <v>65148322</v>
      </c>
    </row>
    <row r="1988" spans="2:11" s="1258" customFormat="1" ht="16" hidden="1" outlineLevel="1">
      <c r="B1988" s="966" t="s">
        <v>2651</v>
      </c>
      <c r="C1988" s="965">
        <v>15000</v>
      </c>
      <c r="D1988" s="965" t="s">
        <v>2283</v>
      </c>
      <c r="E1988" s="965">
        <v>370295</v>
      </c>
      <c r="F1988" s="965">
        <v>5557491500</v>
      </c>
      <c r="G1988" s="965">
        <v>14700</v>
      </c>
      <c r="H1988" s="965">
        <v>15400</v>
      </c>
      <c r="I1988" s="965">
        <v>14550</v>
      </c>
      <c r="J1988" s="965">
        <v>977225</v>
      </c>
      <c r="K1988" s="965">
        <v>65148322</v>
      </c>
    </row>
    <row r="1989" spans="2:11" s="1258" customFormat="1" ht="16" hidden="1" outlineLevel="1">
      <c r="B1989" s="966" t="s">
        <v>2650</v>
      </c>
      <c r="C1989" s="965">
        <v>14550</v>
      </c>
      <c r="D1989" s="965" t="s">
        <v>2224</v>
      </c>
      <c r="E1989" s="965">
        <v>198737</v>
      </c>
      <c r="F1989" s="965">
        <v>2926875350</v>
      </c>
      <c r="G1989" s="965">
        <v>14900</v>
      </c>
      <c r="H1989" s="965">
        <v>14950</v>
      </c>
      <c r="I1989" s="965">
        <v>14550</v>
      </c>
      <c r="J1989" s="965">
        <v>947908</v>
      </c>
      <c r="K1989" s="965">
        <v>65148322</v>
      </c>
    </row>
    <row r="1990" spans="2:11" s="1258" customFormat="1" ht="16" hidden="1" outlineLevel="1">
      <c r="B1990" s="966" t="s">
        <v>2648</v>
      </c>
      <c r="C1990" s="965">
        <v>14750</v>
      </c>
      <c r="D1990" s="965" t="s">
        <v>2213</v>
      </c>
      <c r="E1990" s="965">
        <v>283181</v>
      </c>
      <c r="F1990" s="965">
        <v>4195323750</v>
      </c>
      <c r="G1990" s="965">
        <v>14600</v>
      </c>
      <c r="H1990" s="965">
        <v>15100</v>
      </c>
      <c r="I1990" s="965">
        <v>14350</v>
      </c>
      <c r="J1990" s="965">
        <v>960938</v>
      </c>
      <c r="K1990" s="965">
        <v>65148322</v>
      </c>
    </row>
    <row r="1991" spans="2:11" s="1258" customFormat="1" ht="16" hidden="1" outlineLevel="1">
      <c r="B1991" s="966" t="s">
        <v>2647</v>
      </c>
      <c r="C1991" s="965">
        <v>14500</v>
      </c>
      <c r="D1991" s="965" t="s">
        <v>2230</v>
      </c>
      <c r="E1991" s="965">
        <v>484649</v>
      </c>
      <c r="F1991" s="965">
        <v>7065146400</v>
      </c>
      <c r="G1991" s="965">
        <v>14150</v>
      </c>
      <c r="H1991" s="965">
        <v>14900</v>
      </c>
      <c r="I1991" s="965">
        <v>14150</v>
      </c>
      <c r="J1991" s="965">
        <v>944651</v>
      </c>
      <c r="K1991" s="965">
        <v>65148322</v>
      </c>
    </row>
    <row r="1992" spans="2:11" s="1258" customFormat="1" ht="16" hidden="1" outlineLevel="1">
      <c r="B1992" s="966" t="s">
        <v>2646</v>
      </c>
      <c r="C1992" s="965">
        <v>14150</v>
      </c>
      <c r="D1992" s="965" t="s">
        <v>2221</v>
      </c>
      <c r="E1992" s="965">
        <v>261252</v>
      </c>
      <c r="F1992" s="965">
        <v>3701997250</v>
      </c>
      <c r="G1992" s="965">
        <v>14200</v>
      </c>
      <c r="H1992" s="965">
        <v>14300</v>
      </c>
      <c r="I1992" s="965">
        <v>14050</v>
      </c>
      <c r="J1992" s="965">
        <v>921849</v>
      </c>
      <c r="K1992" s="965">
        <v>65148322</v>
      </c>
    </row>
    <row r="1993" spans="2:11" s="1258" customFormat="1" ht="16" hidden="1" outlineLevel="1">
      <c r="B1993" s="966" t="s">
        <v>2645</v>
      </c>
      <c r="C1993" s="965">
        <v>14150</v>
      </c>
      <c r="D1993" s="965" t="s">
        <v>2293</v>
      </c>
      <c r="E1993" s="965">
        <v>560840</v>
      </c>
      <c r="F1993" s="965">
        <v>8016075600</v>
      </c>
      <c r="G1993" s="965">
        <v>14400</v>
      </c>
      <c r="H1993" s="965">
        <v>14600</v>
      </c>
      <c r="I1993" s="965">
        <v>14100</v>
      </c>
      <c r="J1993" s="965">
        <v>921849</v>
      </c>
      <c r="K1993" s="965">
        <v>65148322</v>
      </c>
    </row>
    <row r="1994" spans="2:11" s="1258" customFormat="1" ht="16" hidden="1" outlineLevel="1">
      <c r="B1994" s="966" t="s">
        <v>2643</v>
      </c>
      <c r="C1994" s="965">
        <v>14400</v>
      </c>
      <c r="D1994" s="965" t="s">
        <v>2305</v>
      </c>
      <c r="E1994" s="965">
        <v>4156222</v>
      </c>
      <c r="F1994" s="965">
        <v>67419766050</v>
      </c>
      <c r="G1994" s="965">
        <v>16550</v>
      </c>
      <c r="H1994" s="965">
        <v>17700</v>
      </c>
      <c r="I1994" s="965">
        <v>14250</v>
      </c>
      <c r="J1994" s="965">
        <v>938136</v>
      </c>
      <c r="K1994" s="965">
        <v>65148322</v>
      </c>
    </row>
    <row r="1995" spans="2:11" s="1258" customFormat="1" ht="16" hidden="1" outlineLevel="1">
      <c r="B1995" s="966" t="s">
        <v>2642</v>
      </c>
      <c r="C1995" s="965">
        <v>16000</v>
      </c>
      <c r="D1995" s="965" t="s">
        <v>2741</v>
      </c>
      <c r="E1995" s="965">
        <v>707795</v>
      </c>
      <c r="F1995" s="965">
        <v>11192605500</v>
      </c>
      <c r="G1995" s="965">
        <v>14500</v>
      </c>
      <c r="H1995" s="965">
        <v>16000</v>
      </c>
      <c r="I1995" s="965">
        <v>14450</v>
      </c>
      <c r="J1995" s="965">
        <v>1042373</v>
      </c>
      <c r="K1995" s="965">
        <v>65148322</v>
      </c>
    </row>
    <row r="1996" spans="2:11" s="1258" customFormat="1" ht="16" hidden="1" outlineLevel="1">
      <c r="B1996" s="966" t="s">
        <v>2640</v>
      </c>
      <c r="C1996" s="965">
        <v>13950</v>
      </c>
      <c r="D1996" s="965" t="s">
        <v>2211</v>
      </c>
      <c r="E1996" s="965">
        <v>69000</v>
      </c>
      <c r="F1996" s="965">
        <v>970250000</v>
      </c>
      <c r="G1996" s="965">
        <v>14350</v>
      </c>
      <c r="H1996" s="965">
        <v>14350</v>
      </c>
      <c r="I1996" s="965">
        <v>13900</v>
      </c>
      <c r="J1996" s="965">
        <v>908819</v>
      </c>
      <c r="K1996" s="965">
        <v>65148322</v>
      </c>
    </row>
    <row r="1997" spans="2:11" s="1258" customFormat="1" ht="16" hidden="1" outlineLevel="1">
      <c r="B1997" s="966" t="s">
        <v>2639</v>
      </c>
      <c r="C1997" s="965">
        <v>14350</v>
      </c>
      <c r="D1997" s="965" t="s">
        <v>2232</v>
      </c>
      <c r="E1997" s="965">
        <v>96971</v>
      </c>
      <c r="F1997" s="965">
        <v>1389345800</v>
      </c>
      <c r="G1997" s="965">
        <v>14400</v>
      </c>
      <c r="H1997" s="965">
        <v>14500</v>
      </c>
      <c r="I1997" s="965">
        <v>14150</v>
      </c>
      <c r="J1997" s="965">
        <v>934878</v>
      </c>
      <c r="K1997" s="965">
        <v>65148322</v>
      </c>
    </row>
    <row r="1998" spans="2:11" s="1258" customFormat="1" ht="16" hidden="1" outlineLevel="1">
      <c r="B1998" s="966" t="s">
        <v>2637</v>
      </c>
      <c r="C1998" s="965">
        <v>14150</v>
      </c>
      <c r="D1998" s="965" t="s">
        <v>2212</v>
      </c>
      <c r="E1998" s="965">
        <v>86826</v>
      </c>
      <c r="F1998" s="965">
        <v>1220841400</v>
      </c>
      <c r="G1998" s="965">
        <v>14100</v>
      </c>
      <c r="H1998" s="965">
        <v>14200</v>
      </c>
      <c r="I1998" s="965">
        <v>13950</v>
      </c>
      <c r="J1998" s="965">
        <v>921849</v>
      </c>
      <c r="K1998" s="965">
        <v>65148322</v>
      </c>
    </row>
    <row r="1999" spans="2:11" s="1258" customFormat="1" ht="16" hidden="1" outlineLevel="1">
      <c r="B1999" s="966" t="s">
        <v>2636</v>
      </c>
      <c r="C1999" s="965">
        <v>14050</v>
      </c>
      <c r="D1999" s="965" t="s">
        <v>2243</v>
      </c>
      <c r="E1999" s="965">
        <v>93587</v>
      </c>
      <c r="F1999" s="965">
        <v>1300971000</v>
      </c>
      <c r="G1999" s="965">
        <v>13850</v>
      </c>
      <c r="H1999" s="965">
        <v>14050</v>
      </c>
      <c r="I1999" s="965">
        <v>13700</v>
      </c>
      <c r="J1999" s="965">
        <v>915334</v>
      </c>
      <c r="K1999" s="965">
        <v>65148322</v>
      </c>
    </row>
    <row r="2000" spans="2:11" s="1258" customFormat="1" ht="16" hidden="1" outlineLevel="1">
      <c r="B2000" s="966" t="s">
        <v>2635</v>
      </c>
      <c r="C2000" s="965">
        <v>13750</v>
      </c>
      <c r="D2000" s="965" t="s">
        <v>2224</v>
      </c>
      <c r="E2000" s="965">
        <v>116209</v>
      </c>
      <c r="F2000" s="965">
        <v>1601883750</v>
      </c>
      <c r="G2000" s="965">
        <v>13800</v>
      </c>
      <c r="H2000" s="965">
        <v>14050</v>
      </c>
      <c r="I2000" s="965">
        <v>13600</v>
      </c>
      <c r="J2000" s="965">
        <v>895789</v>
      </c>
      <c r="K2000" s="965">
        <v>65148322</v>
      </c>
    </row>
    <row r="2001" spans="2:11" s="1258" customFormat="1" ht="16" hidden="1" outlineLevel="1">
      <c r="B2001" s="966" t="s">
        <v>2633</v>
      </c>
      <c r="C2001" s="965">
        <v>13950</v>
      </c>
      <c r="D2001" s="965" t="s">
        <v>2229</v>
      </c>
      <c r="E2001" s="965">
        <v>130789</v>
      </c>
      <c r="F2001" s="965">
        <v>1856317050</v>
      </c>
      <c r="G2001" s="965">
        <v>14400</v>
      </c>
      <c r="H2001" s="965">
        <v>14650</v>
      </c>
      <c r="I2001" s="965">
        <v>13900</v>
      </c>
      <c r="J2001" s="965">
        <v>908819</v>
      </c>
      <c r="K2001" s="965">
        <v>65148322</v>
      </c>
    </row>
    <row r="2002" spans="2:11" s="1258" customFormat="1" ht="16" hidden="1" outlineLevel="1">
      <c r="B2002" s="966" t="s">
        <v>2632</v>
      </c>
      <c r="C2002" s="965">
        <v>14300</v>
      </c>
      <c r="D2002" s="965" t="s">
        <v>2213</v>
      </c>
      <c r="E2002" s="965">
        <v>115383</v>
      </c>
      <c r="F2002" s="965">
        <v>1649698900</v>
      </c>
      <c r="G2002" s="965">
        <v>14150</v>
      </c>
      <c r="H2002" s="965">
        <v>14550</v>
      </c>
      <c r="I2002" s="965">
        <v>14150</v>
      </c>
      <c r="J2002" s="965">
        <v>931621</v>
      </c>
      <c r="K2002" s="965">
        <v>65148322</v>
      </c>
    </row>
    <row r="2003" spans="2:11" s="1258" customFormat="1" ht="16" hidden="1" outlineLevel="1">
      <c r="B2003" s="966" t="s">
        <v>2631</v>
      </c>
      <c r="C2003" s="965">
        <v>14050</v>
      </c>
      <c r="D2003" s="965" t="s">
        <v>2210</v>
      </c>
      <c r="E2003" s="965">
        <v>219012</v>
      </c>
      <c r="F2003" s="965">
        <v>3074527400</v>
      </c>
      <c r="G2003" s="965">
        <v>13750</v>
      </c>
      <c r="H2003" s="965">
        <v>14400</v>
      </c>
      <c r="I2003" s="965">
        <v>13500</v>
      </c>
      <c r="J2003" s="965">
        <v>915334</v>
      </c>
      <c r="K2003" s="965">
        <v>65148322</v>
      </c>
    </row>
    <row r="2004" spans="2:11" s="1258" customFormat="1" ht="16" hidden="1" outlineLevel="1">
      <c r="B2004" s="966" t="s">
        <v>2630</v>
      </c>
      <c r="C2004" s="965">
        <v>14500</v>
      </c>
      <c r="D2004" s="965" t="s">
        <v>1814</v>
      </c>
      <c r="E2004" s="965">
        <v>100758</v>
      </c>
      <c r="F2004" s="965">
        <v>1485348600</v>
      </c>
      <c r="G2004" s="965">
        <v>14950</v>
      </c>
      <c r="H2004" s="965">
        <v>15150</v>
      </c>
      <c r="I2004" s="965">
        <v>14500</v>
      </c>
      <c r="J2004" s="965">
        <v>944651</v>
      </c>
      <c r="K2004" s="965">
        <v>65148322</v>
      </c>
    </row>
    <row r="2005" spans="2:11" s="1258" customFormat="1" ht="16" hidden="1" outlineLevel="1">
      <c r="B2005" s="966" t="s">
        <v>2629</v>
      </c>
      <c r="C2005" s="965">
        <v>15000</v>
      </c>
      <c r="D2005" s="965" t="s">
        <v>2232</v>
      </c>
      <c r="E2005" s="965">
        <v>197701</v>
      </c>
      <c r="F2005" s="965">
        <v>3003253100</v>
      </c>
      <c r="G2005" s="965">
        <v>15000</v>
      </c>
      <c r="H2005" s="965">
        <v>15450</v>
      </c>
      <c r="I2005" s="965">
        <v>14900</v>
      </c>
      <c r="J2005" s="965">
        <v>977225</v>
      </c>
      <c r="K2005" s="965">
        <v>65148322</v>
      </c>
    </row>
    <row r="2006" spans="2:11" s="1258" customFormat="1" ht="16" hidden="1" outlineLevel="1">
      <c r="B2006" s="966" t="s">
        <v>2628</v>
      </c>
      <c r="C2006" s="965">
        <v>14800</v>
      </c>
      <c r="D2006" s="965" t="s">
        <v>2226</v>
      </c>
      <c r="E2006" s="965">
        <v>77602</v>
      </c>
      <c r="F2006" s="965">
        <v>1152966450</v>
      </c>
      <c r="G2006" s="965">
        <v>14850</v>
      </c>
      <c r="H2006" s="965">
        <v>15100</v>
      </c>
      <c r="I2006" s="965">
        <v>14700</v>
      </c>
      <c r="J2006" s="965">
        <v>964195</v>
      </c>
      <c r="K2006" s="965">
        <v>65148322</v>
      </c>
    </row>
    <row r="2007" spans="2:11" s="1258" customFormat="1" ht="16" hidden="1" outlineLevel="1">
      <c r="B2007" s="966" t="s">
        <v>2626</v>
      </c>
      <c r="C2007" s="965">
        <v>14850</v>
      </c>
      <c r="D2007" s="965" t="s">
        <v>2282</v>
      </c>
      <c r="E2007" s="965">
        <v>240108</v>
      </c>
      <c r="F2007" s="965">
        <v>3569750550</v>
      </c>
      <c r="G2007" s="965">
        <v>14300</v>
      </c>
      <c r="H2007" s="965">
        <v>15200</v>
      </c>
      <c r="I2007" s="965">
        <v>14200</v>
      </c>
      <c r="J2007" s="965">
        <v>967453</v>
      </c>
      <c r="K2007" s="965">
        <v>65148322</v>
      </c>
    </row>
    <row r="2008" spans="2:11" s="1258" customFormat="1" ht="16" hidden="1" outlineLevel="1">
      <c r="B2008" s="966" t="s">
        <v>2624</v>
      </c>
      <c r="C2008" s="965">
        <v>14200</v>
      </c>
      <c r="D2008" s="965" t="s">
        <v>2232</v>
      </c>
      <c r="E2008" s="965">
        <v>75909</v>
      </c>
      <c r="F2008" s="965">
        <v>1069778800</v>
      </c>
      <c r="G2008" s="965">
        <v>13750</v>
      </c>
      <c r="H2008" s="965">
        <v>14400</v>
      </c>
      <c r="I2008" s="965">
        <v>13750</v>
      </c>
      <c r="J2008" s="965">
        <v>925106</v>
      </c>
      <c r="K2008" s="965">
        <v>65148322</v>
      </c>
    </row>
    <row r="2009" spans="2:11" s="1258" customFormat="1" ht="16" hidden="1" outlineLevel="1">
      <c r="B2009" s="966" t="s">
        <v>2623</v>
      </c>
      <c r="C2009" s="965">
        <v>14000</v>
      </c>
      <c r="D2009" s="965" t="s">
        <v>2224</v>
      </c>
      <c r="E2009" s="965">
        <v>120040</v>
      </c>
      <c r="F2009" s="965">
        <v>1692195000</v>
      </c>
      <c r="G2009" s="965">
        <v>14200</v>
      </c>
      <c r="H2009" s="965">
        <v>14400</v>
      </c>
      <c r="I2009" s="965">
        <v>13950</v>
      </c>
      <c r="J2009" s="965">
        <v>912077</v>
      </c>
      <c r="K2009" s="965">
        <v>65148322</v>
      </c>
    </row>
    <row r="2010" spans="2:11" s="1258" customFormat="1" ht="16" hidden="1" outlineLevel="1">
      <c r="B2010" s="966" t="s">
        <v>2621</v>
      </c>
      <c r="C2010" s="965">
        <v>14200</v>
      </c>
      <c r="D2010" s="965" t="s">
        <v>2226</v>
      </c>
      <c r="E2010" s="965">
        <v>97470</v>
      </c>
      <c r="F2010" s="965">
        <v>1399864000</v>
      </c>
      <c r="G2010" s="965">
        <v>14200</v>
      </c>
      <c r="H2010" s="965">
        <v>14650</v>
      </c>
      <c r="I2010" s="965">
        <v>14100</v>
      </c>
      <c r="J2010" s="965">
        <v>925106</v>
      </c>
      <c r="K2010" s="965">
        <v>65148322</v>
      </c>
    </row>
    <row r="2011" spans="2:11" s="1258" customFormat="1" ht="16" hidden="1" outlineLevel="1">
      <c r="B2011" s="966" t="s">
        <v>2619</v>
      </c>
      <c r="C2011" s="965">
        <v>14250</v>
      </c>
      <c r="D2011" s="965" t="s">
        <v>2280</v>
      </c>
      <c r="E2011" s="965">
        <v>276787</v>
      </c>
      <c r="F2011" s="965">
        <v>4029633150</v>
      </c>
      <c r="G2011" s="965">
        <v>15150</v>
      </c>
      <c r="H2011" s="965">
        <v>15300</v>
      </c>
      <c r="I2011" s="965">
        <v>13650</v>
      </c>
      <c r="J2011" s="965">
        <v>928364</v>
      </c>
      <c r="K2011" s="965">
        <v>65148322</v>
      </c>
    </row>
    <row r="2012" spans="2:11" s="1258" customFormat="1" ht="16" hidden="1" outlineLevel="1">
      <c r="B2012" s="966" t="s">
        <v>2618</v>
      </c>
      <c r="C2012" s="965">
        <v>15000</v>
      </c>
      <c r="D2012" s="965" t="s">
        <v>2228</v>
      </c>
      <c r="E2012" s="965">
        <v>290537</v>
      </c>
      <c r="F2012" s="965">
        <v>4431220000</v>
      </c>
      <c r="G2012" s="965">
        <v>15100</v>
      </c>
      <c r="H2012" s="965">
        <v>15550</v>
      </c>
      <c r="I2012" s="965">
        <v>14900</v>
      </c>
      <c r="J2012" s="965">
        <v>977225</v>
      </c>
      <c r="K2012" s="965">
        <v>65148322</v>
      </c>
    </row>
    <row r="2013" spans="2:11" s="1258" customFormat="1" ht="16" hidden="1" outlineLevel="1">
      <c r="B2013" s="966" t="s">
        <v>2617</v>
      </c>
      <c r="C2013" s="965">
        <v>15100</v>
      </c>
      <c r="D2013" s="965" t="s">
        <v>2221</v>
      </c>
      <c r="E2013" s="965">
        <v>157883</v>
      </c>
      <c r="F2013" s="965">
        <v>2374190300</v>
      </c>
      <c r="G2013" s="965">
        <v>15300</v>
      </c>
      <c r="H2013" s="965">
        <v>15300</v>
      </c>
      <c r="I2013" s="965">
        <v>14850</v>
      </c>
      <c r="J2013" s="965">
        <v>983740</v>
      </c>
      <c r="K2013" s="965">
        <v>65148322</v>
      </c>
    </row>
    <row r="2014" spans="2:11" s="1258" customFormat="1" ht="16" hidden="1" outlineLevel="1">
      <c r="B2014" s="966" t="s">
        <v>2616</v>
      </c>
      <c r="C2014" s="965">
        <v>15100</v>
      </c>
      <c r="D2014" s="965" t="s">
        <v>2306</v>
      </c>
      <c r="E2014" s="965">
        <v>485188</v>
      </c>
      <c r="F2014" s="965">
        <v>7250827300</v>
      </c>
      <c r="G2014" s="965">
        <v>14200</v>
      </c>
      <c r="H2014" s="965">
        <v>15450</v>
      </c>
      <c r="I2014" s="965">
        <v>14200</v>
      </c>
      <c r="J2014" s="965">
        <v>983740</v>
      </c>
      <c r="K2014" s="965">
        <v>65148322</v>
      </c>
    </row>
    <row r="2015" spans="2:11" s="1258" customFormat="1" ht="16" hidden="1" outlineLevel="1">
      <c r="B2015" s="966" t="s">
        <v>2615</v>
      </c>
      <c r="C2015" s="965">
        <v>14050</v>
      </c>
      <c r="D2015" s="965" t="s">
        <v>2207</v>
      </c>
      <c r="E2015" s="965">
        <v>74570</v>
      </c>
      <c r="F2015" s="965">
        <v>1050784000</v>
      </c>
      <c r="G2015" s="965">
        <v>14050</v>
      </c>
      <c r="H2015" s="965">
        <v>14250</v>
      </c>
      <c r="I2015" s="965">
        <v>14000</v>
      </c>
      <c r="J2015" s="965">
        <v>915334</v>
      </c>
      <c r="K2015" s="965">
        <v>65148322</v>
      </c>
    </row>
    <row r="2016" spans="2:11" s="1258" customFormat="1" ht="16" hidden="1" outlineLevel="1">
      <c r="B2016" s="966" t="s">
        <v>2614</v>
      </c>
      <c r="C2016" s="965">
        <v>14000</v>
      </c>
      <c r="D2016" s="965" t="s">
        <v>2210</v>
      </c>
      <c r="E2016" s="965">
        <v>122151</v>
      </c>
      <c r="F2016" s="965">
        <v>1746803000</v>
      </c>
      <c r="G2016" s="965">
        <v>14600</v>
      </c>
      <c r="H2016" s="965">
        <v>14700</v>
      </c>
      <c r="I2016" s="965">
        <v>14000</v>
      </c>
      <c r="J2016" s="965">
        <v>912077</v>
      </c>
      <c r="K2016" s="965">
        <v>65148322</v>
      </c>
    </row>
    <row r="2017" spans="2:11" s="1258" customFormat="1" ht="16" hidden="1" outlineLevel="1">
      <c r="B2017" s="966" t="s">
        <v>2613</v>
      </c>
      <c r="C2017" s="965">
        <v>14450</v>
      </c>
      <c r="D2017" s="965" t="s">
        <v>2219</v>
      </c>
      <c r="E2017" s="965">
        <v>100875</v>
      </c>
      <c r="F2017" s="965">
        <v>1450776600</v>
      </c>
      <c r="G2017" s="965">
        <v>14400</v>
      </c>
      <c r="H2017" s="965">
        <v>14550</v>
      </c>
      <c r="I2017" s="965">
        <v>14250</v>
      </c>
      <c r="J2017" s="965">
        <v>941393</v>
      </c>
      <c r="K2017" s="965">
        <v>65148322</v>
      </c>
    </row>
    <row r="2018" spans="2:11" s="1258" customFormat="1" ht="16" hidden="1" outlineLevel="1">
      <c r="B2018" s="966" t="s">
        <v>2612</v>
      </c>
      <c r="C2018" s="965">
        <v>14300</v>
      </c>
      <c r="D2018" s="965" t="s">
        <v>2251</v>
      </c>
      <c r="E2018" s="965">
        <v>174712</v>
      </c>
      <c r="F2018" s="965">
        <v>2479621100</v>
      </c>
      <c r="G2018" s="965">
        <v>13800</v>
      </c>
      <c r="H2018" s="965">
        <v>14500</v>
      </c>
      <c r="I2018" s="965">
        <v>13750</v>
      </c>
      <c r="J2018" s="965">
        <v>931621</v>
      </c>
      <c r="K2018" s="965">
        <v>65148322</v>
      </c>
    </row>
    <row r="2019" spans="2:11" s="1258" customFormat="1" ht="16" hidden="1" outlineLevel="1">
      <c r="B2019" s="966" t="s">
        <v>2611</v>
      </c>
      <c r="C2019" s="965">
        <v>13700</v>
      </c>
      <c r="D2019" s="965" t="s">
        <v>2211</v>
      </c>
      <c r="E2019" s="965">
        <v>173620</v>
      </c>
      <c r="F2019" s="965">
        <v>2413808000</v>
      </c>
      <c r="G2019" s="965">
        <v>14050</v>
      </c>
      <c r="H2019" s="965">
        <v>14300</v>
      </c>
      <c r="I2019" s="965">
        <v>13500</v>
      </c>
      <c r="J2019" s="965">
        <v>892532</v>
      </c>
      <c r="K2019" s="965">
        <v>65148322</v>
      </c>
    </row>
    <row r="2020" spans="2:11" s="1258" customFormat="1" ht="16" hidden="1" outlineLevel="1">
      <c r="B2020" s="966" t="s">
        <v>2610</v>
      </c>
      <c r="C2020" s="965">
        <v>14100</v>
      </c>
      <c r="D2020" s="965" t="s">
        <v>2229</v>
      </c>
      <c r="E2020" s="965">
        <v>142169</v>
      </c>
      <c r="F2020" s="965">
        <v>2020702600</v>
      </c>
      <c r="G2020" s="965">
        <v>14400</v>
      </c>
      <c r="H2020" s="965">
        <v>14500</v>
      </c>
      <c r="I2020" s="965">
        <v>14050</v>
      </c>
      <c r="J2020" s="965">
        <v>918591</v>
      </c>
      <c r="K2020" s="965">
        <v>65148322</v>
      </c>
    </row>
    <row r="2021" spans="2:11" ht="15" collapsed="1" thickBot="1">
      <c r="B2021" s="960" t="s">
        <v>2609</v>
      </c>
      <c r="C2021" s="959"/>
      <c r="D2021" s="961"/>
      <c r="E2021" s="959"/>
      <c r="F2021" s="959"/>
      <c r="G2021" s="959"/>
      <c r="H2021" s="959"/>
      <c r="I2021" s="959"/>
      <c r="J2021" s="960">
        <f>AVERAGE(J1773:J1895)</f>
        <v>1213029.9512195121</v>
      </c>
      <c r="K2021" s="959"/>
    </row>
    <row r="2024" spans="2:11">
      <c r="B2024" s="980" t="s">
        <v>2740</v>
      </c>
    </row>
    <row r="2026" spans="2:11">
      <c r="B2026" s="977"/>
      <c r="C2026" s="977"/>
      <c r="D2026" s="976"/>
      <c r="E2026" s="977" t="s">
        <v>2739</v>
      </c>
      <c r="F2026" s="977" t="s">
        <v>2738</v>
      </c>
      <c r="G2026" s="977" t="s">
        <v>2737</v>
      </c>
    </row>
    <row r="2027" spans="2:11">
      <c r="B2027" s="957" t="s">
        <v>2736</v>
      </c>
      <c r="C2027" s="957" t="s">
        <v>2735</v>
      </c>
      <c r="E2027" s="957">
        <v>120057.238</v>
      </c>
      <c r="F2027" s="957">
        <f>SUMIF(D2037:D2051,"비영업",K2037:K2051)</f>
        <v>112208.86267853396</v>
      </c>
    </row>
    <row r="2028" spans="2:11">
      <c r="C2028" s="957" t="s">
        <v>2734</v>
      </c>
      <c r="E2028" s="957">
        <v>869069.12</v>
      </c>
      <c r="F2028" s="957">
        <f>SUMIF(D2819:D2825,"비영업",I2819:I2825)</f>
        <v>36532.060586991873</v>
      </c>
    </row>
    <row r="2029" spans="2:11">
      <c r="C2029" s="957" t="s">
        <v>1209</v>
      </c>
      <c r="E2029" s="957">
        <v>13264.455</v>
      </c>
      <c r="F2029" s="957">
        <f>E2029</f>
        <v>13264.455</v>
      </c>
    </row>
    <row r="2030" spans="2:11">
      <c r="B2030" s="979"/>
      <c r="C2030" s="979" t="s">
        <v>192</v>
      </c>
      <c r="E2030" s="957">
        <v>0</v>
      </c>
      <c r="F2030" s="957">
        <f>E2030</f>
        <v>0</v>
      </c>
    </row>
    <row r="2031" spans="2:11">
      <c r="B2031" s="977"/>
      <c r="C2031" s="977" t="s">
        <v>2678</v>
      </c>
      <c r="D2031" s="976"/>
      <c r="E2031" s="977">
        <v>888747.8899999999</v>
      </c>
      <c r="F2031" s="977">
        <f>SUM(F2027:F2030)</f>
        <v>162005.37826552583</v>
      </c>
      <c r="G2031" s="977"/>
    </row>
    <row r="2034" spans="2:11">
      <c r="B2034" s="980" t="s">
        <v>1786</v>
      </c>
    </row>
    <row r="2036" spans="2:11">
      <c r="B2036" s="977" t="s">
        <v>2022</v>
      </c>
      <c r="C2036" s="977"/>
      <c r="D2036" s="977" t="s">
        <v>2685</v>
      </c>
      <c r="E2036" s="977" t="s">
        <v>2684</v>
      </c>
      <c r="F2036" s="977" t="s">
        <v>2023</v>
      </c>
      <c r="G2036" s="976" t="s">
        <v>1919</v>
      </c>
      <c r="H2036" s="977" t="s">
        <v>1920</v>
      </c>
      <c r="I2036" s="977" t="s">
        <v>2024</v>
      </c>
      <c r="J2036" s="977" t="s">
        <v>2025</v>
      </c>
      <c r="K2036" s="977" t="s">
        <v>2682</v>
      </c>
    </row>
    <row r="2037" spans="2:11">
      <c r="B2037" s="957" t="s">
        <v>2733</v>
      </c>
      <c r="D2037" s="1046" t="s">
        <v>2680</v>
      </c>
      <c r="E2037" s="1046" t="s">
        <v>2732</v>
      </c>
      <c r="F2037" s="957">
        <v>1343457</v>
      </c>
      <c r="G2037" s="958">
        <v>0.88</v>
      </c>
      <c r="H2037" s="957">
        <v>12305964</v>
      </c>
      <c r="I2037" s="957">
        <v>42453.241000000002</v>
      </c>
      <c r="J2037" s="957">
        <v>42453.241000000002</v>
      </c>
      <c r="K2037" s="1051">
        <f>J2306*G2037%</f>
        <v>36903.642796747969</v>
      </c>
    </row>
    <row r="2038" spans="2:11">
      <c r="B2038" s="957" t="s">
        <v>2026</v>
      </c>
      <c r="D2038" s="1046" t="s">
        <v>2680</v>
      </c>
      <c r="E2038" s="1046" t="s">
        <v>2732</v>
      </c>
      <c r="F2038" s="957">
        <v>1210</v>
      </c>
      <c r="G2038" s="958">
        <v>0</v>
      </c>
      <c r="H2038" s="957">
        <v>341250</v>
      </c>
      <c r="I2038" s="957">
        <v>104.181</v>
      </c>
      <c r="J2038" s="957">
        <v>104.181</v>
      </c>
      <c r="K2038" s="1051">
        <f>C2559*F2038/1000000</f>
        <v>91.857540322580647</v>
      </c>
    </row>
    <row r="2039" spans="2:11">
      <c r="B2039" s="957" t="s">
        <v>2027</v>
      </c>
      <c r="D2039" s="1046" t="s">
        <v>2680</v>
      </c>
      <c r="E2039" s="1046" t="s">
        <v>2732</v>
      </c>
      <c r="F2039" s="957">
        <v>1664000</v>
      </c>
      <c r="G2039" s="958">
        <v>1.86</v>
      </c>
      <c r="H2039" s="957">
        <v>4920624</v>
      </c>
      <c r="I2039" s="957">
        <v>52915.199999999997</v>
      </c>
      <c r="J2039" s="957">
        <v>52915.199999999997</v>
      </c>
      <c r="K2039" s="1051">
        <f>J2812*G2039%</f>
        <v>50628.746341463419</v>
      </c>
    </row>
    <row r="2040" spans="2:11">
      <c r="B2040" s="957" t="s">
        <v>2028</v>
      </c>
      <c r="D2040" s="1046" t="s">
        <v>2680</v>
      </c>
      <c r="E2040" s="1046" t="s">
        <v>2679</v>
      </c>
      <c r="F2040" s="957">
        <v>223298</v>
      </c>
      <c r="G2040" s="958">
        <v>1</v>
      </c>
      <c r="H2040" s="957">
        <v>4701875</v>
      </c>
      <c r="I2040" s="957">
        <v>7078.5460000000003</v>
      </c>
      <c r="J2040" s="957">
        <v>7078.5460000000003</v>
      </c>
      <c r="K2040" s="957">
        <f t="shared" ref="K2040:K2051" si="5">J2040</f>
        <v>7078.5460000000003</v>
      </c>
    </row>
    <row r="2041" spans="2:11">
      <c r="B2041" s="957" t="s">
        <v>2731</v>
      </c>
      <c r="D2041" s="1046" t="s">
        <v>2680</v>
      </c>
      <c r="E2041" s="1046" t="s">
        <v>2679</v>
      </c>
      <c r="F2041" s="957">
        <v>120000</v>
      </c>
      <c r="G2041" s="958">
        <v>0.3</v>
      </c>
      <c r="H2041" s="957">
        <v>1658993</v>
      </c>
      <c r="I2041" s="957">
        <v>2640</v>
      </c>
      <c r="J2041" s="957">
        <v>2640</v>
      </c>
      <c r="K2041" s="957">
        <f t="shared" si="5"/>
        <v>2640</v>
      </c>
    </row>
    <row r="2042" spans="2:11">
      <c r="B2042" s="957" t="s">
        <v>2029</v>
      </c>
      <c r="D2042" s="1046" t="s">
        <v>2680</v>
      </c>
      <c r="E2042" s="1046" t="s">
        <v>2679</v>
      </c>
      <c r="F2042" s="957">
        <v>20000</v>
      </c>
      <c r="G2042" s="958">
        <v>5.51</v>
      </c>
      <c r="H2042" s="957">
        <v>700000</v>
      </c>
      <c r="I2042" s="957">
        <v>0</v>
      </c>
      <c r="J2042" s="957">
        <v>0</v>
      </c>
      <c r="K2042" s="957">
        <f t="shared" si="5"/>
        <v>0</v>
      </c>
    </row>
    <row r="2043" spans="2:11">
      <c r="B2043" s="957" t="s">
        <v>2030</v>
      </c>
      <c r="D2043" s="1046" t="s">
        <v>2680</v>
      </c>
      <c r="E2043" s="1046" t="s">
        <v>2679</v>
      </c>
      <c r="F2043" s="957">
        <v>261290</v>
      </c>
      <c r="G2043" s="958">
        <v>1.66</v>
      </c>
      <c r="H2043" s="957">
        <v>13064500</v>
      </c>
      <c r="I2043" s="957">
        <v>2846.3049999999998</v>
      </c>
      <c r="J2043" s="957">
        <v>2846.3049999999998</v>
      </c>
      <c r="K2043" s="957">
        <f t="shared" si="5"/>
        <v>2846.3049999999998</v>
      </c>
    </row>
    <row r="2044" spans="2:11">
      <c r="B2044" s="957" t="s">
        <v>2031</v>
      </c>
      <c r="D2044" s="1046" t="s">
        <v>2681</v>
      </c>
      <c r="E2044" s="1046" t="s">
        <v>2679</v>
      </c>
      <c r="F2044" s="957">
        <v>80000</v>
      </c>
      <c r="G2044" s="958">
        <v>0.22</v>
      </c>
      <c r="H2044" s="957">
        <v>400000</v>
      </c>
      <c r="I2044" s="957">
        <v>0</v>
      </c>
      <c r="J2044" s="957">
        <v>0</v>
      </c>
      <c r="K2044" s="957">
        <f t="shared" si="5"/>
        <v>0</v>
      </c>
    </row>
    <row r="2045" spans="2:11">
      <c r="B2045" s="957" t="s">
        <v>2032</v>
      </c>
      <c r="D2045" s="1046" t="s">
        <v>2680</v>
      </c>
      <c r="E2045" s="1046" t="s">
        <v>2679</v>
      </c>
      <c r="F2045" s="957">
        <v>855</v>
      </c>
      <c r="G2045" s="958">
        <v>0.15</v>
      </c>
      <c r="H2045" s="957">
        <v>8906</v>
      </c>
      <c r="I2045" s="957">
        <v>8.9060000000000006</v>
      </c>
      <c r="J2045" s="957">
        <v>8.9060000000000006</v>
      </c>
      <c r="K2045" s="957">
        <f t="shared" si="5"/>
        <v>8.9060000000000006</v>
      </c>
    </row>
    <row r="2046" spans="2:11">
      <c r="B2046" s="957" t="s">
        <v>2033</v>
      </c>
      <c r="D2046" s="1046" t="s">
        <v>2680</v>
      </c>
      <c r="E2046" s="1046" t="s">
        <v>2679</v>
      </c>
      <c r="F2046" s="957">
        <v>559000</v>
      </c>
      <c r="G2046" s="958">
        <v>4.7</v>
      </c>
      <c r="H2046" s="957">
        <v>5590000</v>
      </c>
      <c r="I2046" s="957">
        <v>6021.549</v>
      </c>
      <c r="J2046" s="957">
        <v>6021.549</v>
      </c>
      <c r="K2046" s="957">
        <f t="shared" si="5"/>
        <v>6021.549</v>
      </c>
    </row>
    <row r="2047" spans="2:11">
      <c r="B2047" s="957" t="s">
        <v>2034</v>
      </c>
      <c r="D2047" s="1046" t="s">
        <v>2680</v>
      </c>
      <c r="E2047" s="1046" t="s">
        <v>2679</v>
      </c>
      <c r="F2047" s="957">
        <v>40000</v>
      </c>
      <c r="G2047" s="958">
        <v>1.37</v>
      </c>
      <c r="H2047" s="957">
        <v>1200000</v>
      </c>
      <c r="I2047" s="957">
        <v>0</v>
      </c>
      <c r="J2047" s="957">
        <v>0</v>
      </c>
      <c r="K2047" s="957">
        <f t="shared" si="5"/>
        <v>0</v>
      </c>
    </row>
    <row r="2048" spans="2:11">
      <c r="B2048" s="957" t="s">
        <v>2035</v>
      </c>
      <c r="D2048" s="1046" t="s">
        <v>2680</v>
      </c>
      <c r="E2048" s="1046" t="s">
        <v>2679</v>
      </c>
      <c r="F2048" s="957">
        <v>8000</v>
      </c>
      <c r="G2048" s="958">
        <v>0.37</v>
      </c>
      <c r="H2048" s="957">
        <v>1200000</v>
      </c>
      <c r="I2048" s="957">
        <v>0</v>
      </c>
      <c r="J2048" s="957">
        <v>0</v>
      </c>
      <c r="K2048" s="957">
        <f t="shared" si="5"/>
        <v>0</v>
      </c>
    </row>
    <row r="2049" spans="2:11">
      <c r="B2049" s="957" t="s">
        <v>2036</v>
      </c>
      <c r="D2049" s="1046" t="s">
        <v>2680</v>
      </c>
      <c r="E2049" s="1046" t="s">
        <v>2679</v>
      </c>
      <c r="F2049" s="957">
        <v>1800</v>
      </c>
      <c r="G2049" s="958">
        <v>3</v>
      </c>
      <c r="H2049" s="957">
        <v>9000</v>
      </c>
      <c r="I2049" s="957">
        <v>9</v>
      </c>
      <c r="J2049" s="957">
        <v>9</v>
      </c>
      <c r="K2049" s="957">
        <f t="shared" si="5"/>
        <v>9</v>
      </c>
    </row>
    <row r="2050" spans="2:11">
      <c r="B2050" s="957" t="s">
        <v>2037</v>
      </c>
      <c r="D2050" s="1046" t="s">
        <v>2680</v>
      </c>
      <c r="E2050" s="1046" t="s">
        <v>2679</v>
      </c>
      <c r="F2050" s="957">
        <v>360000</v>
      </c>
      <c r="G2050" s="958">
        <v>3</v>
      </c>
      <c r="H2050" s="957">
        <v>1800000</v>
      </c>
      <c r="I2050" s="957">
        <v>1800</v>
      </c>
      <c r="J2050" s="957">
        <v>1800</v>
      </c>
      <c r="K2050" s="957">
        <f t="shared" si="5"/>
        <v>1800</v>
      </c>
    </row>
    <row r="2051" spans="2:11">
      <c r="B2051" s="957" t="s">
        <v>2038</v>
      </c>
      <c r="D2051" s="1046" t="s">
        <v>2680</v>
      </c>
      <c r="E2051" s="1046" t="s">
        <v>2679</v>
      </c>
      <c r="F2051" s="957">
        <v>836062</v>
      </c>
      <c r="G2051" s="958">
        <v>2</v>
      </c>
      <c r="H2051" s="957">
        <v>4180310</v>
      </c>
      <c r="I2051" s="957">
        <v>4180.3100000000004</v>
      </c>
      <c r="J2051" s="957">
        <v>4180.3100000000004</v>
      </c>
      <c r="K2051" s="957">
        <f t="shared" si="5"/>
        <v>4180.3100000000004</v>
      </c>
    </row>
    <row r="2052" spans="2:11">
      <c r="B2052" s="977" t="s">
        <v>2678</v>
      </c>
      <c r="C2052" s="977"/>
      <c r="D2052" s="976"/>
      <c r="E2052" s="977"/>
      <c r="F2052" s="977"/>
      <c r="G2052" s="976"/>
      <c r="H2052" s="977"/>
      <c r="I2052" s="977">
        <f>SUM(I2037:I2051)</f>
        <v>120057.238</v>
      </c>
      <c r="J2052" s="977">
        <f>SUM(J2037:J2051)</f>
        <v>120057.238</v>
      </c>
      <c r="K2052" s="977">
        <f>SUM(K2037:K2051)</f>
        <v>112208.86267853396</v>
      </c>
    </row>
    <row r="2053" spans="2:11">
      <c r="B2053" s="979"/>
      <c r="C2053" s="979"/>
      <c r="D2053" s="990"/>
      <c r="E2053" s="979"/>
      <c r="F2053" s="979"/>
      <c r="G2053" s="990"/>
      <c r="H2053" s="979"/>
      <c r="I2053" s="979"/>
      <c r="J2053" s="979"/>
      <c r="K2053" s="979"/>
    </row>
    <row r="2054" spans="2:11">
      <c r="G2054" s="958"/>
    </row>
    <row r="2055" spans="2:11">
      <c r="B2055" s="971" t="s">
        <v>2730</v>
      </c>
    </row>
    <row r="2056" spans="2:11" hidden="1" outlineLevel="1"/>
    <row r="2057" spans="2:11" ht="16" hidden="1" outlineLevel="1">
      <c r="B2057" s="969" t="s">
        <v>1839</v>
      </c>
      <c r="C2057" s="969" t="s">
        <v>1838</v>
      </c>
      <c r="D2057" s="970" t="s">
        <v>1837</v>
      </c>
      <c r="E2057" s="969" t="s">
        <v>1836</v>
      </c>
      <c r="F2057" s="969" t="s">
        <v>1835</v>
      </c>
      <c r="G2057" s="969" t="s">
        <v>1834</v>
      </c>
      <c r="H2057" s="969" t="s">
        <v>1833</v>
      </c>
      <c r="I2057" s="969" t="s">
        <v>1832</v>
      </c>
      <c r="J2057" s="969" t="s">
        <v>1785</v>
      </c>
      <c r="K2057" s="969" t="s">
        <v>1831</v>
      </c>
    </row>
    <row r="2058" spans="2:11" ht="16" hidden="1" outlineLevel="1">
      <c r="B2058" s="968" t="s">
        <v>1830</v>
      </c>
      <c r="C2058" s="967">
        <v>29550</v>
      </c>
      <c r="D2058" s="967" t="s">
        <v>2231</v>
      </c>
      <c r="E2058" s="974">
        <v>304121</v>
      </c>
      <c r="F2058" s="974">
        <v>9081169150</v>
      </c>
      <c r="G2058" s="974">
        <v>29250</v>
      </c>
      <c r="H2058" s="974">
        <v>30450</v>
      </c>
      <c r="I2058" s="974">
        <v>29250</v>
      </c>
      <c r="J2058" s="974">
        <v>4233724</v>
      </c>
      <c r="K2058" s="974">
        <v>143273229</v>
      </c>
    </row>
    <row r="2059" spans="2:11" ht="16" hidden="1" outlineLevel="1">
      <c r="B2059" s="968" t="s">
        <v>1828</v>
      </c>
      <c r="C2059" s="967">
        <v>28800</v>
      </c>
      <c r="D2059" s="967" t="s">
        <v>2281</v>
      </c>
      <c r="E2059" s="974">
        <v>215241</v>
      </c>
      <c r="F2059" s="974">
        <v>6092906250</v>
      </c>
      <c r="G2059" s="974">
        <v>27500</v>
      </c>
      <c r="H2059" s="974">
        <v>29150</v>
      </c>
      <c r="I2059" s="974">
        <v>27500</v>
      </c>
      <c r="J2059" s="974">
        <v>4126269</v>
      </c>
      <c r="K2059" s="974">
        <v>143273229</v>
      </c>
    </row>
    <row r="2060" spans="2:11" ht="16" hidden="1" outlineLevel="1">
      <c r="B2060" s="968" t="s">
        <v>1827</v>
      </c>
      <c r="C2060" s="967">
        <v>27350</v>
      </c>
      <c r="D2060" s="967" t="s">
        <v>2228</v>
      </c>
      <c r="E2060" s="974">
        <v>181346</v>
      </c>
      <c r="F2060" s="974">
        <v>4961922650</v>
      </c>
      <c r="G2060" s="974">
        <v>27850</v>
      </c>
      <c r="H2060" s="974">
        <v>28000</v>
      </c>
      <c r="I2060" s="974">
        <v>27100</v>
      </c>
      <c r="J2060" s="974">
        <v>3918523</v>
      </c>
      <c r="K2060" s="974">
        <v>143273229</v>
      </c>
    </row>
    <row r="2061" spans="2:11" ht="16" hidden="1" outlineLevel="1">
      <c r="B2061" s="968" t="s">
        <v>1825</v>
      </c>
      <c r="C2061" s="967">
        <v>27450</v>
      </c>
      <c r="D2061" s="967" t="s">
        <v>2296</v>
      </c>
      <c r="E2061" s="974">
        <v>175151</v>
      </c>
      <c r="F2061" s="974">
        <v>4889241650</v>
      </c>
      <c r="G2061" s="974">
        <v>28100</v>
      </c>
      <c r="H2061" s="974">
        <v>28450</v>
      </c>
      <c r="I2061" s="974">
        <v>27450</v>
      </c>
      <c r="J2061" s="974">
        <v>3932850</v>
      </c>
      <c r="K2061" s="974">
        <v>143273229</v>
      </c>
    </row>
    <row r="2062" spans="2:11" ht="16" hidden="1" outlineLevel="1">
      <c r="B2062" s="968" t="s">
        <v>1823</v>
      </c>
      <c r="C2062" s="967">
        <v>28300</v>
      </c>
      <c r="D2062" s="967" t="s">
        <v>2295</v>
      </c>
      <c r="E2062" s="974">
        <v>218475</v>
      </c>
      <c r="F2062" s="974">
        <v>6086713000</v>
      </c>
      <c r="G2062" s="974">
        <v>26500</v>
      </c>
      <c r="H2062" s="974">
        <v>28350</v>
      </c>
      <c r="I2062" s="974">
        <v>26500</v>
      </c>
      <c r="J2062" s="974">
        <v>4054632</v>
      </c>
      <c r="K2062" s="974">
        <v>143273229</v>
      </c>
    </row>
    <row r="2063" spans="2:11" ht="16" hidden="1" outlineLevel="1">
      <c r="B2063" s="968" t="s">
        <v>1821</v>
      </c>
      <c r="C2063" s="967">
        <v>26450</v>
      </c>
      <c r="D2063" s="967" t="s">
        <v>2294</v>
      </c>
      <c r="E2063" s="974">
        <v>145580</v>
      </c>
      <c r="F2063" s="974">
        <v>3892362000</v>
      </c>
      <c r="G2063" s="974">
        <v>27050</v>
      </c>
      <c r="H2063" s="974">
        <v>27350</v>
      </c>
      <c r="I2063" s="974">
        <v>26350</v>
      </c>
      <c r="J2063" s="974">
        <v>3789577</v>
      </c>
      <c r="K2063" s="974">
        <v>143273229</v>
      </c>
    </row>
    <row r="2064" spans="2:11" ht="16" hidden="1" outlineLevel="1">
      <c r="B2064" s="968" t="s">
        <v>1819</v>
      </c>
      <c r="C2064" s="967">
        <v>27000</v>
      </c>
      <c r="D2064" s="967" t="s">
        <v>2218</v>
      </c>
      <c r="E2064" s="974">
        <v>124833</v>
      </c>
      <c r="F2064" s="974">
        <v>3424365000</v>
      </c>
      <c r="G2064" s="974">
        <v>28000</v>
      </c>
      <c r="H2064" s="974">
        <v>28300</v>
      </c>
      <c r="I2064" s="974">
        <v>27000</v>
      </c>
      <c r="J2064" s="974">
        <v>3868377</v>
      </c>
      <c r="K2064" s="974">
        <v>143273229</v>
      </c>
    </row>
    <row r="2065" spans="2:11" ht="16" hidden="1" outlineLevel="1">
      <c r="B2065" s="968" t="s">
        <v>1817</v>
      </c>
      <c r="C2065" s="967">
        <v>28150</v>
      </c>
      <c r="D2065" s="967" t="s">
        <v>2216</v>
      </c>
      <c r="E2065" s="974">
        <v>129026</v>
      </c>
      <c r="F2065" s="974">
        <v>3545948600</v>
      </c>
      <c r="G2065" s="974">
        <v>27450</v>
      </c>
      <c r="H2065" s="974">
        <v>28150</v>
      </c>
      <c r="I2065" s="974">
        <v>27000</v>
      </c>
      <c r="J2065" s="974">
        <v>4033141</v>
      </c>
      <c r="K2065" s="974">
        <v>143273229</v>
      </c>
    </row>
    <row r="2066" spans="2:11" ht="16" hidden="1" outlineLevel="1">
      <c r="B2066" s="968" t="s">
        <v>1815</v>
      </c>
      <c r="C2066" s="967">
        <v>27300</v>
      </c>
      <c r="D2066" s="967" t="s">
        <v>2211</v>
      </c>
      <c r="E2066" s="974">
        <v>109024</v>
      </c>
      <c r="F2066" s="974">
        <v>3012665700</v>
      </c>
      <c r="G2066" s="974">
        <v>27750</v>
      </c>
      <c r="H2066" s="974">
        <v>28300</v>
      </c>
      <c r="I2066" s="974">
        <v>27300</v>
      </c>
      <c r="J2066" s="974">
        <v>3911359</v>
      </c>
      <c r="K2066" s="974">
        <v>143273229</v>
      </c>
    </row>
    <row r="2067" spans="2:11" ht="16" hidden="1" outlineLevel="1">
      <c r="B2067" s="968" t="s">
        <v>1813</v>
      </c>
      <c r="C2067" s="967">
        <v>27700</v>
      </c>
      <c r="D2067" s="967" t="s">
        <v>2243</v>
      </c>
      <c r="E2067" s="974">
        <v>85437</v>
      </c>
      <c r="F2067" s="974">
        <v>2354627400</v>
      </c>
      <c r="G2067" s="974">
        <v>27700</v>
      </c>
      <c r="H2067" s="974">
        <v>27750</v>
      </c>
      <c r="I2067" s="974">
        <v>27200</v>
      </c>
      <c r="J2067" s="974">
        <v>3968668</v>
      </c>
      <c r="K2067" s="974">
        <v>143273229</v>
      </c>
    </row>
    <row r="2068" spans="2:11" ht="16" hidden="1" outlineLevel="1">
      <c r="B2068" s="968" t="s">
        <v>1812</v>
      </c>
      <c r="C2068" s="967">
        <v>27400</v>
      </c>
      <c r="D2068" s="967" t="s">
        <v>2221</v>
      </c>
      <c r="E2068" s="974">
        <v>102626</v>
      </c>
      <c r="F2068" s="974">
        <v>2809851600</v>
      </c>
      <c r="G2068" s="974">
        <v>27400</v>
      </c>
      <c r="H2068" s="974">
        <v>28000</v>
      </c>
      <c r="I2068" s="974">
        <v>27050</v>
      </c>
      <c r="J2068" s="974">
        <v>3925686</v>
      </c>
      <c r="K2068" s="974">
        <v>143273229</v>
      </c>
    </row>
    <row r="2069" spans="2:11" ht="16" hidden="1" outlineLevel="1">
      <c r="B2069" s="968" t="s">
        <v>1810</v>
      </c>
      <c r="C2069" s="967">
        <v>27400</v>
      </c>
      <c r="D2069" s="967" t="s">
        <v>2232</v>
      </c>
      <c r="E2069" s="974">
        <v>184466</v>
      </c>
      <c r="F2069" s="974">
        <v>5105490400</v>
      </c>
      <c r="G2069" s="974">
        <v>27400</v>
      </c>
      <c r="H2069" s="974">
        <v>28200</v>
      </c>
      <c r="I2069" s="974">
        <v>27200</v>
      </c>
      <c r="J2069" s="974">
        <v>3925686</v>
      </c>
      <c r="K2069" s="974">
        <v>143273229</v>
      </c>
    </row>
    <row r="2070" spans="2:11" ht="16" hidden="1" outlineLevel="1">
      <c r="B2070" s="968" t="s">
        <v>1809</v>
      </c>
      <c r="C2070" s="967">
        <v>27200</v>
      </c>
      <c r="D2070" s="967" t="s">
        <v>2293</v>
      </c>
      <c r="E2070" s="974">
        <v>142928</v>
      </c>
      <c r="F2070" s="974">
        <v>3900018050</v>
      </c>
      <c r="G2070" s="974">
        <v>27750</v>
      </c>
      <c r="H2070" s="974">
        <v>27850</v>
      </c>
      <c r="I2070" s="974">
        <v>27000</v>
      </c>
      <c r="J2070" s="974">
        <v>3897032</v>
      </c>
      <c r="K2070" s="974">
        <v>143273229</v>
      </c>
    </row>
    <row r="2071" spans="2:11" ht="16" hidden="1" outlineLevel="1">
      <c r="B2071" s="968" t="s">
        <v>1807</v>
      </c>
      <c r="C2071" s="967">
        <v>27450</v>
      </c>
      <c r="D2071" s="967" t="s">
        <v>1826</v>
      </c>
      <c r="E2071" s="974">
        <v>175105</v>
      </c>
      <c r="F2071" s="974">
        <v>4784133900</v>
      </c>
      <c r="G2071" s="974">
        <v>27300</v>
      </c>
      <c r="H2071" s="974">
        <v>27450</v>
      </c>
      <c r="I2071" s="974">
        <v>27050</v>
      </c>
      <c r="J2071" s="974">
        <v>3932850</v>
      </c>
      <c r="K2071" s="974">
        <v>143273229</v>
      </c>
    </row>
    <row r="2072" spans="2:11" ht="16" hidden="1" outlineLevel="1">
      <c r="B2072" s="968" t="s">
        <v>1805</v>
      </c>
      <c r="C2072" s="967">
        <v>26950</v>
      </c>
      <c r="D2072" s="967" t="s">
        <v>2212</v>
      </c>
      <c r="E2072" s="974">
        <v>117312</v>
      </c>
      <c r="F2072" s="974">
        <v>3175719050</v>
      </c>
      <c r="G2072" s="974">
        <v>26750</v>
      </c>
      <c r="H2072" s="974">
        <v>27350</v>
      </c>
      <c r="I2072" s="974">
        <v>26750</v>
      </c>
      <c r="J2072" s="974">
        <v>3861214</v>
      </c>
      <c r="K2072" s="974">
        <v>143273229</v>
      </c>
    </row>
    <row r="2073" spans="2:11" ht="16" hidden="1" outlineLevel="1">
      <c r="B2073" s="968" t="s">
        <v>1803</v>
      </c>
      <c r="C2073" s="967">
        <v>26850</v>
      </c>
      <c r="D2073" s="967" t="s">
        <v>2226</v>
      </c>
      <c r="E2073" s="974">
        <v>153145</v>
      </c>
      <c r="F2073" s="974">
        <v>4131708250</v>
      </c>
      <c r="G2073" s="974">
        <v>26950</v>
      </c>
      <c r="H2073" s="974">
        <v>27350</v>
      </c>
      <c r="I2073" s="974">
        <v>26350</v>
      </c>
      <c r="J2073" s="974">
        <v>3846886</v>
      </c>
      <c r="K2073" s="974">
        <v>143273229</v>
      </c>
    </row>
    <row r="2074" spans="2:11" ht="16" hidden="1" outlineLevel="1">
      <c r="B2074" s="968" t="s">
        <v>1801</v>
      </c>
      <c r="C2074" s="967">
        <v>26900</v>
      </c>
      <c r="D2074" s="967" t="s">
        <v>2250</v>
      </c>
      <c r="E2074" s="974">
        <v>189715</v>
      </c>
      <c r="F2074" s="974">
        <v>5052790600</v>
      </c>
      <c r="G2074" s="974">
        <v>25900</v>
      </c>
      <c r="H2074" s="974">
        <v>27100</v>
      </c>
      <c r="I2074" s="974">
        <v>25650</v>
      </c>
      <c r="J2074" s="974">
        <v>3854050</v>
      </c>
      <c r="K2074" s="974">
        <v>143273229</v>
      </c>
    </row>
    <row r="2075" spans="2:11" ht="16" hidden="1" outlineLevel="1">
      <c r="B2075" s="968" t="s">
        <v>1799</v>
      </c>
      <c r="C2075" s="967">
        <v>25700</v>
      </c>
      <c r="D2075" s="967" t="s">
        <v>2213</v>
      </c>
      <c r="E2075" s="974">
        <v>221840</v>
      </c>
      <c r="F2075" s="974">
        <v>5642983000</v>
      </c>
      <c r="G2075" s="974">
        <v>25600</v>
      </c>
      <c r="H2075" s="974">
        <v>25950</v>
      </c>
      <c r="I2075" s="974">
        <v>24900</v>
      </c>
      <c r="J2075" s="974">
        <v>3682122</v>
      </c>
      <c r="K2075" s="974">
        <v>143273229</v>
      </c>
    </row>
    <row r="2076" spans="2:11" ht="16" hidden="1" outlineLevel="1">
      <c r="B2076" s="968" t="s">
        <v>1797</v>
      </c>
      <c r="C2076" s="967">
        <v>25450</v>
      </c>
      <c r="D2076" s="967" t="s">
        <v>2215</v>
      </c>
      <c r="E2076" s="974">
        <v>181209</v>
      </c>
      <c r="F2076" s="974">
        <v>4536607700</v>
      </c>
      <c r="G2076" s="974">
        <v>25300</v>
      </c>
      <c r="H2076" s="974">
        <v>26050</v>
      </c>
      <c r="I2076" s="974">
        <v>23800</v>
      </c>
      <c r="J2076" s="974">
        <v>3646304</v>
      </c>
      <c r="K2076" s="974">
        <v>143273229</v>
      </c>
    </row>
    <row r="2077" spans="2:11" ht="16" hidden="1" outlineLevel="1">
      <c r="B2077" s="968" t="s">
        <v>1795</v>
      </c>
      <c r="C2077" s="967">
        <v>25750</v>
      </c>
      <c r="D2077" s="967" t="s">
        <v>1814</v>
      </c>
      <c r="E2077" s="974">
        <v>204572</v>
      </c>
      <c r="F2077" s="974">
        <v>5311739500</v>
      </c>
      <c r="G2077" s="974">
        <v>26050</v>
      </c>
      <c r="H2077" s="974">
        <v>26450</v>
      </c>
      <c r="I2077" s="974">
        <v>25750</v>
      </c>
      <c r="J2077" s="974">
        <v>3689286</v>
      </c>
      <c r="K2077" s="974">
        <v>143273229</v>
      </c>
    </row>
    <row r="2078" spans="2:11" ht="16" hidden="1" outlineLevel="1">
      <c r="B2078" s="968" t="s">
        <v>1793</v>
      </c>
      <c r="C2078" s="967">
        <v>26250</v>
      </c>
      <c r="D2078" s="967" t="s">
        <v>2283</v>
      </c>
      <c r="E2078" s="974">
        <v>205782</v>
      </c>
      <c r="F2078" s="974">
        <v>5382391050</v>
      </c>
      <c r="G2078" s="974">
        <v>26000</v>
      </c>
      <c r="H2078" s="974">
        <v>26750</v>
      </c>
      <c r="I2078" s="974">
        <v>25100</v>
      </c>
      <c r="J2078" s="974">
        <v>3760922</v>
      </c>
      <c r="K2078" s="974">
        <v>143273229</v>
      </c>
    </row>
    <row r="2079" spans="2:11" ht="16" hidden="1" outlineLevel="1">
      <c r="B2079" s="968" t="s">
        <v>1791</v>
      </c>
      <c r="C2079" s="967">
        <v>25800</v>
      </c>
      <c r="D2079" s="967" t="s">
        <v>2253</v>
      </c>
      <c r="E2079" s="967">
        <v>198363</v>
      </c>
      <c r="F2079" s="967">
        <v>5194436400</v>
      </c>
      <c r="G2079" s="967">
        <v>27150</v>
      </c>
      <c r="H2079" s="967">
        <v>27200</v>
      </c>
      <c r="I2079" s="967">
        <v>25800</v>
      </c>
      <c r="J2079" s="967">
        <v>3696449</v>
      </c>
      <c r="K2079" s="967">
        <v>143273229</v>
      </c>
    </row>
    <row r="2080" spans="2:11" s="1258" customFormat="1" ht="16" hidden="1" outlineLevel="1">
      <c r="B2080" s="968" t="s">
        <v>2607</v>
      </c>
      <c r="C2080" s="967">
        <v>26600</v>
      </c>
      <c r="D2080" s="967" t="s">
        <v>2638</v>
      </c>
      <c r="E2080" s="967">
        <v>139680</v>
      </c>
      <c r="F2080" s="967">
        <v>3678653100</v>
      </c>
      <c r="G2080" s="967">
        <v>26850</v>
      </c>
      <c r="H2080" s="967">
        <v>26850</v>
      </c>
      <c r="I2080" s="967">
        <v>25700</v>
      </c>
      <c r="J2080" s="967">
        <v>3811068</v>
      </c>
      <c r="K2080" s="967">
        <v>143273229</v>
      </c>
    </row>
    <row r="2081" spans="2:11" s="1258" customFormat="1" ht="16" hidden="1" outlineLevel="1">
      <c r="B2081" s="968" t="s">
        <v>2605</v>
      </c>
      <c r="C2081" s="967">
        <v>25800</v>
      </c>
      <c r="D2081" s="967" t="s">
        <v>2206</v>
      </c>
      <c r="E2081" s="967">
        <v>254600</v>
      </c>
      <c r="F2081" s="967">
        <v>6501542000</v>
      </c>
      <c r="G2081" s="967">
        <v>25250</v>
      </c>
      <c r="H2081" s="967">
        <v>26150</v>
      </c>
      <c r="I2081" s="967">
        <v>25000</v>
      </c>
      <c r="J2081" s="967">
        <v>3696449</v>
      </c>
      <c r="K2081" s="967">
        <v>143273229</v>
      </c>
    </row>
    <row r="2082" spans="2:11" s="1258" customFormat="1" ht="16" hidden="1" outlineLevel="1">
      <c r="B2082" s="968" t="s">
        <v>2603</v>
      </c>
      <c r="C2082" s="967">
        <v>25250</v>
      </c>
      <c r="D2082" s="967" t="s">
        <v>2296</v>
      </c>
      <c r="E2082" s="967">
        <v>324095</v>
      </c>
      <c r="F2082" s="967">
        <v>8242790300</v>
      </c>
      <c r="G2082" s="967">
        <v>25150</v>
      </c>
      <c r="H2082" s="967">
        <v>26300</v>
      </c>
      <c r="I2082" s="967">
        <v>25050</v>
      </c>
      <c r="J2082" s="967">
        <v>3617649</v>
      </c>
      <c r="K2082" s="967">
        <v>143273229</v>
      </c>
    </row>
    <row r="2083" spans="2:11" s="1258" customFormat="1" ht="16" hidden="1" outlineLevel="1">
      <c r="B2083" s="968" t="s">
        <v>2601</v>
      </c>
      <c r="C2083" s="967">
        <v>26100</v>
      </c>
      <c r="D2083" s="967" t="s">
        <v>2690</v>
      </c>
      <c r="E2083" s="967">
        <v>172150</v>
      </c>
      <c r="F2083" s="967">
        <v>4541459300</v>
      </c>
      <c r="G2083" s="967">
        <v>26700</v>
      </c>
      <c r="H2083" s="967">
        <v>26850</v>
      </c>
      <c r="I2083" s="967">
        <v>26050</v>
      </c>
      <c r="J2083" s="967">
        <v>3739431</v>
      </c>
      <c r="K2083" s="967">
        <v>143273229</v>
      </c>
    </row>
    <row r="2084" spans="2:11" s="1258" customFormat="1" ht="16" hidden="1" outlineLevel="1">
      <c r="B2084" s="968" t="s">
        <v>2599</v>
      </c>
      <c r="C2084" s="967">
        <v>27550</v>
      </c>
      <c r="D2084" s="967" t="s">
        <v>2283</v>
      </c>
      <c r="E2084" s="967">
        <v>139591</v>
      </c>
      <c r="F2084" s="967">
        <v>3804471700</v>
      </c>
      <c r="G2084" s="967">
        <v>26750</v>
      </c>
      <c r="H2084" s="967">
        <v>27700</v>
      </c>
      <c r="I2084" s="967">
        <v>26650</v>
      </c>
      <c r="J2084" s="967">
        <v>3947177</v>
      </c>
      <c r="K2084" s="967">
        <v>143273229</v>
      </c>
    </row>
    <row r="2085" spans="2:11" s="1258" customFormat="1" ht="16" hidden="1" outlineLevel="1">
      <c r="B2085" s="968" t="s">
        <v>2598</v>
      </c>
      <c r="C2085" s="967">
        <v>27100</v>
      </c>
      <c r="D2085" s="967" t="s">
        <v>2213</v>
      </c>
      <c r="E2085" s="967">
        <v>151562</v>
      </c>
      <c r="F2085" s="967">
        <v>4085051200</v>
      </c>
      <c r="G2085" s="967">
        <v>26900</v>
      </c>
      <c r="H2085" s="967">
        <v>27350</v>
      </c>
      <c r="I2085" s="967">
        <v>26000</v>
      </c>
      <c r="J2085" s="967">
        <v>3882705</v>
      </c>
      <c r="K2085" s="967">
        <v>143273229</v>
      </c>
    </row>
    <row r="2086" spans="2:11" s="1258" customFormat="1" ht="16" hidden="1" outlineLevel="1">
      <c r="B2086" s="968" t="s">
        <v>2597</v>
      </c>
      <c r="C2086" s="967">
        <v>26850</v>
      </c>
      <c r="D2086" s="967" t="s">
        <v>2230</v>
      </c>
      <c r="E2086" s="967">
        <v>147976</v>
      </c>
      <c r="F2086" s="967">
        <v>3900848850</v>
      </c>
      <c r="G2086" s="967">
        <v>26400</v>
      </c>
      <c r="H2086" s="967">
        <v>26950</v>
      </c>
      <c r="I2086" s="967">
        <v>25500</v>
      </c>
      <c r="J2086" s="967">
        <v>3846886</v>
      </c>
      <c r="K2086" s="967">
        <v>143273229</v>
      </c>
    </row>
    <row r="2087" spans="2:11" s="1258" customFormat="1" ht="16" hidden="1" outlineLevel="1">
      <c r="B2087" s="968" t="s">
        <v>2596</v>
      </c>
      <c r="C2087" s="967">
        <v>26500</v>
      </c>
      <c r="D2087" s="967" t="s">
        <v>2208</v>
      </c>
      <c r="E2087" s="967">
        <v>212932</v>
      </c>
      <c r="F2087" s="967">
        <v>5671761400</v>
      </c>
      <c r="G2087" s="967">
        <v>26200</v>
      </c>
      <c r="H2087" s="967">
        <v>26900</v>
      </c>
      <c r="I2087" s="967">
        <v>26150</v>
      </c>
      <c r="J2087" s="967">
        <v>3796741</v>
      </c>
      <c r="K2087" s="967">
        <v>143273229</v>
      </c>
    </row>
    <row r="2088" spans="2:11" s="1258" customFormat="1" ht="16" hidden="1" outlineLevel="1">
      <c r="B2088" s="968" t="s">
        <v>2595</v>
      </c>
      <c r="C2088" s="967">
        <v>25800</v>
      </c>
      <c r="D2088" s="967" t="s">
        <v>2232</v>
      </c>
      <c r="E2088" s="967">
        <v>199415</v>
      </c>
      <c r="F2088" s="967">
        <v>5205658800</v>
      </c>
      <c r="G2088" s="967">
        <v>26200</v>
      </c>
      <c r="H2088" s="967">
        <v>26800</v>
      </c>
      <c r="I2088" s="967">
        <v>25800</v>
      </c>
      <c r="J2088" s="967">
        <v>3696449</v>
      </c>
      <c r="K2088" s="967">
        <v>143273229</v>
      </c>
    </row>
    <row r="2089" spans="2:11" s="1258" customFormat="1" ht="16" hidden="1" outlineLevel="1">
      <c r="B2089" s="968" t="s">
        <v>2594</v>
      </c>
      <c r="C2089" s="967">
        <v>25600</v>
      </c>
      <c r="D2089" s="967" t="s">
        <v>2209</v>
      </c>
      <c r="E2089" s="967">
        <v>211137</v>
      </c>
      <c r="F2089" s="967">
        <v>5502643200</v>
      </c>
      <c r="G2089" s="967">
        <v>27000</v>
      </c>
      <c r="H2089" s="967">
        <v>27000</v>
      </c>
      <c r="I2089" s="967">
        <v>25500</v>
      </c>
      <c r="J2089" s="967">
        <v>3667795</v>
      </c>
      <c r="K2089" s="967">
        <v>143273229</v>
      </c>
    </row>
    <row r="2090" spans="2:11" s="1258" customFormat="1" ht="16" hidden="1" outlineLevel="1">
      <c r="B2090" s="968" t="s">
        <v>2592</v>
      </c>
      <c r="C2090" s="967">
        <v>27150</v>
      </c>
      <c r="D2090" s="967" t="s">
        <v>2217</v>
      </c>
      <c r="E2090" s="967">
        <v>154598</v>
      </c>
      <c r="F2090" s="967">
        <v>4216331900</v>
      </c>
      <c r="G2090" s="967">
        <v>27300</v>
      </c>
      <c r="H2090" s="967">
        <v>27800</v>
      </c>
      <c r="I2090" s="967">
        <v>27000</v>
      </c>
      <c r="J2090" s="967">
        <v>3889868</v>
      </c>
      <c r="K2090" s="967">
        <v>143273229</v>
      </c>
    </row>
    <row r="2091" spans="2:11" s="1258" customFormat="1" ht="16" hidden="1" outlineLevel="1">
      <c r="B2091" s="968" t="s">
        <v>2591</v>
      </c>
      <c r="C2091" s="967">
        <v>27800</v>
      </c>
      <c r="D2091" s="967" t="s">
        <v>2638</v>
      </c>
      <c r="E2091" s="967">
        <v>242981</v>
      </c>
      <c r="F2091" s="967">
        <v>6674539650</v>
      </c>
      <c r="G2091" s="967">
        <v>27450</v>
      </c>
      <c r="H2091" s="967">
        <v>27800</v>
      </c>
      <c r="I2091" s="967">
        <v>26150</v>
      </c>
      <c r="J2091" s="967">
        <v>3982996</v>
      </c>
      <c r="K2091" s="967">
        <v>143273229</v>
      </c>
    </row>
    <row r="2092" spans="2:11" s="1258" customFormat="1" ht="16" hidden="1" outlineLevel="1">
      <c r="B2092" s="968" t="s">
        <v>2590</v>
      </c>
      <c r="C2092" s="967">
        <v>27000</v>
      </c>
      <c r="D2092" s="967" t="s">
        <v>2243</v>
      </c>
      <c r="E2092" s="967">
        <v>240025</v>
      </c>
      <c r="F2092" s="967">
        <v>6584563800</v>
      </c>
      <c r="G2092" s="967">
        <v>27300</v>
      </c>
      <c r="H2092" s="967">
        <v>28000</v>
      </c>
      <c r="I2092" s="967">
        <v>26800</v>
      </c>
      <c r="J2092" s="967">
        <v>3868377</v>
      </c>
      <c r="K2092" s="967">
        <v>143273229</v>
      </c>
    </row>
    <row r="2093" spans="2:11" s="1258" customFormat="1" ht="16" hidden="1" outlineLevel="1">
      <c r="B2093" s="968" t="s">
        <v>2589</v>
      </c>
      <c r="C2093" s="967">
        <v>26700</v>
      </c>
      <c r="D2093" s="967" t="s">
        <v>2692</v>
      </c>
      <c r="E2093" s="967">
        <v>535493</v>
      </c>
      <c r="F2093" s="967">
        <v>14285993750</v>
      </c>
      <c r="G2093" s="967">
        <v>25600</v>
      </c>
      <c r="H2093" s="967">
        <v>27450</v>
      </c>
      <c r="I2093" s="967">
        <v>25500</v>
      </c>
      <c r="J2093" s="967">
        <v>3825395</v>
      </c>
      <c r="K2093" s="967">
        <v>143273229</v>
      </c>
    </row>
    <row r="2094" spans="2:11" s="1258" customFormat="1" ht="16" hidden="1" outlineLevel="1">
      <c r="B2094" s="968" t="s">
        <v>2588</v>
      </c>
      <c r="C2094" s="967">
        <v>25750</v>
      </c>
      <c r="D2094" s="967" t="s">
        <v>2634</v>
      </c>
      <c r="E2094" s="967">
        <v>204999</v>
      </c>
      <c r="F2094" s="967">
        <v>5333939800</v>
      </c>
      <c r="G2094" s="967">
        <v>26800</v>
      </c>
      <c r="H2094" s="967">
        <v>26800</v>
      </c>
      <c r="I2094" s="967">
        <v>25550</v>
      </c>
      <c r="J2094" s="967">
        <v>3689286</v>
      </c>
      <c r="K2094" s="967">
        <v>143273229</v>
      </c>
    </row>
    <row r="2095" spans="2:11" s="1258" customFormat="1" ht="16" hidden="1" outlineLevel="1">
      <c r="B2095" s="968" t="s">
        <v>2587</v>
      </c>
      <c r="C2095" s="967">
        <v>27050</v>
      </c>
      <c r="D2095" s="967" t="s">
        <v>2207</v>
      </c>
      <c r="E2095" s="967">
        <v>163425</v>
      </c>
      <c r="F2095" s="967">
        <v>4433799000</v>
      </c>
      <c r="G2095" s="967">
        <v>26600</v>
      </c>
      <c r="H2095" s="967">
        <v>27650</v>
      </c>
      <c r="I2095" s="967">
        <v>26600</v>
      </c>
      <c r="J2095" s="967">
        <v>3875541</v>
      </c>
      <c r="K2095" s="967">
        <v>143273229</v>
      </c>
    </row>
    <row r="2096" spans="2:11" s="1258" customFormat="1" ht="16" hidden="1" outlineLevel="1">
      <c r="B2096" s="968" t="s">
        <v>2586</v>
      </c>
      <c r="C2096" s="967">
        <v>27000</v>
      </c>
      <c r="D2096" s="967" t="s">
        <v>2228</v>
      </c>
      <c r="E2096" s="967">
        <v>294709</v>
      </c>
      <c r="F2096" s="967">
        <v>8114097000</v>
      </c>
      <c r="G2096" s="967">
        <v>27000</v>
      </c>
      <c r="H2096" s="967">
        <v>28450</v>
      </c>
      <c r="I2096" s="967">
        <v>26750</v>
      </c>
      <c r="J2096" s="967">
        <v>3868377</v>
      </c>
      <c r="K2096" s="967">
        <v>143273229</v>
      </c>
    </row>
    <row r="2097" spans="2:11" s="1258" customFormat="1" ht="16" hidden="1" outlineLevel="1">
      <c r="B2097" s="968" t="s">
        <v>2584</v>
      </c>
      <c r="C2097" s="967">
        <v>27100</v>
      </c>
      <c r="D2097" s="967" t="s">
        <v>2214</v>
      </c>
      <c r="E2097" s="967">
        <v>142337</v>
      </c>
      <c r="F2097" s="967">
        <v>3816347700</v>
      </c>
      <c r="G2097" s="967">
        <v>26550</v>
      </c>
      <c r="H2097" s="967">
        <v>27100</v>
      </c>
      <c r="I2097" s="967">
        <v>26300</v>
      </c>
      <c r="J2097" s="967">
        <v>3882705</v>
      </c>
      <c r="K2097" s="967">
        <v>143273229</v>
      </c>
    </row>
    <row r="2098" spans="2:11" s="1258" customFormat="1" ht="16" hidden="1" outlineLevel="1">
      <c r="B2098" s="968" t="s">
        <v>2583</v>
      </c>
      <c r="C2098" s="967">
        <v>26700</v>
      </c>
      <c r="D2098" s="967" t="s">
        <v>2231</v>
      </c>
      <c r="E2098" s="967">
        <v>286256</v>
      </c>
      <c r="F2098" s="967">
        <v>7571722000</v>
      </c>
      <c r="G2098" s="967">
        <v>26400</v>
      </c>
      <c r="H2098" s="967">
        <v>26950</v>
      </c>
      <c r="I2098" s="967">
        <v>25500</v>
      </c>
      <c r="J2098" s="967">
        <v>3825395</v>
      </c>
      <c r="K2098" s="967">
        <v>143273229</v>
      </c>
    </row>
    <row r="2099" spans="2:11" s="1258" customFormat="1" ht="16" hidden="1" outlineLevel="1">
      <c r="B2099" s="968" t="s">
        <v>2582</v>
      </c>
      <c r="C2099" s="967">
        <v>25950</v>
      </c>
      <c r="D2099" s="967" t="s">
        <v>2246</v>
      </c>
      <c r="E2099" s="967">
        <v>284012</v>
      </c>
      <c r="F2099" s="967">
        <v>7432926100</v>
      </c>
      <c r="G2099" s="967">
        <v>26000</v>
      </c>
      <c r="H2099" s="967">
        <v>27150</v>
      </c>
      <c r="I2099" s="967">
        <v>25600</v>
      </c>
      <c r="J2099" s="967">
        <v>3717940</v>
      </c>
      <c r="K2099" s="967">
        <v>143273229</v>
      </c>
    </row>
    <row r="2100" spans="2:11" s="1258" customFormat="1" ht="16" hidden="1" outlineLevel="1">
      <c r="B2100" s="968" t="s">
        <v>2581</v>
      </c>
      <c r="C2100" s="967">
        <v>25050</v>
      </c>
      <c r="D2100" s="967" t="s">
        <v>2228</v>
      </c>
      <c r="E2100" s="967">
        <v>158508</v>
      </c>
      <c r="F2100" s="967">
        <v>3970980000</v>
      </c>
      <c r="G2100" s="967">
        <v>25000</v>
      </c>
      <c r="H2100" s="967">
        <v>25550</v>
      </c>
      <c r="I2100" s="967">
        <v>24600</v>
      </c>
      <c r="J2100" s="967">
        <v>3588994</v>
      </c>
      <c r="K2100" s="967">
        <v>143273229</v>
      </c>
    </row>
    <row r="2101" spans="2:11" s="1258" customFormat="1" ht="16" hidden="1" outlineLevel="1">
      <c r="B2101" s="968" t="s">
        <v>2580</v>
      </c>
      <c r="C2101" s="967">
        <v>25150</v>
      </c>
      <c r="D2101" s="967" t="s">
        <v>2229</v>
      </c>
      <c r="E2101" s="967">
        <v>172113</v>
      </c>
      <c r="F2101" s="967">
        <v>4402246800</v>
      </c>
      <c r="G2101" s="967">
        <v>25700</v>
      </c>
      <c r="H2101" s="967">
        <v>26400</v>
      </c>
      <c r="I2101" s="967">
        <v>25150</v>
      </c>
      <c r="J2101" s="967">
        <v>3603322</v>
      </c>
      <c r="K2101" s="967">
        <v>143273229</v>
      </c>
    </row>
    <row r="2102" spans="2:11" s="1258" customFormat="1" ht="16" hidden="1" outlineLevel="1">
      <c r="B2102" s="968" t="s">
        <v>2578</v>
      </c>
      <c r="C2102" s="967">
        <v>25500</v>
      </c>
      <c r="D2102" s="967" t="s">
        <v>2222</v>
      </c>
      <c r="E2102" s="967">
        <v>302210</v>
      </c>
      <c r="F2102" s="967">
        <v>7704284000</v>
      </c>
      <c r="G2102" s="967">
        <v>26100</v>
      </c>
      <c r="H2102" s="967">
        <v>26350</v>
      </c>
      <c r="I2102" s="967">
        <v>25000</v>
      </c>
      <c r="J2102" s="967">
        <v>3653467</v>
      </c>
      <c r="K2102" s="967">
        <v>143273229</v>
      </c>
    </row>
    <row r="2103" spans="2:11" s="1258" customFormat="1" ht="16" hidden="1" outlineLevel="1">
      <c r="B2103" s="968" t="s">
        <v>2577</v>
      </c>
      <c r="C2103" s="967">
        <v>26100</v>
      </c>
      <c r="D2103" s="967" t="s">
        <v>2283</v>
      </c>
      <c r="E2103" s="967">
        <v>278376</v>
      </c>
      <c r="F2103" s="967">
        <v>7337045500</v>
      </c>
      <c r="G2103" s="967">
        <v>26150</v>
      </c>
      <c r="H2103" s="967">
        <v>26900</v>
      </c>
      <c r="I2103" s="967">
        <v>25650</v>
      </c>
      <c r="J2103" s="967">
        <v>3739431</v>
      </c>
      <c r="K2103" s="967">
        <v>143273229</v>
      </c>
    </row>
    <row r="2104" spans="2:11" s="1258" customFormat="1" ht="16" hidden="1" outlineLevel="1">
      <c r="B2104" s="968" t="s">
        <v>2576</v>
      </c>
      <c r="C2104" s="967">
        <v>25650</v>
      </c>
      <c r="D2104" s="967" t="s">
        <v>2282</v>
      </c>
      <c r="E2104" s="967">
        <v>420500</v>
      </c>
      <c r="F2104" s="967">
        <v>10753853800</v>
      </c>
      <c r="G2104" s="967">
        <v>25300</v>
      </c>
      <c r="H2104" s="967">
        <v>26300</v>
      </c>
      <c r="I2104" s="967">
        <v>24600</v>
      </c>
      <c r="J2104" s="967">
        <v>3674958</v>
      </c>
      <c r="K2104" s="967">
        <v>143273229</v>
      </c>
    </row>
    <row r="2105" spans="2:11" s="1258" customFormat="1" ht="16" hidden="1" outlineLevel="1">
      <c r="B2105" s="968" t="s">
        <v>2575</v>
      </c>
      <c r="C2105" s="967">
        <v>25000</v>
      </c>
      <c r="D2105" s="967" t="s">
        <v>2215</v>
      </c>
      <c r="E2105" s="967">
        <v>262753</v>
      </c>
      <c r="F2105" s="967">
        <v>6630751550</v>
      </c>
      <c r="G2105" s="967">
        <v>24700</v>
      </c>
      <c r="H2105" s="967">
        <v>25850</v>
      </c>
      <c r="I2105" s="967">
        <v>23900</v>
      </c>
      <c r="J2105" s="967">
        <v>3581831</v>
      </c>
      <c r="K2105" s="967">
        <v>143273229</v>
      </c>
    </row>
    <row r="2106" spans="2:11" s="1258" customFormat="1" ht="16" hidden="1" outlineLevel="1">
      <c r="B2106" s="968" t="s">
        <v>2574</v>
      </c>
      <c r="C2106" s="967">
        <v>25300</v>
      </c>
      <c r="D2106" s="967" t="s">
        <v>2248</v>
      </c>
      <c r="E2106" s="967">
        <v>210487</v>
      </c>
      <c r="F2106" s="967">
        <v>5424565700</v>
      </c>
      <c r="G2106" s="967">
        <v>26300</v>
      </c>
      <c r="H2106" s="967">
        <v>26450</v>
      </c>
      <c r="I2106" s="967">
        <v>25300</v>
      </c>
      <c r="J2106" s="967">
        <v>3624813</v>
      </c>
      <c r="K2106" s="967">
        <v>143273229</v>
      </c>
    </row>
    <row r="2107" spans="2:11" s="1258" customFormat="1" ht="16" hidden="1" outlineLevel="1">
      <c r="B2107" s="968" t="s">
        <v>2572</v>
      </c>
      <c r="C2107" s="967">
        <v>26300</v>
      </c>
      <c r="D2107" s="967" t="s">
        <v>2294</v>
      </c>
      <c r="E2107" s="967">
        <v>206348</v>
      </c>
      <c r="F2107" s="967">
        <v>5539041000</v>
      </c>
      <c r="G2107" s="967">
        <v>27450</v>
      </c>
      <c r="H2107" s="967">
        <v>27450</v>
      </c>
      <c r="I2107" s="967">
        <v>26300</v>
      </c>
      <c r="J2107" s="967">
        <v>3768086</v>
      </c>
      <c r="K2107" s="967">
        <v>143273229</v>
      </c>
    </row>
    <row r="2108" spans="2:11" s="1258" customFormat="1" ht="16" hidden="1" outlineLevel="1">
      <c r="B2108" s="968" t="s">
        <v>2571</v>
      </c>
      <c r="C2108" s="967">
        <v>26850</v>
      </c>
      <c r="D2108" s="967" t="s">
        <v>2279</v>
      </c>
      <c r="E2108" s="967">
        <v>478769</v>
      </c>
      <c r="F2108" s="967">
        <v>13143320200</v>
      </c>
      <c r="G2108" s="967">
        <v>25850</v>
      </c>
      <c r="H2108" s="967">
        <v>28850</v>
      </c>
      <c r="I2108" s="967">
        <v>25850</v>
      </c>
      <c r="J2108" s="967">
        <v>3846886</v>
      </c>
      <c r="K2108" s="967">
        <v>143273229</v>
      </c>
    </row>
    <row r="2109" spans="2:11" s="1258" customFormat="1" ht="16" hidden="1" outlineLevel="1">
      <c r="B2109" s="968" t="s">
        <v>2569</v>
      </c>
      <c r="C2109" s="967">
        <v>25100</v>
      </c>
      <c r="D2109" s="967" t="s">
        <v>2208</v>
      </c>
      <c r="E2109" s="967">
        <v>470349</v>
      </c>
      <c r="F2109" s="967">
        <v>11869234400</v>
      </c>
      <c r="G2109" s="967">
        <v>25200</v>
      </c>
      <c r="H2109" s="967">
        <v>26200</v>
      </c>
      <c r="I2109" s="967">
        <v>24350</v>
      </c>
      <c r="J2109" s="967">
        <v>3596158</v>
      </c>
      <c r="K2109" s="967">
        <v>143273229</v>
      </c>
    </row>
    <row r="2110" spans="2:11" s="1258" customFormat="1" ht="16" hidden="1" outlineLevel="1">
      <c r="B2110" s="968" t="s">
        <v>2567</v>
      </c>
      <c r="C2110" s="967">
        <v>24400</v>
      </c>
      <c r="D2110" s="967" t="s">
        <v>2236</v>
      </c>
      <c r="E2110" s="967">
        <v>637829</v>
      </c>
      <c r="F2110" s="967">
        <v>15564821800</v>
      </c>
      <c r="G2110" s="967">
        <v>22050</v>
      </c>
      <c r="H2110" s="967">
        <v>25300</v>
      </c>
      <c r="I2110" s="967">
        <v>22050</v>
      </c>
      <c r="J2110" s="967">
        <v>3495867</v>
      </c>
      <c r="K2110" s="967">
        <v>143273229</v>
      </c>
    </row>
    <row r="2111" spans="2:11" s="1258" customFormat="1" ht="16" hidden="1" outlineLevel="1">
      <c r="B2111" s="968" t="s">
        <v>2566</v>
      </c>
      <c r="C2111" s="967">
        <v>23400</v>
      </c>
      <c r="D2111" s="967" t="s">
        <v>2213</v>
      </c>
      <c r="E2111" s="967">
        <v>849309</v>
      </c>
      <c r="F2111" s="967">
        <v>20038623750</v>
      </c>
      <c r="G2111" s="967">
        <v>24250</v>
      </c>
      <c r="H2111" s="967">
        <v>24500</v>
      </c>
      <c r="I2111" s="967">
        <v>23050</v>
      </c>
      <c r="J2111" s="967">
        <v>3352594</v>
      </c>
      <c r="K2111" s="967">
        <v>143273229</v>
      </c>
    </row>
    <row r="2112" spans="2:11" s="1258" customFormat="1" ht="16" hidden="1" outlineLevel="1">
      <c r="B2112" s="968" t="s">
        <v>2564</v>
      </c>
      <c r="C2112" s="967">
        <v>23150</v>
      </c>
      <c r="D2112" s="967" t="s">
        <v>2698</v>
      </c>
      <c r="E2112" s="967">
        <v>582386</v>
      </c>
      <c r="F2112" s="967">
        <v>13501750300</v>
      </c>
      <c r="G2112" s="967">
        <v>24150</v>
      </c>
      <c r="H2112" s="967">
        <v>24450</v>
      </c>
      <c r="I2112" s="967">
        <v>22000</v>
      </c>
      <c r="J2112" s="967">
        <v>3316775</v>
      </c>
      <c r="K2112" s="967">
        <v>143273229</v>
      </c>
    </row>
    <row r="2113" spans="2:11" s="1258" customFormat="1" ht="16" hidden="1" outlineLevel="1">
      <c r="B2113" s="968" t="s">
        <v>2563</v>
      </c>
      <c r="C2113" s="967">
        <v>25350</v>
      </c>
      <c r="D2113" s="967" t="s">
        <v>2248</v>
      </c>
      <c r="E2113" s="967">
        <v>362797</v>
      </c>
      <c r="F2113" s="967">
        <v>9412957550</v>
      </c>
      <c r="G2113" s="967">
        <v>25800</v>
      </c>
      <c r="H2113" s="967">
        <v>27100</v>
      </c>
      <c r="I2113" s="967">
        <v>25050</v>
      </c>
      <c r="J2113" s="967">
        <v>3631976</v>
      </c>
      <c r="K2113" s="967">
        <v>143273229</v>
      </c>
    </row>
    <row r="2114" spans="2:11" s="1258" customFormat="1" ht="16" hidden="1" outlineLevel="1">
      <c r="B2114" s="968" t="s">
        <v>2562</v>
      </c>
      <c r="C2114" s="967">
        <v>26350</v>
      </c>
      <c r="D2114" s="967" t="s">
        <v>2634</v>
      </c>
      <c r="E2114" s="967">
        <v>305118</v>
      </c>
      <c r="F2114" s="967">
        <v>8170497800</v>
      </c>
      <c r="G2114" s="967">
        <v>25500</v>
      </c>
      <c r="H2114" s="967">
        <v>27750</v>
      </c>
      <c r="I2114" s="967">
        <v>25400</v>
      </c>
      <c r="J2114" s="967">
        <v>3775250</v>
      </c>
      <c r="K2114" s="967">
        <v>143273229</v>
      </c>
    </row>
    <row r="2115" spans="2:11" s="1258" customFormat="1" ht="16" hidden="1" outlineLevel="1">
      <c r="B2115" s="968" t="s">
        <v>2561</v>
      </c>
      <c r="C2115" s="967">
        <v>27650</v>
      </c>
      <c r="D2115" s="967" t="s">
        <v>2728</v>
      </c>
      <c r="E2115" s="967">
        <v>352146</v>
      </c>
      <c r="F2115" s="967">
        <v>9859326400</v>
      </c>
      <c r="G2115" s="967">
        <v>28400</v>
      </c>
      <c r="H2115" s="967">
        <v>28400</v>
      </c>
      <c r="I2115" s="967">
        <v>27650</v>
      </c>
      <c r="J2115" s="967">
        <v>3961505</v>
      </c>
      <c r="K2115" s="967">
        <v>143273229</v>
      </c>
    </row>
    <row r="2116" spans="2:11" s="1258" customFormat="1" ht="16" hidden="1" outlineLevel="1">
      <c r="B2116" s="968" t="s">
        <v>2560</v>
      </c>
      <c r="C2116" s="967">
        <v>28600</v>
      </c>
      <c r="D2116" s="967" t="s">
        <v>2634</v>
      </c>
      <c r="E2116" s="967">
        <v>456684</v>
      </c>
      <c r="F2116" s="967">
        <v>12990793600</v>
      </c>
      <c r="G2116" s="967">
        <v>29700</v>
      </c>
      <c r="H2116" s="967">
        <v>29700</v>
      </c>
      <c r="I2116" s="967">
        <v>28100</v>
      </c>
      <c r="J2116" s="967">
        <v>4097614</v>
      </c>
      <c r="K2116" s="967">
        <v>143273229</v>
      </c>
    </row>
    <row r="2117" spans="2:11" s="1258" customFormat="1" ht="16" hidden="1" outlineLevel="1">
      <c r="B2117" s="968" t="s">
        <v>2559</v>
      </c>
      <c r="C2117" s="967">
        <v>29900</v>
      </c>
      <c r="D2117" s="967" t="s">
        <v>2229</v>
      </c>
      <c r="E2117" s="967">
        <v>188861</v>
      </c>
      <c r="F2117" s="967">
        <v>5640083200</v>
      </c>
      <c r="G2117" s="967">
        <v>30100</v>
      </c>
      <c r="H2117" s="967">
        <v>30450</v>
      </c>
      <c r="I2117" s="967">
        <v>29550</v>
      </c>
      <c r="J2117" s="967">
        <v>4283870</v>
      </c>
      <c r="K2117" s="967">
        <v>143273229</v>
      </c>
    </row>
    <row r="2118" spans="2:11" s="1258" customFormat="1" ht="16" hidden="1" outlineLevel="1">
      <c r="B2118" s="968" t="s">
        <v>2557</v>
      </c>
      <c r="C2118" s="967">
        <v>30250</v>
      </c>
      <c r="D2118" s="967" t="s">
        <v>2283</v>
      </c>
      <c r="E2118" s="967">
        <v>136146</v>
      </c>
      <c r="F2118" s="967">
        <v>4118651450</v>
      </c>
      <c r="G2118" s="967">
        <v>29700</v>
      </c>
      <c r="H2118" s="967">
        <v>30500</v>
      </c>
      <c r="I2118" s="967">
        <v>29700</v>
      </c>
      <c r="J2118" s="967">
        <v>4334015</v>
      </c>
      <c r="K2118" s="967">
        <v>143273229</v>
      </c>
    </row>
    <row r="2119" spans="2:11" s="1258" customFormat="1" ht="16" hidden="1" outlineLevel="1">
      <c r="B2119" s="968" t="s">
        <v>2555</v>
      </c>
      <c r="C2119" s="967">
        <v>29800</v>
      </c>
      <c r="D2119" s="967" t="s">
        <v>2226</v>
      </c>
      <c r="E2119" s="967">
        <v>219954</v>
      </c>
      <c r="F2119" s="967">
        <v>6548570200</v>
      </c>
      <c r="G2119" s="967">
        <v>30100</v>
      </c>
      <c r="H2119" s="967">
        <v>30100</v>
      </c>
      <c r="I2119" s="967">
        <v>29550</v>
      </c>
      <c r="J2119" s="967">
        <v>4269542</v>
      </c>
      <c r="K2119" s="967">
        <v>143273229</v>
      </c>
    </row>
    <row r="2120" spans="2:11" s="1258" customFormat="1" ht="16" hidden="1" outlineLevel="1">
      <c r="B2120" s="968" t="s">
        <v>2554</v>
      </c>
      <c r="C2120" s="967">
        <v>29850</v>
      </c>
      <c r="D2120" s="967" t="s">
        <v>2253</v>
      </c>
      <c r="E2120" s="967">
        <v>298657</v>
      </c>
      <c r="F2120" s="967">
        <v>8935168450</v>
      </c>
      <c r="G2120" s="967">
        <v>30150</v>
      </c>
      <c r="H2120" s="967">
        <v>30350</v>
      </c>
      <c r="I2120" s="967">
        <v>29700</v>
      </c>
      <c r="J2120" s="967">
        <v>4276706</v>
      </c>
      <c r="K2120" s="967">
        <v>143273229</v>
      </c>
    </row>
    <row r="2121" spans="2:11" s="1258" customFormat="1" ht="16" hidden="1" outlineLevel="1">
      <c r="B2121" s="968" t="s">
        <v>2552</v>
      </c>
      <c r="C2121" s="967">
        <v>30650</v>
      </c>
      <c r="D2121" s="967" t="s">
        <v>2210</v>
      </c>
      <c r="E2121" s="967">
        <v>285846</v>
      </c>
      <c r="F2121" s="967">
        <v>8757739850</v>
      </c>
      <c r="G2121" s="967">
        <v>30900</v>
      </c>
      <c r="H2121" s="967">
        <v>31150</v>
      </c>
      <c r="I2121" s="967">
        <v>30400</v>
      </c>
      <c r="J2121" s="967">
        <v>4391324</v>
      </c>
      <c r="K2121" s="967">
        <v>143273229</v>
      </c>
    </row>
    <row r="2122" spans="2:11" s="1258" customFormat="1" ht="16" hidden="1" outlineLevel="1">
      <c r="B2122" s="968" t="s">
        <v>2550</v>
      </c>
      <c r="C2122" s="967">
        <v>31100</v>
      </c>
      <c r="D2122" s="967" t="s">
        <v>2234</v>
      </c>
      <c r="E2122" s="967">
        <v>314519</v>
      </c>
      <c r="F2122" s="967">
        <v>9813997300</v>
      </c>
      <c r="G2122" s="967">
        <v>31400</v>
      </c>
      <c r="H2122" s="967">
        <v>31800</v>
      </c>
      <c r="I2122" s="967">
        <v>30750</v>
      </c>
      <c r="J2122" s="967">
        <v>4455797</v>
      </c>
      <c r="K2122" s="967">
        <v>143273229</v>
      </c>
    </row>
    <row r="2123" spans="2:11" s="1258" customFormat="1" ht="16" hidden="1" outlineLevel="1">
      <c r="B2123" s="968" t="s">
        <v>2549</v>
      </c>
      <c r="C2123" s="967">
        <v>31800</v>
      </c>
      <c r="D2123" s="967" t="s">
        <v>2243</v>
      </c>
      <c r="E2123" s="967">
        <v>349789</v>
      </c>
      <c r="F2123" s="967">
        <v>11197530850</v>
      </c>
      <c r="G2123" s="967">
        <v>32000</v>
      </c>
      <c r="H2123" s="967">
        <v>32500</v>
      </c>
      <c r="I2123" s="967">
        <v>31700</v>
      </c>
      <c r="J2123" s="967">
        <v>4556089</v>
      </c>
      <c r="K2123" s="967">
        <v>143273229</v>
      </c>
    </row>
    <row r="2124" spans="2:11" s="1258" customFormat="1" ht="16" hidden="1" outlineLevel="1">
      <c r="B2124" s="968" t="s">
        <v>2548</v>
      </c>
      <c r="C2124" s="967">
        <v>31500</v>
      </c>
      <c r="D2124" s="967" t="s">
        <v>2230</v>
      </c>
      <c r="E2124" s="967">
        <v>236575</v>
      </c>
      <c r="F2124" s="967">
        <v>7446173050</v>
      </c>
      <c r="G2124" s="967">
        <v>31600</v>
      </c>
      <c r="H2124" s="967">
        <v>31800</v>
      </c>
      <c r="I2124" s="967">
        <v>31250</v>
      </c>
      <c r="J2124" s="967">
        <v>4513107</v>
      </c>
      <c r="K2124" s="967">
        <v>143273229</v>
      </c>
    </row>
    <row r="2125" spans="2:11" s="1258" customFormat="1" ht="16" hidden="1" outlineLevel="1">
      <c r="B2125" s="968" t="s">
        <v>2546</v>
      </c>
      <c r="C2125" s="967">
        <v>31150</v>
      </c>
      <c r="D2125" s="967" t="s">
        <v>2211</v>
      </c>
      <c r="E2125" s="967">
        <v>240100</v>
      </c>
      <c r="F2125" s="967">
        <v>7499114100</v>
      </c>
      <c r="G2125" s="967">
        <v>31850</v>
      </c>
      <c r="H2125" s="967">
        <v>32200</v>
      </c>
      <c r="I2125" s="967">
        <v>31000</v>
      </c>
      <c r="J2125" s="967">
        <v>4462961</v>
      </c>
      <c r="K2125" s="967">
        <v>143273229</v>
      </c>
    </row>
    <row r="2126" spans="2:11" s="1258" customFormat="1" ht="16" hidden="1" outlineLevel="1">
      <c r="B2126" s="968" t="s">
        <v>2545</v>
      </c>
      <c r="C2126" s="967">
        <v>31550</v>
      </c>
      <c r="D2126" s="967" t="s">
        <v>2214</v>
      </c>
      <c r="E2126" s="967">
        <v>202909</v>
      </c>
      <c r="F2126" s="967">
        <v>6410783000</v>
      </c>
      <c r="G2126" s="967">
        <v>31150</v>
      </c>
      <c r="H2126" s="967">
        <v>31900</v>
      </c>
      <c r="I2126" s="967">
        <v>31150</v>
      </c>
      <c r="J2126" s="967">
        <v>4520270</v>
      </c>
      <c r="K2126" s="967">
        <v>143273229</v>
      </c>
    </row>
    <row r="2127" spans="2:11" s="1258" customFormat="1" ht="16" hidden="1" outlineLevel="1">
      <c r="B2127" s="968" t="s">
        <v>2544</v>
      </c>
      <c r="C2127" s="967">
        <v>31150</v>
      </c>
      <c r="D2127" s="967" t="s">
        <v>2221</v>
      </c>
      <c r="E2127" s="967">
        <v>114150</v>
      </c>
      <c r="F2127" s="967">
        <v>3565917350</v>
      </c>
      <c r="G2127" s="967">
        <v>30850</v>
      </c>
      <c r="H2127" s="967">
        <v>31450</v>
      </c>
      <c r="I2127" s="967">
        <v>30850</v>
      </c>
      <c r="J2127" s="967">
        <v>4462961</v>
      </c>
      <c r="K2127" s="967">
        <v>143273229</v>
      </c>
    </row>
    <row r="2128" spans="2:11" s="1258" customFormat="1" ht="16" hidden="1" outlineLevel="1">
      <c r="B2128" s="968" t="s">
        <v>2543</v>
      </c>
      <c r="C2128" s="967">
        <v>31150</v>
      </c>
      <c r="D2128" s="967" t="s">
        <v>2225</v>
      </c>
      <c r="E2128" s="967">
        <v>137495</v>
      </c>
      <c r="F2128" s="967">
        <v>4268258800</v>
      </c>
      <c r="G2128" s="967">
        <v>31300</v>
      </c>
      <c r="H2128" s="967">
        <v>31500</v>
      </c>
      <c r="I2128" s="967">
        <v>30750</v>
      </c>
      <c r="J2128" s="967">
        <v>4462961</v>
      </c>
      <c r="K2128" s="967">
        <v>143273229</v>
      </c>
    </row>
    <row r="2129" spans="2:11" s="1258" customFormat="1" ht="16" hidden="1" outlineLevel="1">
      <c r="B2129" s="968" t="s">
        <v>2541</v>
      </c>
      <c r="C2129" s="967">
        <v>31300</v>
      </c>
      <c r="D2129" s="967" t="s">
        <v>2212</v>
      </c>
      <c r="E2129" s="967">
        <v>250864</v>
      </c>
      <c r="F2129" s="967">
        <v>7791446700</v>
      </c>
      <c r="G2129" s="967">
        <v>31200</v>
      </c>
      <c r="H2129" s="967">
        <v>31350</v>
      </c>
      <c r="I2129" s="967">
        <v>30750</v>
      </c>
      <c r="J2129" s="967">
        <v>4484452</v>
      </c>
      <c r="K2129" s="967">
        <v>143273229</v>
      </c>
    </row>
    <row r="2130" spans="2:11" s="1258" customFormat="1" ht="16" hidden="1" outlineLevel="1">
      <c r="B2130" s="968" t="s">
        <v>2540</v>
      </c>
      <c r="C2130" s="967">
        <v>31200</v>
      </c>
      <c r="D2130" s="967" t="s">
        <v>2210</v>
      </c>
      <c r="E2130" s="967">
        <v>308052</v>
      </c>
      <c r="F2130" s="967">
        <v>9580502750</v>
      </c>
      <c r="G2130" s="967">
        <v>31600</v>
      </c>
      <c r="H2130" s="967">
        <v>31600</v>
      </c>
      <c r="I2130" s="967">
        <v>30850</v>
      </c>
      <c r="J2130" s="967">
        <v>4470125</v>
      </c>
      <c r="K2130" s="967">
        <v>143273229</v>
      </c>
    </row>
    <row r="2131" spans="2:11" s="1258" customFormat="1" ht="16" hidden="1" outlineLevel="1">
      <c r="B2131" s="968" t="s">
        <v>2539</v>
      </c>
      <c r="C2131" s="967">
        <v>31650</v>
      </c>
      <c r="D2131" s="967" t="s">
        <v>2217</v>
      </c>
      <c r="E2131" s="967">
        <v>126735</v>
      </c>
      <c r="F2131" s="967">
        <v>4007091550</v>
      </c>
      <c r="G2131" s="967">
        <v>31800</v>
      </c>
      <c r="H2131" s="967">
        <v>32100</v>
      </c>
      <c r="I2131" s="967">
        <v>31150</v>
      </c>
      <c r="J2131" s="967">
        <v>4534598</v>
      </c>
      <c r="K2131" s="967">
        <v>143273229</v>
      </c>
    </row>
    <row r="2132" spans="2:11" s="1258" customFormat="1" ht="16" hidden="1" outlineLevel="1">
      <c r="B2132" s="968" t="s">
        <v>2538</v>
      </c>
      <c r="C2132" s="967">
        <v>32300</v>
      </c>
      <c r="D2132" s="967" t="s">
        <v>2234</v>
      </c>
      <c r="E2132" s="967">
        <v>184559</v>
      </c>
      <c r="F2132" s="967">
        <v>6003897650</v>
      </c>
      <c r="G2132" s="967">
        <v>33150</v>
      </c>
      <c r="H2132" s="967">
        <v>33750</v>
      </c>
      <c r="I2132" s="967">
        <v>31650</v>
      </c>
      <c r="J2132" s="967">
        <v>4627725</v>
      </c>
      <c r="K2132" s="967">
        <v>143273229</v>
      </c>
    </row>
    <row r="2133" spans="2:11" s="1258" customFormat="1" ht="16" hidden="1" outlineLevel="1">
      <c r="B2133" s="968" t="s">
        <v>2537</v>
      </c>
      <c r="C2133" s="967">
        <v>33000</v>
      </c>
      <c r="D2133" s="967" t="s">
        <v>2283</v>
      </c>
      <c r="E2133" s="967">
        <v>178930</v>
      </c>
      <c r="F2133" s="967">
        <v>5914090000</v>
      </c>
      <c r="G2133" s="967">
        <v>32700</v>
      </c>
      <c r="H2133" s="967">
        <v>33300</v>
      </c>
      <c r="I2133" s="967">
        <v>32350</v>
      </c>
      <c r="J2133" s="967">
        <v>4728017</v>
      </c>
      <c r="K2133" s="967">
        <v>143273229</v>
      </c>
    </row>
    <row r="2134" spans="2:11" s="1258" customFormat="1" ht="16" hidden="1" outlineLevel="1">
      <c r="B2134" s="968" t="s">
        <v>2536</v>
      </c>
      <c r="C2134" s="967">
        <v>32550</v>
      </c>
      <c r="D2134" s="967" t="s">
        <v>2293</v>
      </c>
      <c r="E2134" s="967">
        <v>137821</v>
      </c>
      <c r="F2134" s="967">
        <v>4532981250</v>
      </c>
      <c r="G2134" s="967">
        <v>32900</v>
      </c>
      <c r="H2134" s="967">
        <v>33300</v>
      </c>
      <c r="I2134" s="967">
        <v>32550</v>
      </c>
      <c r="J2134" s="967">
        <v>4663544</v>
      </c>
      <c r="K2134" s="967">
        <v>143273229</v>
      </c>
    </row>
    <row r="2135" spans="2:11" s="1258" customFormat="1" ht="16" hidden="1" outlineLevel="1">
      <c r="B2135" s="968" t="s">
        <v>2535</v>
      </c>
      <c r="C2135" s="967">
        <v>32800</v>
      </c>
      <c r="D2135" s="967" t="s">
        <v>2219</v>
      </c>
      <c r="E2135" s="967">
        <v>239817</v>
      </c>
      <c r="F2135" s="967">
        <v>7932029600</v>
      </c>
      <c r="G2135" s="967">
        <v>32500</v>
      </c>
      <c r="H2135" s="967">
        <v>33800</v>
      </c>
      <c r="I2135" s="967">
        <v>32400</v>
      </c>
      <c r="J2135" s="967">
        <v>4699362</v>
      </c>
      <c r="K2135" s="967">
        <v>143273229</v>
      </c>
    </row>
    <row r="2136" spans="2:11" s="1258" customFormat="1" ht="16" hidden="1" outlineLevel="1">
      <c r="B2136" s="968" t="s">
        <v>2534</v>
      </c>
      <c r="C2136" s="967">
        <v>32650</v>
      </c>
      <c r="D2136" s="967" t="s">
        <v>2217</v>
      </c>
      <c r="E2136" s="967">
        <v>208764</v>
      </c>
      <c r="F2136" s="967">
        <v>6899211400</v>
      </c>
      <c r="G2136" s="967">
        <v>33000</v>
      </c>
      <c r="H2136" s="967">
        <v>33900</v>
      </c>
      <c r="I2136" s="967">
        <v>32600</v>
      </c>
      <c r="J2136" s="967">
        <v>4677871</v>
      </c>
      <c r="K2136" s="967">
        <v>143273229</v>
      </c>
    </row>
    <row r="2137" spans="2:11" s="1258" customFormat="1" ht="16" hidden="1" outlineLevel="1">
      <c r="B2137" s="968" t="s">
        <v>2533</v>
      </c>
      <c r="C2137" s="967">
        <v>33300</v>
      </c>
      <c r="D2137" s="967" t="s">
        <v>2638</v>
      </c>
      <c r="E2137" s="967">
        <v>248078</v>
      </c>
      <c r="F2137" s="967">
        <v>8290847900</v>
      </c>
      <c r="G2137" s="967">
        <v>32400</v>
      </c>
      <c r="H2137" s="967">
        <v>33600</v>
      </c>
      <c r="I2137" s="967">
        <v>32400</v>
      </c>
      <c r="J2137" s="967">
        <v>4770999</v>
      </c>
      <c r="K2137" s="967">
        <v>143273229</v>
      </c>
    </row>
    <row r="2138" spans="2:11" s="1258" customFormat="1" ht="16" hidden="1" outlineLevel="1">
      <c r="B2138" s="968" t="s">
        <v>2532</v>
      </c>
      <c r="C2138" s="967">
        <v>32500</v>
      </c>
      <c r="D2138" s="967" t="s">
        <v>2221</v>
      </c>
      <c r="E2138" s="967">
        <v>119941</v>
      </c>
      <c r="F2138" s="967">
        <v>3896964800</v>
      </c>
      <c r="G2138" s="967">
        <v>32800</v>
      </c>
      <c r="H2138" s="967">
        <v>32950</v>
      </c>
      <c r="I2138" s="967">
        <v>32050</v>
      </c>
      <c r="J2138" s="967">
        <v>4656380</v>
      </c>
      <c r="K2138" s="967">
        <v>143273229</v>
      </c>
    </row>
    <row r="2139" spans="2:11" s="1258" customFormat="1" ht="16" hidden="1" outlineLevel="1">
      <c r="B2139" s="968" t="s">
        <v>2531</v>
      </c>
      <c r="C2139" s="967">
        <v>32500</v>
      </c>
      <c r="D2139" s="967" t="s">
        <v>2246</v>
      </c>
      <c r="E2139" s="967">
        <v>245715</v>
      </c>
      <c r="F2139" s="967">
        <v>8013947200</v>
      </c>
      <c r="G2139" s="967">
        <v>31650</v>
      </c>
      <c r="H2139" s="967">
        <v>33000</v>
      </c>
      <c r="I2139" s="967">
        <v>31650</v>
      </c>
      <c r="J2139" s="967">
        <v>4656380</v>
      </c>
      <c r="K2139" s="967">
        <v>143273229</v>
      </c>
    </row>
    <row r="2140" spans="2:11" s="1258" customFormat="1" ht="16" hidden="1" outlineLevel="1">
      <c r="B2140" s="968" t="s">
        <v>2530</v>
      </c>
      <c r="C2140" s="967">
        <v>31600</v>
      </c>
      <c r="D2140" s="967" t="s">
        <v>2206</v>
      </c>
      <c r="E2140" s="967">
        <v>112741</v>
      </c>
      <c r="F2140" s="967">
        <v>3567476550</v>
      </c>
      <c r="G2140" s="967">
        <v>31300</v>
      </c>
      <c r="H2140" s="967">
        <v>31950</v>
      </c>
      <c r="I2140" s="967">
        <v>31200</v>
      </c>
      <c r="J2140" s="967">
        <v>4527434</v>
      </c>
      <c r="K2140" s="967">
        <v>143273229</v>
      </c>
    </row>
    <row r="2141" spans="2:11" s="1258" customFormat="1" ht="16" hidden="1" outlineLevel="1">
      <c r="B2141" s="968" t="s">
        <v>2528</v>
      </c>
      <c r="C2141" s="967">
        <v>31050</v>
      </c>
      <c r="D2141" s="967" t="s">
        <v>2226</v>
      </c>
      <c r="E2141" s="967">
        <v>122777</v>
      </c>
      <c r="F2141" s="967">
        <v>3857170200</v>
      </c>
      <c r="G2141" s="967">
        <v>31100</v>
      </c>
      <c r="H2141" s="967">
        <v>31800</v>
      </c>
      <c r="I2141" s="967">
        <v>31050</v>
      </c>
      <c r="J2141" s="967">
        <v>4448634</v>
      </c>
      <c r="K2141" s="967">
        <v>143273229</v>
      </c>
    </row>
    <row r="2142" spans="2:11" s="1258" customFormat="1" ht="16" hidden="1" outlineLevel="1">
      <c r="B2142" s="968" t="s">
        <v>2527</v>
      </c>
      <c r="C2142" s="967">
        <v>31100</v>
      </c>
      <c r="D2142" s="967" t="s">
        <v>2228</v>
      </c>
      <c r="E2142" s="967">
        <v>165719</v>
      </c>
      <c r="F2142" s="967">
        <v>5168541250</v>
      </c>
      <c r="G2142" s="967">
        <v>31000</v>
      </c>
      <c r="H2142" s="967">
        <v>31450</v>
      </c>
      <c r="I2142" s="967">
        <v>30900</v>
      </c>
      <c r="J2142" s="967">
        <v>4455797</v>
      </c>
      <c r="K2142" s="967">
        <v>143273229</v>
      </c>
    </row>
    <row r="2143" spans="2:11" s="1258" customFormat="1" ht="16" hidden="1" outlineLevel="1">
      <c r="B2143" s="968" t="s">
        <v>2525</v>
      </c>
      <c r="C2143" s="967">
        <v>31200</v>
      </c>
      <c r="D2143" s="967" t="s">
        <v>2210</v>
      </c>
      <c r="E2143" s="967">
        <v>232053</v>
      </c>
      <c r="F2143" s="967">
        <v>7177818450</v>
      </c>
      <c r="G2143" s="967">
        <v>31800</v>
      </c>
      <c r="H2143" s="967">
        <v>31800</v>
      </c>
      <c r="I2143" s="967">
        <v>30750</v>
      </c>
      <c r="J2143" s="967">
        <v>4470125</v>
      </c>
      <c r="K2143" s="967">
        <v>143273229</v>
      </c>
    </row>
    <row r="2144" spans="2:11" s="1258" customFormat="1" ht="16" hidden="1" outlineLevel="1">
      <c r="B2144" s="968" t="s">
        <v>2524</v>
      </c>
      <c r="C2144" s="967">
        <v>31650</v>
      </c>
      <c r="D2144" s="967" t="s">
        <v>2246</v>
      </c>
      <c r="E2144" s="967">
        <v>204597</v>
      </c>
      <c r="F2144" s="967">
        <v>6503020750</v>
      </c>
      <c r="G2144" s="967">
        <v>31950</v>
      </c>
      <c r="H2144" s="967">
        <v>32000</v>
      </c>
      <c r="I2144" s="967">
        <v>31000</v>
      </c>
      <c r="J2144" s="967">
        <v>4534598</v>
      </c>
      <c r="K2144" s="967">
        <v>143273229</v>
      </c>
    </row>
    <row r="2145" spans="2:11" s="1258" customFormat="1" ht="16" hidden="1" outlineLevel="1">
      <c r="B2145" s="968" t="s">
        <v>2523</v>
      </c>
      <c r="C2145" s="967">
        <v>30750</v>
      </c>
      <c r="D2145" s="967" t="s">
        <v>2229</v>
      </c>
      <c r="E2145" s="967">
        <v>142501</v>
      </c>
      <c r="F2145" s="967">
        <v>4375774900</v>
      </c>
      <c r="G2145" s="967">
        <v>31050</v>
      </c>
      <c r="H2145" s="967">
        <v>31150</v>
      </c>
      <c r="I2145" s="967">
        <v>30350</v>
      </c>
      <c r="J2145" s="967">
        <v>4405652</v>
      </c>
      <c r="K2145" s="967">
        <v>143273229</v>
      </c>
    </row>
    <row r="2146" spans="2:11" s="1258" customFormat="1" ht="16" hidden="1" outlineLevel="1">
      <c r="B2146" s="968" t="s">
        <v>2522</v>
      </c>
      <c r="C2146" s="967">
        <v>31100</v>
      </c>
      <c r="D2146" s="967" t="s">
        <v>2207</v>
      </c>
      <c r="E2146" s="967">
        <v>139238</v>
      </c>
      <c r="F2146" s="967">
        <v>4327113800</v>
      </c>
      <c r="G2146" s="967">
        <v>31150</v>
      </c>
      <c r="H2146" s="967">
        <v>31300</v>
      </c>
      <c r="I2146" s="967">
        <v>30850</v>
      </c>
      <c r="J2146" s="967">
        <v>4455797</v>
      </c>
      <c r="K2146" s="967">
        <v>143273229</v>
      </c>
    </row>
    <row r="2147" spans="2:11" s="1258" customFormat="1" ht="16" hidden="1" outlineLevel="1">
      <c r="B2147" s="968" t="s">
        <v>2521</v>
      </c>
      <c r="C2147" s="967">
        <v>31050</v>
      </c>
      <c r="D2147" s="967" t="s">
        <v>2283</v>
      </c>
      <c r="E2147" s="967">
        <v>140361</v>
      </c>
      <c r="F2147" s="967">
        <v>4318014900</v>
      </c>
      <c r="G2147" s="967">
        <v>30350</v>
      </c>
      <c r="H2147" s="967">
        <v>31050</v>
      </c>
      <c r="I2147" s="967">
        <v>30350</v>
      </c>
      <c r="J2147" s="967">
        <v>4448634</v>
      </c>
      <c r="K2147" s="967">
        <v>143273229</v>
      </c>
    </row>
    <row r="2148" spans="2:11" s="1258" customFormat="1" ht="16" hidden="1" outlineLevel="1">
      <c r="B2148" s="968" t="s">
        <v>2520</v>
      </c>
      <c r="C2148" s="967">
        <v>30600</v>
      </c>
      <c r="D2148" s="967" t="s">
        <v>2241</v>
      </c>
      <c r="E2148" s="967">
        <v>249279</v>
      </c>
      <c r="F2148" s="967">
        <v>7600268650</v>
      </c>
      <c r="G2148" s="967">
        <v>31250</v>
      </c>
      <c r="H2148" s="967">
        <v>31500</v>
      </c>
      <c r="I2148" s="967">
        <v>30100</v>
      </c>
      <c r="J2148" s="967">
        <v>4384161</v>
      </c>
      <c r="K2148" s="967">
        <v>143273229</v>
      </c>
    </row>
    <row r="2149" spans="2:11" s="1258" customFormat="1" ht="16" hidden="1" outlineLevel="1">
      <c r="B2149" s="968" t="s">
        <v>2519</v>
      </c>
      <c r="C2149" s="967">
        <v>31500</v>
      </c>
      <c r="D2149" s="967" t="s">
        <v>2294</v>
      </c>
      <c r="E2149" s="967">
        <v>225442</v>
      </c>
      <c r="F2149" s="967">
        <v>7102483700</v>
      </c>
      <c r="G2149" s="967">
        <v>31900</v>
      </c>
      <c r="H2149" s="967">
        <v>32150</v>
      </c>
      <c r="I2149" s="967">
        <v>31150</v>
      </c>
      <c r="J2149" s="967">
        <v>4513107</v>
      </c>
      <c r="K2149" s="967">
        <v>143273229</v>
      </c>
    </row>
    <row r="2150" spans="2:11" s="1258" customFormat="1" ht="16" hidden="1" outlineLevel="1">
      <c r="B2150" s="968" t="s">
        <v>2517</v>
      </c>
      <c r="C2150" s="967">
        <v>32050</v>
      </c>
      <c r="D2150" s="967" t="s">
        <v>2210</v>
      </c>
      <c r="E2150" s="967">
        <v>96191</v>
      </c>
      <c r="F2150" s="967">
        <v>3066642500</v>
      </c>
      <c r="G2150" s="967">
        <v>32550</v>
      </c>
      <c r="H2150" s="967">
        <v>32550</v>
      </c>
      <c r="I2150" s="967">
        <v>31600</v>
      </c>
      <c r="J2150" s="967">
        <v>4591907</v>
      </c>
      <c r="K2150" s="967">
        <v>143273229</v>
      </c>
    </row>
    <row r="2151" spans="2:11" s="1258" customFormat="1" ht="16" hidden="1" outlineLevel="1">
      <c r="B2151" s="968" t="s">
        <v>2516</v>
      </c>
      <c r="C2151" s="967">
        <v>32500</v>
      </c>
      <c r="D2151" s="967" t="s">
        <v>2282</v>
      </c>
      <c r="E2151" s="967">
        <v>146568</v>
      </c>
      <c r="F2151" s="967">
        <v>4734779200</v>
      </c>
      <c r="G2151" s="967">
        <v>32000</v>
      </c>
      <c r="H2151" s="967">
        <v>32800</v>
      </c>
      <c r="I2151" s="967">
        <v>31750</v>
      </c>
      <c r="J2151" s="967">
        <v>4656380</v>
      </c>
      <c r="K2151" s="967">
        <v>143273229</v>
      </c>
    </row>
    <row r="2152" spans="2:11" s="1258" customFormat="1" ht="16" hidden="1" outlineLevel="1">
      <c r="B2152" s="968" t="s">
        <v>2515</v>
      </c>
      <c r="C2152" s="967">
        <v>31850</v>
      </c>
      <c r="D2152" s="967" t="s">
        <v>2225</v>
      </c>
      <c r="E2152" s="967">
        <v>96846</v>
      </c>
      <c r="F2152" s="967">
        <v>3127592450</v>
      </c>
      <c r="G2152" s="967">
        <v>32000</v>
      </c>
      <c r="H2152" s="967">
        <v>32950</v>
      </c>
      <c r="I2152" s="967">
        <v>31600</v>
      </c>
      <c r="J2152" s="967">
        <v>4563252</v>
      </c>
      <c r="K2152" s="967">
        <v>143273229</v>
      </c>
    </row>
    <row r="2153" spans="2:11" s="1258" customFormat="1" ht="16" hidden="1" outlineLevel="1">
      <c r="B2153" s="968" t="s">
        <v>2514</v>
      </c>
      <c r="C2153" s="967">
        <v>32000</v>
      </c>
      <c r="D2153" s="967" t="s">
        <v>2212</v>
      </c>
      <c r="E2153" s="967">
        <v>120679</v>
      </c>
      <c r="F2153" s="967">
        <v>3850547500</v>
      </c>
      <c r="G2153" s="967">
        <v>31250</v>
      </c>
      <c r="H2153" s="967">
        <v>32100</v>
      </c>
      <c r="I2153" s="967">
        <v>31250</v>
      </c>
      <c r="J2153" s="967">
        <v>4584743</v>
      </c>
      <c r="K2153" s="967">
        <v>143273229</v>
      </c>
    </row>
    <row r="2154" spans="2:11" s="1258" customFormat="1" ht="16" hidden="1" outlineLevel="1">
      <c r="B2154" s="968" t="s">
        <v>2513</v>
      </c>
      <c r="C2154" s="967">
        <v>31900</v>
      </c>
      <c r="D2154" s="967" t="s">
        <v>2226</v>
      </c>
      <c r="E2154" s="967">
        <v>145683</v>
      </c>
      <c r="F2154" s="967">
        <v>4587915200</v>
      </c>
      <c r="G2154" s="967">
        <v>32000</v>
      </c>
      <c r="H2154" s="967">
        <v>32050</v>
      </c>
      <c r="I2154" s="967">
        <v>30750</v>
      </c>
      <c r="J2154" s="967">
        <v>4570416</v>
      </c>
      <c r="K2154" s="967">
        <v>143273229</v>
      </c>
    </row>
    <row r="2155" spans="2:11" s="1258" customFormat="1" ht="16" hidden="1" outlineLevel="1">
      <c r="B2155" s="968" t="s">
        <v>2512</v>
      </c>
      <c r="C2155" s="967">
        <v>31950</v>
      </c>
      <c r="D2155" s="967" t="s">
        <v>2222</v>
      </c>
      <c r="E2155" s="967">
        <v>228976</v>
      </c>
      <c r="F2155" s="967">
        <v>7277636350</v>
      </c>
      <c r="G2155" s="967">
        <v>32150</v>
      </c>
      <c r="H2155" s="967">
        <v>32550</v>
      </c>
      <c r="I2155" s="967">
        <v>31250</v>
      </c>
      <c r="J2155" s="967">
        <v>4577580</v>
      </c>
      <c r="K2155" s="967">
        <v>143273229</v>
      </c>
    </row>
    <row r="2156" spans="2:11" s="1258" customFormat="1" ht="16" hidden="1" outlineLevel="1">
      <c r="B2156" s="968" t="s">
        <v>2511</v>
      </c>
      <c r="C2156" s="967">
        <v>32550</v>
      </c>
      <c r="D2156" s="967" t="s">
        <v>2294</v>
      </c>
      <c r="E2156" s="967">
        <v>100311</v>
      </c>
      <c r="F2156" s="967">
        <v>3263496100</v>
      </c>
      <c r="G2156" s="967">
        <v>32800</v>
      </c>
      <c r="H2156" s="967">
        <v>33400</v>
      </c>
      <c r="I2156" s="967">
        <v>32200</v>
      </c>
      <c r="J2156" s="967">
        <v>4663544</v>
      </c>
      <c r="K2156" s="967">
        <v>143273229</v>
      </c>
    </row>
    <row r="2157" spans="2:11" s="1258" customFormat="1" ht="16" hidden="1" outlineLevel="1">
      <c r="B2157" s="968" t="s">
        <v>2510</v>
      </c>
      <c r="C2157" s="967">
        <v>33100</v>
      </c>
      <c r="D2157" s="967" t="s">
        <v>2212</v>
      </c>
      <c r="E2157" s="967">
        <v>130015</v>
      </c>
      <c r="F2157" s="967">
        <v>4306228250</v>
      </c>
      <c r="G2157" s="967">
        <v>32550</v>
      </c>
      <c r="H2157" s="967">
        <v>33750</v>
      </c>
      <c r="I2157" s="967">
        <v>32050</v>
      </c>
      <c r="J2157" s="967">
        <v>4742344</v>
      </c>
      <c r="K2157" s="967">
        <v>143273229</v>
      </c>
    </row>
    <row r="2158" spans="2:11" s="1258" customFormat="1" ht="16" hidden="1" outlineLevel="1">
      <c r="B2158" s="968" t="s">
        <v>2509</v>
      </c>
      <c r="C2158" s="967">
        <v>33000</v>
      </c>
      <c r="D2158" s="967" t="s">
        <v>2221</v>
      </c>
      <c r="E2158" s="967">
        <v>110210</v>
      </c>
      <c r="F2158" s="967">
        <v>3648986000</v>
      </c>
      <c r="G2158" s="967">
        <v>33400</v>
      </c>
      <c r="H2158" s="967">
        <v>33550</v>
      </c>
      <c r="I2158" s="967">
        <v>32750</v>
      </c>
      <c r="J2158" s="967">
        <v>4728017</v>
      </c>
      <c r="K2158" s="967">
        <v>143273229</v>
      </c>
    </row>
    <row r="2159" spans="2:11" s="1258" customFormat="1" ht="16" hidden="1" outlineLevel="1">
      <c r="B2159" s="968" t="s">
        <v>2508</v>
      </c>
      <c r="C2159" s="967">
        <v>33000</v>
      </c>
      <c r="D2159" s="967" t="s">
        <v>2247</v>
      </c>
      <c r="E2159" s="967">
        <v>204497</v>
      </c>
      <c r="F2159" s="967">
        <v>6781375200</v>
      </c>
      <c r="G2159" s="967">
        <v>32900</v>
      </c>
      <c r="H2159" s="967">
        <v>33650</v>
      </c>
      <c r="I2159" s="967">
        <v>32700</v>
      </c>
      <c r="J2159" s="967">
        <v>4728017</v>
      </c>
      <c r="K2159" s="967">
        <v>143273229</v>
      </c>
    </row>
    <row r="2160" spans="2:11" s="1258" customFormat="1" ht="16" hidden="1" outlineLevel="1">
      <c r="B2160" s="968" t="s">
        <v>2507</v>
      </c>
      <c r="C2160" s="967">
        <v>34100</v>
      </c>
      <c r="D2160" s="967" t="s">
        <v>2219</v>
      </c>
      <c r="E2160" s="967">
        <v>259077</v>
      </c>
      <c r="F2160" s="967">
        <v>8759746500</v>
      </c>
      <c r="G2160" s="967">
        <v>33400</v>
      </c>
      <c r="H2160" s="967">
        <v>34100</v>
      </c>
      <c r="I2160" s="967">
        <v>33100</v>
      </c>
      <c r="J2160" s="967">
        <v>4885617</v>
      </c>
      <c r="K2160" s="967">
        <v>143273229</v>
      </c>
    </row>
    <row r="2161" spans="2:11" s="1258" customFormat="1" ht="16" hidden="1" outlineLevel="1">
      <c r="B2161" s="968" t="s">
        <v>2506</v>
      </c>
      <c r="C2161" s="967">
        <v>33950</v>
      </c>
      <c r="D2161" s="967" t="s">
        <v>2237</v>
      </c>
      <c r="E2161" s="967">
        <v>373738</v>
      </c>
      <c r="F2161" s="967">
        <v>12508122700</v>
      </c>
      <c r="G2161" s="967">
        <v>32150</v>
      </c>
      <c r="H2161" s="967">
        <v>33950</v>
      </c>
      <c r="I2161" s="967">
        <v>32150</v>
      </c>
      <c r="J2161" s="967">
        <v>4864126</v>
      </c>
      <c r="K2161" s="967">
        <v>143273229</v>
      </c>
    </row>
    <row r="2162" spans="2:11" s="1258" customFormat="1" ht="16" hidden="1" outlineLevel="1">
      <c r="B2162" s="968" t="s">
        <v>2504</v>
      </c>
      <c r="C2162" s="967">
        <v>32550</v>
      </c>
      <c r="D2162" s="967" t="s">
        <v>2228</v>
      </c>
      <c r="E2162" s="967">
        <v>140464</v>
      </c>
      <c r="F2162" s="967">
        <v>4593452800</v>
      </c>
      <c r="G2162" s="967">
        <v>32950</v>
      </c>
      <c r="H2162" s="967">
        <v>33000</v>
      </c>
      <c r="I2162" s="967">
        <v>32250</v>
      </c>
      <c r="J2162" s="967">
        <v>4663544</v>
      </c>
      <c r="K2162" s="967">
        <v>143273229</v>
      </c>
    </row>
    <row r="2163" spans="2:11" s="1258" customFormat="1" ht="16" hidden="1" outlineLevel="1">
      <c r="B2163" s="968" t="s">
        <v>2503</v>
      </c>
      <c r="C2163" s="967">
        <v>32650</v>
      </c>
      <c r="D2163" s="967" t="s">
        <v>2692</v>
      </c>
      <c r="E2163" s="967">
        <v>284540</v>
      </c>
      <c r="F2163" s="967">
        <v>9220003000</v>
      </c>
      <c r="G2163" s="967">
        <v>31300</v>
      </c>
      <c r="H2163" s="967">
        <v>32850</v>
      </c>
      <c r="I2163" s="967">
        <v>31200</v>
      </c>
      <c r="J2163" s="967">
        <v>4677871</v>
      </c>
      <c r="K2163" s="967">
        <v>143273229</v>
      </c>
    </row>
    <row r="2164" spans="2:11" s="1258" customFormat="1" ht="16" hidden="1" outlineLevel="1">
      <c r="B2164" s="968" t="s">
        <v>2502</v>
      </c>
      <c r="C2164" s="967">
        <v>31700</v>
      </c>
      <c r="D2164" s="967" t="s">
        <v>2638</v>
      </c>
      <c r="E2164" s="967">
        <v>226112</v>
      </c>
      <c r="F2164" s="967">
        <v>7166629400</v>
      </c>
      <c r="G2164" s="967">
        <v>30950</v>
      </c>
      <c r="H2164" s="967">
        <v>32000</v>
      </c>
      <c r="I2164" s="967">
        <v>30950</v>
      </c>
      <c r="J2164" s="967">
        <v>4541761</v>
      </c>
      <c r="K2164" s="967">
        <v>143273229</v>
      </c>
    </row>
    <row r="2165" spans="2:11" s="1258" customFormat="1" ht="16" hidden="1" outlineLevel="1">
      <c r="B2165" s="968" t="s">
        <v>2501</v>
      </c>
      <c r="C2165" s="967">
        <v>30900</v>
      </c>
      <c r="D2165" s="967" t="s">
        <v>2215</v>
      </c>
      <c r="E2165" s="967">
        <v>196986</v>
      </c>
      <c r="F2165" s="967">
        <v>6132822500</v>
      </c>
      <c r="G2165" s="967">
        <v>30800</v>
      </c>
      <c r="H2165" s="967">
        <v>31650</v>
      </c>
      <c r="I2165" s="967">
        <v>30600</v>
      </c>
      <c r="J2165" s="967">
        <v>4427143</v>
      </c>
      <c r="K2165" s="967">
        <v>143273229</v>
      </c>
    </row>
    <row r="2166" spans="2:11" s="1258" customFormat="1" ht="16" hidden="1" outlineLevel="1">
      <c r="B2166" s="968" t="s">
        <v>2500</v>
      </c>
      <c r="C2166" s="967">
        <v>31200</v>
      </c>
      <c r="D2166" s="967" t="s">
        <v>2283</v>
      </c>
      <c r="E2166" s="967">
        <v>165796</v>
      </c>
      <c r="F2166" s="967">
        <v>5146947700</v>
      </c>
      <c r="G2166" s="967">
        <v>30600</v>
      </c>
      <c r="H2166" s="967">
        <v>31450</v>
      </c>
      <c r="I2166" s="967">
        <v>30600</v>
      </c>
      <c r="J2166" s="967">
        <v>4470125</v>
      </c>
      <c r="K2166" s="967">
        <v>143273229</v>
      </c>
    </row>
    <row r="2167" spans="2:11" s="1258" customFormat="1" ht="16" hidden="1" outlineLevel="1">
      <c r="B2167" s="968" t="s">
        <v>2499</v>
      </c>
      <c r="C2167" s="967">
        <v>30750</v>
      </c>
      <c r="D2167" s="967" t="s">
        <v>2224</v>
      </c>
      <c r="E2167" s="967">
        <v>160467</v>
      </c>
      <c r="F2167" s="967">
        <v>4917479100</v>
      </c>
      <c r="G2167" s="967">
        <v>31400</v>
      </c>
      <c r="H2167" s="967">
        <v>31400</v>
      </c>
      <c r="I2167" s="967">
        <v>30200</v>
      </c>
      <c r="J2167" s="967">
        <v>4405652</v>
      </c>
      <c r="K2167" s="967">
        <v>143273229</v>
      </c>
    </row>
    <row r="2168" spans="2:11" s="1258" customFormat="1" ht="16" hidden="1" outlineLevel="1">
      <c r="B2168" s="968" t="s">
        <v>2498</v>
      </c>
      <c r="C2168" s="967">
        <v>30950</v>
      </c>
      <c r="D2168" s="967" t="s">
        <v>2213</v>
      </c>
      <c r="E2168" s="967">
        <v>111659</v>
      </c>
      <c r="F2168" s="967">
        <v>3467133850</v>
      </c>
      <c r="G2168" s="967">
        <v>30800</v>
      </c>
      <c r="H2168" s="967">
        <v>31300</v>
      </c>
      <c r="I2168" s="967">
        <v>30750</v>
      </c>
      <c r="J2168" s="967">
        <v>4434306</v>
      </c>
      <c r="K2168" s="967">
        <v>143273229</v>
      </c>
    </row>
    <row r="2169" spans="2:11" s="1258" customFormat="1" ht="16" hidden="1" outlineLevel="1">
      <c r="B2169" s="968" t="s">
        <v>2497</v>
      </c>
      <c r="C2169" s="967">
        <v>30700</v>
      </c>
      <c r="D2169" s="967" t="s">
        <v>1814</v>
      </c>
      <c r="E2169" s="967">
        <v>237103</v>
      </c>
      <c r="F2169" s="967">
        <v>7355304650</v>
      </c>
      <c r="G2169" s="967">
        <v>30850</v>
      </c>
      <c r="H2169" s="967">
        <v>31750</v>
      </c>
      <c r="I2169" s="967">
        <v>30700</v>
      </c>
      <c r="J2169" s="967">
        <v>4398488</v>
      </c>
      <c r="K2169" s="967">
        <v>143273229</v>
      </c>
    </row>
    <row r="2170" spans="2:11" s="1258" customFormat="1" ht="16" hidden="1" outlineLevel="1">
      <c r="B2170" s="968" t="s">
        <v>2496</v>
      </c>
      <c r="C2170" s="967">
        <v>31200</v>
      </c>
      <c r="D2170" s="967" t="s">
        <v>2206</v>
      </c>
      <c r="E2170" s="967">
        <v>179513</v>
      </c>
      <c r="F2170" s="967">
        <v>5612442900</v>
      </c>
      <c r="G2170" s="967">
        <v>30700</v>
      </c>
      <c r="H2170" s="967">
        <v>31550</v>
      </c>
      <c r="I2170" s="967">
        <v>30700</v>
      </c>
      <c r="J2170" s="967">
        <v>4470125</v>
      </c>
      <c r="K2170" s="967">
        <v>143273229</v>
      </c>
    </row>
    <row r="2171" spans="2:11" s="1258" customFormat="1" ht="16" hidden="1" outlineLevel="1">
      <c r="B2171" s="968" t="s">
        <v>2495</v>
      </c>
      <c r="C2171" s="967">
        <v>30650</v>
      </c>
      <c r="D2171" s="967" t="s">
        <v>2210</v>
      </c>
      <c r="E2171" s="967">
        <v>168280</v>
      </c>
      <c r="F2171" s="967">
        <v>5213133850</v>
      </c>
      <c r="G2171" s="967">
        <v>30550</v>
      </c>
      <c r="H2171" s="967">
        <v>31450</v>
      </c>
      <c r="I2171" s="967">
        <v>30500</v>
      </c>
      <c r="J2171" s="967">
        <v>4391324</v>
      </c>
      <c r="K2171" s="967">
        <v>143273229</v>
      </c>
    </row>
    <row r="2172" spans="2:11" s="1258" customFormat="1" ht="16" hidden="1" outlineLevel="1">
      <c r="B2172" s="968" t="s">
        <v>2494</v>
      </c>
      <c r="C2172" s="967">
        <v>31100</v>
      </c>
      <c r="D2172" s="967" t="s">
        <v>2728</v>
      </c>
      <c r="E2172" s="967">
        <v>228326</v>
      </c>
      <c r="F2172" s="967">
        <v>7109180150</v>
      </c>
      <c r="G2172" s="967">
        <v>31450</v>
      </c>
      <c r="H2172" s="967">
        <v>31550</v>
      </c>
      <c r="I2172" s="967">
        <v>30900</v>
      </c>
      <c r="J2172" s="967">
        <v>4455797</v>
      </c>
      <c r="K2172" s="967">
        <v>143273229</v>
      </c>
    </row>
    <row r="2173" spans="2:11" s="1258" customFormat="1" ht="16" hidden="1" outlineLevel="1">
      <c r="B2173" s="968" t="s">
        <v>2493</v>
      </c>
      <c r="C2173" s="967">
        <v>32050</v>
      </c>
      <c r="D2173" s="967" t="s">
        <v>2213</v>
      </c>
      <c r="E2173" s="967">
        <v>321113</v>
      </c>
      <c r="F2173" s="967">
        <v>10071209950</v>
      </c>
      <c r="G2173" s="967">
        <v>31700</v>
      </c>
      <c r="H2173" s="967">
        <v>32050</v>
      </c>
      <c r="I2173" s="967">
        <v>30850</v>
      </c>
      <c r="J2173" s="967">
        <v>4591907</v>
      </c>
      <c r="K2173" s="967">
        <v>143273229</v>
      </c>
    </row>
    <row r="2174" spans="2:11" s="1258" customFormat="1" ht="16" hidden="1" outlineLevel="1">
      <c r="B2174" s="968" t="s">
        <v>2492</v>
      </c>
      <c r="C2174" s="967">
        <v>31800</v>
      </c>
      <c r="D2174" s="967" t="s">
        <v>2687</v>
      </c>
      <c r="E2174" s="967">
        <v>365757</v>
      </c>
      <c r="F2174" s="967">
        <v>11834468150</v>
      </c>
      <c r="G2174" s="967">
        <v>33300</v>
      </c>
      <c r="H2174" s="967">
        <v>33300</v>
      </c>
      <c r="I2174" s="967">
        <v>31800</v>
      </c>
      <c r="J2174" s="967">
        <v>4556089</v>
      </c>
      <c r="K2174" s="967">
        <v>143273229</v>
      </c>
    </row>
    <row r="2175" spans="2:11" s="1258" customFormat="1" ht="16" hidden="1" outlineLevel="1">
      <c r="B2175" s="968" t="s">
        <v>2491</v>
      </c>
      <c r="C2175" s="967">
        <v>33050</v>
      </c>
      <c r="D2175" s="967" t="s">
        <v>2225</v>
      </c>
      <c r="E2175" s="967">
        <v>316767</v>
      </c>
      <c r="F2175" s="967">
        <v>10409103500</v>
      </c>
      <c r="G2175" s="967">
        <v>32600</v>
      </c>
      <c r="H2175" s="967">
        <v>33100</v>
      </c>
      <c r="I2175" s="967">
        <v>32500</v>
      </c>
      <c r="J2175" s="967">
        <v>4735180</v>
      </c>
      <c r="K2175" s="967">
        <v>143273229</v>
      </c>
    </row>
    <row r="2176" spans="2:11" s="1258" customFormat="1" ht="16" hidden="1" outlineLevel="1">
      <c r="B2176" s="968" t="s">
        <v>2490</v>
      </c>
      <c r="C2176" s="967">
        <v>33200</v>
      </c>
      <c r="D2176" s="967" t="s">
        <v>2728</v>
      </c>
      <c r="E2176" s="967">
        <v>250644</v>
      </c>
      <c r="F2176" s="967">
        <v>8365255600</v>
      </c>
      <c r="G2176" s="967">
        <v>34250</v>
      </c>
      <c r="H2176" s="967">
        <v>34550</v>
      </c>
      <c r="I2176" s="967">
        <v>32950</v>
      </c>
      <c r="J2176" s="967">
        <v>4756671</v>
      </c>
      <c r="K2176" s="967">
        <v>143273229</v>
      </c>
    </row>
    <row r="2177" spans="2:11" s="1258" customFormat="1" ht="16" hidden="1" outlineLevel="1">
      <c r="B2177" s="968" t="s">
        <v>2489</v>
      </c>
      <c r="C2177" s="967">
        <v>34150</v>
      </c>
      <c r="D2177" s="967" t="s">
        <v>2282</v>
      </c>
      <c r="E2177" s="967">
        <v>483786</v>
      </c>
      <c r="F2177" s="967">
        <v>16637012550</v>
      </c>
      <c r="G2177" s="967">
        <v>33900</v>
      </c>
      <c r="H2177" s="967">
        <v>34800</v>
      </c>
      <c r="I2177" s="967">
        <v>33850</v>
      </c>
      <c r="J2177" s="967">
        <v>4892781</v>
      </c>
      <c r="K2177" s="967">
        <v>143273229</v>
      </c>
    </row>
    <row r="2178" spans="2:11" s="1258" customFormat="1" ht="16" hidden="1" outlineLevel="1">
      <c r="B2178" s="968" t="s">
        <v>2488</v>
      </c>
      <c r="C2178" s="967">
        <v>33500</v>
      </c>
      <c r="D2178" s="967" t="s">
        <v>2282</v>
      </c>
      <c r="E2178" s="967">
        <v>231869</v>
      </c>
      <c r="F2178" s="967">
        <v>7737872600</v>
      </c>
      <c r="G2178" s="967">
        <v>32750</v>
      </c>
      <c r="H2178" s="967">
        <v>33700</v>
      </c>
      <c r="I2178" s="967">
        <v>32550</v>
      </c>
      <c r="J2178" s="967">
        <v>4799653</v>
      </c>
      <c r="K2178" s="967">
        <v>143273229</v>
      </c>
    </row>
    <row r="2179" spans="2:11" s="1258" customFormat="1" ht="16" hidden="1" outlineLevel="1">
      <c r="B2179" s="968" t="s">
        <v>2487</v>
      </c>
      <c r="C2179" s="967">
        <v>32850</v>
      </c>
      <c r="D2179" s="967" t="s">
        <v>2219</v>
      </c>
      <c r="E2179" s="967">
        <v>192916</v>
      </c>
      <c r="F2179" s="967">
        <v>6352243500</v>
      </c>
      <c r="G2179" s="967">
        <v>32400</v>
      </c>
      <c r="H2179" s="967">
        <v>33350</v>
      </c>
      <c r="I2179" s="967">
        <v>32300</v>
      </c>
      <c r="J2179" s="967">
        <v>4706526</v>
      </c>
      <c r="K2179" s="967">
        <v>143273229</v>
      </c>
    </row>
    <row r="2180" spans="2:11" s="1258" customFormat="1" ht="16" hidden="1" outlineLevel="1">
      <c r="B2180" s="968" t="s">
        <v>2485</v>
      </c>
      <c r="C2180" s="967">
        <v>32700</v>
      </c>
      <c r="D2180" s="967" t="s">
        <v>2221</v>
      </c>
      <c r="E2180" s="967">
        <v>208249</v>
      </c>
      <c r="F2180" s="967">
        <v>6864419400</v>
      </c>
      <c r="G2180" s="967">
        <v>32700</v>
      </c>
      <c r="H2180" s="967">
        <v>33350</v>
      </c>
      <c r="I2180" s="967">
        <v>32700</v>
      </c>
      <c r="J2180" s="967">
        <v>4685035</v>
      </c>
      <c r="K2180" s="967">
        <v>143273229</v>
      </c>
    </row>
    <row r="2181" spans="2:11" s="1258" customFormat="1" ht="16" hidden="1" outlineLevel="1">
      <c r="B2181" s="966" t="s">
        <v>2484</v>
      </c>
      <c r="C2181" s="965">
        <v>32700</v>
      </c>
      <c r="D2181" s="965" t="s">
        <v>2634</v>
      </c>
      <c r="E2181" s="965">
        <v>260644</v>
      </c>
      <c r="F2181" s="965">
        <v>8575804850</v>
      </c>
      <c r="G2181" s="965">
        <v>33100</v>
      </c>
      <c r="H2181" s="965">
        <v>33400</v>
      </c>
      <c r="I2181" s="965">
        <v>32700</v>
      </c>
      <c r="J2181" s="965">
        <v>4685035</v>
      </c>
      <c r="K2181" s="965">
        <v>143273229</v>
      </c>
    </row>
    <row r="2182" spans="2:11" s="1258" customFormat="1" ht="16" hidden="1" outlineLevel="1">
      <c r="B2182" s="966" t="s">
        <v>2483</v>
      </c>
      <c r="C2182" s="965">
        <v>34000</v>
      </c>
      <c r="D2182" s="965" t="s">
        <v>2230</v>
      </c>
      <c r="E2182" s="965">
        <v>342248</v>
      </c>
      <c r="F2182" s="965">
        <v>11334404350</v>
      </c>
      <c r="G2182" s="965">
        <v>33050</v>
      </c>
      <c r="H2182" s="965">
        <v>34000</v>
      </c>
      <c r="I2182" s="965">
        <v>32550</v>
      </c>
      <c r="J2182" s="965">
        <v>4871290</v>
      </c>
      <c r="K2182" s="965">
        <v>143273229</v>
      </c>
    </row>
    <row r="2183" spans="2:11" s="1258" customFormat="1" ht="16" hidden="1" outlineLevel="1">
      <c r="B2183" s="966" t="s">
        <v>2482</v>
      </c>
      <c r="C2183" s="965">
        <v>33650</v>
      </c>
      <c r="D2183" s="965" t="s">
        <v>2282</v>
      </c>
      <c r="E2183" s="965">
        <v>339837</v>
      </c>
      <c r="F2183" s="965">
        <v>11477918800</v>
      </c>
      <c r="G2183" s="965">
        <v>33400</v>
      </c>
      <c r="H2183" s="965">
        <v>34200</v>
      </c>
      <c r="I2183" s="965">
        <v>32850</v>
      </c>
      <c r="J2183" s="965">
        <v>4821144</v>
      </c>
      <c r="K2183" s="965">
        <v>143273229</v>
      </c>
    </row>
    <row r="2184" spans="2:11" s="1258" customFormat="1" ht="16" hidden="1" outlineLevel="1">
      <c r="B2184" s="966" t="s">
        <v>2481</v>
      </c>
      <c r="C2184" s="965">
        <v>33000</v>
      </c>
      <c r="D2184" s="965" t="s">
        <v>2728</v>
      </c>
      <c r="E2184" s="965">
        <v>396289</v>
      </c>
      <c r="F2184" s="965">
        <v>12914997500</v>
      </c>
      <c r="G2184" s="965">
        <v>32700</v>
      </c>
      <c r="H2184" s="965">
        <v>33000</v>
      </c>
      <c r="I2184" s="965">
        <v>32150</v>
      </c>
      <c r="J2184" s="965">
        <v>4728017</v>
      </c>
      <c r="K2184" s="965">
        <v>143273229</v>
      </c>
    </row>
    <row r="2185" spans="2:11" s="1258" customFormat="1" ht="16" hidden="1" outlineLevel="1">
      <c r="B2185" s="966" t="s">
        <v>2479</v>
      </c>
      <c r="C2185" s="965">
        <v>33950</v>
      </c>
      <c r="D2185" s="965" t="s">
        <v>2229</v>
      </c>
      <c r="E2185" s="965">
        <v>240097</v>
      </c>
      <c r="F2185" s="965">
        <v>8118696650</v>
      </c>
      <c r="G2185" s="965">
        <v>34300</v>
      </c>
      <c r="H2185" s="965">
        <v>34300</v>
      </c>
      <c r="I2185" s="965">
        <v>33600</v>
      </c>
      <c r="J2185" s="965">
        <v>4864126</v>
      </c>
      <c r="K2185" s="965">
        <v>143273229</v>
      </c>
    </row>
    <row r="2186" spans="2:11" s="1258" customFormat="1" ht="16" hidden="1" outlineLevel="1">
      <c r="B2186" s="966" t="s">
        <v>2478</v>
      </c>
      <c r="C2186" s="965">
        <v>34300</v>
      </c>
      <c r="D2186" s="965" t="s">
        <v>2689</v>
      </c>
      <c r="E2186" s="965">
        <v>306460</v>
      </c>
      <c r="F2186" s="965">
        <v>10230009150</v>
      </c>
      <c r="G2186" s="965">
        <v>32600</v>
      </c>
      <c r="H2186" s="965">
        <v>34300</v>
      </c>
      <c r="I2186" s="965">
        <v>32550</v>
      </c>
      <c r="J2186" s="965">
        <v>4914272</v>
      </c>
      <c r="K2186" s="965">
        <v>143273229</v>
      </c>
    </row>
    <row r="2187" spans="2:11" s="1258" customFormat="1" ht="16" hidden="1" outlineLevel="1">
      <c r="B2187" s="966" t="s">
        <v>2477</v>
      </c>
      <c r="C2187" s="965">
        <v>32950</v>
      </c>
      <c r="D2187" s="965" t="s">
        <v>2282</v>
      </c>
      <c r="E2187" s="965">
        <v>317386</v>
      </c>
      <c r="F2187" s="965">
        <v>10491804200</v>
      </c>
      <c r="G2187" s="965">
        <v>32850</v>
      </c>
      <c r="H2187" s="965">
        <v>33500</v>
      </c>
      <c r="I2187" s="965">
        <v>32550</v>
      </c>
      <c r="J2187" s="965">
        <v>4720853</v>
      </c>
      <c r="K2187" s="965">
        <v>143273229</v>
      </c>
    </row>
    <row r="2188" spans="2:11" s="1258" customFormat="1" ht="16" hidden="1" outlineLevel="1">
      <c r="B2188" s="966" t="s">
        <v>2476</v>
      </c>
      <c r="C2188" s="965">
        <v>32300</v>
      </c>
      <c r="D2188" s="965" t="s">
        <v>2293</v>
      </c>
      <c r="E2188" s="965">
        <v>241178</v>
      </c>
      <c r="F2188" s="965">
        <v>7908331000</v>
      </c>
      <c r="G2188" s="965">
        <v>32700</v>
      </c>
      <c r="H2188" s="965">
        <v>33350</v>
      </c>
      <c r="I2188" s="965">
        <v>32300</v>
      </c>
      <c r="J2188" s="965">
        <v>4627725</v>
      </c>
      <c r="K2188" s="965">
        <v>143273229</v>
      </c>
    </row>
    <row r="2189" spans="2:11" s="1258" customFormat="1" ht="16" hidden="1" outlineLevel="1">
      <c r="B2189" s="966" t="s">
        <v>2475</v>
      </c>
      <c r="C2189" s="965">
        <v>32550</v>
      </c>
      <c r="D2189" s="965" t="s">
        <v>2305</v>
      </c>
      <c r="E2189" s="965">
        <v>400124</v>
      </c>
      <c r="F2189" s="965">
        <v>13171291400</v>
      </c>
      <c r="G2189" s="965">
        <v>33600</v>
      </c>
      <c r="H2189" s="965">
        <v>33650</v>
      </c>
      <c r="I2189" s="965">
        <v>32400</v>
      </c>
      <c r="J2189" s="965">
        <v>4663544</v>
      </c>
      <c r="K2189" s="965">
        <v>143273229</v>
      </c>
    </row>
    <row r="2190" spans="2:11" s="1258" customFormat="1" ht="16" hidden="1" outlineLevel="1">
      <c r="B2190" s="966" t="s">
        <v>2474</v>
      </c>
      <c r="C2190" s="965">
        <v>34150</v>
      </c>
      <c r="D2190" s="965" t="s">
        <v>2224</v>
      </c>
      <c r="E2190" s="965">
        <v>391960</v>
      </c>
      <c r="F2190" s="965">
        <v>13530015700</v>
      </c>
      <c r="G2190" s="965">
        <v>35100</v>
      </c>
      <c r="H2190" s="965">
        <v>35400</v>
      </c>
      <c r="I2190" s="965">
        <v>34000</v>
      </c>
      <c r="J2190" s="965">
        <v>4892781</v>
      </c>
      <c r="K2190" s="965">
        <v>143273229</v>
      </c>
    </row>
    <row r="2191" spans="2:11" s="1258" customFormat="1" ht="16" hidden="1" outlineLevel="1">
      <c r="B2191" s="966" t="s">
        <v>2473</v>
      </c>
      <c r="C2191" s="965">
        <v>34350</v>
      </c>
      <c r="D2191" s="965" t="s">
        <v>2243</v>
      </c>
      <c r="E2191" s="965">
        <v>272661</v>
      </c>
      <c r="F2191" s="965">
        <v>9328347100</v>
      </c>
      <c r="G2191" s="965">
        <v>34050</v>
      </c>
      <c r="H2191" s="965">
        <v>34500</v>
      </c>
      <c r="I2191" s="965">
        <v>33550</v>
      </c>
      <c r="J2191" s="965">
        <v>4921435</v>
      </c>
      <c r="K2191" s="965">
        <v>143273229</v>
      </c>
    </row>
    <row r="2192" spans="2:11" s="1258" customFormat="1" ht="16" hidden="1" outlineLevel="1">
      <c r="B2192" s="966" t="s">
        <v>2472</v>
      </c>
      <c r="C2192" s="965">
        <v>34050</v>
      </c>
      <c r="D2192" s="965" t="s">
        <v>2224</v>
      </c>
      <c r="E2192" s="965">
        <v>378220</v>
      </c>
      <c r="F2192" s="965">
        <v>12706673800</v>
      </c>
      <c r="G2192" s="965">
        <v>33950</v>
      </c>
      <c r="H2192" s="965">
        <v>34050</v>
      </c>
      <c r="I2192" s="965">
        <v>33250</v>
      </c>
      <c r="J2192" s="965">
        <v>4878453</v>
      </c>
      <c r="K2192" s="965">
        <v>143273229</v>
      </c>
    </row>
    <row r="2193" spans="2:11" s="1258" customFormat="1" ht="16" hidden="1" outlineLevel="1">
      <c r="B2193" s="966" t="s">
        <v>2471</v>
      </c>
      <c r="C2193" s="965">
        <v>34250</v>
      </c>
      <c r="D2193" s="965" t="s">
        <v>1826</v>
      </c>
      <c r="E2193" s="965">
        <v>279009</v>
      </c>
      <c r="F2193" s="965">
        <v>9544646700</v>
      </c>
      <c r="G2193" s="965">
        <v>34400</v>
      </c>
      <c r="H2193" s="965">
        <v>34700</v>
      </c>
      <c r="I2193" s="965">
        <v>33800</v>
      </c>
      <c r="J2193" s="965">
        <v>4907108</v>
      </c>
      <c r="K2193" s="965">
        <v>143273229</v>
      </c>
    </row>
    <row r="2194" spans="2:11" s="1258" customFormat="1" ht="16" hidden="1" outlineLevel="1">
      <c r="B2194" s="966" t="s">
        <v>2470</v>
      </c>
      <c r="C2194" s="965">
        <v>33750</v>
      </c>
      <c r="D2194" s="965" t="s">
        <v>2221</v>
      </c>
      <c r="E2194" s="965">
        <v>279282</v>
      </c>
      <c r="F2194" s="965">
        <v>9393510050</v>
      </c>
      <c r="G2194" s="965">
        <v>33750</v>
      </c>
      <c r="H2194" s="965">
        <v>34350</v>
      </c>
      <c r="I2194" s="965">
        <v>33250</v>
      </c>
      <c r="J2194" s="965">
        <v>4835471</v>
      </c>
      <c r="K2194" s="965">
        <v>143273229</v>
      </c>
    </row>
    <row r="2195" spans="2:11" s="1258" customFormat="1" ht="16" hidden="1" outlineLevel="1">
      <c r="B2195" s="966" t="s">
        <v>2468</v>
      </c>
      <c r="C2195" s="965">
        <v>33750</v>
      </c>
      <c r="D2195" s="965" t="s">
        <v>2693</v>
      </c>
      <c r="E2195" s="965">
        <v>474087</v>
      </c>
      <c r="F2195" s="965">
        <v>15980212750</v>
      </c>
      <c r="G2195" s="965">
        <v>34050</v>
      </c>
      <c r="H2195" s="965">
        <v>34300</v>
      </c>
      <c r="I2195" s="965">
        <v>33000</v>
      </c>
      <c r="J2195" s="965">
        <v>4835471</v>
      </c>
      <c r="K2195" s="965">
        <v>143273229</v>
      </c>
    </row>
    <row r="2196" spans="2:11" s="1258" customFormat="1" ht="16" hidden="1" outlineLevel="1">
      <c r="B2196" s="966" t="s">
        <v>2467</v>
      </c>
      <c r="C2196" s="965">
        <v>34800</v>
      </c>
      <c r="D2196" s="965" t="s">
        <v>2213</v>
      </c>
      <c r="E2196" s="965">
        <v>390999</v>
      </c>
      <c r="F2196" s="965">
        <v>13694980900</v>
      </c>
      <c r="G2196" s="965">
        <v>34300</v>
      </c>
      <c r="H2196" s="965">
        <v>35500</v>
      </c>
      <c r="I2196" s="965">
        <v>34300</v>
      </c>
      <c r="J2196" s="965">
        <v>4985908</v>
      </c>
      <c r="K2196" s="965">
        <v>143273229</v>
      </c>
    </row>
    <row r="2197" spans="2:11" s="1258" customFormat="1" ht="16" hidden="1" outlineLevel="1">
      <c r="B2197" s="966" t="s">
        <v>2466</v>
      </c>
      <c r="C2197" s="965">
        <v>34550</v>
      </c>
      <c r="D2197" s="965" t="s">
        <v>2294</v>
      </c>
      <c r="E2197" s="965">
        <v>367797</v>
      </c>
      <c r="F2197" s="965">
        <v>12758200850</v>
      </c>
      <c r="G2197" s="965">
        <v>35350</v>
      </c>
      <c r="H2197" s="965">
        <v>35400</v>
      </c>
      <c r="I2197" s="965">
        <v>34200</v>
      </c>
      <c r="J2197" s="965">
        <v>4950090</v>
      </c>
      <c r="K2197" s="965">
        <v>143273229</v>
      </c>
    </row>
    <row r="2198" spans="2:11" s="1258" customFormat="1" ht="16" hidden="1" outlineLevel="1">
      <c r="B2198" s="966" t="s">
        <v>2465</v>
      </c>
      <c r="C2198" s="965">
        <v>35100</v>
      </c>
      <c r="D2198" s="965" t="s">
        <v>2296</v>
      </c>
      <c r="E2198" s="965">
        <v>485429</v>
      </c>
      <c r="F2198" s="965">
        <v>17241533000</v>
      </c>
      <c r="G2198" s="965">
        <v>36200</v>
      </c>
      <c r="H2198" s="965">
        <v>36250</v>
      </c>
      <c r="I2198" s="965">
        <v>35100</v>
      </c>
      <c r="J2198" s="965">
        <v>5028890</v>
      </c>
      <c r="K2198" s="965">
        <v>143273229</v>
      </c>
    </row>
    <row r="2199" spans="2:11" s="1258" customFormat="1" ht="16" hidden="1" outlineLevel="1">
      <c r="B2199" s="966" t="s">
        <v>2464</v>
      </c>
      <c r="C2199" s="965">
        <v>35950</v>
      </c>
      <c r="D2199" s="965" t="s">
        <v>2288</v>
      </c>
      <c r="E2199" s="965">
        <v>1318905</v>
      </c>
      <c r="F2199" s="965">
        <v>46768961050</v>
      </c>
      <c r="G2199" s="965">
        <v>34300</v>
      </c>
      <c r="H2199" s="965">
        <v>36200</v>
      </c>
      <c r="I2199" s="965">
        <v>33800</v>
      </c>
      <c r="J2199" s="965">
        <v>5150673</v>
      </c>
      <c r="K2199" s="965">
        <v>143273229</v>
      </c>
    </row>
    <row r="2200" spans="2:11" s="1258" customFormat="1" ht="16" hidden="1" outlineLevel="1">
      <c r="B2200" s="966" t="s">
        <v>2463</v>
      </c>
      <c r="C2200" s="965">
        <v>33950</v>
      </c>
      <c r="D2200" s="965" t="s">
        <v>2225</v>
      </c>
      <c r="E2200" s="965">
        <v>286052</v>
      </c>
      <c r="F2200" s="965">
        <v>9675233500</v>
      </c>
      <c r="G2200" s="965">
        <v>34200</v>
      </c>
      <c r="H2200" s="965">
        <v>34250</v>
      </c>
      <c r="I2200" s="965">
        <v>33350</v>
      </c>
      <c r="J2200" s="965">
        <v>4864126</v>
      </c>
      <c r="K2200" s="965">
        <v>143273229</v>
      </c>
    </row>
    <row r="2201" spans="2:11" s="1258" customFormat="1" ht="16" hidden="1" outlineLevel="1">
      <c r="B2201" s="966" t="s">
        <v>2461</v>
      </c>
      <c r="C2201" s="965">
        <v>34100</v>
      </c>
      <c r="D2201" s="965" t="s">
        <v>2215</v>
      </c>
      <c r="E2201" s="965">
        <v>470137</v>
      </c>
      <c r="F2201" s="965">
        <v>16067816400</v>
      </c>
      <c r="G2201" s="965">
        <v>34400</v>
      </c>
      <c r="H2201" s="965">
        <v>34900</v>
      </c>
      <c r="I2201" s="965">
        <v>33750</v>
      </c>
      <c r="J2201" s="965">
        <v>4885617</v>
      </c>
      <c r="K2201" s="965">
        <v>143273229</v>
      </c>
    </row>
    <row r="2202" spans="2:11" s="1258" customFormat="1" ht="16" hidden="1" outlineLevel="1">
      <c r="B2202" s="966" t="s">
        <v>2459</v>
      </c>
      <c r="C2202" s="965">
        <v>34400</v>
      </c>
      <c r="D2202" s="965" t="s">
        <v>2230</v>
      </c>
      <c r="E2202" s="965">
        <v>573317</v>
      </c>
      <c r="F2202" s="965">
        <v>19662377150</v>
      </c>
      <c r="G2202" s="965">
        <v>34000</v>
      </c>
      <c r="H2202" s="965">
        <v>34900</v>
      </c>
      <c r="I2202" s="965">
        <v>33650</v>
      </c>
      <c r="J2202" s="965">
        <v>4928599</v>
      </c>
      <c r="K2202" s="965">
        <v>143273229</v>
      </c>
    </row>
    <row r="2203" spans="2:11" s="1258" customFormat="1" ht="16" hidden="1" outlineLevel="1">
      <c r="B2203" s="966" t="s">
        <v>2457</v>
      </c>
      <c r="C2203" s="965">
        <v>34050</v>
      </c>
      <c r="D2203" s="965" t="s">
        <v>2306</v>
      </c>
      <c r="E2203" s="965">
        <v>597588</v>
      </c>
      <c r="F2203" s="965">
        <v>20091505950</v>
      </c>
      <c r="G2203" s="965">
        <v>33350</v>
      </c>
      <c r="H2203" s="965">
        <v>34400</v>
      </c>
      <c r="I2203" s="965">
        <v>33200</v>
      </c>
      <c r="J2203" s="965">
        <v>4878453</v>
      </c>
      <c r="K2203" s="965">
        <v>143273229</v>
      </c>
    </row>
    <row r="2204" spans="2:11" s="1258" customFormat="1" ht="16" hidden="1" outlineLevel="1">
      <c r="B2204" s="966" t="s">
        <v>2455</v>
      </c>
      <c r="C2204" s="965">
        <v>33000</v>
      </c>
      <c r="D2204" s="965" t="s">
        <v>2241</v>
      </c>
      <c r="E2204" s="965">
        <v>670230</v>
      </c>
      <c r="F2204" s="965">
        <v>22407897700</v>
      </c>
      <c r="G2204" s="965">
        <v>33150</v>
      </c>
      <c r="H2204" s="965">
        <v>34500</v>
      </c>
      <c r="I2204" s="965">
        <v>33000</v>
      </c>
      <c r="J2204" s="965">
        <v>4728017</v>
      </c>
      <c r="K2204" s="965">
        <v>143273229</v>
      </c>
    </row>
    <row r="2205" spans="2:11" s="1258" customFormat="1" ht="16" hidden="1" outlineLevel="1">
      <c r="B2205" s="966" t="s">
        <v>2454</v>
      </c>
      <c r="C2205" s="965">
        <v>33900</v>
      </c>
      <c r="D2205" s="965" t="s">
        <v>2208</v>
      </c>
      <c r="E2205" s="965">
        <v>1722662</v>
      </c>
      <c r="F2205" s="965">
        <v>60282771450</v>
      </c>
      <c r="G2205" s="965">
        <v>35500</v>
      </c>
      <c r="H2205" s="965">
        <v>36350</v>
      </c>
      <c r="I2205" s="965">
        <v>33550</v>
      </c>
      <c r="J2205" s="965">
        <v>4856962</v>
      </c>
      <c r="K2205" s="965">
        <v>143273229</v>
      </c>
    </row>
    <row r="2206" spans="2:11" s="1258" customFormat="1" ht="16" hidden="1" outlineLevel="1">
      <c r="B2206" s="966" t="s">
        <v>2453</v>
      </c>
      <c r="C2206" s="965">
        <v>33200</v>
      </c>
      <c r="D2206" s="965" t="s">
        <v>2236</v>
      </c>
      <c r="E2206" s="965">
        <v>4296369</v>
      </c>
      <c r="F2206" s="965">
        <v>146211583500</v>
      </c>
      <c r="G2206" s="965">
        <v>33500</v>
      </c>
      <c r="H2206" s="965">
        <v>35850</v>
      </c>
      <c r="I2206" s="965">
        <v>31300</v>
      </c>
      <c r="J2206" s="965">
        <v>4756671</v>
      </c>
      <c r="K2206" s="965">
        <v>143273229</v>
      </c>
    </row>
    <row r="2207" spans="2:11" s="1258" customFormat="1" ht="16" hidden="1" outlineLevel="1">
      <c r="B2207" s="966" t="s">
        <v>2451</v>
      </c>
      <c r="C2207" s="965">
        <v>32200</v>
      </c>
      <c r="D2207" s="965" t="s">
        <v>2693</v>
      </c>
      <c r="E2207" s="965">
        <v>3512903</v>
      </c>
      <c r="F2207" s="965">
        <v>120531404950</v>
      </c>
      <c r="G2207" s="965">
        <v>34500</v>
      </c>
      <c r="H2207" s="965">
        <v>36400</v>
      </c>
      <c r="I2207" s="965">
        <v>31950</v>
      </c>
      <c r="J2207" s="965">
        <v>4613398</v>
      </c>
      <c r="K2207" s="965">
        <v>143273229</v>
      </c>
    </row>
    <row r="2208" spans="2:11" s="1258" customFormat="1" ht="16" hidden="1" outlineLevel="1">
      <c r="B2208" s="966" t="s">
        <v>2450</v>
      </c>
      <c r="C2208" s="965">
        <v>33250</v>
      </c>
      <c r="D2208" s="965" t="s">
        <v>2729</v>
      </c>
      <c r="E2208" s="965">
        <v>3411101</v>
      </c>
      <c r="F2208" s="965">
        <v>109888764550</v>
      </c>
      <c r="G2208" s="965">
        <v>29000</v>
      </c>
      <c r="H2208" s="965">
        <v>33250</v>
      </c>
      <c r="I2208" s="965">
        <v>28500</v>
      </c>
      <c r="J2208" s="965">
        <v>4763835</v>
      </c>
      <c r="K2208" s="965">
        <v>143273229</v>
      </c>
    </row>
    <row r="2209" spans="2:11" s="1258" customFormat="1" ht="16" hidden="1" outlineLevel="1">
      <c r="B2209" s="966" t="s">
        <v>2449</v>
      </c>
      <c r="C2209" s="965">
        <v>28950</v>
      </c>
      <c r="D2209" s="965" t="s">
        <v>2210</v>
      </c>
      <c r="E2209" s="965">
        <v>314166</v>
      </c>
      <c r="F2209" s="965">
        <v>9159481100</v>
      </c>
      <c r="G2209" s="965">
        <v>29300</v>
      </c>
      <c r="H2209" s="965">
        <v>29750</v>
      </c>
      <c r="I2209" s="965">
        <v>28800</v>
      </c>
      <c r="J2209" s="965">
        <v>4147760</v>
      </c>
      <c r="K2209" s="965">
        <v>143273229</v>
      </c>
    </row>
    <row r="2210" spans="2:11" s="1258" customFormat="1" ht="16" hidden="1" outlineLevel="1">
      <c r="B2210" s="966" t="s">
        <v>2448</v>
      </c>
      <c r="C2210" s="965">
        <v>29400</v>
      </c>
      <c r="D2210" s="965" t="s">
        <v>2691</v>
      </c>
      <c r="E2210" s="965">
        <v>347556</v>
      </c>
      <c r="F2210" s="965">
        <v>10118763600</v>
      </c>
      <c r="G2210" s="965">
        <v>28150</v>
      </c>
      <c r="H2210" s="965">
        <v>29850</v>
      </c>
      <c r="I2210" s="965">
        <v>28100</v>
      </c>
      <c r="J2210" s="965">
        <v>4212233</v>
      </c>
      <c r="K2210" s="965">
        <v>143273229</v>
      </c>
    </row>
    <row r="2211" spans="2:11" s="1258" customFormat="1" ht="16" hidden="1" outlineLevel="1">
      <c r="B2211" s="966" t="s">
        <v>2447</v>
      </c>
      <c r="C2211" s="965">
        <v>28100</v>
      </c>
      <c r="D2211" s="965" t="s">
        <v>2214</v>
      </c>
      <c r="E2211" s="965">
        <v>310420</v>
      </c>
      <c r="F2211" s="965">
        <v>8800318550</v>
      </c>
      <c r="G2211" s="965">
        <v>28100</v>
      </c>
      <c r="H2211" s="965">
        <v>28650</v>
      </c>
      <c r="I2211" s="965">
        <v>27900</v>
      </c>
      <c r="J2211" s="965">
        <v>4025978</v>
      </c>
      <c r="K2211" s="965">
        <v>143273229</v>
      </c>
    </row>
    <row r="2212" spans="2:11" s="1258" customFormat="1" ht="16" hidden="1" outlineLevel="1">
      <c r="B2212" s="966" t="s">
        <v>2446</v>
      </c>
      <c r="C2212" s="965">
        <v>27700</v>
      </c>
      <c r="D2212" s="965" t="s">
        <v>2207</v>
      </c>
      <c r="E2212" s="965">
        <v>348177</v>
      </c>
      <c r="F2212" s="965">
        <v>9540863800</v>
      </c>
      <c r="G2212" s="965">
        <v>27000</v>
      </c>
      <c r="H2212" s="965">
        <v>28150</v>
      </c>
      <c r="I2212" s="965">
        <v>26700</v>
      </c>
      <c r="J2212" s="965">
        <v>3968668</v>
      </c>
      <c r="K2212" s="965">
        <v>143273229</v>
      </c>
    </row>
    <row r="2213" spans="2:11" s="1258" customFormat="1" ht="16" hidden="1" outlineLevel="1">
      <c r="B2213" s="966" t="s">
        <v>2445</v>
      </c>
      <c r="C2213" s="965">
        <v>27650</v>
      </c>
      <c r="D2213" s="965" t="s">
        <v>2230</v>
      </c>
      <c r="E2213" s="965">
        <v>278883</v>
      </c>
      <c r="F2213" s="965">
        <v>7739908050</v>
      </c>
      <c r="G2213" s="965">
        <v>27500</v>
      </c>
      <c r="H2213" s="965">
        <v>28300</v>
      </c>
      <c r="I2213" s="965">
        <v>27300</v>
      </c>
      <c r="J2213" s="965">
        <v>3961505</v>
      </c>
      <c r="K2213" s="965">
        <v>143273229</v>
      </c>
    </row>
    <row r="2214" spans="2:11" s="1258" customFormat="1" ht="16" hidden="1" outlineLevel="1">
      <c r="B2214" s="966" t="s">
        <v>2443</v>
      </c>
      <c r="C2214" s="965">
        <v>27300</v>
      </c>
      <c r="D2214" s="965" t="s">
        <v>2226</v>
      </c>
      <c r="E2214" s="965">
        <v>690268</v>
      </c>
      <c r="F2214" s="965">
        <v>19308982800</v>
      </c>
      <c r="G2214" s="965">
        <v>27350</v>
      </c>
      <c r="H2214" s="965">
        <v>29100</v>
      </c>
      <c r="I2214" s="965">
        <v>26900</v>
      </c>
      <c r="J2214" s="965">
        <v>3911359</v>
      </c>
      <c r="K2214" s="965">
        <v>143273229</v>
      </c>
    </row>
    <row r="2215" spans="2:11" s="1258" customFormat="1" ht="16" hidden="1" outlineLevel="1">
      <c r="B2215" s="966" t="s">
        <v>2441</v>
      </c>
      <c r="C2215" s="965">
        <v>27350</v>
      </c>
      <c r="D2215" s="965" t="s">
        <v>2297</v>
      </c>
      <c r="E2215" s="965">
        <v>641892</v>
      </c>
      <c r="F2215" s="965">
        <v>17599521750</v>
      </c>
      <c r="G2215" s="965">
        <v>28300</v>
      </c>
      <c r="H2215" s="965">
        <v>28300</v>
      </c>
      <c r="I2215" s="965">
        <v>26850</v>
      </c>
      <c r="J2215" s="965">
        <v>3918523</v>
      </c>
      <c r="K2215" s="965">
        <v>143273229</v>
      </c>
    </row>
    <row r="2216" spans="2:11" s="1258" customFormat="1" ht="16" hidden="1" outlineLevel="1">
      <c r="B2216" s="966" t="s">
        <v>2439</v>
      </c>
      <c r="C2216" s="965">
        <v>29000</v>
      </c>
      <c r="D2216" s="965" t="s">
        <v>2216</v>
      </c>
      <c r="E2216" s="965">
        <v>1754754</v>
      </c>
      <c r="F2216" s="965">
        <v>53082868950</v>
      </c>
      <c r="G2216" s="965">
        <v>28850</v>
      </c>
      <c r="H2216" s="965">
        <v>31600</v>
      </c>
      <c r="I2216" s="965">
        <v>28600</v>
      </c>
      <c r="J2216" s="965">
        <v>4154924</v>
      </c>
      <c r="K2216" s="965">
        <v>143273229</v>
      </c>
    </row>
    <row r="2217" spans="2:11" s="1258" customFormat="1" ht="16" hidden="1" outlineLevel="1">
      <c r="B2217" s="966" t="s">
        <v>2438</v>
      </c>
      <c r="C2217" s="965">
        <v>28150</v>
      </c>
      <c r="D2217" s="965" t="s">
        <v>2253</v>
      </c>
      <c r="E2217" s="965">
        <v>344536</v>
      </c>
      <c r="F2217" s="965">
        <v>9772446750</v>
      </c>
      <c r="G2217" s="965">
        <v>29150</v>
      </c>
      <c r="H2217" s="965">
        <v>29150</v>
      </c>
      <c r="I2217" s="965">
        <v>28150</v>
      </c>
      <c r="J2217" s="965">
        <v>4033141</v>
      </c>
      <c r="K2217" s="965">
        <v>143273229</v>
      </c>
    </row>
    <row r="2218" spans="2:11" s="1258" customFormat="1" ht="16" hidden="1" outlineLevel="1">
      <c r="B2218" s="966" t="s">
        <v>2436</v>
      </c>
      <c r="C2218" s="965">
        <v>28950</v>
      </c>
      <c r="D2218" s="965" t="s">
        <v>2208</v>
      </c>
      <c r="E2218" s="965">
        <v>234167</v>
      </c>
      <c r="F2218" s="965">
        <v>6703287650</v>
      </c>
      <c r="G2218" s="965">
        <v>28500</v>
      </c>
      <c r="H2218" s="965">
        <v>29000</v>
      </c>
      <c r="I2218" s="965">
        <v>28200</v>
      </c>
      <c r="J2218" s="965">
        <v>4147760</v>
      </c>
      <c r="K2218" s="965">
        <v>143273229</v>
      </c>
    </row>
    <row r="2219" spans="2:11" s="1258" customFormat="1" ht="16" hidden="1" outlineLevel="1">
      <c r="B2219" s="966" t="s">
        <v>2435</v>
      </c>
      <c r="C2219" s="965">
        <v>28250</v>
      </c>
      <c r="D2219" s="965" t="s">
        <v>2221</v>
      </c>
      <c r="E2219" s="965">
        <v>191258</v>
      </c>
      <c r="F2219" s="965">
        <v>5415097450</v>
      </c>
      <c r="G2219" s="965">
        <v>27950</v>
      </c>
      <c r="H2219" s="965">
        <v>28750</v>
      </c>
      <c r="I2219" s="965">
        <v>27700</v>
      </c>
      <c r="J2219" s="965">
        <v>4047469</v>
      </c>
      <c r="K2219" s="965">
        <v>143273229</v>
      </c>
    </row>
    <row r="2220" spans="2:11" s="1258" customFormat="1" ht="16" hidden="1" outlineLevel="1">
      <c r="B2220" s="966" t="s">
        <v>2433</v>
      </c>
      <c r="C2220" s="965">
        <v>28250</v>
      </c>
      <c r="D2220" s="965" t="s">
        <v>2294</v>
      </c>
      <c r="E2220" s="965">
        <v>221093</v>
      </c>
      <c r="F2220" s="965">
        <v>6227604400</v>
      </c>
      <c r="G2220" s="965">
        <v>28800</v>
      </c>
      <c r="H2220" s="965">
        <v>29000</v>
      </c>
      <c r="I2220" s="965">
        <v>27650</v>
      </c>
      <c r="J2220" s="965">
        <v>4047469</v>
      </c>
      <c r="K2220" s="965">
        <v>143273229</v>
      </c>
    </row>
    <row r="2221" spans="2:11" s="1258" customFormat="1" ht="16" hidden="1" outlineLevel="1">
      <c r="B2221" s="966" t="s">
        <v>2431</v>
      </c>
      <c r="C2221" s="965">
        <v>28800</v>
      </c>
      <c r="D2221" s="965" t="s">
        <v>2216</v>
      </c>
      <c r="E2221" s="965">
        <v>284081</v>
      </c>
      <c r="F2221" s="965">
        <v>8055777900</v>
      </c>
      <c r="G2221" s="965">
        <v>28250</v>
      </c>
      <c r="H2221" s="965">
        <v>28900</v>
      </c>
      <c r="I2221" s="965">
        <v>27850</v>
      </c>
      <c r="J2221" s="965">
        <v>4126269</v>
      </c>
      <c r="K2221" s="965">
        <v>143273229</v>
      </c>
    </row>
    <row r="2222" spans="2:11" s="1258" customFormat="1" ht="16" hidden="1" outlineLevel="1">
      <c r="B2222" s="966" t="s">
        <v>2430</v>
      </c>
      <c r="C2222" s="965">
        <v>27950</v>
      </c>
      <c r="D2222" s="965" t="s">
        <v>2283</v>
      </c>
      <c r="E2222" s="965">
        <v>242922</v>
      </c>
      <c r="F2222" s="965">
        <v>6760996250</v>
      </c>
      <c r="G2222" s="965">
        <v>27600</v>
      </c>
      <c r="H2222" s="965">
        <v>28100</v>
      </c>
      <c r="I2222" s="965">
        <v>27450</v>
      </c>
      <c r="J2222" s="965">
        <v>4004487</v>
      </c>
      <c r="K2222" s="965">
        <v>143273229</v>
      </c>
    </row>
    <row r="2223" spans="2:11" s="1258" customFormat="1" ht="16" hidden="1" outlineLevel="1">
      <c r="B2223" s="966" t="s">
        <v>2428</v>
      </c>
      <c r="C2223" s="965">
        <v>27500</v>
      </c>
      <c r="D2223" s="965" t="s">
        <v>2280</v>
      </c>
      <c r="E2223" s="965">
        <v>284602</v>
      </c>
      <c r="F2223" s="965">
        <v>7821451300</v>
      </c>
      <c r="G2223" s="965">
        <v>27750</v>
      </c>
      <c r="H2223" s="965">
        <v>28000</v>
      </c>
      <c r="I2223" s="965">
        <v>27100</v>
      </c>
      <c r="J2223" s="965">
        <v>3940014</v>
      </c>
      <c r="K2223" s="965">
        <v>143273229</v>
      </c>
    </row>
    <row r="2224" spans="2:11" s="1258" customFormat="1" ht="16" hidden="1" outlineLevel="1">
      <c r="B2224" s="966" t="s">
        <v>2427</v>
      </c>
      <c r="C2224" s="965">
        <v>28250</v>
      </c>
      <c r="D2224" s="965" t="s">
        <v>2294</v>
      </c>
      <c r="E2224" s="965">
        <v>215583</v>
      </c>
      <c r="F2224" s="965">
        <v>6080017950</v>
      </c>
      <c r="G2224" s="965">
        <v>28800</v>
      </c>
      <c r="H2224" s="965">
        <v>28800</v>
      </c>
      <c r="I2224" s="965">
        <v>27900</v>
      </c>
      <c r="J2224" s="965">
        <v>4047469</v>
      </c>
      <c r="K2224" s="965">
        <v>143273229</v>
      </c>
    </row>
    <row r="2225" spans="2:11" s="1258" customFormat="1" ht="16" hidden="1" outlineLevel="1">
      <c r="B2225" s="966" t="s">
        <v>2425</v>
      </c>
      <c r="C2225" s="965">
        <v>28800</v>
      </c>
      <c r="D2225" s="965" t="s">
        <v>2224</v>
      </c>
      <c r="E2225" s="965">
        <v>197743</v>
      </c>
      <c r="F2225" s="965">
        <v>5722949750</v>
      </c>
      <c r="G2225" s="965">
        <v>28600</v>
      </c>
      <c r="H2225" s="965">
        <v>29300</v>
      </c>
      <c r="I2225" s="965">
        <v>28600</v>
      </c>
      <c r="J2225" s="965">
        <v>4126269</v>
      </c>
      <c r="K2225" s="965">
        <v>143273229</v>
      </c>
    </row>
    <row r="2226" spans="2:11" s="1258" customFormat="1" ht="16" hidden="1" outlineLevel="1">
      <c r="B2226" s="966" t="s">
        <v>2423</v>
      </c>
      <c r="C2226" s="965">
        <v>29000</v>
      </c>
      <c r="D2226" s="965" t="s">
        <v>2212</v>
      </c>
      <c r="E2226" s="965">
        <v>240927</v>
      </c>
      <c r="F2226" s="965">
        <v>6916479900</v>
      </c>
      <c r="G2226" s="965">
        <v>28600</v>
      </c>
      <c r="H2226" s="965">
        <v>29000</v>
      </c>
      <c r="I2226" s="965">
        <v>28300</v>
      </c>
      <c r="J2226" s="965">
        <v>4154924</v>
      </c>
      <c r="K2226" s="965">
        <v>143273229</v>
      </c>
    </row>
    <row r="2227" spans="2:11" s="1258" customFormat="1" ht="16" hidden="1" outlineLevel="1">
      <c r="B2227" s="966" t="s">
        <v>2422</v>
      </c>
      <c r="C2227" s="965">
        <v>28900</v>
      </c>
      <c r="D2227" s="965" t="s">
        <v>2212</v>
      </c>
      <c r="E2227" s="965">
        <v>304796</v>
      </c>
      <c r="F2227" s="965">
        <v>8933833450</v>
      </c>
      <c r="G2227" s="965">
        <v>28650</v>
      </c>
      <c r="H2227" s="965">
        <v>29850</v>
      </c>
      <c r="I2227" s="965">
        <v>28650</v>
      </c>
      <c r="J2227" s="965">
        <v>4140596</v>
      </c>
      <c r="K2227" s="965">
        <v>143273229</v>
      </c>
    </row>
    <row r="2228" spans="2:11" s="1258" customFormat="1" ht="16" hidden="1" outlineLevel="1">
      <c r="B2228" s="966" t="s">
        <v>2420</v>
      </c>
      <c r="C2228" s="965">
        <v>28800</v>
      </c>
      <c r="D2228" s="965" t="s">
        <v>2305</v>
      </c>
      <c r="E2228" s="965">
        <v>370223</v>
      </c>
      <c r="F2228" s="965">
        <v>10766658900</v>
      </c>
      <c r="G2228" s="965">
        <v>30000</v>
      </c>
      <c r="H2228" s="965">
        <v>30050</v>
      </c>
      <c r="I2228" s="965">
        <v>28700</v>
      </c>
      <c r="J2228" s="965">
        <v>4126269</v>
      </c>
      <c r="K2228" s="965">
        <v>143273229</v>
      </c>
    </row>
    <row r="2229" spans="2:11" s="1258" customFormat="1" ht="16" hidden="1" outlineLevel="1">
      <c r="B2229" s="966" t="s">
        <v>2418</v>
      </c>
      <c r="C2229" s="965">
        <v>30400</v>
      </c>
      <c r="D2229" s="965" t="s">
        <v>2222</v>
      </c>
      <c r="E2229" s="965">
        <v>219107</v>
      </c>
      <c r="F2229" s="965">
        <v>6687881950</v>
      </c>
      <c r="G2229" s="965">
        <v>30800</v>
      </c>
      <c r="H2229" s="965">
        <v>30950</v>
      </c>
      <c r="I2229" s="965">
        <v>30200</v>
      </c>
      <c r="J2229" s="965">
        <v>4355506</v>
      </c>
      <c r="K2229" s="965">
        <v>143273229</v>
      </c>
    </row>
    <row r="2230" spans="2:11" s="1258" customFormat="1" ht="16" hidden="1" outlineLevel="1">
      <c r="B2230" s="966" t="s">
        <v>2417</v>
      </c>
      <c r="C2230" s="965">
        <v>31000</v>
      </c>
      <c r="D2230" s="965" t="s">
        <v>2214</v>
      </c>
      <c r="E2230" s="965">
        <v>179105</v>
      </c>
      <c r="F2230" s="965">
        <v>5545216650</v>
      </c>
      <c r="G2230" s="965">
        <v>30550</v>
      </c>
      <c r="H2230" s="965">
        <v>31300</v>
      </c>
      <c r="I2230" s="965">
        <v>30450</v>
      </c>
      <c r="J2230" s="965">
        <v>4441470</v>
      </c>
      <c r="K2230" s="965">
        <v>143273229</v>
      </c>
    </row>
    <row r="2231" spans="2:11" s="1258" customFormat="1" ht="16" hidden="1" outlineLevel="1">
      <c r="B2231" s="966" t="s">
        <v>2416</v>
      </c>
      <c r="C2231" s="965">
        <v>30600</v>
      </c>
      <c r="D2231" s="965" t="s">
        <v>2248</v>
      </c>
      <c r="E2231" s="965">
        <v>287173</v>
      </c>
      <c r="F2231" s="965">
        <v>8804171850</v>
      </c>
      <c r="G2231" s="965">
        <v>31200</v>
      </c>
      <c r="H2231" s="965">
        <v>31800</v>
      </c>
      <c r="I2231" s="965">
        <v>30200</v>
      </c>
      <c r="J2231" s="965">
        <v>4384161</v>
      </c>
      <c r="K2231" s="965">
        <v>143273229</v>
      </c>
    </row>
    <row r="2232" spans="2:11" s="1258" customFormat="1" ht="16" hidden="1" outlineLevel="1">
      <c r="B2232" s="966" t="s">
        <v>2414</v>
      </c>
      <c r="C2232" s="965">
        <v>31600</v>
      </c>
      <c r="D2232" s="965" t="s">
        <v>2231</v>
      </c>
      <c r="E2232" s="965">
        <v>297102</v>
      </c>
      <c r="F2232" s="965">
        <v>9422189450</v>
      </c>
      <c r="G2232" s="965">
        <v>30650</v>
      </c>
      <c r="H2232" s="965">
        <v>32900</v>
      </c>
      <c r="I2232" s="965">
        <v>30650</v>
      </c>
      <c r="J2232" s="965">
        <v>4527434</v>
      </c>
      <c r="K2232" s="965">
        <v>143273229</v>
      </c>
    </row>
    <row r="2233" spans="2:11" s="1258" customFormat="1" ht="16" hidden="1" outlineLevel="1">
      <c r="B2233" s="966" t="s">
        <v>2412</v>
      </c>
      <c r="C2233" s="965">
        <v>30850</v>
      </c>
      <c r="D2233" s="965" t="s">
        <v>2226</v>
      </c>
      <c r="E2233" s="965">
        <v>263558</v>
      </c>
      <c r="F2233" s="965">
        <v>8092094100</v>
      </c>
      <c r="G2233" s="965">
        <v>30800</v>
      </c>
      <c r="H2233" s="965">
        <v>31150</v>
      </c>
      <c r="I2233" s="965">
        <v>30200</v>
      </c>
      <c r="J2233" s="965">
        <v>4419979</v>
      </c>
      <c r="K2233" s="965">
        <v>143273229</v>
      </c>
    </row>
    <row r="2234" spans="2:11" s="1258" customFormat="1" ht="16" hidden="1" outlineLevel="1">
      <c r="B2234" s="966" t="s">
        <v>2410</v>
      </c>
      <c r="C2234" s="965">
        <v>30900</v>
      </c>
      <c r="D2234" s="965" t="s">
        <v>2221</v>
      </c>
      <c r="E2234" s="965">
        <v>177104</v>
      </c>
      <c r="F2234" s="965">
        <v>5501066600</v>
      </c>
      <c r="G2234" s="965">
        <v>30950</v>
      </c>
      <c r="H2234" s="965">
        <v>31550</v>
      </c>
      <c r="I2234" s="965">
        <v>30850</v>
      </c>
      <c r="J2234" s="965">
        <v>4427143</v>
      </c>
      <c r="K2234" s="965">
        <v>143273229</v>
      </c>
    </row>
    <row r="2235" spans="2:11" s="1258" customFormat="1" ht="16" hidden="1" outlineLevel="1">
      <c r="B2235" s="966" t="s">
        <v>2409</v>
      </c>
      <c r="C2235" s="965">
        <v>30900</v>
      </c>
      <c r="D2235" s="965" t="s">
        <v>2247</v>
      </c>
      <c r="E2235" s="965">
        <v>320024</v>
      </c>
      <c r="F2235" s="965">
        <v>10121428350</v>
      </c>
      <c r="G2235" s="965">
        <v>32050</v>
      </c>
      <c r="H2235" s="965">
        <v>32450</v>
      </c>
      <c r="I2235" s="965">
        <v>30750</v>
      </c>
      <c r="J2235" s="965">
        <v>4427143</v>
      </c>
      <c r="K2235" s="965">
        <v>143273229</v>
      </c>
    </row>
    <row r="2236" spans="2:11" s="1258" customFormat="1" ht="16" hidden="1" outlineLevel="1">
      <c r="B2236" s="966" t="s">
        <v>2407</v>
      </c>
      <c r="C2236" s="965">
        <v>32000</v>
      </c>
      <c r="D2236" s="965" t="s">
        <v>2253</v>
      </c>
      <c r="E2236" s="965">
        <v>261164</v>
      </c>
      <c r="F2236" s="965">
        <v>8529204200</v>
      </c>
      <c r="G2236" s="965">
        <v>32800</v>
      </c>
      <c r="H2236" s="965">
        <v>33400</v>
      </c>
      <c r="I2236" s="965">
        <v>32000</v>
      </c>
      <c r="J2236" s="965">
        <v>4584743</v>
      </c>
      <c r="K2236" s="965">
        <v>143273229</v>
      </c>
    </row>
    <row r="2237" spans="2:11" s="1258" customFormat="1" ht="16" hidden="1" outlineLevel="1">
      <c r="B2237" s="966" t="s">
        <v>2406</v>
      </c>
      <c r="C2237" s="965">
        <v>32800</v>
      </c>
      <c r="D2237" s="965" t="s">
        <v>2234</v>
      </c>
      <c r="E2237" s="965">
        <v>200710</v>
      </c>
      <c r="F2237" s="965">
        <v>6649442900</v>
      </c>
      <c r="G2237" s="965">
        <v>33250</v>
      </c>
      <c r="H2237" s="965">
        <v>33750</v>
      </c>
      <c r="I2237" s="965">
        <v>32750</v>
      </c>
      <c r="J2237" s="965">
        <v>4699362</v>
      </c>
      <c r="K2237" s="965">
        <v>143273229</v>
      </c>
    </row>
    <row r="2238" spans="2:11" s="1258" customFormat="1" ht="16" hidden="1" outlineLevel="1">
      <c r="B2238" s="966" t="s">
        <v>2404</v>
      </c>
      <c r="C2238" s="965">
        <v>33500</v>
      </c>
      <c r="D2238" s="965" t="s">
        <v>2224</v>
      </c>
      <c r="E2238" s="965">
        <v>229645</v>
      </c>
      <c r="F2238" s="965">
        <v>7759748650</v>
      </c>
      <c r="G2238" s="965">
        <v>33750</v>
      </c>
      <c r="H2238" s="965">
        <v>34250</v>
      </c>
      <c r="I2238" s="965">
        <v>33500</v>
      </c>
      <c r="J2238" s="965">
        <v>4799653</v>
      </c>
      <c r="K2238" s="965">
        <v>143273229</v>
      </c>
    </row>
    <row r="2239" spans="2:11" s="1258" customFormat="1" ht="16" hidden="1" outlineLevel="1">
      <c r="B2239" s="966" t="s">
        <v>2403</v>
      </c>
      <c r="C2239" s="965">
        <v>33700</v>
      </c>
      <c r="D2239" s="965" t="s">
        <v>2248</v>
      </c>
      <c r="E2239" s="965">
        <v>243934</v>
      </c>
      <c r="F2239" s="965">
        <v>8402808550</v>
      </c>
      <c r="G2239" s="965">
        <v>35350</v>
      </c>
      <c r="H2239" s="965">
        <v>35450</v>
      </c>
      <c r="I2239" s="965">
        <v>33650</v>
      </c>
      <c r="J2239" s="965">
        <v>4828308</v>
      </c>
      <c r="K2239" s="965">
        <v>143273229</v>
      </c>
    </row>
    <row r="2240" spans="2:11" s="1258" customFormat="1" ht="16" hidden="1" outlineLevel="1">
      <c r="B2240" s="966" t="s">
        <v>2401</v>
      </c>
      <c r="C2240" s="965">
        <v>34700</v>
      </c>
      <c r="D2240" s="965" t="s">
        <v>2300</v>
      </c>
      <c r="E2240" s="965">
        <v>580560</v>
      </c>
      <c r="F2240" s="965">
        <v>19213869600</v>
      </c>
      <c r="G2240" s="965">
        <v>33550</v>
      </c>
      <c r="H2240" s="965">
        <v>35600</v>
      </c>
      <c r="I2240" s="965">
        <v>32900</v>
      </c>
      <c r="J2240" s="965">
        <v>4971581</v>
      </c>
      <c r="K2240" s="965">
        <v>143273229</v>
      </c>
    </row>
    <row r="2241" spans="2:11" s="1258" customFormat="1" ht="16" hidden="1" outlineLevel="1">
      <c r="B2241" s="966" t="s">
        <v>2399</v>
      </c>
      <c r="C2241" s="965">
        <v>33550</v>
      </c>
      <c r="D2241" s="965" t="s">
        <v>2247</v>
      </c>
      <c r="E2241" s="965">
        <v>248332</v>
      </c>
      <c r="F2241" s="965">
        <v>8368501300</v>
      </c>
      <c r="G2241" s="965">
        <v>33950</v>
      </c>
      <c r="H2241" s="965">
        <v>34200</v>
      </c>
      <c r="I2241" s="965">
        <v>33300</v>
      </c>
      <c r="J2241" s="965">
        <v>4806817</v>
      </c>
      <c r="K2241" s="965">
        <v>143273229</v>
      </c>
    </row>
    <row r="2242" spans="2:11" s="1258" customFormat="1" ht="16" hidden="1" outlineLevel="1">
      <c r="B2242" s="966" t="s">
        <v>2397</v>
      </c>
      <c r="C2242" s="965">
        <v>34650</v>
      </c>
      <c r="D2242" s="965" t="s">
        <v>2296</v>
      </c>
      <c r="E2242" s="965">
        <v>269494</v>
      </c>
      <c r="F2242" s="965">
        <v>9406586150</v>
      </c>
      <c r="G2242" s="965">
        <v>35350</v>
      </c>
      <c r="H2242" s="965">
        <v>35550</v>
      </c>
      <c r="I2242" s="965">
        <v>34650</v>
      </c>
      <c r="J2242" s="965">
        <v>4964417</v>
      </c>
      <c r="K2242" s="965">
        <v>143273229</v>
      </c>
    </row>
    <row r="2243" spans="2:11" s="1258" customFormat="1" ht="16" hidden="1" outlineLevel="1">
      <c r="B2243" s="966" t="s">
        <v>2395</v>
      </c>
      <c r="C2243" s="965">
        <v>35500</v>
      </c>
      <c r="D2243" s="965" t="s">
        <v>2211</v>
      </c>
      <c r="E2243" s="965">
        <v>286041</v>
      </c>
      <c r="F2243" s="965">
        <v>10142338300</v>
      </c>
      <c r="G2243" s="965">
        <v>35500</v>
      </c>
      <c r="H2243" s="965">
        <v>35700</v>
      </c>
      <c r="I2243" s="965">
        <v>35200</v>
      </c>
      <c r="J2243" s="965">
        <v>5086200</v>
      </c>
      <c r="K2243" s="965">
        <v>143273229</v>
      </c>
    </row>
    <row r="2244" spans="2:11" s="1258" customFormat="1" ht="16" hidden="1" outlineLevel="1">
      <c r="B2244" s="966" t="s">
        <v>2394</v>
      </c>
      <c r="C2244" s="965">
        <v>35900</v>
      </c>
      <c r="D2244" s="965" t="s">
        <v>2224</v>
      </c>
      <c r="E2244" s="965">
        <v>255933</v>
      </c>
      <c r="F2244" s="965">
        <v>9188946150</v>
      </c>
      <c r="G2244" s="965">
        <v>36100</v>
      </c>
      <c r="H2244" s="965">
        <v>36550</v>
      </c>
      <c r="I2244" s="965">
        <v>35400</v>
      </c>
      <c r="J2244" s="965">
        <v>5143509</v>
      </c>
      <c r="K2244" s="965">
        <v>143273229</v>
      </c>
    </row>
    <row r="2245" spans="2:11" s="1258" customFormat="1" ht="16" hidden="1" outlineLevel="1">
      <c r="B2245" s="966" t="s">
        <v>2393</v>
      </c>
      <c r="C2245" s="965">
        <v>36100</v>
      </c>
      <c r="D2245" s="965" t="s">
        <v>2207</v>
      </c>
      <c r="E2245" s="965">
        <v>462635</v>
      </c>
      <c r="F2245" s="965">
        <v>16605914600</v>
      </c>
      <c r="G2245" s="965">
        <v>36250</v>
      </c>
      <c r="H2245" s="965">
        <v>36400</v>
      </c>
      <c r="I2245" s="965">
        <v>35250</v>
      </c>
      <c r="J2245" s="965">
        <v>5172164</v>
      </c>
      <c r="K2245" s="965">
        <v>143273229</v>
      </c>
    </row>
    <row r="2246" spans="2:11" s="1258" customFormat="1" ht="16" hidden="1" outlineLevel="1">
      <c r="B2246" s="966" t="s">
        <v>2391</v>
      </c>
      <c r="C2246" s="965">
        <v>36050</v>
      </c>
      <c r="D2246" s="965" t="s">
        <v>2221</v>
      </c>
      <c r="E2246" s="965">
        <v>174331</v>
      </c>
      <c r="F2246" s="965">
        <v>6312385650</v>
      </c>
      <c r="G2246" s="965">
        <v>36500</v>
      </c>
      <c r="H2246" s="965">
        <v>36550</v>
      </c>
      <c r="I2246" s="965">
        <v>36050</v>
      </c>
      <c r="J2246" s="965">
        <v>5165000</v>
      </c>
      <c r="K2246" s="965">
        <v>143273229</v>
      </c>
    </row>
    <row r="2247" spans="2:11" s="1258" customFormat="1" ht="16" hidden="1" outlineLevel="1">
      <c r="B2247" s="966" t="s">
        <v>2389</v>
      </c>
      <c r="C2247" s="965">
        <v>36050</v>
      </c>
      <c r="D2247" s="965" t="s">
        <v>2293</v>
      </c>
      <c r="E2247" s="965">
        <v>335506</v>
      </c>
      <c r="F2247" s="965">
        <v>12298456100</v>
      </c>
      <c r="G2247" s="965">
        <v>37100</v>
      </c>
      <c r="H2247" s="965">
        <v>37450</v>
      </c>
      <c r="I2247" s="965">
        <v>36000</v>
      </c>
      <c r="J2247" s="965">
        <v>5165000</v>
      </c>
      <c r="K2247" s="965">
        <v>143273229</v>
      </c>
    </row>
    <row r="2248" spans="2:11" s="1258" customFormat="1" ht="16" hidden="1" outlineLevel="1">
      <c r="B2248" s="966" t="s">
        <v>2388</v>
      </c>
      <c r="C2248" s="965">
        <v>36300</v>
      </c>
      <c r="D2248" s="965" t="s">
        <v>1814</v>
      </c>
      <c r="E2248" s="965">
        <v>262536</v>
      </c>
      <c r="F2248" s="965">
        <v>9575394100</v>
      </c>
      <c r="G2248" s="965">
        <v>37200</v>
      </c>
      <c r="H2248" s="965">
        <v>37200</v>
      </c>
      <c r="I2248" s="965">
        <v>36100</v>
      </c>
      <c r="J2248" s="965">
        <v>5200818</v>
      </c>
      <c r="K2248" s="965">
        <v>143273229</v>
      </c>
    </row>
    <row r="2249" spans="2:11" s="1258" customFormat="1" ht="16" hidden="1" outlineLevel="1">
      <c r="B2249" s="966" t="s">
        <v>2386</v>
      </c>
      <c r="C2249" s="965">
        <v>36800</v>
      </c>
      <c r="D2249" s="965" t="s">
        <v>2230</v>
      </c>
      <c r="E2249" s="965">
        <v>298670</v>
      </c>
      <c r="F2249" s="965">
        <v>10996016000</v>
      </c>
      <c r="G2249" s="965">
        <v>36700</v>
      </c>
      <c r="H2249" s="965">
        <v>37350</v>
      </c>
      <c r="I2249" s="965">
        <v>36200</v>
      </c>
      <c r="J2249" s="965">
        <v>5272455</v>
      </c>
      <c r="K2249" s="965">
        <v>143273229</v>
      </c>
    </row>
    <row r="2250" spans="2:11" s="1258" customFormat="1" ht="16" hidden="1" outlineLevel="1">
      <c r="B2250" s="966" t="s">
        <v>2385</v>
      </c>
      <c r="C2250" s="965">
        <v>36450</v>
      </c>
      <c r="D2250" s="965" t="s">
        <v>2222</v>
      </c>
      <c r="E2250" s="965">
        <v>286402</v>
      </c>
      <c r="F2250" s="965">
        <v>10521361650</v>
      </c>
      <c r="G2250" s="965">
        <v>36900</v>
      </c>
      <c r="H2250" s="965">
        <v>37400</v>
      </c>
      <c r="I2250" s="965">
        <v>36450</v>
      </c>
      <c r="J2250" s="965">
        <v>5222309</v>
      </c>
      <c r="K2250" s="965">
        <v>143273229</v>
      </c>
    </row>
    <row r="2251" spans="2:11" s="1258" customFormat="1" ht="16" hidden="1" outlineLevel="1">
      <c r="B2251" s="966" t="s">
        <v>2383</v>
      </c>
      <c r="C2251" s="965">
        <v>37050</v>
      </c>
      <c r="D2251" s="965" t="s">
        <v>2213</v>
      </c>
      <c r="E2251" s="965">
        <v>544622</v>
      </c>
      <c r="F2251" s="965">
        <v>20488830850</v>
      </c>
      <c r="G2251" s="965">
        <v>37150</v>
      </c>
      <c r="H2251" s="965">
        <v>38350</v>
      </c>
      <c r="I2251" s="965">
        <v>36850</v>
      </c>
      <c r="J2251" s="965">
        <v>5308273</v>
      </c>
      <c r="K2251" s="965">
        <v>143273229</v>
      </c>
    </row>
    <row r="2252" spans="2:11" s="1258" customFormat="1" ht="16" hidden="1" outlineLevel="1">
      <c r="B2252" s="966" t="s">
        <v>2382</v>
      </c>
      <c r="C2252" s="965">
        <v>36800</v>
      </c>
      <c r="D2252" s="965" t="s">
        <v>2225</v>
      </c>
      <c r="E2252" s="965">
        <v>449130</v>
      </c>
      <c r="F2252" s="965">
        <v>16438039900</v>
      </c>
      <c r="G2252" s="965">
        <v>36900</v>
      </c>
      <c r="H2252" s="965">
        <v>37000</v>
      </c>
      <c r="I2252" s="965">
        <v>36350</v>
      </c>
      <c r="J2252" s="965">
        <v>5272455</v>
      </c>
      <c r="K2252" s="965">
        <v>143273229</v>
      </c>
    </row>
    <row r="2253" spans="2:11" s="1258" customFormat="1" ht="16" hidden="1" outlineLevel="1">
      <c r="B2253" s="966" t="s">
        <v>2380</v>
      </c>
      <c r="C2253" s="965">
        <v>36950</v>
      </c>
      <c r="D2253" s="965" t="s">
        <v>2219</v>
      </c>
      <c r="E2253" s="965">
        <v>472581</v>
      </c>
      <c r="F2253" s="965">
        <v>17448302850</v>
      </c>
      <c r="G2253" s="965">
        <v>37050</v>
      </c>
      <c r="H2253" s="965">
        <v>37150</v>
      </c>
      <c r="I2253" s="965">
        <v>36600</v>
      </c>
      <c r="J2253" s="965">
        <v>5293946</v>
      </c>
      <c r="K2253" s="965">
        <v>143273229</v>
      </c>
    </row>
    <row r="2254" spans="2:11" s="1258" customFormat="1" ht="16" hidden="1" outlineLevel="1">
      <c r="B2254" s="966" t="s">
        <v>2379</v>
      </c>
      <c r="C2254" s="965">
        <v>36800</v>
      </c>
      <c r="D2254" s="965" t="s">
        <v>2293</v>
      </c>
      <c r="E2254" s="965">
        <v>435121</v>
      </c>
      <c r="F2254" s="965">
        <v>15973050950</v>
      </c>
      <c r="G2254" s="965">
        <v>37200</v>
      </c>
      <c r="H2254" s="965">
        <v>37250</v>
      </c>
      <c r="I2254" s="965">
        <v>36500</v>
      </c>
      <c r="J2254" s="965">
        <v>5272455</v>
      </c>
      <c r="K2254" s="965">
        <v>143273229</v>
      </c>
    </row>
    <row r="2255" spans="2:11" s="1258" customFormat="1" ht="16" hidden="1" outlineLevel="1">
      <c r="B2255" s="966" t="s">
        <v>2377</v>
      </c>
      <c r="C2255" s="965">
        <v>37050</v>
      </c>
      <c r="D2255" s="965" t="s">
        <v>2217</v>
      </c>
      <c r="E2255" s="965">
        <v>382919</v>
      </c>
      <c r="F2255" s="965">
        <v>14217720900</v>
      </c>
      <c r="G2255" s="965">
        <v>37750</v>
      </c>
      <c r="H2255" s="965">
        <v>38100</v>
      </c>
      <c r="I2255" s="965">
        <v>36850</v>
      </c>
      <c r="J2255" s="965">
        <v>5308273</v>
      </c>
      <c r="K2255" s="965">
        <v>143273229</v>
      </c>
    </row>
    <row r="2256" spans="2:11" s="1258" customFormat="1" ht="16" hidden="1" outlineLevel="1">
      <c r="B2256" s="966" t="s">
        <v>2376</v>
      </c>
      <c r="C2256" s="965">
        <v>37700</v>
      </c>
      <c r="D2256" s="965" t="s">
        <v>2212</v>
      </c>
      <c r="E2256" s="965">
        <v>364605</v>
      </c>
      <c r="F2256" s="965">
        <v>13788066600</v>
      </c>
      <c r="G2256" s="965">
        <v>37450</v>
      </c>
      <c r="H2256" s="965">
        <v>38200</v>
      </c>
      <c r="I2256" s="965">
        <v>37450</v>
      </c>
      <c r="J2256" s="965">
        <v>5401401</v>
      </c>
      <c r="K2256" s="965">
        <v>143273229</v>
      </c>
    </row>
    <row r="2257" spans="2:11" s="1258" customFormat="1" ht="16" hidden="1" outlineLevel="1">
      <c r="B2257" s="966" t="s">
        <v>2374</v>
      </c>
      <c r="C2257" s="965">
        <v>37600</v>
      </c>
      <c r="D2257" s="965" t="s">
        <v>2228</v>
      </c>
      <c r="E2257" s="965">
        <v>454415</v>
      </c>
      <c r="F2257" s="965">
        <v>17197105600</v>
      </c>
      <c r="G2257" s="965">
        <v>37600</v>
      </c>
      <c r="H2257" s="965">
        <v>38150</v>
      </c>
      <c r="I2257" s="965">
        <v>37350</v>
      </c>
      <c r="J2257" s="965">
        <v>5387073</v>
      </c>
      <c r="K2257" s="965">
        <v>143273229</v>
      </c>
    </row>
    <row r="2258" spans="2:11" s="1258" customFormat="1" ht="16" hidden="1" outlineLevel="1">
      <c r="B2258" s="966" t="s">
        <v>2373</v>
      </c>
      <c r="C2258" s="965">
        <v>37700</v>
      </c>
      <c r="D2258" s="965" t="s">
        <v>2728</v>
      </c>
      <c r="E2258" s="965">
        <v>824973</v>
      </c>
      <c r="F2258" s="965">
        <v>31354049950</v>
      </c>
      <c r="G2258" s="965">
        <v>39000</v>
      </c>
      <c r="H2258" s="965">
        <v>39450</v>
      </c>
      <c r="I2258" s="965">
        <v>37500</v>
      </c>
      <c r="J2258" s="965">
        <v>5016861</v>
      </c>
      <c r="K2258" s="965">
        <v>133073229</v>
      </c>
    </row>
    <row r="2259" spans="2:11" s="1258" customFormat="1" ht="16" hidden="1" outlineLevel="1">
      <c r="B2259" s="966" t="s">
        <v>2371</v>
      </c>
      <c r="C2259" s="965">
        <v>38650</v>
      </c>
      <c r="D2259" s="965" t="s">
        <v>2727</v>
      </c>
      <c r="E2259" s="965">
        <v>1523051</v>
      </c>
      <c r="F2259" s="965">
        <v>61670680050</v>
      </c>
      <c r="G2259" s="965">
        <v>41300</v>
      </c>
      <c r="H2259" s="965">
        <v>42150</v>
      </c>
      <c r="I2259" s="965">
        <v>38650</v>
      </c>
      <c r="J2259" s="965">
        <v>5143280</v>
      </c>
      <c r="K2259" s="965">
        <v>133073229</v>
      </c>
    </row>
    <row r="2260" spans="2:11" s="1258" customFormat="1" ht="16" hidden="1" outlineLevel="1">
      <c r="B2260" s="966" t="s">
        <v>2369</v>
      </c>
      <c r="C2260" s="965">
        <v>40000</v>
      </c>
      <c r="D2260" s="965" t="s">
        <v>2692</v>
      </c>
      <c r="E2260" s="965">
        <v>1474010</v>
      </c>
      <c r="F2260" s="965">
        <v>59160714650</v>
      </c>
      <c r="G2260" s="965">
        <v>39250</v>
      </c>
      <c r="H2260" s="965">
        <v>41500</v>
      </c>
      <c r="I2260" s="965">
        <v>38600</v>
      </c>
      <c r="J2260" s="965">
        <v>5322929</v>
      </c>
      <c r="K2260" s="965">
        <v>133073229</v>
      </c>
    </row>
    <row r="2261" spans="2:11" s="1258" customFormat="1" ht="16" hidden="1" outlineLevel="1">
      <c r="B2261" s="966" t="s">
        <v>2367</v>
      </c>
      <c r="C2261" s="965">
        <v>39050</v>
      </c>
      <c r="D2261" s="965" t="s">
        <v>1826</v>
      </c>
      <c r="E2261" s="965">
        <v>618180</v>
      </c>
      <c r="F2261" s="965">
        <v>24138276550</v>
      </c>
      <c r="G2261" s="965">
        <v>39500</v>
      </c>
      <c r="H2261" s="965">
        <v>39800</v>
      </c>
      <c r="I2261" s="965">
        <v>38600</v>
      </c>
      <c r="J2261" s="965">
        <v>5196510</v>
      </c>
      <c r="K2261" s="965">
        <v>133073229</v>
      </c>
    </row>
    <row r="2262" spans="2:11" s="1258" customFormat="1" ht="16" hidden="1" outlineLevel="1">
      <c r="B2262" s="966" t="s">
        <v>2365</v>
      </c>
      <c r="C2262" s="965">
        <v>38550</v>
      </c>
      <c r="D2262" s="965" t="s">
        <v>2245</v>
      </c>
      <c r="E2262" s="965">
        <v>2879961</v>
      </c>
      <c r="F2262" s="965">
        <v>110938024650</v>
      </c>
      <c r="G2262" s="965">
        <v>37400</v>
      </c>
      <c r="H2262" s="965">
        <v>39350</v>
      </c>
      <c r="I2262" s="965">
        <v>37200</v>
      </c>
      <c r="J2262" s="965">
        <v>5129973</v>
      </c>
      <c r="K2262" s="965">
        <v>133073229</v>
      </c>
    </row>
    <row r="2263" spans="2:11" s="1258" customFormat="1" ht="16" hidden="1" outlineLevel="1">
      <c r="B2263" s="966" t="s">
        <v>2364</v>
      </c>
      <c r="C2263" s="965">
        <v>37050</v>
      </c>
      <c r="D2263" s="965" t="s">
        <v>2228</v>
      </c>
      <c r="E2263" s="965">
        <v>853926</v>
      </c>
      <c r="F2263" s="965">
        <v>31912259000</v>
      </c>
      <c r="G2263" s="965">
        <v>37900</v>
      </c>
      <c r="H2263" s="965">
        <v>38300</v>
      </c>
      <c r="I2263" s="965">
        <v>36750</v>
      </c>
      <c r="J2263" s="965">
        <v>4930363</v>
      </c>
      <c r="K2263" s="965">
        <v>133073229</v>
      </c>
    </row>
    <row r="2264" spans="2:11" s="1258" customFormat="1" ht="16" hidden="1" outlineLevel="1">
      <c r="B2264" s="966" t="s">
        <v>2362</v>
      </c>
      <c r="C2264" s="965">
        <v>37150</v>
      </c>
      <c r="D2264" s="965" t="s">
        <v>2638</v>
      </c>
      <c r="E2264" s="965">
        <v>1886916</v>
      </c>
      <c r="F2264" s="965">
        <v>73792371850</v>
      </c>
      <c r="G2264" s="965">
        <v>36600</v>
      </c>
      <c r="H2264" s="965">
        <v>40500</v>
      </c>
      <c r="I2264" s="965">
        <v>36600</v>
      </c>
      <c r="J2264" s="965">
        <v>4943670</v>
      </c>
      <c r="K2264" s="965">
        <v>133073229</v>
      </c>
    </row>
    <row r="2265" spans="2:11" s="1258" customFormat="1" ht="16" hidden="1" outlineLevel="1">
      <c r="B2265" s="966" t="s">
        <v>2360</v>
      </c>
      <c r="C2265" s="965">
        <v>36350</v>
      </c>
      <c r="D2265" s="965" t="s">
        <v>2253</v>
      </c>
      <c r="E2265" s="965">
        <v>761405</v>
      </c>
      <c r="F2265" s="965">
        <v>27849653500</v>
      </c>
      <c r="G2265" s="965">
        <v>37250</v>
      </c>
      <c r="H2265" s="965">
        <v>37300</v>
      </c>
      <c r="I2265" s="965">
        <v>36150</v>
      </c>
      <c r="J2265" s="965">
        <v>4837212</v>
      </c>
      <c r="K2265" s="965">
        <v>133073229</v>
      </c>
    </row>
    <row r="2266" spans="2:11" s="1258" customFormat="1" ht="16" hidden="1" outlineLevel="1">
      <c r="B2266" s="966" t="s">
        <v>2358</v>
      </c>
      <c r="C2266" s="965">
        <v>37150</v>
      </c>
      <c r="D2266" s="965" t="s">
        <v>2726</v>
      </c>
      <c r="E2266" s="965">
        <v>1235021</v>
      </c>
      <c r="F2266" s="965">
        <v>46367417000</v>
      </c>
      <c r="G2266" s="965">
        <v>39250</v>
      </c>
      <c r="H2266" s="965">
        <v>39400</v>
      </c>
      <c r="I2266" s="965">
        <v>36550</v>
      </c>
      <c r="J2266" s="965">
        <v>4943670</v>
      </c>
      <c r="K2266" s="965">
        <v>133073229</v>
      </c>
    </row>
    <row r="2267" spans="2:11" s="1258" customFormat="1" ht="16" hidden="1" outlineLevel="1">
      <c r="B2267" s="966" t="s">
        <v>2357</v>
      </c>
      <c r="C2267" s="965">
        <v>39400</v>
      </c>
      <c r="D2267" s="965" t="s">
        <v>2222</v>
      </c>
      <c r="E2267" s="965">
        <v>607748</v>
      </c>
      <c r="F2267" s="965">
        <v>24135080850</v>
      </c>
      <c r="G2267" s="965">
        <v>40000</v>
      </c>
      <c r="H2267" s="965">
        <v>40200</v>
      </c>
      <c r="I2267" s="965">
        <v>39150</v>
      </c>
      <c r="J2267" s="965">
        <v>5243085</v>
      </c>
      <c r="K2267" s="965">
        <v>133073229</v>
      </c>
    </row>
    <row r="2268" spans="2:11" s="1258" customFormat="1" ht="16" hidden="1" outlineLevel="1">
      <c r="B2268" s="966" t="s">
        <v>2656</v>
      </c>
      <c r="C2268" s="965">
        <v>40000</v>
      </c>
      <c r="D2268" s="965" t="s">
        <v>2228</v>
      </c>
      <c r="E2268" s="965">
        <v>603215</v>
      </c>
      <c r="F2268" s="965">
        <v>24285587400</v>
      </c>
      <c r="G2268" s="965">
        <v>40000</v>
      </c>
      <c r="H2268" s="965">
        <v>40950</v>
      </c>
      <c r="I2268" s="965">
        <v>39800</v>
      </c>
      <c r="J2268" s="965">
        <v>5322929</v>
      </c>
      <c r="K2268" s="965">
        <v>133073229</v>
      </c>
    </row>
    <row r="2269" spans="2:11" s="1258" customFormat="1" ht="16" hidden="1" outlineLevel="1">
      <c r="B2269" s="966" t="s">
        <v>2655</v>
      </c>
      <c r="C2269" s="965">
        <v>40100</v>
      </c>
      <c r="D2269" s="965" t="s">
        <v>2230</v>
      </c>
      <c r="E2269" s="965">
        <v>1186278</v>
      </c>
      <c r="F2269" s="965">
        <v>48066224050</v>
      </c>
      <c r="G2269" s="965">
        <v>41550</v>
      </c>
      <c r="H2269" s="965">
        <v>41700</v>
      </c>
      <c r="I2269" s="965">
        <v>39950</v>
      </c>
      <c r="J2269" s="965">
        <v>5336236</v>
      </c>
      <c r="K2269" s="965">
        <v>133073229</v>
      </c>
    </row>
    <row r="2270" spans="2:11" s="1258" customFormat="1" ht="16" hidden="1" outlineLevel="1">
      <c r="B2270" s="966" t="s">
        <v>2654</v>
      </c>
      <c r="C2270" s="965">
        <v>39750</v>
      </c>
      <c r="D2270" s="965" t="s">
        <v>2641</v>
      </c>
      <c r="E2270" s="965">
        <v>1907294</v>
      </c>
      <c r="F2270" s="965">
        <v>77786852700</v>
      </c>
      <c r="G2270" s="965">
        <v>42100</v>
      </c>
      <c r="H2270" s="965">
        <v>42850</v>
      </c>
      <c r="I2270" s="965">
        <v>38500</v>
      </c>
      <c r="J2270" s="965">
        <v>5289661</v>
      </c>
      <c r="K2270" s="965">
        <v>133073229</v>
      </c>
    </row>
    <row r="2271" spans="2:11" s="1258" customFormat="1" ht="16" hidden="1" outlineLevel="1">
      <c r="B2271" s="966" t="s">
        <v>2653</v>
      </c>
      <c r="C2271" s="965">
        <v>41650</v>
      </c>
      <c r="D2271" s="965" t="s">
        <v>2234</v>
      </c>
      <c r="E2271" s="965">
        <v>1624515</v>
      </c>
      <c r="F2271" s="965">
        <v>69105119550</v>
      </c>
      <c r="G2271" s="965">
        <v>43000</v>
      </c>
      <c r="H2271" s="965">
        <v>43500</v>
      </c>
      <c r="I2271" s="965">
        <v>41350</v>
      </c>
      <c r="J2271" s="965">
        <v>5542500</v>
      </c>
      <c r="K2271" s="965">
        <v>133073229</v>
      </c>
    </row>
    <row r="2272" spans="2:11" s="1258" customFormat="1" ht="16" hidden="1" outlineLevel="1">
      <c r="B2272" s="966" t="s">
        <v>2652</v>
      </c>
      <c r="C2272" s="965">
        <v>42350</v>
      </c>
      <c r="D2272" s="965" t="s">
        <v>2725</v>
      </c>
      <c r="E2272" s="965">
        <v>2635597</v>
      </c>
      <c r="F2272" s="965">
        <v>113085203300</v>
      </c>
      <c r="G2272" s="965">
        <v>42300</v>
      </c>
      <c r="H2272" s="965">
        <v>44100</v>
      </c>
      <c r="I2272" s="965">
        <v>42150</v>
      </c>
      <c r="J2272" s="965">
        <v>5635651</v>
      </c>
      <c r="K2272" s="965">
        <v>133073229</v>
      </c>
    </row>
    <row r="2273" spans="2:11" s="1258" customFormat="1" ht="16" hidden="1" outlineLevel="1">
      <c r="B2273" s="966" t="s">
        <v>2651</v>
      </c>
      <c r="C2273" s="965">
        <v>39800</v>
      </c>
      <c r="D2273" s="965" t="s">
        <v>2221</v>
      </c>
      <c r="E2273" s="965">
        <v>576589</v>
      </c>
      <c r="F2273" s="965">
        <v>23142117200</v>
      </c>
      <c r="G2273" s="965">
        <v>40300</v>
      </c>
      <c r="H2273" s="965">
        <v>40500</v>
      </c>
      <c r="I2273" s="965">
        <v>39700</v>
      </c>
      <c r="J2273" s="965">
        <v>5296315</v>
      </c>
      <c r="K2273" s="965">
        <v>133073229</v>
      </c>
    </row>
    <row r="2274" spans="2:11" s="1258" customFormat="1" ht="16" hidden="1" outlineLevel="1">
      <c r="B2274" s="966" t="s">
        <v>2650</v>
      </c>
      <c r="C2274" s="965">
        <v>39800</v>
      </c>
      <c r="D2274" s="965" t="s">
        <v>2228</v>
      </c>
      <c r="E2274" s="965">
        <v>856386</v>
      </c>
      <c r="F2274" s="965">
        <v>34223559100</v>
      </c>
      <c r="G2274" s="965">
        <v>40100</v>
      </c>
      <c r="H2274" s="965">
        <v>40850</v>
      </c>
      <c r="I2274" s="965">
        <v>38500</v>
      </c>
      <c r="J2274" s="965">
        <v>5296315</v>
      </c>
      <c r="K2274" s="965">
        <v>133073229</v>
      </c>
    </row>
    <row r="2275" spans="2:11" s="1258" customFormat="1" ht="16" hidden="1" outlineLevel="1">
      <c r="B2275" s="966" t="s">
        <v>2648</v>
      </c>
      <c r="C2275" s="965">
        <v>39900</v>
      </c>
      <c r="D2275" s="965" t="s">
        <v>2305</v>
      </c>
      <c r="E2275" s="965">
        <v>702176</v>
      </c>
      <c r="F2275" s="965">
        <v>28260431700</v>
      </c>
      <c r="G2275" s="965">
        <v>41700</v>
      </c>
      <c r="H2275" s="965">
        <v>41700</v>
      </c>
      <c r="I2275" s="965">
        <v>39900</v>
      </c>
      <c r="J2275" s="965">
        <v>5309622</v>
      </c>
      <c r="K2275" s="965">
        <v>133073229</v>
      </c>
    </row>
    <row r="2276" spans="2:11" s="1258" customFormat="1" ht="16" hidden="1" outlineLevel="1">
      <c r="B2276" s="966" t="s">
        <v>2647</v>
      </c>
      <c r="C2276" s="965">
        <v>41500</v>
      </c>
      <c r="D2276" s="965" t="s">
        <v>2232</v>
      </c>
      <c r="E2276" s="965">
        <v>708754</v>
      </c>
      <c r="F2276" s="965">
        <v>29459139800</v>
      </c>
      <c r="G2276" s="965">
        <v>41600</v>
      </c>
      <c r="H2276" s="965">
        <v>42200</v>
      </c>
      <c r="I2276" s="965">
        <v>41200</v>
      </c>
      <c r="J2276" s="965">
        <v>5522539</v>
      </c>
      <c r="K2276" s="965">
        <v>133073229</v>
      </c>
    </row>
    <row r="2277" spans="2:11" s="1258" customFormat="1" ht="16" hidden="1" outlineLevel="1">
      <c r="B2277" s="966" t="s">
        <v>2646</v>
      </c>
      <c r="C2277" s="965">
        <v>41300</v>
      </c>
      <c r="D2277" s="965" t="s">
        <v>2253</v>
      </c>
      <c r="E2277" s="965">
        <v>1080351</v>
      </c>
      <c r="F2277" s="965">
        <v>44775758900</v>
      </c>
      <c r="G2277" s="965">
        <v>42100</v>
      </c>
      <c r="H2277" s="965">
        <v>42700</v>
      </c>
      <c r="I2277" s="965">
        <v>40900</v>
      </c>
      <c r="J2277" s="965">
        <v>5495924</v>
      </c>
      <c r="K2277" s="965">
        <v>133073229</v>
      </c>
    </row>
    <row r="2278" spans="2:11" s="1258" customFormat="1" ht="16" hidden="1" outlineLevel="1">
      <c r="B2278" s="966" t="s">
        <v>2645</v>
      </c>
      <c r="C2278" s="965">
        <v>42100</v>
      </c>
      <c r="D2278" s="965" t="s">
        <v>2634</v>
      </c>
      <c r="E2278" s="965">
        <v>679290</v>
      </c>
      <c r="F2278" s="965">
        <v>29119325650</v>
      </c>
      <c r="G2278" s="965">
        <v>43400</v>
      </c>
      <c r="H2278" s="965">
        <v>44250</v>
      </c>
      <c r="I2278" s="965">
        <v>41900</v>
      </c>
      <c r="J2278" s="965">
        <v>5602383</v>
      </c>
      <c r="K2278" s="965">
        <v>133073229</v>
      </c>
    </row>
    <row r="2279" spans="2:11" s="1258" customFormat="1" ht="16" hidden="1" outlineLevel="1">
      <c r="B2279" s="966" t="s">
        <v>2643</v>
      </c>
      <c r="C2279" s="965">
        <v>43400</v>
      </c>
      <c r="D2279" s="965" t="s">
        <v>2297</v>
      </c>
      <c r="E2279" s="965">
        <v>580543</v>
      </c>
      <c r="F2279" s="965">
        <v>25573432000</v>
      </c>
      <c r="G2279" s="965">
        <v>44500</v>
      </c>
      <c r="H2279" s="965">
        <v>45400</v>
      </c>
      <c r="I2279" s="965">
        <v>42900</v>
      </c>
      <c r="J2279" s="965">
        <v>5775378</v>
      </c>
      <c r="K2279" s="965">
        <v>133073229</v>
      </c>
    </row>
    <row r="2280" spans="2:11" s="1258" customFormat="1" ht="16" hidden="1" outlineLevel="1">
      <c r="B2280" s="966" t="s">
        <v>2642</v>
      </c>
      <c r="C2280" s="965">
        <v>45050</v>
      </c>
      <c r="D2280" s="965" t="s">
        <v>2282</v>
      </c>
      <c r="E2280" s="965">
        <v>826484</v>
      </c>
      <c r="F2280" s="965">
        <v>37865036900</v>
      </c>
      <c r="G2280" s="965">
        <v>46000</v>
      </c>
      <c r="H2280" s="965">
        <v>47100</v>
      </c>
      <c r="I2280" s="965">
        <v>44100</v>
      </c>
      <c r="J2280" s="965">
        <v>5994949</v>
      </c>
      <c r="K2280" s="965">
        <v>133073229</v>
      </c>
    </row>
    <row r="2281" spans="2:11" s="1258" customFormat="1" ht="16" hidden="1" outlineLevel="1">
      <c r="B2281" s="966" t="s">
        <v>2640</v>
      </c>
      <c r="C2281" s="965">
        <v>44400</v>
      </c>
      <c r="D2281" s="965" t="s">
        <v>2634</v>
      </c>
      <c r="E2281" s="965">
        <v>2063859</v>
      </c>
      <c r="F2281" s="965">
        <v>91992268000</v>
      </c>
      <c r="G2281" s="965">
        <v>46000</v>
      </c>
      <c r="H2281" s="965">
        <v>47550</v>
      </c>
      <c r="I2281" s="965">
        <v>42100</v>
      </c>
      <c r="J2281" s="965">
        <v>5908451</v>
      </c>
      <c r="K2281" s="965">
        <v>133073229</v>
      </c>
    </row>
    <row r="2282" spans="2:11" s="1258" customFormat="1" ht="16" hidden="1" outlineLevel="1">
      <c r="B2282" s="966" t="s">
        <v>2639</v>
      </c>
      <c r="C2282" s="965">
        <v>45700</v>
      </c>
      <c r="D2282" s="965" t="s">
        <v>2287</v>
      </c>
      <c r="E2282" s="965">
        <v>2138681</v>
      </c>
      <c r="F2282" s="965">
        <v>97091376850</v>
      </c>
      <c r="G2282" s="965">
        <v>43600</v>
      </c>
      <c r="H2282" s="965">
        <v>47350</v>
      </c>
      <c r="I2282" s="965">
        <v>43000</v>
      </c>
      <c r="J2282" s="965">
        <v>6081447</v>
      </c>
      <c r="K2282" s="965">
        <v>133073229</v>
      </c>
    </row>
    <row r="2283" spans="2:11" s="1258" customFormat="1" ht="16" hidden="1" outlineLevel="1">
      <c r="B2283" s="966" t="s">
        <v>2637</v>
      </c>
      <c r="C2283" s="965">
        <v>42300</v>
      </c>
      <c r="D2283" s="965" t="s">
        <v>2252</v>
      </c>
      <c r="E2283" s="965">
        <v>2279318</v>
      </c>
      <c r="F2283" s="965">
        <v>97068388800</v>
      </c>
      <c r="G2283" s="965">
        <v>40100</v>
      </c>
      <c r="H2283" s="965">
        <v>44700</v>
      </c>
      <c r="I2283" s="965">
        <v>40000</v>
      </c>
      <c r="J2283" s="965">
        <v>5628998</v>
      </c>
      <c r="K2283" s="965">
        <v>133073229</v>
      </c>
    </row>
    <row r="2284" spans="2:11" s="1258" customFormat="1" ht="16" hidden="1" outlineLevel="1">
      <c r="B2284" s="966" t="s">
        <v>2636</v>
      </c>
      <c r="C2284" s="965">
        <v>41200</v>
      </c>
      <c r="D2284" s="965" t="s">
        <v>2724</v>
      </c>
      <c r="E2284" s="965">
        <v>3766974</v>
      </c>
      <c r="F2284" s="965">
        <v>150959529400</v>
      </c>
      <c r="G2284" s="965">
        <v>36900</v>
      </c>
      <c r="H2284" s="965">
        <v>41200</v>
      </c>
      <c r="I2284" s="965">
        <v>36000</v>
      </c>
      <c r="J2284" s="965">
        <v>5482617</v>
      </c>
      <c r="K2284" s="965">
        <v>133073229</v>
      </c>
    </row>
    <row r="2285" spans="2:11" s="1258" customFormat="1" ht="16" hidden="1" outlineLevel="1">
      <c r="B2285" s="966" t="s">
        <v>2635</v>
      </c>
      <c r="C2285" s="965">
        <v>35850</v>
      </c>
      <c r="D2285" s="965" t="s">
        <v>2702</v>
      </c>
      <c r="E2285" s="965">
        <v>1226538</v>
      </c>
      <c r="F2285" s="965">
        <v>45386286500</v>
      </c>
      <c r="G2285" s="965">
        <v>38950</v>
      </c>
      <c r="H2285" s="965">
        <v>39400</v>
      </c>
      <c r="I2285" s="965">
        <v>34150</v>
      </c>
      <c r="J2285" s="965">
        <v>4770675</v>
      </c>
      <c r="K2285" s="965">
        <v>133073229</v>
      </c>
    </row>
    <row r="2286" spans="2:11" s="1258" customFormat="1" ht="16" hidden="1" outlineLevel="1">
      <c r="B2286" s="966" t="s">
        <v>2633</v>
      </c>
      <c r="C2286" s="965">
        <v>38550</v>
      </c>
      <c r="D2286" s="965" t="s">
        <v>2279</v>
      </c>
      <c r="E2286" s="965">
        <v>1252928</v>
      </c>
      <c r="F2286" s="965">
        <v>48154165150</v>
      </c>
      <c r="G2286" s="965">
        <v>37500</v>
      </c>
      <c r="H2286" s="965">
        <v>39400</v>
      </c>
      <c r="I2286" s="965">
        <v>37200</v>
      </c>
      <c r="J2286" s="965">
        <v>5129973</v>
      </c>
      <c r="K2286" s="965">
        <v>133073229</v>
      </c>
    </row>
    <row r="2287" spans="2:11" s="1258" customFormat="1" ht="16" hidden="1" outlineLevel="1">
      <c r="B2287" s="966" t="s">
        <v>2632</v>
      </c>
      <c r="C2287" s="965">
        <v>37100</v>
      </c>
      <c r="D2287" s="965" t="s">
        <v>2691</v>
      </c>
      <c r="E2287" s="965">
        <v>819520</v>
      </c>
      <c r="F2287" s="965">
        <v>30018591900</v>
      </c>
      <c r="G2287" s="965">
        <v>37800</v>
      </c>
      <c r="H2287" s="965">
        <v>37800</v>
      </c>
      <c r="I2287" s="965">
        <v>36300</v>
      </c>
      <c r="J2287" s="965">
        <v>4937017</v>
      </c>
      <c r="K2287" s="965">
        <v>133073229</v>
      </c>
    </row>
    <row r="2288" spans="2:11" s="1258" customFormat="1" ht="16" hidden="1" outlineLevel="1">
      <c r="B2288" s="966" t="s">
        <v>2631</v>
      </c>
      <c r="C2288" s="965">
        <v>35800</v>
      </c>
      <c r="D2288" s="965" t="s">
        <v>2225</v>
      </c>
      <c r="E2288" s="965">
        <v>977609</v>
      </c>
      <c r="F2288" s="965">
        <v>35020585500</v>
      </c>
      <c r="G2288" s="965">
        <v>34450</v>
      </c>
      <c r="H2288" s="965">
        <v>37900</v>
      </c>
      <c r="I2288" s="965">
        <v>34100</v>
      </c>
      <c r="J2288" s="965">
        <v>4764022</v>
      </c>
      <c r="K2288" s="965">
        <v>133073229</v>
      </c>
    </row>
    <row r="2289" spans="2:11" s="1258" customFormat="1" ht="16" hidden="1" outlineLevel="1">
      <c r="B2289" s="966" t="s">
        <v>2630</v>
      </c>
      <c r="C2289" s="965">
        <v>35950</v>
      </c>
      <c r="D2289" s="965" t="s">
        <v>2213</v>
      </c>
      <c r="E2289" s="965">
        <v>890932</v>
      </c>
      <c r="F2289" s="965">
        <v>32497617150</v>
      </c>
      <c r="G2289" s="965">
        <v>36150</v>
      </c>
      <c r="H2289" s="965">
        <v>37150</v>
      </c>
      <c r="I2289" s="965">
        <v>35850</v>
      </c>
      <c r="J2289" s="965">
        <v>4783983</v>
      </c>
      <c r="K2289" s="965">
        <v>133073229</v>
      </c>
    </row>
    <row r="2290" spans="2:11" s="1258" customFormat="1" ht="16" hidden="1" outlineLevel="1">
      <c r="B2290" s="966" t="s">
        <v>2629</v>
      </c>
      <c r="C2290" s="965">
        <v>35700</v>
      </c>
      <c r="D2290" s="965" t="s">
        <v>2690</v>
      </c>
      <c r="E2290" s="965">
        <v>669511</v>
      </c>
      <c r="F2290" s="965">
        <v>24136354250</v>
      </c>
      <c r="G2290" s="965">
        <v>36600</v>
      </c>
      <c r="H2290" s="965">
        <v>36700</v>
      </c>
      <c r="I2290" s="965">
        <v>35600</v>
      </c>
      <c r="J2290" s="965">
        <v>4750714</v>
      </c>
      <c r="K2290" s="965">
        <v>133073229</v>
      </c>
    </row>
    <row r="2291" spans="2:11" s="1258" customFormat="1" ht="16" hidden="1" outlineLevel="1">
      <c r="B2291" s="966" t="s">
        <v>2628</v>
      </c>
      <c r="C2291" s="965">
        <v>37150</v>
      </c>
      <c r="D2291" s="965" t="s">
        <v>2723</v>
      </c>
      <c r="E2291" s="965">
        <v>1303808</v>
      </c>
      <c r="F2291" s="965">
        <v>47430608100</v>
      </c>
      <c r="G2291" s="965">
        <v>35300</v>
      </c>
      <c r="H2291" s="965">
        <v>37750</v>
      </c>
      <c r="I2291" s="965">
        <v>35300</v>
      </c>
      <c r="J2291" s="965">
        <v>4943670</v>
      </c>
      <c r="K2291" s="965">
        <v>133073229</v>
      </c>
    </row>
    <row r="2292" spans="2:11" s="1258" customFormat="1" ht="16" hidden="1" outlineLevel="1">
      <c r="B2292" s="966" t="s">
        <v>2626</v>
      </c>
      <c r="C2292" s="965">
        <v>35000</v>
      </c>
      <c r="D2292" s="965" t="s">
        <v>2243</v>
      </c>
      <c r="E2292" s="965">
        <v>1732592</v>
      </c>
      <c r="F2292" s="965">
        <v>61758335450</v>
      </c>
      <c r="G2292" s="965">
        <v>35000</v>
      </c>
      <c r="H2292" s="965">
        <v>36700</v>
      </c>
      <c r="I2292" s="965">
        <v>34850</v>
      </c>
      <c r="J2292" s="965">
        <v>4657563</v>
      </c>
      <c r="K2292" s="965">
        <v>133073229</v>
      </c>
    </row>
    <row r="2293" spans="2:11" s="1258" customFormat="1" ht="16" hidden="1" outlineLevel="1">
      <c r="B2293" s="966" t="s">
        <v>2624</v>
      </c>
      <c r="C2293" s="965">
        <v>34700</v>
      </c>
      <c r="D2293" s="965" t="s">
        <v>2285</v>
      </c>
      <c r="E2293" s="965">
        <v>1958760</v>
      </c>
      <c r="F2293" s="965">
        <v>71171181350</v>
      </c>
      <c r="G2293" s="965">
        <v>36800</v>
      </c>
      <c r="H2293" s="965">
        <v>37800</v>
      </c>
      <c r="I2293" s="965">
        <v>34650</v>
      </c>
      <c r="J2293" s="965">
        <v>4617641</v>
      </c>
      <c r="K2293" s="965">
        <v>133073229</v>
      </c>
    </row>
    <row r="2294" spans="2:11" s="1258" customFormat="1" ht="16" hidden="1" outlineLevel="1">
      <c r="B2294" s="966" t="s">
        <v>2623</v>
      </c>
      <c r="C2294" s="965">
        <v>38400</v>
      </c>
      <c r="D2294" s="965" t="s">
        <v>2722</v>
      </c>
      <c r="E2294" s="965">
        <v>3086943</v>
      </c>
      <c r="F2294" s="965">
        <v>121770389950</v>
      </c>
      <c r="G2294" s="965">
        <v>41500</v>
      </c>
      <c r="H2294" s="965">
        <v>44600</v>
      </c>
      <c r="I2294" s="965">
        <v>38400</v>
      </c>
      <c r="J2294" s="965">
        <v>5110012</v>
      </c>
      <c r="K2294" s="965">
        <v>133073229</v>
      </c>
    </row>
    <row r="2295" spans="2:11" s="1258" customFormat="1" ht="16" hidden="1" outlineLevel="1">
      <c r="B2295" s="966" t="s">
        <v>2621</v>
      </c>
      <c r="C2295" s="965">
        <v>45150</v>
      </c>
      <c r="D2295" s="965" t="s">
        <v>2661</v>
      </c>
      <c r="E2295" s="965">
        <v>714428</v>
      </c>
      <c r="F2295" s="965">
        <v>33212105450</v>
      </c>
      <c r="G2295" s="965">
        <v>48350</v>
      </c>
      <c r="H2295" s="965">
        <v>49100</v>
      </c>
      <c r="I2295" s="965">
        <v>45150</v>
      </c>
      <c r="J2295" s="965">
        <v>6008256</v>
      </c>
      <c r="K2295" s="965">
        <v>133073229</v>
      </c>
    </row>
    <row r="2296" spans="2:11" s="1258" customFormat="1" ht="16" hidden="1" outlineLevel="1">
      <c r="B2296" s="966" t="s">
        <v>2619</v>
      </c>
      <c r="C2296" s="965">
        <v>47250</v>
      </c>
      <c r="D2296" s="965" t="s">
        <v>1826</v>
      </c>
      <c r="E2296" s="965">
        <v>1308638</v>
      </c>
      <c r="F2296" s="965">
        <v>62786817850</v>
      </c>
      <c r="G2296" s="965">
        <v>48900</v>
      </c>
      <c r="H2296" s="965">
        <v>50100</v>
      </c>
      <c r="I2296" s="965">
        <v>45750</v>
      </c>
      <c r="J2296" s="965">
        <v>6287710</v>
      </c>
      <c r="K2296" s="965">
        <v>133073229</v>
      </c>
    </row>
    <row r="2297" spans="2:11" s="1258" customFormat="1" ht="16" hidden="1" outlineLevel="1">
      <c r="B2297" s="966" t="s">
        <v>2618</v>
      </c>
      <c r="C2297" s="965">
        <v>46750</v>
      </c>
      <c r="D2297" s="965" t="s">
        <v>2721</v>
      </c>
      <c r="E2297" s="965">
        <v>2187893</v>
      </c>
      <c r="F2297" s="965">
        <v>102819381050</v>
      </c>
      <c r="G2297" s="965">
        <v>43700</v>
      </c>
      <c r="H2297" s="965">
        <v>49500</v>
      </c>
      <c r="I2297" s="965">
        <v>43600</v>
      </c>
      <c r="J2297" s="965">
        <v>6221173</v>
      </c>
      <c r="K2297" s="965">
        <v>133073229</v>
      </c>
    </row>
    <row r="2298" spans="2:11" s="1258" customFormat="1" ht="16" hidden="1" outlineLevel="1">
      <c r="B2298" s="966" t="s">
        <v>2617</v>
      </c>
      <c r="C2298" s="965">
        <v>43300</v>
      </c>
      <c r="D2298" s="965" t="s">
        <v>2228</v>
      </c>
      <c r="E2298" s="965">
        <v>347979</v>
      </c>
      <c r="F2298" s="965">
        <v>15180433100</v>
      </c>
      <c r="G2298" s="965">
        <v>44000</v>
      </c>
      <c r="H2298" s="965">
        <v>44850</v>
      </c>
      <c r="I2298" s="965">
        <v>42850</v>
      </c>
      <c r="J2298" s="965">
        <v>5762071</v>
      </c>
      <c r="K2298" s="965">
        <v>133073229</v>
      </c>
    </row>
    <row r="2299" spans="2:11" s="1258" customFormat="1" ht="16" hidden="1" outlineLevel="1">
      <c r="B2299" s="966" t="s">
        <v>2616</v>
      </c>
      <c r="C2299" s="965">
        <v>43400</v>
      </c>
      <c r="D2299" s="965" t="s">
        <v>2221</v>
      </c>
      <c r="E2299" s="965">
        <v>468178</v>
      </c>
      <c r="F2299" s="965">
        <v>20421937550</v>
      </c>
      <c r="G2299" s="965">
        <v>43000</v>
      </c>
      <c r="H2299" s="965">
        <v>44700</v>
      </c>
      <c r="I2299" s="965">
        <v>42150</v>
      </c>
      <c r="J2299" s="965">
        <v>5775378</v>
      </c>
      <c r="K2299" s="965">
        <v>133073229</v>
      </c>
    </row>
    <row r="2300" spans="2:11" s="1258" customFormat="1" ht="16" hidden="1" outlineLevel="1">
      <c r="B2300" s="966" t="s">
        <v>2615</v>
      </c>
      <c r="C2300" s="965">
        <v>43400</v>
      </c>
      <c r="D2300" s="965" t="s">
        <v>2251</v>
      </c>
      <c r="E2300" s="965">
        <v>357071</v>
      </c>
      <c r="F2300" s="965">
        <v>15637291650</v>
      </c>
      <c r="G2300" s="965">
        <v>42600</v>
      </c>
      <c r="H2300" s="965">
        <v>44450</v>
      </c>
      <c r="I2300" s="965">
        <v>42600</v>
      </c>
      <c r="J2300" s="965">
        <v>5775378</v>
      </c>
      <c r="K2300" s="965">
        <v>133073229</v>
      </c>
    </row>
    <row r="2301" spans="2:11" s="1258" customFormat="1" ht="16" hidden="1" outlineLevel="1">
      <c r="B2301" s="966" t="s">
        <v>2614</v>
      </c>
      <c r="C2301" s="965">
        <v>42800</v>
      </c>
      <c r="D2301" s="965" t="s">
        <v>2664</v>
      </c>
      <c r="E2301" s="965">
        <v>573890</v>
      </c>
      <c r="F2301" s="965">
        <v>24688814100</v>
      </c>
      <c r="G2301" s="965">
        <v>41050</v>
      </c>
      <c r="H2301" s="965">
        <v>44300</v>
      </c>
      <c r="I2301" s="965">
        <v>41050</v>
      </c>
      <c r="J2301" s="965">
        <v>5695534</v>
      </c>
      <c r="K2301" s="965">
        <v>133073229</v>
      </c>
    </row>
    <row r="2302" spans="2:11" s="1258" customFormat="1" ht="16" hidden="1" outlineLevel="1">
      <c r="B2302" s="966" t="s">
        <v>2613</v>
      </c>
      <c r="C2302" s="965">
        <v>41200</v>
      </c>
      <c r="D2302" s="965" t="s">
        <v>2241</v>
      </c>
      <c r="E2302" s="965">
        <v>244995</v>
      </c>
      <c r="F2302" s="965">
        <v>10152023050</v>
      </c>
      <c r="G2302" s="965">
        <v>41950</v>
      </c>
      <c r="H2302" s="965">
        <v>42500</v>
      </c>
      <c r="I2302" s="965">
        <v>40700</v>
      </c>
      <c r="J2302" s="965">
        <v>5482617</v>
      </c>
      <c r="K2302" s="965">
        <v>133073229</v>
      </c>
    </row>
    <row r="2303" spans="2:11" s="1258" customFormat="1" ht="16" hidden="1" outlineLevel="1">
      <c r="B2303" s="966" t="s">
        <v>2612</v>
      </c>
      <c r="C2303" s="965">
        <v>42100</v>
      </c>
      <c r="D2303" s="965" t="s">
        <v>2230</v>
      </c>
      <c r="E2303" s="965">
        <v>276805</v>
      </c>
      <c r="F2303" s="965">
        <v>11840798850</v>
      </c>
      <c r="G2303" s="965">
        <v>43050</v>
      </c>
      <c r="H2303" s="965">
        <v>43600</v>
      </c>
      <c r="I2303" s="965">
        <v>42100</v>
      </c>
      <c r="J2303" s="965">
        <v>5602383</v>
      </c>
      <c r="K2303" s="965">
        <v>133073229</v>
      </c>
    </row>
    <row r="2304" spans="2:11" s="1258" customFormat="1" ht="16" hidden="1" outlineLevel="1">
      <c r="B2304" s="966" t="s">
        <v>2611</v>
      </c>
      <c r="C2304" s="965">
        <v>41750</v>
      </c>
      <c r="D2304" s="965" t="s">
        <v>2689</v>
      </c>
      <c r="E2304" s="965">
        <v>385142</v>
      </c>
      <c r="F2304" s="965">
        <v>15968487450</v>
      </c>
      <c r="G2304" s="965">
        <v>40050</v>
      </c>
      <c r="H2304" s="965">
        <v>42500</v>
      </c>
      <c r="I2304" s="965">
        <v>39900</v>
      </c>
      <c r="J2304" s="965">
        <v>5555807</v>
      </c>
      <c r="K2304" s="965">
        <v>133073229</v>
      </c>
    </row>
    <row r="2305" spans="2:11" s="1258" customFormat="1" ht="16" hidden="1" outlineLevel="1">
      <c r="B2305" s="966" t="s">
        <v>2610</v>
      </c>
      <c r="C2305" s="965">
        <v>40400</v>
      </c>
      <c r="D2305" s="965" t="s">
        <v>2282</v>
      </c>
      <c r="E2305" s="965">
        <v>382015</v>
      </c>
      <c r="F2305" s="965">
        <v>15515988150</v>
      </c>
      <c r="G2305" s="965">
        <v>40300</v>
      </c>
      <c r="H2305" s="965">
        <v>41600</v>
      </c>
      <c r="I2305" s="965">
        <v>39550</v>
      </c>
      <c r="J2305" s="965">
        <v>5376158</v>
      </c>
      <c r="K2305" s="965">
        <v>133073229</v>
      </c>
    </row>
    <row r="2306" spans="2:11" ht="15" collapsed="1" thickBot="1">
      <c r="B2306" s="960" t="s">
        <v>2609</v>
      </c>
      <c r="C2306" s="959"/>
      <c r="D2306" s="961"/>
      <c r="E2306" s="959"/>
      <c r="F2306" s="959"/>
      <c r="G2306" s="959"/>
      <c r="H2306" s="959"/>
      <c r="I2306" s="959"/>
      <c r="J2306" s="960">
        <f>AVERAGE(J2058:J2180)</f>
        <v>4193595.7723577237</v>
      </c>
      <c r="K2306" s="959"/>
    </row>
    <row r="2308" spans="2:11">
      <c r="B2308" s="971" t="s">
        <v>2720</v>
      </c>
    </row>
    <row r="2309" spans="2:11" hidden="1" outlineLevel="1"/>
    <row r="2310" spans="2:11" ht="16" hidden="1" outlineLevel="1">
      <c r="B2310" s="969" t="s">
        <v>1839</v>
      </c>
      <c r="C2310" s="969" t="s">
        <v>1838</v>
      </c>
      <c r="D2310" s="970" t="s">
        <v>1837</v>
      </c>
      <c r="E2310" s="969" t="s">
        <v>1836</v>
      </c>
      <c r="F2310" s="969" t="s">
        <v>1835</v>
      </c>
      <c r="G2310" s="969" t="s">
        <v>1834</v>
      </c>
      <c r="H2310" s="969" t="s">
        <v>1833</v>
      </c>
      <c r="I2310" s="969" t="s">
        <v>1832</v>
      </c>
      <c r="J2310" s="969" t="s">
        <v>1785</v>
      </c>
      <c r="K2310" s="969" t="s">
        <v>1831</v>
      </c>
    </row>
    <row r="2311" spans="2:11" ht="16" hidden="1" outlineLevel="1">
      <c r="B2311" s="968" t="s">
        <v>1830</v>
      </c>
      <c r="C2311" s="967">
        <v>72800</v>
      </c>
      <c r="D2311" s="967" t="s">
        <v>1826</v>
      </c>
      <c r="E2311" s="972">
        <v>877800</v>
      </c>
      <c r="F2311" s="967">
        <v>64317528100</v>
      </c>
      <c r="G2311" s="967">
        <v>74100</v>
      </c>
      <c r="H2311" s="967">
        <v>74400</v>
      </c>
      <c r="I2311" s="967">
        <v>72100</v>
      </c>
      <c r="J2311" s="967">
        <v>8106700</v>
      </c>
      <c r="K2311" s="967">
        <v>111355765</v>
      </c>
    </row>
    <row r="2312" spans="2:11" ht="16" hidden="1" outlineLevel="1">
      <c r="B2312" s="968" t="s">
        <v>1828</v>
      </c>
      <c r="C2312" s="967">
        <v>72300</v>
      </c>
      <c r="D2312" s="967" t="s">
        <v>2221</v>
      </c>
      <c r="E2312" s="972">
        <v>697886</v>
      </c>
      <c r="F2312" s="967">
        <v>50557738800</v>
      </c>
      <c r="G2312" s="967">
        <v>73500</v>
      </c>
      <c r="H2312" s="967">
        <v>73700</v>
      </c>
      <c r="I2312" s="967">
        <v>71600</v>
      </c>
      <c r="J2312" s="967">
        <v>8051022</v>
      </c>
      <c r="K2312" s="967">
        <v>111355765</v>
      </c>
    </row>
    <row r="2313" spans="2:11" ht="16" hidden="1" outlineLevel="1">
      <c r="B2313" s="968" t="s">
        <v>1827</v>
      </c>
      <c r="C2313" s="967">
        <v>72300</v>
      </c>
      <c r="D2313" s="967" t="s">
        <v>2245</v>
      </c>
      <c r="E2313" s="972">
        <v>794863</v>
      </c>
      <c r="F2313" s="967">
        <v>56693962200</v>
      </c>
      <c r="G2313" s="967">
        <v>69500</v>
      </c>
      <c r="H2313" s="967">
        <v>72900</v>
      </c>
      <c r="I2313" s="967">
        <v>69300</v>
      </c>
      <c r="J2313" s="967">
        <v>8051022</v>
      </c>
      <c r="K2313" s="967">
        <v>111355765</v>
      </c>
    </row>
    <row r="2314" spans="2:11" ht="16" hidden="1" outlineLevel="1">
      <c r="B2314" s="968" t="s">
        <v>1825</v>
      </c>
      <c r="C2314" s="967">
        <v>70800</v>
      </c>
      <c r="D2314" s="967" t="s">
        <v>2234</v>
      </c>
      <c r="E2314" s="972">
        <v>586228</v>
      </c>
      <c r="F2314" s="967">
        <v>41453513700</v>
      </c>
      <c r="G2314" s="967">
        <v>71500</v>
      </c>
      <c r="H2314" s="967">
        <v>72000</v>
      </c>
      <c r="I2314" s="967">
        <v>70200</v>
      </c>
      <c r="J2314" s="967">
        <v>7883988</v>
      </c>
      <c r="K2314" s="967">
        <v>111355765</v>
      </c>
    </row>
    <row r="2315" spans="2:11" ht="16" hidden="1" outlineLevel="1">
      <c r="B2315" s="968" t="s">
        <v>1823</v>
      </c>
      <c r="C2315" s="967">
        <v>71500</v>
      </c>
      <c r="D2315" s="967" t="s">
        <v>2292</v>
      </c>
      <c r="E2315" s="972">
        <v>1221019</v>
      </c>
      <c r="F2315" s="967">
        <v>86859033300</v>
      </c>
      <c r="G2315" s="967">
        <v>70100</v>
      </c>
      <c r="H2315" s="967">
        <v>71800</v>
      </c>
      <c r="I2315" s="967">
        <v>69400</v>
      </c>
      <c r="J2315" s="967">
        <v>7961937</v>
      </c>
      <c r="K2315" s="967">
        <v>111355765</v>
      </c>
    </row>
    <row r="2316" spans="2:11" ht="16" hidden="1" outlineLevel="1">
      <c r="B2316" s="968" t="s">
        <v>1821</v>
      </c>
      <c r="C2316" s="967">
        <v>68300</v>
      </c>
      <c r="D2316" s="967" t="s">
        <v>2291</v>
      </c>
      <c r="E2316" s="967">
        <v>1269558</v>
      </c>
      <c r="F2316" s="967">
        <v>86149778600</v>
      </c>
      <c r="G2316" s="967">
        <v>69300</v>
      </c>
      <c r="H2316" s="967">
        <v>69300</v>
      </c>
      <c r="I2316" s="967">
        <v>66300</v>
      </c>
      <c r="J2316" s="967">
        <v>7605599</v>
      </c>
      <c r="K2316" s="967">
        <v>111355765</v>
      </c>
    </row>
    <row r="2317" spans="2:11" ht="16" hidden="1" outlineLevel="1">
      <c r="B2317" s="968" t="s">
        <v>1819</v>
      </c>
      <c r="C2317" s="967">
        <v>64100</v>
      </c>
      <c r="D2317" s="967" t="s">
        <v>2290</v>
      </c>
      <c r="E2317" s="967">
        <v>627808</v>
      </c>
      <c r="F2317" s="967">
        <v>41698697700</v>
      </c>
      <c r="G2317" s="967">
        <v>68800</v>
      </c>
      <c r="H2317" s="967">
        <v>69000</v>
      </c>
      <c r="I2317" s="967">
        <v>63800</v>
      </c>
      <c r="J2317" s="967">
        <v>7137905</v>
      </c>
      <c r="K2317" s="967">
        <v>111355765</v>
      </c>
    </row>
    <row r="2318" spans="2:11" ht="16" hidden="1" outlineLevel="1">
      <c r="B2318" s="968" t="s">
        <v>1817</v>
      </c>
      <c r="C2318" s="967">
        <v>68800</v>
      </c>
      <c r="D2318" s="967" t="s">
        <v>2243</v>
      </c>
      <c r="E2318" s="967">
        <v>527398</v>
      </c>
      <c r="F2318" s="967">
        <v>35878640200</v>
      </c>
      <c r="G2318" s="967">
        <v>69300</v>
      </c>
      <c r="H2318" s="967">
        <v>69400</v>
      </c>
      <c r="I2318" s="967">
        <v>67100</v>
      </c>
      <c r="J2318" s="967">
        <v>7661277</v>
      </c>
      <c r="K2318" s="967">
        <v>111355765</v>
      </c>
    </row>
    <row r="2319" spans="2:11" ht="16" hidden="1" outlineLevel="1">
      <c r="B2319" s="968" t="s">
        <v>1815</v>
      </c>
      <c r="C2319" s="967">
        <v>68500</v>
      </c>
      <c r="D2319" s="967" t="s">
        <v>2221</v>
      </c>
      <c r="E2319" s="967">
        <v>1094949</v>
      </c>
      <c r="F2319" s="967">
        <v>74971758800</v>
      </c>
      <c r="G2319" s="967">
        <v>66500</v>
      </c>
      <c r="H2319" s="967">
        <v>69700</v>
      </c>
      <c r="I2319" s="967">
        <v>66200</v>
      </c>
      <c r="J2319" s="967">
        <v>7627870</v>
      </c>
      <c r="K2319" s="967">
        <v>111355765</v>
      </c>
    </row>
    <row r="2320" spans="2:11" ht="16" hidden="1" outlineLevel="1">
      <c r="B2320" s="968" t="s">
        <v>1813</v>
      </c>
      <c r="C2320" s="967">
        <v>68500</v>
      </c>
      <c r="D2320" s="967" t="s">
        <v>2289</v>
      </c>
      <c r="E2320" s="967">
        <v>1204536</v>
      </c>
      <c r="F2320" s="967">
        <v>81987262900</v>
      </c>
      <c r="G2320" s="967">
        <v>66700</v>
      </c>
      <c r="H2320" s="967">
        <v>68800</v>
      </c>
      <c r="I2320" s="967">
        <v>66400</v>
      </c>
      <c r="J2320" s="967">
        <v>7627870</v>
      </c>
      <c r="K2320" s="967">
        <v>111355765</v>
      </c>
    </row>
    <row r="2321" spans="2:11" ht="16" hidden="1" outlineLevel="1">
      <c r="B2321" s="968" t="s">
        <v>1812</v>
      </c>
      <c r="C2321" s="967">
        <v>65200</v>
      </c>
      <c r="D2321" s="967" t="s">
        <v>2251</v>
      </c>
      <c r="E2321" s="967">
        <v>564416</v>
      </c>
      <c r="F2321" s="967">
        <v>36539539800</v>
      </c>
      <c r="G2321" s="967">
        <v>64100</v>
      </c>
      <c r="H2321" s="967">
        <v>65800</v>
      </c>
      <c r="I2321" s="967">
        <v>63100</v>
      </c>
      <c r="J2321" s="967">
        <v>7260396</v>
      </c>
      <c r="K2321" s="967">
        <v>111355765</v>
      </c>
    </row>
    <row r="2322" spans="2:11" ht="16" hidden="1" outlineLevel="1">
      <c r="B2322" s="968" t="s">
        <v>1810</v>
      </c>
      <c r="C2322" s="967">
        <v>64600</v>
      </c>
      <c r="D2322" s="967" t="s">
        <v>2245</v>
      </c>
      <c r="E2322" s="967">
        <v>804398</v>
      </c>
      <c r="F2322" s="967">
        <v>51879602200</v>
      </c>
      <c r="G2322" s="967">
        <v>63800</v>
      </c>
      <c r="H2322" s="967">
        <v>65300</v>
      </c>
      <c r="I2322" s="967">
        <v>63100</v>
      </c>
      <c r="J2322" s="967">
        <v>7193582</v>
      </c>
      <c r="K2322" s="967">
        <v>111355765</v>
      </c>
    </row>
    <row r="2323" spans="2:11" ht="16" hidden="1" outlineLevel="1">
      <c r="B2323" s="968" t="s">
        <v>1809</v>
      </c>
      <c r="C2323" s="967">
        <v>63100</v>
      </c>
      <c r="D2323" s="967" t="s">
        <v>2208</v>
      </c>
      <c r="E2323" s="967">
        <v>662624</v>
      </c>
      <c r="F2323" s="967">
        <v>41367461100</v>
      </c>
      <c r="G2323" s="967">
        <v>62400</v>
      </c>
      <c r="H2323" s="967">
        <v>63700</v>
      </c>
      <c r="I2323" s="967">
        <v>61200</v>
      </c>
      <c r="J2323" s="967">
        <v>7026549</v>
      </c>
      <c r="K2323" s="967">
        <v>111355765</v>
      </c>
    </row>
    <row r="2324" spans="2:11" ht="16" hidden="1" outlineLevel="1">
      <c r="B2324" s="968" t="s">
        <v>1807</v>
      </c>
      <c r="C2324" s="967">
        <v>62400</v>
      </c>
      <c r="D2324" s="967" t="s">
        <v>2287</v>
      </c>
      <c r="E2324" s="967">
        <v>1550861</v>
      </c>
      <c r="F2324" s="967">
        <v>97995410500</v>
      </c>
      <c r="G2324" s="967">
        <v>61900</v>
      </c>
      <c r="H2324" s="967">
        <v>64400</v>
      </c>
      <c r="I2324" s="967">
        <v>61500</v>
      </c>
      <c r="J2324" s="967">
        <v>6948600</v>
      </c>
      <c r="K2324" s="967">
        <v>111355765</v>
      </c>
    </row>
    <row r="2325" spans="2:11" ht="16" hidden="1" outlineLevel="1">
      <c r="B2325" s="968" t="s">
        <v>1805</v>
      </c>
      <c r="C2325" s="967">
        <v>59000</v>
      </c>
      <c r="D2325" s="967" t="s">
        <v>2288</v>
      </c>
      <c r="E2325" s="967">
        <v>837186</v>
      </c>
      <c r="F2325" s="967">
        <v>48816913100</v>
      </c>
      <c r="G2325" s="967">
        <v>56600</v>
      </c>
      <c r="H2325" s="967">
        <v>60000</v>
      </c>
      <c r="I2325" s="967">
        <v>56600</v>
      </c>
      <c r="J2325" s="967">
        <v>6569990</v>
      </c>
      <c r="K2325" s="967">
        <v>111355765</v>
      </c>
    </row>
    <row r="2326" spans="2:11" ht="16" hidden="1" outlineLevel="1">
      <c r="B2326" s="968" t="s">
        <v>1803</v>
      </c>
      <c r="C2326" s="967">
        <v>57000</v>
      </c>
      <c r="D2326" s="967" t="s">
        <v>2287</v>
      </c>
      <c r="E2326" s="967">
        <v>1169757</v>
      </c>
      <c r="F2326" s="967">
        <v>66957129500</v>
      </c>
      <c r="G2326" s="967">
        <v>55800</v>
      </c>
      <c r="H2326" s="967">
        <v>58400</v>
      </c>
      <c r="I2326" s="967">
        <v>55300</v>
      </c>
      <c r="J2326" s="967">
        <v>6347279</v>
      </c>
      <c r="K2326" s="967">
        <v>111355765</v>
      </c>
    </row>
    <row r="2327" spans="2:11" ht="16" hidden="1" outlineLevel="1">
      <c r="B2327" s="968" t="s">
        <v>1801</v>
      </c>
      <c r="C2327" s="967">
        <v>53600</v>
      </c>
      <c r="D2327" s="967" t="s">
        <v>2237</v>
      </c>
      <c r="E2327" s="967">
        <v>765702</v>
      </c>
      <c r="F2327" s="967">
        <v>41593948200</v>
      </c>
      <c r="G2327" s="967">
        <v>54700</v>
      </c>
      <c r="H2327" s="967">
        <v>55500</v>
      </c>
      <c r="I2327" s="967">
        <v>53000</v>
      </c>
      <c r="J2327" s="967">
        <v>5968669</v>
      </c>
      <c r="K2327" s="967">
        <v>111355765</v>
      </c>
    </row>
    <row r="2328" spans="2:11" ht="16" hidden="1" outlineLevel="1">
      <c r="B2328" s="968" t="s">
        <v>1799</v>
      </c>
      <c r="C2328" s="967">
        <v>52200</v>
      </c>
      <c r="D2328" s="967" t="s">
        <v>2286</v>
      </c>
      <c r="E2328" s="967">
        <v>2408467</v>
      </c>
      <c r="F2328" s="967">
        <v>125303922850</v>
      </c>
      <c r="G2328" s="967">
        <v>57600</v>
      </c>
      <c r="H2328" s="967">
        <v>58000</v>
      </c>
      <c r="I2328" s="967">
        <v>49600</v>
      </c>
      <c r="J2328" s="967">
        <v>5812771</v>
      </c>
      <c r="K2328" s="967">
        <v>111355765</v>
      </c>
    </row>
    <row r="2329" spans="2:11" ht="16" hidden="1" outlineLevel="1">
      <c r="B2329" s="968" t="s">
        <v>1797</v>
      </c>
      <c r="C2329" s="967">
        <v>57400</v>
      </c>
      <c r="D2329" s="967" t="s">
        <v>2285</v>
      </c>
      <c r="E2329" s="967">
        <v>1026382</v>
      </c>
      <c r="F2329" s="967">
        <v>58041151700</v>
      </c>
      <c r="G2329" s="967">
        <v>57100</v>
      </c>
      <c r="H2329" s="967">
        <v>58100</v>
      </c>
      <c r="I2329" s="967">
        <v>55200</v>
      </c>
      <c r="J2329" s="967">
        <v>6391821</v>
      </c>
      <c r="K2329" s="967">
        <v>111355765</v>
      </c>
    </row>
    <row r="2330" spans="2:11" ht="16" hidden="1" outlineLevel="1">
      <c r="B2330" s="968" t="s">
        <v>1795</v>
      </c>
      <c r="C2330" s="967">
        <v>61100</v>
      </c>
      <c r="D2330" s="967" t="s">
        <v>2284</v>
      </c>
      <c r="E2330" s="967">
        <v>1159239</v>
      </c>
      <c r="F2330" s="967">
        <v>70821979200</v>
      </c>
      <c r="G2330" s="967">
        <v>58700</v>
      </c>
      <c r="H2330" s="967">
        <v>62500</v>
      </c>
      <c r="I2330" s="967">
        <v>58000</v>
      </c>
      <c r="J2330" s="967">
        <v>6803837</v>
      </c>
      <c r="K2330" s="967">
        <v>111355765</v>
      </c>
    </row>
    <row r="2331" spans="2:11" ht="16" hidden="1" outlineLevel="1">
      <c r="B2331" s="968" t="s">
        <v>1793</v>
      </c>
      <c r="C2331" s="967">
        <v>58700</v>
      </c>
      <c r="D2331" s="967" t="s">
        <v>2220</v>
      </c>
      <c r="E2331" s="967">
        <v>814230</v>
      </c>
      <c r="F2331" s="967">
        <v>46733883900</v>
      </c>
      <c r="G2331" s="967">
        <v>55300</v>
      </c>
      <c r="H2331" s="967">
        <v>58700</v>
      </c>
      <c r="I2331" s="967">
        <v>55000</v>
      </c>
      <c r="J2331" s="967">
        <v>6536583</v>
      </c>
      <c r="K2331" s="967">
        <v>111355765</v>
      </c>
    </row>
    <row r="2332" spans="2:11" ht="16" hidden="1" outlineLevel="1">
      <c r="B2332" s="968" t="s">
        <v>1791</v>
      </c>
      <c r="C2332" s="967">
        <v>56200</v>
      </c>
      <c r="D2332" s="967" t="s">
        <v>2248</v>
      </c>
      <c r="E2332" s="967">
        <v>797845</v>
      </c>
      <c r="F2332" s="967">
        <v>45308635700</v>
      </c>
      <c r="G2332" s="967">
        <v>57300</v>
      </c>
      <c r="H2332" s="967">
        <v>57700</v>
      </c>
      <c r="I2332" s="967">
        <v>55900</v>
      </c>
      <c r="J2332" s="967">
        <v>6258194</v>
      </c>
      <c r="K2332" s="967">
        <v>111355765</v>
      </c>
    </row>
    <row r="2333" spans="2:11" s="1258" customFormat="1" ht="16" hidden="1" outlineLevel="1">
      <c r="B2333" s="968" t="s">
        <v>2607</v>
      </c>
      <c r="C2333" s="967">
        <v>57200</v>
      </c>
      <c r="D2333" s="967" t="s">
        <v>2659</v>
      </c>
      <c r="E2333" s="967">
        <v>749373</v>
      </c>
      <c r="F2333" s="967">
        <v>42371564500</v>
      </c>
      <c r="G2333" s="967">
        <v>56500</v>
      </c>
      <c r="H2333" s="967">
        <v>57200</v>
      </c>
      <c r="I2333" s="967">
        <v>55900</v>
      </c>
      <c r="J2333" s="967">
        <v>6369550</v>
      </c>
      <c r="K2333" s="967">
        <v>111355765</v>
      </c>
    </row>
    <row r="2334" spans="2:11" s="1258" customFormat="1" ht="16" hidden="1" outlineLevel="1">
      <c r="B2334" s="968" t="s">
        <v>2605</v>
      </c>
      <c r="C2334" s="967">
        <v>54600</v>
      </c>
      <c r="D2334" s="967" t="s">
        <v>2702</v>
      </c>
      <c r="E2334" s="967">
        <v>988090</v>
      </c>
      <c r="F2334" s="967">
        <v>55437980900</v>
      </c>
      <c r="G2334" s="967">
        <v>57700</v>
      </c>
      <c r="H2334" s="967">
        <v>58700</v>
      </c>
      <c r="I2334" s="967">
        <v>53500</v>
      </c>
      <c r="J2334" s="967">
        <v>6080025</v>
      </c>
      <c r="K2334" s="967">
        <v>111355765</v>
      </c>
    </row>
    <row r="2335" spans="2:11" s="1258" customFormat="1" ht="16" hidden="1" outlineLevel="1">
      <c r="B2335" s="968" t="s">
        <v>2603</v>
      </c>
      <c r="C2335" s="967">
        <v>57300</v>
      </c>
      <c r="D2335" s="967" t="s">
        <v>2290</v>
      </c>
      <c r="E2335" s="967">
        <v>1209618</v>
      </c>
      <c r="F2335" s="967">
        <v>70537831000</v>
      </c>
      <c r="G2335" s="967">
        <v>59200</v>
      </c>
      <c r="H2335" s="967">
        <v>59900</v>
      </c>
      <c r="I2335" s="967">
        <v>57300</v>
      </c>
      <c r="J2335" s="967">
        <v>6380685</v>
      </c>
      <c r="K2335" s="967">
        <v>111355765</v>
      </c>
    </row>
    <row r="2336" spans="2:11" s="1258" customFormat="1" ht="16" hidden="1" outlineLevel="1">
      <c r="B2336" s="968" t="s">
        <v>2601</v>
      </c>
      <c r="C2336" s="967">
        <v>62000</v>
      </c>
      <c r="D2336" s="967" t="s">
        <v>2713</v>
      </c>
      <c r="E2336" s="967">
        <v>751054</v>
      </c>
      <c r="F2336" s="967">
        <v>47092265100</v>
      </c>
      <c r="G2336" s="967">
        <v>63100</v>
      </c>
      <c r="H2336" s="967">
        <v>63800</v>
      </c>
      <c r="I2336" s="967">
        <v>61900</v>
      </c>
      <c r="J2336" s="967">
        <v>6904057</v>
      </c>
      <c r="K2336" s="967">
        <v>111355765</v>
      </c>
    </row>
    <row r="2337" spans="2:11" s="1258" customFormat="1" ht="16" hidden="1" outlineLevel="1">
      <c r="B2337" s="968" t="s">
        <v>2599</v>
      </c>
      <c r="C2337" s="967">
        <v>65200</v>
      </c>
      <c r="D2337" s="967" t="s">
        <v>2212</v>
      </c>
      <c r="E2337" s="967">
        <v>678829</v>
      </c>
      <c r="F2337" s="967">
        <v>44388431500</v>
      </c>
      <c r="G2337" s="967">
        <v>65100</v>
      </c>
      <c r="H2337" s="967">
        <v>66500</v>
      </c>
      <c r="I2337" s="967">
        <v>64200</v>
      </c>
      <c r="J2337" s="967">
        <v>7260396</v>
      </c>
      <c r="K2337" s="967">
        <v>111355765</v>
      </c>
    </row>
    <row r="2338" spans="2:11" s="1258" customFormat="1" ht="16" hidden="1" outlineLevel="1">
      <c r="B2338" s="968" t="s">
        <v>2598</v>
      </c>
      <c r="C2338" s="967">
        <v>65100</v>
      </c>
      <c r="D2338" s="967" t="s">
        <v>2246</v>
      </c>
      <c r="E2338" s="967">
        <v>736981</v>
      </c>
      <c r="F2338" s="967">
        <v>47154345300</v>
      </c>
      <c r="G2338" s="967">
        <v>63800</v>
      </c>
      <c r="H2338" s="967">
        <v>65300</v>
      </c>
      <c r="I2338" s="967">
        <v>62300</v>
      </c>
      <c r="J2338" s="967">
        <v>7249260</v>
      </c>
      <c r="K2338" s="967">
        <v>111355765</v>
      </c>
    </row>
    <row r="2339" spans="2:11" s="1258" customFormat="1" ht="16" hidden="1" outlineLevel="1">
      <c r="B2339" s="968" t="s">
        <v>2597</v>
      </c>
      <c r="C2339" s="967">
        <v>64200</v>
      </c>
      <c r="D2339" s="967" t="s">
        <v>2221</v>
      </c>
      <c r="E2339" s="967">
        <v>938811</v>
      </c>
      <c r="F2339" s="967">
        <v>60683008200</v>
      </c>
      <c r="G2339" s="967">
        <v>64100</v>
      </c>
      <c r="H2339" s="967">
        <v>65700</v>
      </c>
      <c r="I2339" s="967">
        <v>62900</v>
      </c>
      <c r="J2339" s="967">
        <v>7149040</v>
      </c>
      <c r="K2339" s="967">
        <v>111355765</v>
      </c>
    </row>
    <row r="2340" spans="2:11" s="1258" customFormat="1" ht="16" hidden="1" outlineLevel="1">
      <c r="B2340" s="968" t="s">
        <v>2596</v>
      </c>
      <c r="C2340" s="967">
        <v>64200</v>
      </c>
      <c r="D2340" s="967" t="s">
        <v>2719</v>
      </c>
      <c r="E2340" s="967">
        <v>1285436</v>
      </c>
      <c r="F2340" s="967">
        <v>80993428600</v>
      </c>
      <c r="G2340" s="967">
        <v>61400</v>
      </c>
      <c r="H2340" s="967">
        <v>64700</v>
      </c>
      <c r="I2340" s="967">
        <v>61200</v>
      </c>
      <c r="J2340" s="967">
        <v>7149040</v>
      </c>
      <c r="K2340" s="967">
        <v>111355765</v>
      </c>
    </row>
    <row r="2341" spans="2:11" s="1258" customFormat="1" ht="16" hidden="1" outlineLevel="1">
      <c r="B2341" s="968" t="s">
        <v>2595</v>
      </c>
      <c r="C2341" s="967">
        <v>60600</v>
      </c>
      <c r="D2341" s="967" t="s">
        <v>2691</v>
      </c>
      <c r="E2341" s="967">
        <v>742118</v>
      </c>
      <c r="F2341" s="967">
        <v>44938285360</v>
      </c>
      <c r="G2341" s="967">
        <v>61300</v>
      </c>
      <c r="H2341" s="967">
        <v>61400</v>
      </c>
      <c r="I2341" s="967">
        <v>59400</v>
      </c>
      <c r="J2341" s="967">
        <v>6748159</v>
      </c>
      <c r="K2341" s="967">
        <v>111355765</v>
      </c>
    </row>
    <row r="2342" spans="2:11" s="1258" customFormat="1" ht="16" hidden="1" outlineLevel="1">
      <c r="B2342" s="968" t="s">
        <v>2594</v>
      </c>
      <c r="C2342" s="967">
        <v>59300</v>
      </c>
      <c r="D2342" s="967" t="s">
        <v>2658</v>
      </c>
      <c r="E2342" s="967">
        <v>991720</v>
      </c>
      <c r="F2342" s="967">
        <v>60441776000</v>
      </c>
      <c r="G2342" s="967">
        <v>61600</v>
      </c>
      <c r="H2342" s="967">
        <v>62400</v>
      </c>
      <c r="I2342" s="967">
        <v>59300</v>
      </c>
      <c r="J2342" s="967">
        <v>6603397</v>
      </c>
      <c r="K2342" s="967">
        <v>111355765</v>
      </c>
    </row>
    <row r="2343" spans="2:11" s="1258" customFormat="1" ht="16" hidden="1" outlineLevel="1">
      <c r="B2343" s="968" t="s">
        <v>2592</v>
      </c>
      <c r="C2343" s="967">
        <v>61100</v>
      </c>
      <c r="D2343" s="967" t="s">
        <v>2214</v>
      </c>
      <c r="E2343" s="967">
        <v>1105248</v>
      </c>
      <c r="F2343" s="967">
        <v>67952493300</v>
      </c>
      <c r="G2343" s="967">
        <v>60300</v>
      </c>
      <c r="H2343" s="967">
        <v>62500</v>
      </c>
      <c r="I2343" s="967">
        <v>59900</v>
      </c>
      <c r="J2343" s="967">
        <v>6803837</v>
      </c>
      <c r="K2343" s="967">
        <v>111355765</v>
      </c>
    </row>
    <row r="2344" spans="2:11" s="1258" customFormat="1" ht="16" hidden="1" outlineLevel="1">
      <c r="B2344" s="968" t="s">
        <v>2591</v>
      </c>
      <c r="C2344" s="967">
        <v>60700</v>
      </c>
      <c r="D2344" s="967" t="s">
        <v>2641</v>
      </c>
      <c r="E2344" s="967">
        <v>1709553</v>
      </c>
      <c r="F2344" s="967">
        <v>105292739200</v>
      </c>
      <c r="G2344" s="967">
        <v>63400</v>
      </c>
      <c r="H2344" s="967">
        <v>63700</v>
      </c>
      <c r="I2344" s="967">
        <v>60400</v>
      </c>
      <c r="J2344" s="967">
        <v>6759295</v>
      </c>
      <c r="K2344" s="967">
        <v>111355765</v>
      </c>
    </row>
    <row r="2345" spans="2:11" s="1258" customFormat="1" ht="16" hidden="1" outlineLevel="1">
      <c r="B2345" s="968" t="s">
        <v>2590</v>
      </c>
      <c r="C2345" s="967">
        <v>62600</v>
      </c>
      <c r="D2345" s="967" t="s">
        <v>2237</v>
      </c>
      <c r="E2345" s="967">
        <v>1864425</v>
      </c>
      <c r="F2345" s="967">
        <v>115449158700</v>
      </c>
      <c r="G2345" s="967">
        <v>62700</v>
      </c>
      <c r="H2345" s="967">
        <v>63200</v>
      </c>
      <c r="I2345" s="967">
        <v>60800</v>
      </c>
      <c r="J2345" s="967">
        <v>6970871</v>
      </c>
      <c r="K2345" s="967">
        <v>111355765</v>
      </c>
    </row>
    <row r="2346" spans="2:11" s="1258" customFormat="1" ht="16" hidden="1" outlineLevel="1">
      <c r="B2346" s="968" t="s">
        <v>2589</v>
      </c>
      <c r="C2346" s="967">
        <v>61200</v>
      </c>
      <c r="D2346" s="967" t="s">
        <v>2298</v>
      </c>
      <c r="E2346" s="967">
        <v>1293555</v>
      </c>
      <c r="F2346" s="967">
        <v>79038587800</v>
      </c>
      <c r="G2346" s="967">
        <v>61000</v>
      </c>
      <c r="H2346" s="967">
        <v>62500</v>
      </c>
      <c r="I2346" s="967">
        <v>59900</v>
      </c>
      <c r="J2346" s="967">
        <v>6814973</v>
      </c>
      <c r="K2346" s="967">
        <v>111355765</v>
      </c>
    </row>
    <row r="2347" spans="2:11" s="1258" customFormat="1" ht="16" hidden="1" outlineLevel="1">
      <c r="B2347" s="968" t="s">
        <v>2588</v>
      </c>
      <c r="C2347" s="967">
        <v>62600</v>
      </c>
      <c r="D2347" s="967" t="s">
        <v>2718</v>
      </c>
      <c r="E2347" s="967">
        <v>935771</v>
      </c>
      <c r="F2347" s="967">
        <v>60022301800</v>
      </c>
      <c r="G2347" s="967">
        <v>65800</v>
      </c>
      <c r="H2347" s="967">
        <v>66000</v>
      </c>
      <c r="I2347" s="967">
        <v>62600</v>
      </c>
      <c r="J2347" s="967">
        <v>6970871</v>
      </c>
      <c r="K2347" s="967">
        <v>111355765</v>
      </c>
    </row>
    <row r="2348" spans="2:11" s="1258" customFormat="1" ht="16" hidden="1" outlineLevel="1">
      <c r="B2348" s="968" t="s">
        <v>2587</v>
      </c>
      <c r="C2348" s="967">
        <v>67400</v>
      </c>
      <c r="D2348" s="967" t="s">
        <v>2235</v>
      </c>
      <c r="E2348" s="967">
        <v>1349078</v>
      </c>
      <c r="F2348" s="967">
        <v>91394223500</v>
      </c>
      <c r="G2348" s="967">
        <v>69400</v>
      </c>
      <c r="H2348" s="967">
        <v>69900</v>
      </c>
      <c r="I2348" s="967">
        <v>66700</v>
      </c>
      <c r="J2348" s="967">
        <v>7505379</v>
      </c>
      <c r="K2348" s="967">
        <v>111355765</v>
      </c>
    </row>
    <row r="2349" spans="2:11" s="1258" customFormat="1" ht="16" hidden="1" outlineLevel="1">
      <c r="B2349" s="968" t="s">
        <v>2586</v>
      </c>
      <c r="C2349" s="967">
        <v>69900</v>
      </c>
      <c r="D2349" s="967" t="s">
        <v>2247</v>
      </c>
      <c r="E2349" s="967">
        <v>1225456</v>
      </c>
      <c r="F2349" s="967">
        <v>87076222500</v>
      </c>
      <c r="G2349" s="967">
        <v>71400</v>
      </c>
      <c r="H2349" s="967">
        <v>72400</v>
      </c>
      <c r="I2349" s="967">
        <v>69100</v>
      </c>
      <c r="J2349" s="967">
        <v>7783768</v>
      </c>
      <c r="K2349" s="967">
        <v>111355765</v>
      </c>
    </row>
    <row r="2350" spans="2:11" s="1258" customFormat="1" ht="16" hidden="1" outlineLevel="1">
      <c r="B2350" s="968" t="s">
        <v>2584</v>
      </c>
      <c r="C2350" s="967">
        <v>71000</v>
      </c>
      <c r="D2350" s="967" t="s">
        <v>2237</v>
      </c>
      <c r="E2350" s="967">
        <v>1589853</v>
      </c>
      <c r="F2350" s="967">
        <v>110264837800</v>
      </c>
      <c r="G2350" s="967">
        <v>70300</v>
      </c>
      <c r="H2350" s="967">
        <v>71300</v>
      </c>
      <c r="I2350" s="967">
        <v>68100</v>
      </c>
      <c r="J2350" s="967">
        <v>7906259</v>
      </c>
      <c r="K2350" s="967">
        <v>111355765</v>
      </c>
    </row>
    <row r="2351" spans="2:11" s="1258" customFormat="1" ht="16" hidden="1" outlineLevel="1">
      <c r="B2351" s="968" t="s">
        <v>2583</v>
      </c>
      <c r="C2351" s="967">
        <v>69600</v>
      </c>
      <c r="D2351" s="967" t="s">
        <v>1826</v>
      </c>
      <c r="E2351" s="967">
        <v>1181972</v>
      </c>
      <c r="F2351" s="967">
        <v>83709807700</v>
      </c>
      <c r="G2351" s="967">
        <v>71400</v>
      </c>
      <c r="H2351" s="967">
        <v>72600</v>
      </c>
      <c r="I2351" s="967">
        <v>69600</v>
      </c>
      <c r="J2351" s="967">
        <v>7750361</v>
      </c>
      <c r="K2351" s="967">
        <v>111355765</v>
      </c>
    </row>
    <row r="2352" spans="2:11" s="1258" customFormat="1" ht="16" hidden="1" outlineLevel="1">
      <c r="B2352" s="968" t="s">
        <v>2582</v>
      </c>
      <c r="C2352" s="967">
        <v>69100</v>
      </c>
      <c r="D2352" s="967" t="s">
        <v>2251</v>
      </c>
      <c r="E2352" s="967">
        <v>859339</v>
      </c>
      <c r="F2352" s="967">
        <v>59306487800</v>
      </c>
      <c r="G2352" s="967">
        <v>69400</v>
      </c>
      <c r="H2352" s="967">
        <v>69800</v>
      </c>
      <c r="I2352" s="967">
        <v>68000</v>
      </c>
      <c r="J2352" s="967">
        <v>7694683</v>
      </c>
      <c r="K2352" s="967">
        <v>111355765</v>
      </c>
    </row>
    <row r="2353" spans="2:11" s="1258" customFormat="1" ht="16" hidden="1" outlineLevel="1">
      <c r="B2353" s="968" t="s">
        <v>2581</v>
      </c>
      <c r="C2353" s="967">
        <v>68500</v>
      </c>
      <c r="D2353" s="967" t="s">
        <v>2251</v>
      </c>
      <c r="E2353" s="967">
        <v>482947</v>
      </c>
      <c r="F2353" s="967">
        <v>32825293800</v>
      </c>
      <c r="G2353" s="967">
        <v>67500</v>
      </c>
      <c r="H2353" s="967">
        <v>68600</v>
      </c>
      <c r="I2353" s="967">
        <v>66700</v>
      </c>
      <c r="J2353" s="967">
        <v>7627870</v>
      </c>
      <c r="K2353" s="967">
        <v>111355765</v>
      </c>
    </row>
    <row r="2354" spans="2:11" s="1258" customFormat="1" ht="16" hidden="1" outlineLevel="1">
      <c r="B2354" s="968" t="s">
        <v>2580</v>
      </c>
      <c r="C2354" s="967">
        <v>67900</v>
      </c>
      <c r="D2354" s="967" t="s">
        <v>2221</v>
      </c>
      <c r="E2354" s="967">
        <v>895558</v>
      </c>
      <c r="F2354" s="967">
        <v>61239717600</v>
      </c>
      <c r="G2354" s="967">
        <v>70000</v>
      </c>
      <c r="H2354" s="967">
        <v>71000</v>
      </c>
      <c r="I2354" s="967">
        <v>67100</v>
      </c>
      <c r="J2354" s="967">
        <v>7561056</v>
      </c>
      <c r="K2354" s="967">
        <v>111355765</v>
      </c>
    </row>
    <row r="2355" spans="2:11" s="1258" customFormat="1" ht="16" hidden="1" outlineLevel="1">
      <c r="B2355" s="968" t="s">
        <v>2578</v>
      </c>
      <c r="C2355" s="967">
        <v>67900</v>
      </c>
      <c r="D2355" s="967" t="s">
        <v>2240</v>
      </c>
      <c r="E2355" s="967">
        <v>1709823</v>
      </c>
      <c r="F2355" s="967">
        <v>119023183400</v>
      </c>
      <c r="G2355" s="967">
        <v>68700</v>
      </c>
      <c r="H2355" s="967">
        <v>72000</v>
      </c>
      <c r="I2355" s="967">
        <v>67900</v>
      </c>
      <c r="J2355" s="967">
        <v>7561056</v>
      </c>
      <c r="K2355" s="967">
        <v>111355765</v>
      </c>
    </row>
    <row r="2356" spans="2:11" s="1258" customFormat="1" ht="16" hidden="1" outlineLevel="1">
      <c r="B2356" s="968" t="s">
        <v>2577</v>
      </c>
      <c r="C2356" s="967">
        <v>66000</v>
      </c>
      <c r="D2356" s="967" t="s">
        <v>2717</v>
      </c>
      <c r="E2356" s="967">
        <v>1353077</v>
      </c>
      <c r="F2356" s="967">
        <v>86408125800</v>
      </c>
      <c r="G2356" s="967">
        <v>62700</v>
      </c>
      <c r="H2356" s="967">
        <v>66000</v>
      </c>
      <c r="I2356" s="967">
        <v>62000</v>
      </c>
      <c r="J2356" s="967">
        <v>7349480</v>
      </c>
      <c r="K2356" s="967">
        <v>111355765</v>
      </c>
    </row>
    <row r="2357" spans="2:11" s="1258" customFormat="1" ht="16" hidden="1" outlineLevel="1">
      <c r="B2357" s="968" t="s">
        <v>2576</v>
      </c>
      <c r="C2357" s="967">
        <v>60100</v>
      </c>
      <c r="D2357" s="967" t="s">
        <v>2702</v>
      </c>
      <c r="E2357" s="967">
        <v>826144</v>
      </c>
      <c r="F2357" s="967">
        <v>51040261400</v>
      </c>
      <c r="G2357" s="967">
        <v>64200</v>
      </c>
      <c r="H2357" s="967">
        <v>64600</v>
      </c>
      <c r="I2357" s="967">
        <v>59800</v>
      </c>
      <c r="J2357" s="967">
        <v>6692481</v>
      </c>
      <c r="K2357" s="967">
        <v>111355765</v>
      </c>
    </row>
    <row r="2358" spans="2:11" s="1258" customFormat="1" ht="16" hidden="1" outlineLevel="1">
      <c r="B2358" s="968" t="s">
        <v>2575</v>
      </c>
      <c r="C2358" s="967">
        <v>62800</v>
      </c>
      <c r="D2358" s="967" t="s">
        <v>2716</v>
      </c>
      <c r="E2358" s="967">
        <v>1443345</v>
      </c>
      <c r="F2358" s="967">
        <v>92298631400</v>
      </c>
      <c r="G2358" s="967">
        <v>66700</v>
      </c>
      <c r="H2358" s="967">
        <v>67300</v>
      </c>
      <c r="I2358" s="967">
        <v>62200</v>
      </c>
      <c r="J2358" s="967">
        <v>6993142</v>
      </c>
      <c r="K2358" s="967">
        <v>111355765</v>
      </c>
    </row>
    <row r="2359" spans="2:11" s="1258" customFormat="1" ht="16" hidden="1" outlineLevel="1">
      <c r="B2359" s="968" t="s">
        <v>2574</v>
      </c>
      <c r="C2359" s="967">
        <v>69600</v>
      </c>
      <c r="D2359" s="967" t="s">
        <v>2688</v>
      </c>
      <c r="E2359" s="967">
        <v>776567</v>
      </c>
      <c r="F2359" s="967">
        <v>53858485600</v>
      </c>
      <c r="G2359" s="967">
        <v>70800</v>
      </c>
      <c r="H2359" s="967">
        <v>71200</v>
      </c>
      <c r="I2359" s="967">
        <v>67600</v>
      </c>
      <c r="J2359" s="967">
        <v>7750361</v>
      </c>
      <c r="K2359" s="967">
        <v>111355765</v>
      </c>
    </row>
    <row r="2360" spans="2:11" s="1258" customFormat="1" ht="16" hidden="1" outlineLevel="1">
      <c r="B2360" s="968" t="s">
        <v>2572</v>
      </c>
      <c r="C2360" s="967">
        <v>70800</v>
      </c>
      <c r="D2360" s="967" t="s">
        <v>2212</v>
      </c>
      <c r="E2360" s="967">
        <v>547113</v>
      </c>
      <c r="F2360" s="967">
        <v>38890711600</v>
      </c>
      <c r="G2360" s="967">
        <v>70400</v>
      </c>
      <c r="H2360" s="967">
        <v>72000</v>
      </c>
      <c r="I2360" s="967">
        <v>69900</v>
      </c>
      <c r="J2360" s="967">
        <v>7883988</v>
      </c>
      <c r="K2360" s="967">
        <v>111355765</v>
      </c>
    </row>
    <row r="2361" spans="2:11" s="1258" customFormat="1" ht="16" hidden="1" outlineLevel="1">
      <c r="B2361" s="968" t="s">
        <v>2571</v>
      </c>
      <c r="C2361" s="967">
        <v>70700</v>
      </c>
      <c r="D2361" s="967" t="s">
        <v>2715</v>
      </c>
      <c r="E2361" s="967">
        <v>873477</v>
      </c>
      <c r="F2361" s="967">
        <v>60659938200</v>
      </c>
      <c r="G2361" s="967">
        <v>69100</v>
      </c>
      <c r="H2361" s="967">
        <v>70800</v>
      </c>
      <c r="I2361" s="967">
        <v>68300</v>
      </c>
      <c r="J2361" s="967">
        <v>7872853</v>
      </c>
      <c r="K2361" s="967">
        <v>111355765</v>
      </c>
    </row>
    <row r="2362" spans="2:11" s="1258" customFormat="1" ht="16" hidden="1" outlineLevel="1">
      <c r="B2362" s="968" t="s">
        <v>2569</v>
      </c>
      <c r="C2362" s="967">
        <v>66800</v>
      </c>
      <c r="D2362" s="967" t="s">
        <v>2688</v>
      </c>
      <c r="E2362" s="967">
        <v>739346</v>
      </c>
      <c r="F2362" s="967">
        <v>50534664200</v>
      </c>
      <c r="G2362" s="967">
        <v>69500</v>
      </c>
      <c r="H2362" s="967">
        <v>69800</v>
      </c>
      <c r="I2362" s="967">
        <v>66200</v>
      </c>
      <c r="J2362" s="967">
        <v>7438565</v>
      </c>
      <c r="K2362" s="967">
        <v>111355765</v>
      </c>
    </row>
    <row r="2363" spans="2:11" s="1258" customFormat="1" ht="16" hidden="1" outlineLevel="1">
      <c r="B2363" s="968" t="s">
        <v>2567</v>
      </c>
      <c r="C2363" s="967">
        <v>68000</v>
      </c>
      <c r="D2363" s="967" t="s">
        <v>2691</v>
      </c>
      <c r="E2363" s="967">
        <v>1030253</v>
      </c>
      <c r="F2363" s="967">
        <v>69719926800</v>
      </c>
      <c r="G2363" s="967">
        <v>63300</v>
      </c>
      <c r="H2363" s="967">
        <v>69300</v>
      </c>
      <c r="I2363" s="967">
        <v>63300</v>
      </c>
      <c r="J2363" s="967">
        <v>7572192</v>
      </c>
      <c r="K2363" s="967">
        <v>111355765</v>
      </c>
    </row>
    <row r="2364" spans="2:11" s="1258" customFormat="1" ht="16" hidden="1" outlineLevel="1">
      <c r="B2364" s="968" t="s">
        <v>2566</v>
      </c>
      <c r="C2364" s="967">
        <v>66700</v>
      </c>
      <c r="D2364" s="967" t="s">
        <v>2288</v>
      </c>
      <c r="E2364" s="967">
        <v>1646033</v>
      </c>
      <c r="F2364" s="967">
        <v>110936102800</v>
      </c>
      <c r="G2364" s="967">
        <v>68100</v>
      </c>
      <c r="H2364" s="967">
        <v>68600</v>
      </c>
      <c r="I2364" s="967">
        <v>65900</v>
      </c>
      <c r="J2364" s="967">
        <v>7427430</v>
      </c>
      <c r="K2364" s="967">
        <v>111355765</v>
      </c>
    </row>
    <row r="2365" spans="2:11" s="1258" customFormat="1" ht="16" hidden="1" outlineLevel="1">
      <c r="B2365" s="968" t="s">
        <v>2564</v>
      </c>
      <c r="C2365" s="967">
        <v>64700</v>
      </c>
      <c r="D2365" s="967" t="s">
        <v>2714</v>
      </c>
      <c r="E2365" s="967">
        <v>2262838</v>
      </c>
      <c r="F2365" s="967">
        <v>144578318500</v>
      </c>
      <c r="G2365" s="967">
        <v>66500</v>
      </c>
      <c r="H2365" s="967">
        <v>66700</v>
      </c>
      <c r="I2365" s="967">
        <v>61600</v>
      </c>
      <c r="J2365" s="967">
        <v>7204718</v>
      </c>
      <c r="K2365" s="967">
        <v>111355765</v>
      </c>
    </row>
    <row r="2366" spans="2:11" s="1258" customFormat="1" ht="16" hidden="1" outlineLevel="1">
      <c r="B2366" s="968" t="s">
        <v>2563</v>
      </c>
      <c r="C2366" s="967">
        <v>68800</v>
      </c>
      <c r="D2366" s="967" t="s">
        <v>2713</v>
      </c>
      <c r="E2366" s="967">
        <v>2022914</v>
      </c>
      <c r="F2366" s="967">
        <v>137103655700</v>
      </c>
      <c r="G2366" s="967">
        <v>70500</v>
      </c>
      <c r="H2366" s="967">
        <v>72500</v>
      </c>
      <c r="I2366" s="967">
        <v>62000</v>
      </c>
      <c r="J2366" s="967">
        <v>7661277</v>
      </c>
      <c r="K2366" s="967">
        <v>111355765</v>
      </c>
    </row>
    <row r="2367" spans="2:11" s="1258" customFormat="1" ht="16" hidden="1" outlineLevel="1">
      <c r="B2367" s="968" t="s">
        <v>2562</v>
      </c>
      <c r="C2367" s="967">
        <v>72000</v>
      </c>
      <c r="D2367" s="967" t="s">
        <v>2286</v>
      </c>
      <c r="E2367" s="967">
        <v>1812576</v>
      </c>
      <c r="F2367" s="967">
        <v>132049533700</v>
      </c>
      <c r="G2367" s="967">
        <v>73000</v>
      </c>
      <c r="H2367" s="967">
        <v>74700</v>
      </c>
      <c r="I2367" s="967">
        <v>71100</v>
      </c>
      <c r="J2367" s="967">
        <v>8017615</v>
      </c>
      <c r="K2367" s="967">
        <v>111355765</v>
      </c>
    </row>
    <row r="2368" spans="2:11" s="1258" customFormat="1" ht="16" hidden="1" outlineLevel="1">
      <c r="B2368" s="968" t="s">
        <v>2561</v>
      </c>
      <c r="C2368" s="967">
        <v>77200</v>
      </c>
      <c r="D2368" s="967" t="s">
        <v>2247</v>
      </c>
      <c r="E2368" s="967">
        <v>1135621</v>
      </c>
      <c r="F2368" s="967">
        <v>88179306300</v>
      </c>
      <c r="G2368" s="967">
        <v>79000</v>
      </c>
      <c r="H2368" s="967">
        <v>79200</v>
      </c>
      <c r="I2368" s="967">
        <v>76800</v>
      </c>
      <c r="J2368" s="967">
        <v>8596665</v>
      </c>
      <c r="K2368" s="967">
        <v>111355765</v>
      </c>
    </row>
    <row r="2369" spans="2:11" s="1258" customFormat="1" ht="16" hidden="1" outlineLevel="1">
      <c r="B2369" s="968" t="s">
        <v>2560</v>
      </c>
      <c r="C2369" s="967">
        <v>78300</v>
      </c>
      <c r="D2369" s="967" t="s">
        <v>2274</v>
      </c>
      <c r="E2369" s="967">
        <v>1488404</v>
      </c>
      <c r="F2369" s="967">
        <v>116878293100</v>
      </c>
      <c r="G2369" s="967">
        <v>80200</v>
      </c>
      <c r="H2369" s="967">
        <v>80700</v>
      </c>
      <c r="I2369" s="967">
        <v>77800</v>
      </c>
      <c r="J2369" s="967">
        <v>8719156</v>
      </c>
      <c r="K2369" s="967">
        <v>111355765</v>
      </c>
    </row>
    <row r="2370" spans="2:11" s="1258" customFormat="1" ht="16" hidden="1" outlineLevel="1">
      <c r="B2370" s="968" t="s">
        <v>2559</v>
      </c>
      <c r="C2370" s="967">
        <v>81800</v>
      </c>
      <c r="D2370" s="967" t="s">
        <v>2285</v>
      </c>
      <c r="E2370" s="967">
        <v>1264348</v>
      </c>
      <c r="F2370" s="967">
        <v>104579285000</v>
      </c>
      <c r="G2370" s="967">
        <v>84600</v>
      </c>
      <c r="H2370" s="967">
        <v>85000</v>
      </c>
      <c r="I2370" s="967">
        <v>81600</v>
      </c>
      <c r="J2370" s="967">
        <v>9108902</v>
      </c>
      <c r="K2370" s="967">
        <v>111355765</v>
      </c>
    </row>
    <row r="2371" spans="2:11" s="1258" customFormat="1" ht="16" hidden="1" outlineLevel="1">
      <c r="B2371" s="968" t="s">
        <v>2557</v>
      </c>
      <c r="C2371" s="967">
        <v>85500</v>
      </c>
      <c r="D2371" s="967" t="s">
        <v>2241</v>
      </c>
      <c r="E2371" s="967">
        <v>949322</v>
      </c>
      <c r="F2371" s="967">
        <v>80721493400</v>
      </c>
      <c r="G2371" s="967">
        <v>86200</v>
      </c>
      <c r="H2371" s="967">
        <v>86600</v>
      </c>
      <c r="I2371" s="967">
        <v>84400</v>
      </c>
      <c r="J2371" s="967">
        <v>9520918</v>
      </c>
      <c r="K2371" s="967">
        <v>111355765</v>
      </c>
    </row>
    <row r="2372" spans="2:11" s="1258" customFormat="1" ht="16" hidden="1" outlineLevel="1">
      <c r="B2372" s="968" t="s">
        <v>2555</v>
      </c>
      <c r="C2372" s="967">
        <v>86400</v>
      </c>
      <c r="D2372" s="967" t="s">
        <v>1814</v>
      </c>
      <c r="E2372" s="967">
        <v>348986</v>
      </c>
      <c r="F2372" s="967">
        <v>30102682800</v>
      </c>
      <c r="G2372" s="967">
        <v>86900</v>
      </c>
      <c r="H2372" s="967">
        <v>87300</v>
      </c>
      <c r="I2372" s="967">
        <v>85700</v>
      </c>
      <c r="J2372" s="967">
        <v>9621138</v>
      </c>
      <c r="K2372" s="967">
        <v>111355765</v>
      </c>
    </row>
    <row r="2373" spans="2:11" s="1258" customFormat="1" ht="16" hidden="1" outlineLevel="1">
      <c r="B2373" s="968" t="s">
        <v>2554</v>
      </c>
      <c r="C2373" s="967">
        <v>86900</v>
      </c>
      <c r="D2373" s="967" t="s">
        <v>2214</v>
      </c>
      <c r="E2373" s="967">
        <v>335923</v>
      </c>
      <c r="F2373" s="967">
        <v>29023013300</v>
      </c>
      <c r="G2373" s="967">
        <v>85000</v>
      </c>
      <c r="H2373" s="967">
        <v>86900</v>
      </c>
      <c r="I2373" s="967">
        <v>84800</v>
      </c>
      <c r="J2373" s="967">
        <v>9676816</v>
      </c>
      <c r="K2373" s="967">
        <v>111355765</v>
      </c>
    </row>
    <row r="2374" spans="2:11" s="1258" customFormat="1" ht="16" hidden="1" outlineLevel="1">
      <c r="B2374" s="968" t="s">
        <v>2552</v>
      </c>
      <c r="C2374" s="967">
        <v>86500</v>
      </c>
      <c r="D2374" s="967" t="s">
        <v>2243</v>
      </c>
      <c r="E2374" s="967">
        <v>606479</v>
      </c>
      <c r="F2374" s="967">
        <v>52076639400</v>
      </c>
      <c r="G2374" s="967">
        <v>86400</v>
      </c>
      <c r="H2374" s="967">
        <v>86800</v>
      </c>
      <c r="I2374" s="967">
        <v>84300</v>
      </c>
      <c r="J2374" s="967">
        <v>9632274</v>
      </c>
      <c r="K2374" s="967">
        <v>111355765</v>
      </c>
    </row>
    <row r="2375" spans="2:11" s="1258" customFormat="1" ht="16" hidden="1" outlineLevel="1">
      <c r="B2375" s="968" t="s">
        <v>2550</v>
      </c>
      <c r="C2375" s="967">
        <v>86200</v>
      </c>
      <c r="D2375" s="967" t="s">
        <v>2278</v>
      </c>
      <c r="E2375" s="967">
        <v>1126673</v>
      </c>
      <c r="F2375" s="967">
        <v>97250988400</v>
      </c>
      <c r="G2375" s="967">
        <v>89200</v>
      </c>
      <c r="H2375" s="967">
        <v>89900</v>
      </c>
      <c r="I2375" s="967">
        <v>85000</v>
      </c>
      <c r="J2375" s="967">
        <v>9598867</v>
      </c>
      <c r="K2375" s="967">
        <v>111355765</v>
      </c>
    </row>
    <row r="2376" spans="2:11" s="1258" customFormat="1" ht="16" hidden="1" outlineLevel="1">
      <c r="B2376" s="968" t="s">
        <v>2549</v>
      </c>
      <c r="C2376" s="967">
        <v>89200</v>
      </c>
      <c r="D2376" s="967" t="s">
        <v>2298</v>
      </c>
      <c r="E2376" s="967">
        <v>423615</v>
      </c>
      <c r="F2376" s="967">
        <v>37755047600</v>
      </c>
      <c r="G2376" s="967">
        <v>89800</v>
      </c>
      <c r="H2376" s="967">
        <v>89900</v>
      </c>
      <c r="I2376" s="967">
        <v>88600</v>
      </c>
      <c r="J2376" s="967">
        <v>9932934</v>
      </c>
      <c r="K2376" s="967">
        <v>111355765</v>
      </c>
    </row>
    <row r="2377" spans="2:11" s="1258" customFormat="1" ht="16" hidden="1" outlineLevel="1">
      <c r="B2377" s="968" t="s">
        <v>2548</v>
      </c>
      <c r="C2377" s="967">
        <v>90600</v>
      </c>
      <c r="D2377" s="967" t="s">
        <v>2243</v>
      </c>
      <c r="E2377" s="967">
        <v>713990</v>
      </c>
      <c r="F2377" s="967">
        <v>64550785600</v>
      </c>
      <c r="G2377" s="967">
        <v>90400</v>
      </c>
      <c r="H2377" s="967">
        <v>91400</v>
      </c>
      <c r="I2377" s="967">
        <v>89700</v>
      </c>
      <c r="J2377" s="967">
        <v>10088832</v>
      </c>
      <c r="K2377" s="967">
        <v>111355765</v>
      </c>
    </row>
    <row r="2378" spans="2:11" s="1258" customFormat="1" ht="16" hidden="1" outlineLevel="1">
      <c r="B2378" s="968" t="s">
        <v>2546</v>
      </c>
      <c r="C2378" s="967">
        <v>90300</v>
      </c>
      <c r="D2378" s="967" t="s">
        <v>2288</v>
      </c>
      <c r="E2378" s="967">
        <v>1177758</v>
      </c>
      <c r="F2378" s="967">
        <v>105934263600</v>
      </c>
      <c r="G2378" s="967">
        <v>88400</v>
      </c>
      <c r="H2378" s="967">
        <v>90900</v>
      </c>
      <c r="I2378" s="967">
        <v>87400</v>
      </c>
      <c r="J2378" s="967">
        <v>10055426</v>
      </c>
      <c r="K2378" s="967">
        <v>111355765</v>
      </c>
    </row>
    <row r="2379" spans="2:11" s="1258" customFormat="1" ht="16" hidden="1" outlineLevel="1">
      <c r="B2379" s="968" t="s">
        <v>2545</v>
      </c>
      <c r="C2379" s="967">
        <v>88300</v>
      </c>
      <c r="D2379" s="967" t="s">
        <v>2700</v>
      </c>
      <c r="E2379" s="967">
        <v>669299</v>
      </c>
      <c r="F2379" s="967">
        <v>59128353600</v>
      </c>
      <c r="G2379" s="967">
        <v>87500</v>
      </c>
      <c r="H2379" s="967">
        <v>89400</v>
      </c>
      <c r="I2379" s="967">
        <v>87500</v>
      </c>
      <c r="J2379" s="967">
        <v>9832714</v>
      </c>
      <c r="K2379" s="967">
        <v>111355765</v>
      </c>
    </row>
    <row r="2380" spans="2:11" s="1258" customFormat="1" ht="16" hidden="1" outlineLevel="1">
      <c r="B2380" s="968" t="s">
        <v>2544</v>
      </c>
      <c r="C2380" s="967">
        <v>86500</v>
      </c>
      <c r="D2380" s="967" t="s">
        <v>2212</v>
      </c>
      <c r="E2380" s="967">
        <v>354262</v>
      </c>
      <c r="F2380" s="967">
        <v>30822741500</v>
      </c>
      <c r="G2380" s="967">
        <v>86200</v>
      </c>
      <c r="H2380" s="967">
        <v>87700</v>
      </c>
      <c r="I2380" s="967">
        <v>86200</v>
      </c>
      <c r="J2380" s="967">
        <v>9632274</v>
      </c>
      <c r="K2380" s="967">
        <v>111355765</v>
      </c>
    </row>
    <row r="2381" spans="2:11" s="1258" customFormat="1" ht="16" hidden="1" outlineLevel="1">
      <c r="B2381" s="968" t="s">
        <v>2543</v>
      </c>
      <c r="C2381" s="967">
        <v>86400</v>
      </c>
      <c r="D2381" s="967" t="s">
        <v>2641</v>
      </c>
      <c r="E2381" s="967">
        <v>409543</v>
      </c>
      <c r="F2381" s="967">
        <v>35552640600</v>
      </c>
      <c r="G2381" s="967">
        <v>87700</v>
      </c>
      <c r="H2381" s="967">
        <v>87900</v>
      </c>
      <c r="I2381" s="967">
        <v>86300</v>
      </c>
      <c r="J2381" s="967">
        <v>9621138</v>
      </c>
      <c r="K2381" s="967">
        <v>111355765</v>
      </c>
    </row>
    <row r="2382" spans="2:11" s="1258" customFormat="1" ht="16" hidden="1" outlineLevel="1">
      <c r="B2382" s="968" t="s">
        <v>2541</v>
      </c>
      <c r="C2382" s="967">
        <v>88300</v>
      </c>
      <c r="D2382" s="967" t="s">
        <v>2250</v>
      </c>
      <c r="E2382" s="967">
        <v>444688</v>
      </c>
      <c r="F2382" s="967">
        <v>39330815400</v>
      </c>
      <c r="G2382" s="967">
        <v>87100</v>
      </c>
      <c r="H2382" s="967">
        <v>88900</v>
      </c>
      <c r="I2382" s="967">
        <v>87100</v>
      </c>
      <c r="J2382" s="967">
        <v>9832714</v>
      </c>
      <c r="K2382" s="967">
        <v>111355765</v>
      </c>
    </row>
    <row r="2383" spans="2:11" s="1258" customFormat="1" ht="16" hidden="1" outlineLevel="1">
      <c r="B2383" s="968" t="s">
        <v>2540</v>
      </c>
      <c r="C2383" s="967">
        <v>87100</v>
      </c>
      <c r="D2383" s="967" t="s">
        <v>2221</v>
      </c>
      <c r="E2383" s="967">
        <v>530806</v>
      </c>
      <c r="F2383" s="967">
        <v>45827253900</v>
      </c>
      <c r="G2383" s="967">
        <v>86800</v>
      </c>
      <c r="H2383" s="967">
        <v>87100</v>
      </c>
      <c r="I2383" s="967">
        <v>85600</v>
      </c>
      <c r="J2383" s="967">
        <v>9699087</v>
      </c>
      <c r="K2383" s="967">
        <v>111355765</v>
      </c>
    </row>
    <row r="2384" spans="2:11" s="1258" customFormat="1" ht="16" hidden="1" outlineLevel="1">
      <c r="B2384" s="968" t="s">
        <v>2539</v>
      </c>
      <c r="C2384" s="967">
        <v>87100</v>
      </c>
      <c r="D2384" s="967" t="s">
        <v>2252</v>
      </c>
      <c r="E2384" s="967">
        <v>620370</v>
      </c>
      <c r="F2384" s="967">
        <v>53540991800</v>
      </c>
      <c r="G2384" s="967">
        <v>86200</v>
      </c>
      <c r="H2384" s="967">
        <v>87100</v>
      </c>
      <c r="I2384" s="967">
        <v>85400</v>
      </c>
      <c r="J2384" s="967">
        <v>9699087</v>
      </c>
      <c r="K2384" s="967">
        <v>111355765</v>
      </c>
    </row>
    <row r="2385" spans="2:11" s="1258" customFormat="1" ht="16" hidden="1" outlineLevel="1">
      <c r="B2385" s="968" t="s">
        <v>2538</v>
      </c>
      <c r="C2385" s="967">
        <v>86000</v>
      </c>
      <c r="D2385" s="967" t="s">
        <v>2305</v>
      </c>
      <c r="E2385" s="967">
        <v>480222</v>
      </c>
      <c r="F2385" s="967">
        <v>41497209400</v>
      </c>
      <c r="G2385" s="967">
        <v>86200</v>
      </c>
      <c r="H2385" s="967">
        <v>87300</v>
      </c>
      <c r="I2385" s="967">
        <v>86000</v>
      </c>
      <c r="J2385" s="967">
        <v>9576596</v>
      </c>
      <c r="K2385" s="967">
        <v>111355765</v>
      </c>
    </row>
    <row r="2386" spans="2:11" s="1258" customFormat="1" ht="16" hidden="1" outlineLevel="1">
      <c r="B2386" s="968" t="s">
        <v>2537</v>
      </c>
      <c r="C2386" s="967">
        <v>87600</v>
      </c>
      <c r="D2386" s="967" t="s">
        <v>2298</v>
      </c>
      <c r="E2386" s="967">
        <v>497516</v>
      </c>
      <c r="F2386" s="967">
        <v>43808408100</v>
      </c>
      <c r="G2386" s="967">
        <v>88500</v>
      </c>
      <c r="H2386" s="967">
        <v>89400</v>
      </c>
      <c r="I2386" s="967">
        <v>87500</v>
      </c>
      <c r="J2386" s="967">
        <v>9754765</v>
      </c>
      <c r="K2386" s="967">
        <v>111355765</v>
      </c>
    </row>
    <row r="2387" spans="2:11" s="1258" customFormat="1" ht="16" hidden="1" outlineLevel="1">
      <c r="B2387" s="968" t="s">
        <v>2536</v>
      </c>
      <c r="C2387" s="967">
        <v>89000</v>
      </c>
      <c r="D2387" s="967" t="s">
        <v>2243</v>
      </c>
      <c r="E2387" s="967">
        <v>870654</v>
      </c>
      <c r="F2387" s="967">
        <v>77792156200</v>
      </c>
      <c r="G2387" s="967">
        <v>89400</v>
      </c>
      <c r="H2387" s="967">
        <v>90000</v>
      </c>
      <c r="I2387" s="967">
        <v>88500</v>
      </c>
      <c r="J2387" s="967">
        <v>9910663</v>
      </c>
      <c r="K2387" s="967">
        <v>111355765</v>
      </c>
    </row>
    <row r="2388" spans="2:11" s="1258" customFormat="1" ht="16" hidden="1" outlineLevel="1">
      <c r="B2388" s="968" t="s">
        <v>2535</v>
      </c>
      <c r="C2388" s="967">
        <v>88700</v>
      </c>
      <c r="D2388" s="967" t="s">
        <v>2284</v>
      </c>
      <c r="E2388" s="967">
        <v>1028608</v>
      </c>
      <c r="F2388" s="967">
        <v>91023473900</v>
      </c>
      <c r="G2388" s="967">
        <v>87000</v>
      </c>
      <c r="H2388" s="967">
        <v>89000</v>
      </c>
      <c r="I2388" s="967">
        <v>86700</v>
      </c>
      <c r="J2388" s="967">
        <v>9877256</v>
      </c>
      <c r="K2388" s="967">
        <v>111355765</v>
      </c>
    </row>
    <row r="2389" spans="2:11" s="1258" customFormat="1" ht="16" hidden="1" outlineLevel="1">
      <c r="B2389" s="968" t="s">
        <v>2534</v>
      </c>
      <c r="C2389" s="967">
        <v>86300</v>
      </c>
      <c r="D2389" s="967" t="s">
        <v>2211</v>
      </c>
      <c r="E2389" s="967">
        <v>1186864</v>
      </c>
      <c r="F2389" s="967">
        <v>101088288300</v>
      </c>
      <c r="G2389" s="967">
        <v>84500</v>
      </c>
      <c r="H2389" s="967">
        <v>86300</v>
      </c>
      <c r="I2389" s="967">
        <v>83600</v>
      </c>
      <c r="J2389" s="967">
        <v>9610003</v>
      </c>
      <c r="K2389" s="967">
        <v>111355765</v>
      </c>
    </row>
    <row r="2390" spans="2:11" s="1258" customFormat="1" ht="16" hidden="1" outlineLevel="1">
      <c r="B2390" s="968" t="s">
        <v>2533</v>
      </c>
      <c r="C2390" s="967">
        <v>86700</v>
      </c>
      <c r="D2390" s="967" t="s">
        <v>2241</v>
      </c>
      <c r="E2390" s="967">
        <v>507405</v>
      </c>
      <c r="F2390" s="967">
        <v>44196573310</v>
      </c>
      <c r="G2390" s="967">
        <v>87600</v>
      </c>
      <c r="H2390" s="967">
        <v>88000</v>
      </c>
      <c r="I2390" s="967">
        <v>86300</v>
      </c>
      <c r="J2390" s="967">
        <v>9654545</v>
      </c>
      <c r="K2390" s="967">
        <v>111355765</v>
      </c>
    </row>
    <row r="2391" spans="2:11" s="1258" customFormat="1" ht="16" hidden="1" outlineLevel="1">
      <c r="B2391" s="968" t="s">
        <v>2532</v>
      </c>
      <c r="C2391" s="967">
        <v>87600</v>
      </c>
      <c r="D2391" s="967" t="s">
        <v>2221</v>
      </c>
      <c r="E2391" s="967">
        <v>730432</v>
      </c>
      <c r="F2391" s="967">
        <v>64577283600</v>
      </c>
      <c r="G2391" s="967">
        <v>88200</v>
      </c>
      <c r="H2391" s="967">
        <v>89200</v>
      </c>
      <c r="I2391" s="967">
        <v>87600</v>
      </c>
      <c r="J2391" s="967">
        <v>9754765</v>
      </c>
      <c r="K2391" s="967">
        <v>111355765</v>
      </c>
    </row>
    <row r="2392" spans="2:11" s="1258" customFormat="1" ht="16" hidden="1" outlineLevel="1">
      <c r="B2392" s="968" t="s">
        <v>2531</v>
      </c>
      <c r="C2392" s="967">
        <v>87600</v>
      </c>
      <c r="D2392" s="967" t="s">
        <v>2245</v>
      </c>
      <c r="E2392" s="967">
        <v>826329</v>
      </c>
      <c r="F2392" s="967">
        <v>72082804620</v>
      </c>
      <c r="G2392" s="967">
        <v>87200</v>
      </c>
      <c r="H2392" s="967">
        <v>88000</v>
      </c>
      <c r="I2392" s="967">
        <v>86100</v>
      </c>
      <c r="J2392" s="967">
        <v>9754765</v>
      </c>
      <c r="K2392" s="967">
        <v>111355765</v>
      </c>
    </row>
    <row r="2393" spans="2:11" s="1258" customFormat="1" ht="16" hidden="1" outlineLevel="1">
      <c r="B2393" s="968" t="s">
        <v>2530</v>
      </c>
      <c r="C2393" s="967">
        <v>86100</v>
      </c>
      <c r="D2393" s="967" t="s">
        <v>2232</v>
      </c>
      <c r="E2393" s="967">
        <v>690190</v>
      </c>
      <c r="F2393" s="967">
        <v>59649990400</v>
      </c>
      <c r="G2393" s="967">
        <v>86400</v>
      </c>
      <c r="H2393" s="967">
        <v>87000</v>
      </c>
      <c r="I2393" s="967">
        <v>85700</v>
      </c>
      <c r="J2393" s="967">
        <v>9587731</v>
      </c>
      <c r="K2393" s="967">
        <v>111355765</v>
      </c>
    </row>
    <row r="2394" spans="2:11" s="1258" customFormat="1" ht="16" hidden="1" outlineLevel="1">
      <c r="B2394" s="968" t="s">
        <v>2528</v>
      </c>
      <c r="C2394" s="967">
        <v>85900</v>
      </c>
      <c r="D2394" s="967" t="s">
        <v>2220</v>
      </c>
      <c r="E2394" s="967">
        <v>964363</v>
      </c>
      <c r="F2394" s="967">
        <v>82328989600</v>
      </c>
      <c r="G2394" s="967">
        <v>84800</v>
      </c>
      <c r="H2394" s="967">
        <v>86100</v>
      </c>
      <c r="I2394" s="967">
        <v>84000</v>
      </c>
      <c r="J2394" s="967">
        <v>9565460</v>
      </c>
      <c r="K2394" s="967">
        <v>111355765</v>
      </c>
    </row>
    <row r="2395" spans="2:11" s="1258" customFormat="1" ht="16" hidden="1" outlineLevel="1">
      <c r="B2395" s="968" t="s">
        <v>2527</v>
      </c>
      <c r="C2395" s="967">
        <v>83400</v>
      </c>
      <c r="D2395" s="967" t="s">
        <v>2247</v>
      </c>
      <c r="E2395" s="967">
        <v>998147</v>
      </c>
      <c r="F2395" s="967">
        <v>85142749600</v>
      </c>
      <c r="G2395" s="967">
        <v>85400</v>
      </c>
      <c r="H2395" s="967">
        <v>86800</v>
      </c>
      <c r="I2395" s="967">
        <v>82700</v>
      </c>
      <c r="J2395" s="967">
        <v>9287071</v>
      </c>
      <c r="K2395" s="967">
        <v>111355765</v>
      </c>
    </row>
    <row r="2396" spans="2:11" s="1258" customFormat="1" ht="16" hidden="1" outlineLevel="1">
      <c r="B2396" s="968" t="s">
        <v>2525</v>
      </c>
      <c r="C2396" s="967">
        <v>84500</v>
      </c>
      <c r="D2396" s="967" t="s">
        <v>2232</v>
      </c>
      <c r="E2396" s="967">
        <v>399343</v>
      </c>
      <c r="F2396" s="967">
        <v>33595158700</v>
      </c>
      <c r="G2396" s="967">
        <v>83600</v>
      </c>
      <c r="H2396" s="967">
        <v>84700</v>
      </c>
      <c r="I2396" s="967">
        <v>83100</v>
      </c>
      <c r="J2396" s="967">
        <v>9409562</v>
      </c>
      <c r="K2396" s="967">
        <v>111355765</v>
      </c>
    </row>
    <row r="2397" spans="2:11" s="1258" customFormat="1" ht="16" hidden="1" outlineLevel="1">
      <c r="B2397" s="968" t="s">
        <v>2524</v>
      </c>
      <c r="C2397" s="967">
        <v>84300</v>
      </c>
      <c r="D2397" s="967" t="s">
        <v>2208</v>
      </c>
      <c r="E2397" s="967">
        <v>689277</v>
      </c>
      <c r="F2397" s="967">
        <v>58262793200</v>
      </c>
      <c r="G2397" s="967">
        <v>84100</v>
      </c>
      <c r="H2397" s="967">
        <v>85300</v>
      </c>
      <c r="I2397" s="967">
        <v>83900</v>
      </c>
      <c r="J2397" s="967">
        <v>9387291</v>
      </c>
      <c r="K2397" s="967">
        <v>111355765</v>
      </c>
    </row>
    <row r="2398" spans="2:11" s="1258" customFormat="1" ht="16" hidden="1" outlineLevel="1">
      <c r="B2398" s="968" t="s">
        <v>2523</v>
      </c>
      <c r="C2398" s="967">
        <v>83600</v>
      </c>
      <c r="D2398" s="967" t="s">
        <v>2221</v>
      </c>
      <c r="E2398" s="967">
        <v>370539</v>
      </c>
      <c r="F2398" s="967">
        <v>30934476500</v>
      </c>
      <c r="G2398" s="967">
        <v>82800</v>
      </c>
      <c r="H2398" s="967">
        <v>83900</v>
      </c>
      <c r="I2398" s="967">
        <v>82600</v>
      </c>
      <c r="J2398" s="967">
        <v>9309342</v>
      </c>
      <c r="K2398" s="967">
        <v>111355765</v>
      </c>
    </row>
    <row r="2399" spans="2:11" s="1258" customFormat="1" ht="16" hidden="1" outlineLevel="1">
      <c r="B2399" s="968" t="s">
        <v>2522</v>
      </c>
      <c r="C2399" s="967">
        <v>83600</v>
      </c>
      <c r="D2399" s="967" t="s">
        <v>2222</v>
      </c>
      <c r="E2399" s="967">
        <v>744888</v>
      </c>
      <c r="F2399" s="967">
        <v>62559173800</v>
      </c>
      <c r="G2399" s="967">
        <v>85000</v>
      </c>
      <c r="H2399" s="967">
        <v>85300</v>
      </c>
      <c r="I2399" s="967">
        <v>83100</v>
      </c>
      <c r="J2399" s="967">
        <v>9309342</v>
      </c>
      <c r="K2399" s="967">
        <v>111355765</v>
      </c>
    </row>
    <row r="2400" spans="2:11" s="1258" customFormat="1" ht="16" hidden="1" outlineLevel="1">
      <c r="B2400" s="968" t="s">
        <v>2521</v>
      </c>
      <c r="C2400" s="967">
        <v>84200</v>
      </c>
      <c r="D2400" s="967" t="s">
        <v>2208</v>
      </c>
      <c r="E2400" s="967">
        <v>839820</v>
      </c>
      <c r="F2400" s="967">
        <v>70089551500</v>
      </c>
      <c r="G2400" s="967">
        <v>84900</v>
      </c>
      <c r="H2400" s="967">
        <v>85100</v>
      </c>
      <c r="I2400" s="967">
        <v>81000</v>
      </c>
      <c r="J2400" s="967">
        <v>9376155</v>
      </c>
      <c r="K2400" s="967">
        <v>111355765</v>
      </c>
    </row>
    <row r="2401" spans="2:11" s="1258" customFormat="1" ht="16" hidden="1" outlineLevel="1">
      <c r="B2401" s="968" t="s">
        <v>2520</v>
      </c>
      <c r="C2401" s="967">
        <v>83500</v>
      </c>
      <c r="D2401" s="967" t="s">
        <v>2214</v>
      </c>
      <c r="E2401" s="967">
        <v>1209586</v>
      </c>
      <c r="F2401" s="967">
        <v>102709906200</v>
      </c>
      <c r="G2401" s="967">
        <v>84400</v>
      </c>
      <c r="H2401" s="967">
        <v>86200</v>
      </c>
      <c r="I2401" s="967">
        <v>83100</v>
      </c>
      <c r="J2401" s="967">
        <v>9298206</v>
      </c>
      <c r="K2401" s="967">
        <v>111355765</v>
      </c>
    </row>
    <row r="2402" spans="2:11" s="1258" customFormat="1" ht="16" hidden="1" outlineLevel="1">
      <c r="B2402" s="968" t="s">
        <v>2519</v>
      </c>
      <c r="C2402" s="967">
        <v>83100</v>
      </c>
      <c r="D2402" s="967" t="s">
        <v>2246</v>
      </c>
      <c r="E2402" s="967">
        <v>1008105</v>
      </c>
      <c r="F2402" s="967">
        <v>84151414500</v>
      </c>
      <c r="G2402" s="967">
        <v>82600</v>
      </c>
      <c r="H2402" s="967">
        <v>84400</v>
      </c>
      <c r="I2402" s="967">
        <v>82000</v>
      </c>
      <c r="J2402" s="967">
        <v>9253664</v>
      </c>
      <c r="K2402" s="967">
        <v>111355765</v>
      </c>
    </row>
    <row r="2403" spans="2:11" s="1258" customFormat="1" ht="16" hidden="1" outlineLevel="1">
      <c r="B2403" s="968" t="s">
        <v>2517</v>
      </c>
      <c r="C2403" s="967">
        <v>82200</v>
      </c>
      <c r="D2403" s="967" t="s">
        <v>2253</v>
      </c>
      <c r="E2403" s="967">
        <v>494574</v>
      </c>
      <c r="F2403" s="967">
        <v>40648741200</v>
      </c>
      <c r="G2403" s="967">
        <v>82000</v>
      </c>
      <c r="H2403" s="967">
        <v>82900</v>
      </c>
      <c r="I2403" s="967">
        <v>81600</v>
      </c>
      <c r="J2403" s="967">
        <v>9153444</v>
      </c>
      <c r="K2403" s="967">
        <v>111355765</v>
      </c>
    </row>
    <row r="2404" spans="2:11" s="1258" customFormat="1" ht="16" hidden="1" outlineLevel="1">
      <c r="B2404" s="968" t="s">
        <v>2516</v>
      </c>
      <c r="C2404" s="967">
        <v>83000</v>
      </c>
      <c r="D2404" s="967" t="s">
        <v>2246</v>
      </c>
      <c r="E2404" s="967">
        <v>615198</v>
      </c>
      <c r="F2404" s="967">
        <v>50845087200</v>
      </c>
      <c r="G2404" s="967">
        <v>82400</v>
      </c>
      <c r="H2404" s="967">
        <v>83500</v>
      </c>
      <c r="I2404" s="967">
        <v>81700</v>
      </c>
      <c r="J2404" s="967">
        <v>9242528</v>
      </c>
      <c r="K2404" s="967">
        <v>111355765</v>
      </c>
    </row>
    <row r="2405" spans="2:11" s="1258" customFormat="1" ht="16" hidden="1" outlineLevel="1">
      <c r="B2405" s="968" t="s">
        <v>2515</v>
      </c>
      <c r="C2405" s="967">
        <v>82100</v>
      </c>
      <c r="D2405" s="967" t="s">
        <v>2289</v>
      </c>
      <c r="E2405" s="967">
        <v>1265397</v>
      </c>
      <c r="F2405" s="967">
        <v>103222015300</v>
      </c>
      <c r="G2405" s="967">
        <v>79600</v>
      </c>
      <c r="H2405" s="967">
        <v>82500</v>
      </c>
      <c r="I2405" s="967">
        <v>78700</v>
      </c>
      <c r="J2405" s="967">
        <v>9142308</v>
      </c>
      <c r="K2405" s="967">
        <v>111355765</v>
      </c>
    </row>
    <row r="2406" spans="2:11" s="1258" customFormat="1" ht="16" hidden="1" outlineLevel="1">
      <c r="B2406" s="968" t="s">
        <v>2514</v>
      </c>
      <c r="C2406" s="967">
        <v>78800</v>
      </c>
      <c r="D2406" s="967" t="s">
        <v>2212</v>
      </c>
      <c r="E2406" s="967">
        <v>869911</v>
      </c>
      <c r="F2406" s="967">
        <v>68874166300</v>
      </c>
      <c r="G2406" s="967">
        <v>77600</v>
      </c>
      <c r="H2406" s="967">
        <v>80400</v>
      </c>
      <c r="I2406" s="967">
        <v>77600</v>
      </c>
      <c r="J2406" s="967">
        <v>8774834</v>
      </c>
      <c r="K2406" s="967">
        <v>111355765</v>
      </c>
    </row>
    <row r="2407" spans="2:11" s="1258" customFormat="1" ht="16" hidden="1" outlineLevel="1">
      <c r="B2407" s="968" t="s">
        <v>2513</v>
      </c>
      <c r="C2407" s="967">
        <v>78700</v>
      </c>
      <c r="D2407" s="967" t="s">
        <v>2224</v>
      </c>
      <c r="E2407" s="967">
        <v>873347</v>
      </c>
      <c r="F2407" s="967">
        <v>69036977200</v>
      </c>
      <c r="G2407" s="967">
        <v>79400</v>
      </c>
      <c r="H2407" s="967">
        <v>80300</v>
      </c>
      <c r="I2407" s="967">
        <v>77800</v>
      </c>
      <c r="J2407" s="967">
        <v>8763699</v>
      </c>
      <c r="K2407" s="967">
        <v>111355765</v>
      </c>
    </row>
    <row r="2408" spans="2:11" s="1258" customFormat="1" ht="16" hidden="1" outlineLevel="1">
      <c r="B2408" s="968" t="s">
        <v>2512</v>
      </c>
      <c r="C2408" s="967">
        <v>78900</v>
      </c>
      <c r="D2408" s="967" t="s">
        <v>2214</v>
      </c>
      <c r="E2408" s="967">
        <v>1696177</v>
      </c>
      <c r="F2408" s="967">
        <v>132879725200</v>
      </c>
      <c r="G2408" s="967">
        <v>77500</v>
      </c>
      <c r="H2408" s="967">
        <v>80700</v>
      </c>
      <c r="I2408" s="967">
        <v>76300</v>
      </c>
      <c r="J2408" s="967">
        <v>8785970</v>
      </c>
      <c r="K2408" s="967">
        <v>111355765</v>
      </c>
    </row>
    <row r="2409" spans="2:11" s="1258" customFormat="1" ht="16" hidden="1" outlineLevel="1">
      <c r="B2409" s="968" t="s">
        <v>2511</v>
      </c>
      <c r="C2409" s="967">
        <v>78500</v>
      </c>
      <c r="D2409" s="967" t="s">
        <v>2712</v>
      </c>
      <c r="E2409" s="967">
        <v>2263748</v>
      </c>
      <c r="F2409" s="967">
        <v>180870638400</v>
      </c>
      <c r="G2409" s="967">
        <v>83000</v>
      </c>
      <c r="H2409" s="967">
        <v>84000</v>
      </c>
      <c r="I2409" s="967">
        <v>78400</v>
      </c>
      <c r="J2409" s="967">
        <v>8741428</v>
      </c>
      <c r="K2409" s="967">
        <v>111355765</v>
      </c>
    </row>
    <row r="2410" spans="2:11" s="1258" customFormat="1" ht="16" hidden="1" outlineLevel="1">
      <c r="B2410" s="968" t="s">
        <v>2510</v>
      </c>
      <c r="C2410" s="967">
        <v>84100</v>
      </c>
      <c r="D2410" s="967" t="s">
        <v>2221</v>
      </c>
      <c r="E2410" s="967">
        <v>545509</v>
      </c>
      <c r="F2410" s="967">
        <v>45469265300</v>
      </c>
      <c r="G2410" s="967">
        <v>83300</v>
      </c>
      <c r="H2410" s="967">
        <v>85200</v>
      </c>
      <c r="I2410" s="967">
        <v>82100</v>
      </c>
      <c r="J2410" s="967">
        <v>9365020</v>
      </c>
      <c r="K2410" s="967">
        <v>111355765</v>
      </c>
    </row>
    <row r="2411" spans="2:11" s="1258" customFormat="1" ht="16" hidden="1" outlineLevel="1">
      <c r="B2411" s="968" t="s">
        <v>2509</v>
      </c>
      <c r="C2411" s="967">
        <v>84100</v>
      </c>
      <c r="D2411" s="967" t="s">
        <v>2234</v>
      </c>
      <c r="E2411" s="967">
        <v>1070357</v>
      </c>
      <c r="F2411" s="967">
        <v>91292174000</v>
      </c>
      <c r="G2411" s="967">
        <v>86300</v>
      </c>
      <c r="H2411" s="967">
        <v>87600</v>
      </c>
      <c r="I2411" s="967">
        <v>84000</v>
      </c>
      <c r="J2411" s="967">
        <v>9365020</v>
      </c>
      <c r="K2411" s="967">
        <v>111355765</v>
      </c>
    </row>
    <row r="2412" spans="2:11" s="1258" customFormat="1" ht="16" hidden="1" outlineLevel="1">
      <c r="B2412" s="968" t="s">
        <v>2508</v>
      </c>
      <c r="C2412" s="967">
        <v>84800</v>
      </c>
      <c r="D2412" s="967" t="s">
        <v>2224</v>
      </c>
      <c r="E2412" s="967">
        <v>804311</v>
      </c>
      <c r="F2412" s="967">
        <v>68189910800</v>
      </c>
      <c r="G2412" s="967">
        <v>83000</v>
      </c>
      <c r="H2412" s="967">
        <v>86200</v>
      </c>
      <c r="I2412" s="967">
        <v>82500</v>
      </c>
      <c r="J2412" s="967">
        <v>9442969</v>
      </c>
      <c r="K2412" s="967">
        <v>111355765</v>
      </c>
    </row>
    <row r="2413" spans="2:11" s="1258" customFormat="1" ht="16" hidden="1" outlineLevel="1">
      <c r="B2413" s="968" t="s">
        <v>2507</v>
      </c>
      <c r="C2413" s="967">
        <v>85000</v>
      </c>
      <c r="D2413" s="967" t="s">
        <v>2236</v>
      </c>
      <c r="E2413" s="967">
        <v>908927</v>
      </c>
      <c r="F2413" s="967">
        <v>77601128200</v>
      </c>
      <c r="G2413" s="967">
        <v>83300</v>
      </c>
      <c r="H2413" s="967">
        <v>86300</v>
      </c>
      <c r="I2413" s="967">
        <v>83300</v>
      </c>
      <c r="J2413" s="967">
        <v>9465240</v>
      </c>
      <c r="K2413" s="967">
        <v>111355765</v>
      </c>
    </row>
    <row r="2414" spans="2:11" s="1258" customFormat="1" ht="16" hidden="1" outlineLevel="1">
      <c r="B2414" s="968" t="s">
        <v>2506</v>
      </c>
      <c r="C2414" s="967">
        <v>84000</v>
      </c>
      <c r="D2414" s="967" t="s">
        <v>2695</v>
      </c>
      <c r="E2414" s="967">
        <v>1013994</v>
      </c>
      <c r="F2414" s="967">
        <v>85380627000</v>
      </c>
      <c r="G2414" s="967">
        <v>82400</v>
      </c>
      <c r="H2414" s="967">
        <v>85300</v>
      </c>
      <c r="I2414" s="967">
        <v>82300</v>
      </c>
      <c r="J2414" s="967">
        <v>9353884</v>
      </c>
      <c r="K2414" s="967">
        <v>111355765</v>
      </c>
    </row>
    <row r="2415" spans="2:11" s="1258" customFormat="1" ht="16" hidden="1" outlineLevel="1">
      <c r="B2415" s="968" t="s">
        <v>2504</v>
      </c>
      <c r="C2415" s="967">
        <v>82300</v>
      </c>
      <c r="D2415" s="967" t="s">
        <v>1814</v>
      </c>
      <c r="E2415" s="967">
        <v>646102</v>
      </c>
      <c r="F2415" s="967">
        <v>53809145600</v>
      </c>
      <c r="G2415" s="967">
        <v>83700</v>
      </c>
      <c r="H2415" s="967">
        <v>84300</v>
      </c>
      <c r="I2415" s="967">
        <v>82000</v>
      </c>
      <c r="J2415" s="967">
        <v>9164579</v>
      </c>
      <c r="K2415" s="967">
        <v>111355765</v>
      </c>
    </row>
    <row r="2416" spans="2:11" s="1258" customFormat="1" ht="16" hidden="1" outlineLevel="1">
      <c r="B2416" s="968" t="s">
        <v>2503</v>
      </c>
      <c r="C2416" s="967">
        <v>82800</v>
      </c>
      <c r="D2416" s="967" t="s">
        <v>2291</v>
      </c>
      <c r="E2416" s="967">
        <v>1511343</v>
      </c>
      <c r="F2416" s="967">
        <v>123989855600</v>
      </c>
      <c r="G2416" s="967">
        <v>79000</v>
      </c>
      <c r="H2416" s="967">
        <v>83500</v>
      </c>
      <c r="I2416" s="967">
        <v>78000</v>
      </c>
      <c r="J2416" s="967">
        <v>9220257</v>
      </c>
      <c r="K2416" s="967">
        <v>111355765</v>
      </c>
    </row>
    <row r="2417" spans="2:11" s="1258" customFormat="1" ht="16" hidden="1" outlineLevel="1">
      <c r="B2417" s="968" t="s">
        <v>2502</v>
      </c>
      <c r="C2417" s="967">
        <v>78600</v>
      </c>
      <c r="D2417" s="967" t="s">
        <v>2237</v>
      </c>
      <c r="E2417" s="967">
        <v>551626</v>
      </c>
      <c r="F2417" s="967">
        <v>43443380700</v>
      </c>
      <c r="G2417" s="967">
        <v>78900</v>
      </c>
      <c r="H2417" s="967">
        <v>79600</v>
      </c>
      <c r="I2417" s="967">
        <v>78000</v>
      </c>
      <c r="J2417" s="967">
        <v>8752563</v>
      </c>
      <c r="K2417" s="967">
        <v>111355765</v>
      </c>
    </row>
    <row r="2418" spans="2:11" s="1258" customFormat="1" ht="16" hidden="1" outlineLevel="1">
      <c r="B2418" s="968" t="s">
        <v>2501</v>
      </c>
      <c r="C2418" s="967">
        <v>77200</v>
      </c>
      <c r="D2418" s="967" t="s">
        <v>2638</v>
      </c>
      <c r="E2418" s="967">
        <v>599112</v>
      </c>
      <c r="F2418" s="967">
        <v>46398743000</v>
      </c>
      <c r="G2418" s="967">
        <v>76600</v>
      </c>
      <c r="H2418" s="967">
        <v>78300</v>
      </c>
      <c r="I2418" s="967">
        <v>76100</v>
      </c>
      <c r="J2418" s="967">
        <v>8596665</v>
      </c>
      <c r="K2418" s="967">
        <v>111355765</v>
      </c>
    </row>
    <row r="2419" spans="2:11" s="1258" customFormat="1" ht="16" hidden="1" outlineLevel="1">
      <c r="B2419" s="968" t="s">
        <v>2500</v>
      </c>
      <c r="C2419" s="967">
        <v>76400</v>
      </c>
      <c r="D2419" s="967" t="s">
        <v>2215</v>
      </c>
      <c r="E2419" s="967">
        <v>520175</v>
      </c>
      <c r="F2419" s="967">
        <v>40127511200</v>
      </c>
      <c r="G2419" s="967">
        <v>76100</v>
      </c>
      <c r="H2419" s="967">
        <v>78300</v>
      </c>
      <c r="I2419" s="967">
        <v>76000</v>
      </c>
      <c r="J2419" s="967">
        <v>8507580</v>
      </c>
      <c r="K2419" s="967">
        <v>111355765</v>
      </c>
    </row>
    <row r="2420" spans="2:11" s="1258" customFormat="1" ht="16" hidden="1" outlineLevel="1">
      <c r="B2420" s="968" t="s">
        <v>2499</v>
      </c>
      <c r="C2420" s="967">
        <v>76700</v>
      </c>
      <c r="D2420" s="967" t="s">
        <v>2304</v>
      </c>
      <c r="E2420" s="967">
        <v>592965</v>
      </c>
      <c r="F2420" s="967">
        <v>45597068300</v>
      </c>
      <c r="G2420" s="967">
        <v>78000</v>
      </c>
      <c r="H2420" s="967">
        <v>79000</v>
      </c>
      <c r="I2420" s="967">
        <v>76200</v>
      </c>
      <c r="J2420" s="967">
        <v>8540987</v>
      </c>
      <c r="K2420" s="967">
        <v>111355765</v>
      </c>
    </row>
    <row r="2421" spans="2:11" s="1258" customFormat="1" ht="16" hidden="1" outlineLevel="1">
      <c r="B2421" s="968" t="s">
        <v>2498</v>
      </c>
      <c r="C2421" s="967">
        <v>78400</v>
      </c>
      <c r="D2421" s="967" t="s">
        <v>2248</v>
      </c>
      <c r="E2421" s="967">
        <v>691311</v>
      </c>
      <c r="F2421" s="967">
        <v>54099897300</v>
      </c>
      <c r="G2421" s="967">
        <v>79900</v>
      </c>
      <c r="H2421" s="967">
        <v>79900</v>
      </c>
      <c r="I2421" s="967">
        <v>77700</v>
      </c>
      <c r="J2421" s="967">
        <v>8730292</v>
      </c>
      <c r="K2421" s="967">
        <v>111355765</v>
      </c>
    </row>
    <row r="2422" spans="2:11" s="1258" customFormat="1" ht="16" hidden="1" outlineLevel="1">
      <c r="B2422" s="968" t="s">
        <v>2497</v>
      </c>
      <c r="C2422" s="967">
        <v>79400</v>
      </c>
      <c r="D2422" s="967" t="s">
        <v>2709</v>
      </c>
      <c r="E2422" s="967">
        <v>923739</v>
      </c>
      <c r="F2422" s="967">
        <v>73977829000</v>
      </c>
      <c r="G2422" s="967">
        <v>81800</v>
      </c>
      <c r="H2422" s="967">
        <v>82100</v>
      </c>
      <c r="I2422" s="967">
        <v>78700</v>
      </c>
      <c r="J2422" s="967">
        <v>8841648</v>
      </c>
      <c r="K2422" s="967">
        <v>111355765</v>
      </c>
    </row>
    <row r="2423" spans="2:11" s="1258" customFormat="1" ht="16" hidden="1" outlineLevel="1">
      <c r="B2423" s="968" t="s">
        <v>2496</v>
      </c>
      <c r="C2423" s="967">
        <v>82200</v>
      </c>
      <c r="D2423" s="967" t="s">
        <v>2250</v>
      </c>
      <c r="E2423" s="967">
        <v>915652</v>
      </c>
      <c r="F2423" s="967">
        <v>74805170500</v>
      </c>
      <c r="G2423" s="967">
        <v>81500</v>
      </c>
      <c r="H2423" s="967">
        <v>82800</v>
      </c>
      <c r="I2423" s="967">
        <v>80800</v>
      </c>
      <c r="J2423" s="967">
        <v>9153444</v>
      </c>
      <c r="K2423" s="967">
        <v>111355765</v>
      </c>
    </row>
    <row r="2424" spans="2:11" s="1258" customFormat="1" ht="16" hidden="1" outlineLevel="1">
      <c r="B2424" s="968" t="s">
        <v>2495</v>
      </c>
      <c r="C2424" s="967">
        <v>81000</v>
      </c>
      <c r="D2424" s="967" t="s">
        <v>1826</v>
      </c>
      <c r="E2424" s="967">
        <v>561311</v>
      </c>
      <c r="F2424" s="967">
        <v>45467575000</v>
      </c>
      <c r="G2424" s="967">
        <v>80100</v>
      </c>
      <c r="H2424" s="967">
        <v>82000</v>
      </c>
      <c r="I2424" s="967">
        <v>80000</v>
      </c>
      <c r="J2424" s="967">
        <v>9019817</v>
      </c>
      <c r="K2424" s="967">
        <v>111355765</v>
      </c>
    </row>
    <row r="2425" spans="2:11" s="1258" customFormat="1" ht="16" hidden="1" outlineLevel="1">
      <c r="B2425" s="968" t="s">
        <v>2494</v>
      </c>
      <c r="C2425" s="967">
        <v>80500</v>
      </c>
      <c r="D2425" s="967" t="s">
        <v>2253</v>
      </c>
      <c r="E2425" s="967">
        <v>547794</v>
      </c>
      <c r="F2425" s="967">
        <v>43949988900</v>
      </c>
      <c r="G2425" s="967">
        <v>80600</v>
      </c>
      <c r="H2425" s="967">
        <v>81200</v>
      </c>
      <c r="I2425" s="967">
        <v>79700</v>
      </c>
      <c r="J2425" s="967">
        <v>8964139</v>
      </c>
      <c r="K2425" s="967">
        <v>111355765</v>
      </c>
    </row>
    <row r="2426" spans="2:11" s="1258" customFormat="1" ht="16" hidden="1" outlineLevel="1">
      <c r="B2426" s="968" t="s">
        <v>2493</v>
      </c>
      <c r="C2426" s="967">
        <v>81300</v>
      </c>
      <c r="D2426" s="967" t="s">
        <v>1814</v>
      </c>
      <c r="E2426" s="967">
        <v>1255105</v>
      </c>
      <c r="F2426" s="967">
        <v>101677350700</v>
      </c>
      <c r="G2426" s="967">
        <v>82300</v>
      </c>
      <c r="H2426" s="967">
        <v>83400</v>
      </c>
      <c r="I2426" s="967">
        <v>79800</v>
      </c>
      <c r="J2426" s="967">
        <v>9053224</v>
      </c>
      <c r="K2426" s="967">
        <v>111355765</v>
      </c>
    </row>
    <row r="2427" spans="2:11" s="1258" customFormat="1" ht="16" hidden="1" outlineLevel="1">
      <c r="B2427" s="968" t="s">
        <v>2492</v>
      </c>
      <c r="C2427" s="967">
        <v>81800</v>
      </c>
      <c r="D2427" s="967" t="s">
        <v>2661</v>
      </c>
      <c r="E2427" s="967">
        <v>726207</v>
      </c>
      <c r="F2427" s="967">
        <v>59593002700</v>
      </c>
      <c r="G2427" s="967">
        <v>82300</v>
      </c>
      <c r="H2427" s="967">
        <v>82900</v>
      </c>
      <c r="I2427" s="967">
        <v>81600</v>
      </c>
      <c r="J2427" s="967">
        <v>9108902</v>
      </c>
      <c r="K2427" s="967">
        <v>111355765</v>
      </c>
    </row>
    <row r="2428" spans="2:11" s="1258" customFormat="1" ht="16" hidden="1" outlineLevel="1">
      <c r="B2428" s="968" t="s">
        <v>2491</v>
      </c>
      <c r="C2428" s="967">
        <v>83900</v>
      </c>
      <c r="D2428" s="967" t="s">
        <v>2237</v>
      </c>
      <c r="E2428" s="967">
        <v>741732</v>
      </c>
      <c r="F2428" s="967">
        <v>62177502500</v>
      </c>
      <c r="G2428" s="967">
        <v>83500</v>
      </c>
      <c r="H2428" s="967">
        <v>84700</v>
      </c>
      <c r="I2428" s="967">
        <v>83100</v>
      </c>
      <c r="J2428" s="967">
        <v>9342749</v>
      </c>
      <c r="K2428" s="967">
        <v>111355765</v>
      </c>
    </row>
    <row r="2429" spans="2:11" s="1258" customFormat="1" ht="16" hidden="1" outlineLevel="1">
      <c r="B2429" s="968" t="s">
        <v>2490</v>
      </c>
      <c r="C2429" s="967">
        <v>82500</v>
      </c>
      <c r="D2429" s="967" t="s">
        <v>2222</v>
      </c>
      <c r="E2429" s="967">
        <v>767074</v>
      </c>
      <c r="F2429" s="967">
        <v>63757801000</v>
      </c>
      <c r="G2429" s="967">
        <v>83100</v>
      </c>
      <c r="H2429" s="967">
        <v>84200</v>
      </c>
      <c r="I2429" s="967">
        <v>82300</v>
      </c>
      <c r="J2429" s="967">
        <v>9186851</v>
      </c>
      <c r="K2429" s="967">
        <v>111355765</v>
      </c>
    </row>
    <row r="2430" spans="2:11" s="1258" customFormat="1" ht="16" hidden="1" outlineLevel="1">
      <c r="B2430" s="968" t="s">
        <v>2489</v>
      </c>
      <c r="C2430" s="967">
        <v>83100</v>
      </c>
      <c r="D2430" s="967" t="s">
        <v>2711</v>
      </c>
      <c r="E2430" s="967">
        <v>1379433</v>
      </c>
      <c r="F2430" s="967">
        <v>115045343400</v>
      </c>
      <c r="G2430" s="967">
        <v>85500</v>
      </c>
      <c r="H2430" s="967">
        <v>86200</v>
      </c>
      <c r="I2430" s="967">
        <v>82300</v>
      </c>
      <c r="J2430" s="967">
        <v>9253664</v>
      </c>
      <c r="K2430" s="967">
        <v>111355765</v>
      </c>
    </row>
    <row r="2431" spans="2:11" s="1258" customFormat="1" ht="16" hidden="1" outlineLevel="1">
      <c r="B2431" s="968" t="s">
        <v>2488</v>
      </c>
      <c r="C2431" s="967">
        <v>87000</v>
      </c>
      <c r="D2431" s="967" t="s">
        <v>2658</v>
      </c>
      <c r="E2431" s="967">
        <v>672928</v>
      </c>
      <c r="F2431" s="967">
        <v>58739954400</v>
      </c>
      <c r="G2431" s="967">
        <v>88400</v>
      </c>
      <c r="H2431" s="967">
        <v>88900</v>
      </c>
      <c r="I2431" s="967">
        <v>86600</v>
      </c>
      <c r="J2431" s="967">
        <v>9687952</v>
      </c>
      <c r="K2431" s="967">
        <v>111355765</v>
      </c>
    </row>
    <row r="2432" spans="2:11" s="1258" customFormat="1" ht="16" hidden="1" outlineLevel="1">
      <c r="B2432" s="968" t="s">
        <v>2487</v>
      </c>
      <c r="C2432" s="967">
        <v>88800</v>
      </c>
      <c r="D2432" s="967" t="s">
        <v>2661</v>
      </c>
      <c r="E2432" s="967">
        <v>1239438</v>
      </c>
      <c r="F2432" s="967">
        <v>109391909000</v>
      </c>
      <c r="G2432" s="967">
        <v>90200</v>
      </c>
      <c r="H2432" s="967">
        <v>90400</v>
      </c>
      <c r="I2432" s="967">
        <v>87000</v>
      </c>
      <c r="J2432" s="967">
        <v>9888392</v>
      </c>
      <c r="K2432" s="967">
        <v>111355765</v>
      </c>
    </row>
    <row r="2433" spans="2:11" s="1258" customFormat="1" ht="16" hidden="1" outlineLevel="1">
      <c r="B2433" s="968" t="s">
        <v>2485</v>
      </c>
      <c r="C2433" s="967">
        <v>90900</v>
      </c>
      <c r="D2433" s="967" t="s">
        <v>2236</v>
      </c>
      <c r="E2433" s="967">
        <v>1624529</v>
      </c>
      <c r="F2433" s="967">
        <v>148635709100</v>
      </c>
      <c r="G2433" s="967">
        <v>92000</v>
      </c>
      <c r="H2433" s="967">
        <v>92900</v>
      </c>
      <c r="I2433" s="967">
        <v>90400</v>
      </c>
      <c r="J2433" s="967">
        <v>10122239</v>
      </c>
      <c r="K2433" s="967">
        <v>111355765</v>
      </c>
    </row>
    <row r="2434" spans="2:11" s="1258" customFormat="1" ht="16" hidden="1" outlineLevel="1">
      <c r="B2434" s="966" t="s">
        <v>2484</v>
      </c>
      <c r="C2434" s="965">
        <v>89900</v>
      </c>
      <c r="D2434" s="965" t="s">
        <v>2625</v>
      </c>
      <c r="E2434" s="965">
        <v>2525081</v>
      </c>
      <c r="F2434" s="965">
        <v>227429497400</v>
      </c>
      <c r="G2434" s="965">
        <v>87800</v>
      </c>
      <c r="H2434" s="965">
        <v>91300</v>
      </c>
      <c r="I2434" s="965">
        <v>87600</v>
      </c>
      <c r="J2434" s="965">
        <v>10010883</v>
      </c>
      <c r="K2434" s="965">
        <v>111355765</v>
      </c>
    </row>
    <row r="2435" spans="2:11" s="1258" customFormat="1" ht="16" hidden="1" outlineLevel="1">
      <c r="B2435" s="966" t="s">
        <v>2483</v>
      </c>
      <c r="C2435" s="965">
        <v>87800</v>
      </c>
      <c r="D2435" s="965" t="s">
        <v>2222</v>
      </c>
      <c r="E2435" s="965">
        <v>2269796</v>
      </c>
      <c r="F2435" s="965">
        <v>201325240600</v>
      </c>
      <c r="G2435" s="965">
        <v>89200</v>
      </c>
      <c r="H2435" s="965">
        <v>90300</v>
      </c>
      <c r="I2435" s="965">
        <v>87200</v>
      </c>
      <c r="J2435" s="965">
        <v>9777036</v>
      </c>
      <c r="K2435" s="965">
        <v>111355765</v>
      </c>
    </row>
    <row r="2436" spans="2:11" s="1258" customFormat="1" ht="16" hidden="1" outlineLevel="1">
      <c r="B2436" s="966" t="s">
        <v>2482</v>
      </c>
      <c r="C2436" s="965">
        <v>88400</v>
      </c>
      <c r="D2436" s="965" t="s">
        <v>2710</v>
      </c>
      <c r="E2436" s="965">
        <v>4939354</v>
      </c>
      <c r="F2436" s="965">
        <v>429861963900</v>
      </c>
      <c r="G2436" s="965">
        <v>83500</v>
      </c>
      <c r="H2436" s="965">
        <v>88700</v>
      </c>
      <c r="I2436" s="965">
        <v>83000</v>
      </c>
      <c r="J2436" s="965">
        <v>9843850</v>
      </c>
      <c r="K2436" s="965">
        <v>111355765</v>
      </c>
    </row>
    <row r="2437" spans="2:11" s="1258" customFormat="1" ht="16" hidden="1" outlineLevel="1">
      <c r="B2437" s="966" t="s">
        <v>2481</v>
      </c>
      <c r="C2437" s="965">
        <v>82000</v>
      </c>
      <c r="D2437" s="965" t="s">
        <v>2252</v>
      </c>
      <c r="E2437" s="965">
        <v>1326215</v>
      </c>
      <c r="F2437" s="965">
        <v>108114374800</v>
      </c>
      <c r="G2437" s="965">
        <v>80900</v>
      </c>
      <c r="H2437" s="965">
        <v>82300</v>
      </c>
      <c r="I2437" s="965">
        <v>79700</v>
      </c>
      <c r="J2437" s="965">
        <v>9131173</v>
      </c>
      <c r="K2437" s="965">
        <v>111355765</v>
      </c>
    </row>
    <row r="2438" spans="2:11" s="1258" customFormat="1" ht="16" hidden="1" outlineLevel="1">
      <c r="B2438" s="966" t="s">
        <v>2479</v>
      </c>
      <c r="C2438" s="965">
        <v>80900</v>
      </c>
      <c r="D2438" s="965" t="s">
        <v>2234</v>
      </c>
      <c r="E2438" s="965">
        <v>1187318</v>
      </c>
      <c r="F2438" s="965">
        <v>97538576000</v>
      </c>
      <c r="G2438" s="965">
        <v>82300</v>
      </c>
      <c r="H2438" s="965">
        <v>83600</v>
      </c>
      <c r="I2438" s="965">
        <v>80800</v>
      </c>
      <c r="J2438" s="965">
        <v>9008681</v>
      </c>
      <c r="K2438" s="965">
        <v>111355765</v>
      </c>
    </row>
    <row r="2439" spans="2:11" s="1258" customFormat="1" ht="16" hidden="1" outlineLevel="1">
      <c r="B2439" s="966" t="s">
        <v>2478</v>
      </c>
      <c r="C2439" s="965">
        <v>81600</v>
      </c>
      <c r="D2439" s="965" t="s">
        <v>2277</v>
      </c>
      <c r="E2439" s="965">
        <v>2193413</v>
      </c>
      <c r="F2439" s="965">
        <v>177255317600</v>
      </c>
      <c r="G2439" s="965">
        <v>78700</v>
      </c>
      <c r="H2439" s="965">
        <v>82300</v>
      </c>
      <c r="I2439" s="965">
        <v>78600</v>
      </c>
      <c r="J2439" s="965">
        <v>9086630</v>
      </c>
      <c r="K2439" s="965">
        <v>111355765</v>
      </c>
    </row>
    <row r="2440" spans="2:11" s="1258" customFormat="1" ht="16" hidden="1" outlineLevel="1">
      <c r="B2440" s="966" t="s">
        <v>2477</v>
      </c>
      <c r="C2440" s="965">
        <v>78600</v>
      </c>
      <c r="D2440" s="965" t="s">
        <v>2247</v>
      </c>
      <c r="E2440" s="965">
        <v>2331407</v>
      </c>
      <c r="F2440" s="965">
        <v>183380029300</v>
      </c>
      <c r="G2440" s="965">
        <v>79700</v>
      </c>
      <c r="H2440" s="965">
        <v>81000</v>
      </c>
      <c r="I2440" s="965">
        <v>77500</v>
      </c>
      <c r="J2440" s="965">
        <v>8752563</v>
      </c>
      <c r="K2440" s="965">
        <v>111355765</v>
      </c>
    </row>
    <row r="2441" spans="2:11" s="1258" customFormat="1" ht="16" hidden="1" outlineLevel="1">
      <c r="B2441" s="966" t="s">
        <v>2476</v>
      </c>
      <c r="C2441" s="965">
        <v>79700</v>
      </c>
      <c r="D2441" s="965" t="s">
        <v>2244</v>
      </c>
      <c r="E2441" s="965">
        <v>1981151</v>
      </c>
      <c r="F2441" s="965">
        <v>158486709500</v>
      </c>
      <c r="G2441" s="965">
        <v>81800</v>
      </c>
      <c r="H2441" s="965">
        <v>82100</v>
      </c>
      <c r="I2441" s="965">
        <v>79100</v>
      </c>
      <c r="J2441" s="965">
        <v>8875054</v>
      </c>
      <c r="K2441" s="965">
        <v>111355765</v>
      </c>
    </row>
    <row r="2442" spans="2:11" s="1258" customFormat="1" ht="16" hidden="1" outlineLevel="1">
      <c r="B2442" s="966" t="s">
        <v>2475</v>
      </c>
      <c r="C2442" s="965">
        <v>81200</v>
      </c>
      <c r="D2442" s="965" t="s">
        <v>2709</v>
      </c>
      <c r="E2442" s="965">
        <v>1476320</v>
      </c>
      <c r="F2442" s="965">
        <v>121732604200</v>
      </c>
      <c r="G2442" s="965">
        <v>82800</v>
      </c>
      <c r="H2442" s="965">
        <v>84700</v>
      </c>
      <c r="I2442" s="965">
        <v>81100</v>
      </c>
      <c r="J2442" s="965">
        <v>9042088</v>
      </c>
      <c r="K2442" s="965">
        <v>111355765</v>
      </c>
    </row>
    <row r="2443" spans="2:11" s="1258" customFormat="1" ht="16" hidden="1" outlineLevel="1">
      <c r="B2443" s="966" t="s">
        <v>2474</v>
      </c>
      <c r="C2443" s="965">
        <v>84000</v>
      </c>
      <c r="D2443" s="965" t="s">
        <v>2221</v>
      </c>
      <c r="E2443" s="965">
        <v>2440776</v>
      </c>
      <c r="F2443" s="965">
        <v>199522068400</v>
      </c>
      <c r="G2443" s="965">
        <v>82500</v>
      </c>
      <c r="H2443" s="965">
        <v>84800</v>
      </c>
      <c r="I2443" s="965">
        <v>79900</v>
      </c>
      <c r="J2443" s="965">
        <v>9353884</v>
      </c>
      <c r="K2443" s="965">
        <v>111355765</v>
      </c>
    </row>
    <row r="2444" spans="2:11" s="1258" customFormat="1" ht="16" hidden="1" outlineLevel="1">
      <c r="B2444" s="966" t="s">
        <v>2473</v>
      </c>
      <c r="C2444" s="965">
        <v>84000</v>
      </c>
      <c r="D2444" s="965" t="s">
        <v>1814</v>
      </c>
      <c r="E2444" s="965">
        <v>1045923</v>
      </c>
      <c r="F2444" s="965">
        <v>87789326800</v>
      </c>
      <c r="G2444" s="965">
        <v>84100</v>
      </c>
      <c r="H2444" s="965">
        <v>85500</v>
      </c>
      <c r="I2444" s="965">
        <v>83200</v>
      </c>
      <c r="J2444" s="965">
        <v>9353884</v>
      </c>
      <c r="K2444" s="965">
        <v>111355765</v>
      </c>
    </row>
    <row r="2445" spans="2:11" s="1258" customFormat="1" ht="16" hidden="1" outlineLevel="1">
      <c r="B2445" s="966" t="s">
        <v>2472</v>
      </c>
      <c r="C2445" s="965">
        <v>84500</v>
      </c>
      <c r="D2445" s="965" t="s">
        <v>2208</v>
      </c>
      <c r="E2445" s="965">
        <v>1622414</v>
      </c>
      <c r="F2445" s="965">
        <v>137511078800</v>
      </c>
      <c r="G2445" s="965">
        <v>83500</v>
      </c>
      <c r="H2445" s="965">
        <v>86000</v>
      </c>
      <c r="I2445" s="965">
        <v>83100</v>
      </c>
      <c r="J2445" s="965">
        <v>9409562</v>
      </c>
      <c r="K2445" s="965">
        <v>111355765</v>
      </c>
    </row>
    <row r="2446" spans="2:11" s="1258" customFormat="1" ht="16" hidden="1" outlineLevel="1">
      <c r="B2446" s="966" t="s">
        <v>2471</v>
      </c>
      <c r="C2446" s="965">
        <v>83800</v>
      </c>
      <c r="D2446" s="965" t="s">
        <v>2251</v>
      </c>
      <c r="E2446" s="965">
        <v>1259184</v>
      </c>
      <c r="F2446" s="965">
        <v>104171591600</v>
      </c>
      <c r="G2446" s="965">
        <v>82900</v>
      </c>
      <c r="H2446" s="965">
        <v>84100</v>
      </c>
      <c r="I2446" s="965">
        <v>81500</v>
      </c>
      <c r="J2446" s="965">
        <v>9331613</v>
      </c>
      <c r="K2446" s="965">
        <v>111355765</v>
      </c>
    </row>
    <row r="2447" spans="2:11" s="1258" customFormat="1" ht="16" hidden="1" outlineLevel="1">
      <c r="B2447" s="966" t="s">
        <v>2470</v>
      </c>
      <c r="C2447" s="965">
        <v>83200</v>
      </c>
      <c r="D2447" s="965" t="s">
        <v>2274</v>
      </c>
      <c r="E2447" s="965">
        <v>1787871</v>
      </c>
      <c r="F2447" s="965">
        <v>151577721000</v>
      </c>
      <c r="G2447" s="965">
        <v>86000</v>
      </c>
      <c r="H2447" s="965">
        <v>86800</v>
      </c>
      <c r="I2447" s="965">
        <v>83200</v>
      </c>
      <c r="J2447" s="965">
        <v>9264800</v>
      </c>
      <c r="K2447" s="965">
        <v>111355765</v>
      </c>
    </row>
    <row r="2448" spans="2:11" s="1258" customFormat="1" ht="16" hidden="1" outlineLevel="1">
      <c r="B2448" s="966" t="s">
        <v>2468</v>
      </c>
      <c r="C2448" s="965">
        <v>86700</v>
      </c>
      <c r="D2448" s="965" t="s">
        <v>2236</v>
      </c>
      <c r="E2448" s="965">
        <v>1335887</v>
      </c>
      <c r="F2448" s="965">
        <v>114504160100</v>
      </c>
      <c r="G2448" s="965">
        <v>85700</v>
      </c>
      <c r="H2448" s="965">
        <v>87200</v>
      </c>
      <c r="I2448" s="965">
        <v>84400</v>
      </c>
      <c r="J2448" s="965">
        <v>9654545</v>
      </c>
      <c r="K2448" s="965">
        <v>111355765</v>
      </c>
    </row>
    <row r="2449" spans="2:11" s="1258" customFormat="1" ht="16" hidden="1" outlineLevel="1">
      <c r="B2449" s="966" t="s">
        <v>2467</v>
      </c>
      <c r="C2449" s="965">
        <v>85700</v>
      </c>
      <c r="D2449" s="965" t="s">
        <v>2708</v>
      </c>
      <c r="E2449" s="965">
        <v>3219940</v>
      </c>
      <c r="F2449" s="965">
        <v>271433096400</v>
      </c>
      <c r="G2449" s="965">
        <v>80700</v>
      </c>
      <c r="H2449" s="965">
        <v>85800</v>
      </c>
      <c r="I2449" s="965">
        <v>80600</v>
      </c>
      <c r="J2449" s="965">
        <v>9543189</v>
      </c>
      <c r="K2449" s="965">
        <v>111355765</v>
      </c>
    </row>
    <row r="2450" spans="2:11" s="1258" customFormat="1" ht="16" hidden="1" outlineLevel="1">
      <c r="B2450" s="966" t="s">
        <v>2466</v>
      </c>
      <c r="C2450" s="965">
        <v>80800</v>
      </c>
      <c r="D2450" s="965" t="s">
        <v>2208</v>
      </c>
      <c r="E2450" s="965">
        <v>1118290</v>
      </c>
      <c r="F2450" s="965">
        <v>90397389700</v>
      </c>
      <c r="G2450" s="965">
        <v>80200</v>
      </c>
      <c r="H2450" s="965">
        <v>81700</v>
      </c>
      <c r="I2450" s="965">
        <v>79700</v>
      </c>
      <c r="J2450" s="965">
        <v>8997546</v>
      </c>
      <c r="K2450" s="965">
        <v>111355765</v>
      </c>
    </row>
    <row r="2451" spans="2:11" s="1258" customFormat="1" ht="16" hidden="1" outlineLevel="1">
      <c r="B2451" s="966" t="s">
        <v>2465</v>
      </c>
      <c r="C2451" s="965">
        <v>80100</v>
      </c>
      <c r="D2451" s="965" t="s">
        <v>2211</v>
      </c>
      <c r="E2451" s="965">
        <v>1165130</v>
      </c>
      <c r="F2451" s="965">
        <v>93249151100</v>
      </c>
      <c r="G2451" s="965">
        <v>80400</v>
      </c>
      <c r="H2451" s="965">
        <v>81100</v>
      </c>
      <c r="I2451" s="965">
        <v>79400</v>
      </c>
      <c r="J2451" s="965">
        <v>8919597</v>
      </c>
      <c r="K2451" s="965">
        <v>111355765</v>
      </c>
    </row>
    <row r="2452" spans="2:11" s="1258" customFormat="1" ht="16" hidden="1" outlineLevel="1">
      <c r="B2452" s="966" t="s">
        <v>2464</v>
      </c>
      <c r="C2452" s="965">
        <v>80500</v>
      </c>
      <c r="D2452" s="965" t="s">
        <v>2243</v>
      </c>
      <c r="E2452" s="965">
        <v>856366</v>
      </c>
      <c r="F2452" s="965">
        <v>68465875700</v>
      </c>
      <c r="G2452" s="965">
        <v>80200</v>
      </c>
      <c r="H2452" s="965">
        <v>80700</v>
      </c>
      <c r="I2452" s="965">
        <v>79200</v>
      </c>
      <c r="J2452" s="965">
        <v>8964139</v>
      </c>
      <c r="K2452" s="965">
        <v>111355765</v>
      </c>
    </row>
    <row r="2453" spans="2:11" s="1258" customFormat="1" ht="16" hidden="1" outlineLevel="1">
      <c r="B2453" s="966" t="s">
        <v>2463</v>
      </c>
      <c r="C2453" s="965">
        <v>80200</v>
      </c>
      <c r="D2453" s="965" t="s">
        <v>2232</v>
      </c>
      <c r="E2453" s="965">
        <v>1398968</v>
      </c>
      <c r="F2453" s="965">
        <v>112564245800</v>
      </c>
      <c r="G2453" s="965">
        <v>80500</v>
      </c>
      <c r="H2453" s="965">
        <v>82200</v>
      </c>
      <c r="I2453" s="965">
        <v>79000</v>
      </c>
      <c r="J2453" s="965">
        <v>8930732</v>
      </c>
      <c r="K2453" s="965">
        <v>111355765</v>
      </c>
    </row>
    <row r="2454" spans="2:11" s="1258" customFormat="1" ht="16" hidden="1" outlineLevel="1">
      <c r="B2454" s="966" t="s">
        <v>2461</v>
      </c>
      <c r="C2454" s="965">
        <v>80000</v>
      </c>
      <c r="D2454" s="965" t="s">
        <v>2638</v>
      </c>
      <c r="E2454" s="965">
        <v>1152259</v>
      </c>
      <c r="F2454" s="965">
        <v>92332105500</v>
      </c>
      <c r="G2454" s="965">
        <v>79500</v>
      </c>
      <c r="H2454" s="965">
        <v>81100</v>
      </c>
      <c r="I2454" s="965">
        <v>78800</v>
      </c>
      <c r="J2454" s="965">
        <v>8908461</v>
      </c>
      <c r="K2454" s="965">
        <v>111355765</v>
      </c>
    </row>
    <row r="2455" spans="2:11" s="1258" customFormat="1" ht="16" hidden="1" outlineLevel="1">
      <c r="B2455" s="966" t="s">
        <v>2459</v>
      </c>
      <c r="C2455" s="965">
        <v>79200</v>
      </c>
      <c r="D2455" s="965" t="s">
        <v>2251</v>
      </c>
      <c r="E2455" s="965">
        <v>1187026</v>
      </c>
      <c r="F2455" s="965">
        <v>94192759800</v>
      </c>
      <c r="G2455" s="965">
        <v>79300</v>
      </c>
      <c r="H2455" s="965">
        <v>80400</v>
      </c>
      <c r="I2455" s="965">
        <v>77900</v>
      </c>
      <c r="J2455" s="965">
        <v>8819377</v>
      </c>
      <c r="K2455" s="965">
        <v>111355765</v>
      </c>
    </row>
    <row r="2456" spans="2:11" s="1258" customFormat="1" ht="16" hidden="1" outlineLevel="1">
      <c r="B2456" s="966" t="s">
        <v>2457</v>
      </c>
      <c r="C2456" s="965">
        <v>78600</v>
      </c>
      <c r="D2456" s="965" t="s">
        <v>2252</v>
      </c>
      <c r="E2456" s="965">
        <v>1183504</v>
      </c>
      <c r="F2456" s="965">
        <v>92636433300</v>
      </c>
      <c r="G2456" s="965">
        <v>77700</v>
      </c>
      <c r="H2456" s="965">
        <v>78900</v>
      </c>
      <c r="I2456" s="965">
        <v>77200</v>
      </c>
      <c r="J2456" s="965">
        <v>8752563</v>
      </c>
      <c r="K2456" s="965">
        <v>111355765</v>
      </c>
    </row>
    <row r="2457" spans="2:11" s="1258" customFormat="1" ht="16" hidden="1" outlineLevel="1">
      <c r="B2457" s="966" t="s">
        <v>2455</v>
      </c>
      <c r="C2457" s="965">
        <v>77500</v>
      </c>
      <c r="D2457" s="965" t="s">
        <v>2212</v>
      </c>
      <c r="E2457" s="965">
        <v>900532</v>
      </c>
      <c r="F2457" s="965">
        <v>69669594700</v>
      </c>
      <c r="G2457" s="965">
        <v>76800</v>
      </c>
      <c r="H2457" s="965">
        <v>78100</v>
      </c>
      <c r="I2457" s="965">
        <v>76500</v>
      </c>
      <c r="J2457" s="965">
        <v>8630072</v>
      </c>
      <c r="K2457" s="965">
        <v>111355765</v>
      </c>
    </row>
    <row r="2458" spans="2:11" s="1258" customFormat="1" ht="16" hidden="1" outlineLevel="1">
      <c r="B2458" s="966" t="s">
        <v>2454</v>
      </c>
      <c r="C2458" s="965">
        <v>77400</v>
      </c>
      <c r="D2458" s="965" t="s">
        <v>2707</v>
      </c>
      <c r="E2458" s="965">
        <v>1851541</v>
      </c>
      <c r="F2458" s="965">
        <v>144214857563</v>
      </c>
      <c r="G2458" s="965">
        <v>80800</v>
      </c>
      <c r="H2458" s="965">
        <v>81200</v>
      </c>
      <c r="I2458" s="965">
        <v>76800</v>
      </c>
      <c r="J2458" s="965">
        <v>8618936</v>
      </c>
      <c r="K2458" s="965">
        <v>111355765</v>
      </c>
    </row>
    <row r="2459" spans="2:11" s="1258" customFormat="1" ht="16" hidden="1" outlineLevel="1">
      <c r="B2459" s="966" t="s">
        <v>2453</v>
      </c>
      <c r="C2459" s="965">
        <v>81200</v>
      </c>
      <c r="D2459" s="965" t="s">
        <v>1814</v>
      </c>
      <c r="E2459" s="965">
        <v>905974</v>
      </c>
      <c r="F2459" s="965">
        <v>73457522900</v>
      </c>
      <c r="G2459" s="965">
        <v>82500</v>
      </c>
      <c r="H2459" s="965">
        <v>82500</v>
      </c>
      <c r="I2459" s="965">
        <v>80400</v>
      </c>
      <c r="J2459" s="965">
        <v>9042088</v>
      </c>
      <c r="K2459" s="965">
        <v>111355765</v>
      </c>
    </row>
    <row r="2460" spans="2:11" s="1258" customFormat="1" ht="16" hidden="1" outlineLevel="1">
      <c r="B2460" s="966" t="s">
        <v>2451</v>
      </c>
      <c r="C2460" s="965">
        <v>81700</v>
      </c>
      <c r="D2460" s="965" t="s">
        <v>2211</v>
      </c>
      <c r="E2460" s="965">
        <v>792333</v>
      </c>
      <c r="F2460" s="965">
        <v>65171241800</v>
      </c>
      <c r="G2460" s="965">
        <v>83000</v>
      </c>
      <c r="H2460" s="965">
        <v>83900</v>
      </c>
      <c r="I2460" s="965">
        <v>81500</v>
      </c>
      <c r="J2460" s="965">
        <v>9097766</v>
      </c>
      <c r="K2460" s="965">
        <v>111355765</v>
      </c>
    </row>
    <row r="2461" spans="2:11" s="1258" customFormat="1" ht="16" hidden="1" outlineLevel="1">
      <c r="B2461" s="966" t="s">
        <v>2450</v>
      </c>
      <c r="C2461" s="965">
        <v>82100</v>
      </c>
      <c r="D2461" s="965" t="s">
        <v>2638</v>
      </c>
      <c r="E2461" s="965">
        <v>1053503</v>
      </c>
      <c r="F2461" s="965">
        <v>85799649900</v>
      </c>
      <c r="G2461" s="965">
        <v>82000</v>
      </c>
      <c r="H2461" s="965">
        <v>82700</v>
      </c>
      <c r="I2461" s="965">
        <v>79700</v>
      </c>
      <c r="J2461" s="965">
        <v>9142308</v>
      </c>
      <c r="K2461" s="965">
        <v>111355765</v>
      </c>
    </row>
    <row r="2462" spans="2:11" s="1258" customFormat="1" ht="16" hidden="1" outlineLevel="1">
      <c r="B2462" s="966" t="s">
        <v>2449</v>
      </c>
      <c r="C2462" s="965">
        <v>81300</v>
      </c>
      <c r="D2462" s="965" t="s">
        <v>2638</v>
      </c>
      <c r="E2462" s="965">
        <v>1106774</v>
      </c>
      <c r="F2462" s="965">
        <v>89423783600</v>
      </c>
      <c r="G2462" s="965">
        <v>80700</v>
      </c>
      <c r="H2462" s="965">
        <v>81500</v>
      </c>
      <c r="I2462" s="965">
        <v>79000</v>
      </c>
      <c r="J2462" s="965">
        <v>9053224</v>
      </c>
      <c r="K2462" s="965">
        <v>111355765</v>
      </c>
    </row>
    <row r="2463" spans="2:11" s="1258" customFormat="1" ht="16" hidden="1" outlineLevel="1">
      <c r="B2463" s="966" t="s">
        <v>2448</v>
      </c>
      <c r="C2463" s="965">
        <v>80500</v>
      </c>
      <c r="D2463" s="965" t="s">
        <v>2638</v>
      </c>
      <c r="E2463" s="965">
        <v>832462</v>
      </c>
      <c r="F2463" s="965">
        <v>67142061400</v>
      </c>
      <c r="G2463" s="965">
        <v>80500</v>
      </c>
      <c r="H2463" s="965">
        <v>81400</v>
      </c>
      <c r="I2463" s="965">
        <v>79700</v>
      </c>
      <c r="J2463" s="965">
        <v>8964139</v>
      </c>
      <c r="K2463" s="965">
        <v>111355765</v>
      </c>
    </row>
    <row r="2464" spans="2:11" s="1258" customFormat="1" ht="16" hidden="1" outlineLevel="1">
      <c r="B2464" s="966" t="s">
        <v>2447</v>
      </c>
      <c r="C2464" s="965">
        <v>79700</v>
      </c>
      <c r="D2464" s="965" t="s">
        <v>2289</v>
      </c>
      <c r="E2464" s="965">
        <v>1137106</v>
      </c>
      <c r="F2464" s="965">
        <v>89474761300</v>
      </c>
      <c r="G2464" s="965">
        <v>77200</v>
      </c>
      <c r="H2464" s="965">
        <v>79800</v>
      </c>
      <c r="I2464" s="965">
        <v>76200</v>
      </c>
      <c r="J2464" s="965">
        <v>8875054</v>
      </c>
      <c r="K2464" s="965">
        <v>111355765</v>
      </c>
    </row>
    <row r="2465" spans="2:11" s="1258" customFormat="1" ht="16" hidden="1" outlineLevel="1">
      <c r="B2465" s="966" t="s">
        <v>2446</v>
      </c>
      <c r="C2465" s="965">
        <v>76400</v>
      </c>
      <c r="D2465" s="965" t="s">
        <v>2211</v>
      </c>
      <c r="E2465" s="965">
        <v>713150</v>
      </c>
      <c r="F2465" s="965">
        <v>53863007800</v>
      </c>
      <c r="G2465" s="965">
        <v>75200</v>
      </c>
      <c r="H2465" s="965">
        <v>76400</v>
      </c>
      <c r="I2465" s="965">
        <v>74500</v>
      </c>
      <c r="J2465" s="965">
        <v>8507580</v>
      </c>
      <c r="K2465" s="965">
        <v>111355765</v>
      </c>
    </row>
    <row r="2466" spans="2:11" s="1258" customFormat="1" ht="16" hidden="1" outlineLevel="1">
      <c r="B2466" s="966" t="s">
        <v>2445</v>
      </c>
      <c r="C2466" s="965">
        <v>76800</v>
      </c>
      <c r="D2466" s="965" t="s">
        <v>2214</v>
      </c>
      <c r="E2466" s="965">
        <v>928940</v>
      </c>
      <c r="F2466" s="965">
        <v>71435996500</v>
      </c>
      <c r="G2466" s="965">
        <v>77000</v>
      </c>
      <c r="H2466" s="965">
        <v>78500</v>
      </c>
      <c r="I2466" s="965">
        <v>75500</v>
      </c>
      <c r="J2466" s="965">
        <v>8552123</v>
      </c>
      <c r="K2466" s="965">
        <v>111355765</v>
      </c>
    </row>
    <row r="2467" spans="2:11" s="1258" customFormat="1" ht="16" hidden="1" outlineLevel="1">
      <c r="B2467" s="966" t="s">
        <v>2443</v>
      </c>
      <c r="C2467" s="965">
        <v>76400</v>
      </c>
      <c r="D2467" s="965" t="s">
        <v>2247</v>
      </c>
      <c r="E2467" s="965">
        <v>1212966</v>
      </c>
      <c r="F2467" s="965">
        <v>92453428200</v>
      </c>
      <c r="G2467" s="965">
        <v>77000</v>
      </c>
      <c r="H2467" s="965">
        <v>78900</v>
      </c>
      <c r="I2467" s="965">
        <v>71800</v>
      </c>
      <c r="J2467" s="965">
        <v>8507580</v>
      </c>
      <c r="K2467" s="965">
        <v>111355765</v>
      </c>
    </row>
    <row r="2468" spans="2:11" s="1258" customFormat="1" ht="16" hidden="1" outlineLevel="1">
      <c r="B2468" s="966" t="s">
        <v>2441</v>
      </c>
      <c r="C2468" s="965">
        <v>77500</v>
      </c>
      <c r="D2468" s="965" t="s">
        <v>2243</v>
      </c>
      <c r="E2468" s="965">
        <v>1017409</v>
      </c>
      <c r="F2468" s="965">
        <v>77796003000</v>
      </c>
      <c r="G2468" s="965">
        <v>75500</v>
      </c>
      <c r="H2468" s="965">
        <v>78800</v>
      </c>
      <c r="I2468" s="965">
        <v>74900</v>
      </c>
      <c r="J2468" s="965">
        <v>8630072</v>
      </c>
      <c r="K2468" s="965">
        <v>111355765</v>
      </c>
    </row>
    <row r="2469" spans="2:11" s="1258" customFormat="1" ht="16" hidden="1" outlineLevel="1">
      <c r="B2469" s="966" t="s">
        <v>2439</v>
      </c>
      <c r="C2469" s="965">
        <v>77200</v>
      </c>
      <c r="D2469" s="965" t="s">
        <v>2305</v>
      </c>
      <c r="E2469" s="965">
        <v>1049789</v>
      </c>
      <c r="F2469" s="965">
        <v>80500813000</v>
      </c>
      <c r="G2469" s="965">
        <v>76600</v>
      </c>
      <c r="H2469" s="965">
        <v>77900</v>
      </c>
      <c r="I2469" s="965">
        <v>75800</v>
      </c>
      <c r="J2469" s="965">
        <v>8596665</v>
      </c>
      <c r="K2469" s="965">
        <v>111355765</v>
      </c>
    </row>
    <row r="2470" spans="2:11" s="1258" customFormat="1" ht="16" hidden="1" outlineLevel="1">
      <c r="B2470" s="966" t="s">
        <v>2438</v>
      </c>
      <c r="C2470" s="965">
        <v>78800</v>
      </c>
      <c r="D2470" s="965" t="s">
        <v>2634</v>
      </c>
      <c r="E2470" s="965">
        <v>1118008</v>
      </c>
      <c r="F2470" s="965">
        <v>88989404500</v>
      </c>
      <c r="G2470" s="965">
        <v>80300</v>
      </c>
      <c r="H2470" s="965">
        <v>81400</v>
      </c>
      <c r="I2470" s="965">
        <v>78500</v>
      </c>
      <c r="J2470" s="965">
        <v>8774834</v>
      </c>
      <c r="K2470" s="965">
        <v>111355765</v>
      </c>
    </row>
    <row r="2471" spans="2:11" s="1258" customFormat="1" ht="16" hidden="1" outlineLevel="1">
      <c r="B2471" s="966" t="s">
        <v>2436</v>
      </c>
      <c r="C2471" s="965">
        <v>80100</v>
      </c>
      <c r="D2471" s="965" t="s">
        <v>1814</v>
      </c>
      <c r="E2471" s="965">
        <v>832496</v>
      </c>
      <c r="F2471" s="965">
        <v>67219539400</v>
      </c>
      <c r="G2471" s="965">
        <v>81200</v>
      </c>
      <c r="H2471" s="965">
        <v>82200</v>
      </c>
      <c r="I2471" s="965">
        <v>79500</v>
      </c>
      <c r="J2471" s="965">
        <v>8919597</v>
      </c>
      <c r="K2471" s="965">
        <v>111355765</v>
      </c>
    </row>
    <row r="2472" spans="2:11" s="1258" customFormat="1" ht="16" hidden="1" outlineLevel="1">
      <c r="B2472" s="966" t="s">
        <v>2435</v>
      </c>
      <c r="C2472" s="965">
        <v>80600</v>
      </c>
      <c r="D2472" s="965" t="s">
        <v>2243</v>
      </c>
      <c r="E2472" s="965">
        <v>1073161</v>
      </c>
      <c r="F2472" s="965">
        <v>86184804500</v>
      </c>
      <c r="G2472" s="965">
        <v>80600</v>
      </c>
      <c r="H2472" s="965">
        <v>81800</v>
      </c>
      <c r="I2472" s="965">
        <v>78500</v>
      </c>
      <c r="J2472" s="965">
        <v>8975275</v>
      </c>
      <c r="K2472" s="965">
        <v>111355765</v>
      </c>
    </row>
    <row r="2473" spans="2:11" s="1258" customFormat="1" ht="16" hidden="1" outlineLevel="1">
      <c r="B2473" s="966" t="s">
        <v>2433</v>
      </c>
      <c r="C2473" s="965">
        <v>80300</v>
      </c>
      <c r="D2473" s="965" t="s">
        <v>2625</v>
      </c>
      <c r="E2473" s="965">
        <v>1653840</v>
      </c>
      <c r="F2473" s="965">
        <v>133516087400</v>
      </c>
      <c r="G2473" s="965">
        <v>78200</v>
      </c>
      <c r="H2473" s="965">
        <v>82400</v>
      </c>
      <c r="I2473" s="965">
        <v>78200</v>
      </c>
      <c r="J2473" s="965">
        <v>8941868</v>
      </c>
      <c r="K2473" s="965">
        <v>111355765</v>
      </c>
    </row>
    <row r="2474" spans="2:11" s="1258" customFormat="1" ht="16" hidden="1" outlineLevel="1">
      <c r="B2474" s="966" t="s">
        <v>2431</v>
      </c>
      <c r="C2474" s="965">
        <v>78200</v>
      </c>
      <c r="D2474" s="965" t="s">
        <v>2625</v>
      </c>
      <c r="E2474" s="965">
        <v>1350001</v>
      </c>
      <c r="F2474" s="965">
        <v>105902097400</v>
      </c>
      <c r="G2474" s="965">
        <v>78100</v>
      </c>
      <c r="H2474" s="965">
        <v>79200</v>
      </c>
      <c r="I2474" s="965">
        <v>77100</v>
      </c>
      <c r="J2474" s="965">
        <v>8708021</v>
      </c>
      <c r="K2474" s="965">
        <v>111355765</v>
      </c>
    </row>
    <row r="2475" spans="2:11" s="1258" customFormat="1" ht="16" hidden="1" outlineLevel="1">
      <c r="B2475" s="966" t="s">
        <v>2430</v>
      </c>
      <c r="C2475" s="965">
        <v>76100</v>
      </c>
      <c r="D2475" s="965" t="s">
        <v>2706</v>
      </c>
      <c r="E2475" s="965">
        <v>1387449</v>
      </c>
      <c r="F2475" s="965">
        <v>102661717700</v>
      </c>
      <c r="G2475" s="965">
        <v>72000</v>
      </c>
      <c r="H2475" s="965">
        <v>76200</v>
      </c>
      <c r="I2475" s="965">
        <v>71500</v>
      </c>
      <c r="J2475" s="965">
        <v>8474174</v>
      </c>
      <c r="K2475" s="965">
        <v>111355765</v>
      </c>
    </row>
    <row r="2476" spans="2:11" s="1258" customFormat="1" ht="16" hidden="1" outlineLevel="1">
      <c r="B2476" s="966" t="s">
        <v>2428</v>
      </c>
      <c r="C2476" s="965">
        <v>71400</v>
      </c>
      <c r="D2476" s="965" t="s">
        <v>2705</v>
      </c>
      <c r="E2476" s="965">
        <v>1140210</v>
      </c>
      <c r="F2476" s="965">
        <v>82115915500</v>
      </c>
      <c r="G2476" s="965">
        <v>72500</v>
      </c>
      <c r="H2476" s="965">
        <v>73200</v>
      </c>
      <c r="I2476" s="965">
        <v>70900</v>
      </c>
      <c r="J2476" s="965">
        <v>7950802</v>
      </c>
      <c r="K2476" s="965">
        <v>111355765</v>
      </c>
    </row>
    <row r="2477" spans="2:11" s="1258" customFormat="1" ht="16" hidden="1" outlineLevel="1">
      <c r="B2477" s="966" t="s">
        <v>2427</v>
      </c>
      <c r="C2477" s="965">
        <v>74500</v>
      </c>
      <c r="D2477" s="965" t="s">
        <v>2248</v>
      </c>
      <c r="E2477" s="965">
        <v>978318</v>
      </c>
      <c r="F2477" s="965">
        <v>73561563800</v>
      </c>
      <c r="G2477" s="965">
        <v>74300</v>
      </c>
      <c r="H2477" s="965">
        <v>76700</v>
      </c>
      <c r="I2477" s="965">
        <v>73800</v>
      </c>
      <c r="J2477" s="965">
        <v>8296004</v>
      </c>
      <c r="K2477" s="965">
        <v>111355765</v>
      </c>
    </row>
    <row r="2478" spans="2:11" s="1258" customFormat="1" ht="16" hidden="1" outlineLevel="1">
      <c r="B2478" s="966" t="s">
        <v>2425</v>
      </c>
      <c r="C2478" s="965">
        <v>75500</v>
      </c>
      <c r="D2478" s="965" t="s">
        <v>2704</v>
      </c>
      <c r="E2478" s="965">
        <v>1694338</v>
      </c>
      <c r="F2478" s="965">
        <v>125669171700</v>
      </c>
      <c r="G2478" s="965">
        <v>72700</v>
      </c>
      <c r="H2478" s="965">
        <v>75700</v>
      </c>
      <c r="I2478" s="965">
        <v>72300</v>
      </c>
      <c r="J2478" s="965">
        <v>8407360</v>
      </c>
      <c r="K2478" s="965">
        <v>111355765</v>
      </c>
    </row>
    <row r="2479" spans="2:11" s="1258" customFormat="1" ht="16" hidden="1" outlineLevel="1">
      <c r="B2479" s="966" t="s">
        <v>2423</v>
      </c>
      <c r="C2479" s="965">
        <v>70900</v>
      </c>
      <c r="D2479" s="965" t="s">
        <v>2208</v>
      </c>
      <c r="E2479" s="965">
        <v>1770326</v>
      </c>
      <c r="F2479" s="965">
        <v>125916506300</v>
      </c>
      <c r="G2479" s="965">
        <v>69800</v>
      </c>
      <c r="H2479" s="965">
        <v>72700</v>
      </c>
      <c r="I2479" s="965">
        <v>69200</v>
      </c>
      <c r="J2479" s="965">
        <v>7895124</v>
      </c>
      <c r="K2479" s="965">
        <v>111355765</v>
      </c>
    </row>
    <row r="2480" spans="2:11" s="1258" customFormat="1" ht="16" hidden="1" outlineLevel="1">
      <c r="B2480" s="966" t="s">
        <v>2422</v>
      </c>
      <c r="C2480" s="965">
        <v>70200</v>
      </c>
      <c r="D2480" s="965" t="s">
        <v>2661</v>
      </c>
      <c r="E2480" s="965">
        <v>2863257</v>
      </c>
      <c r="F2480" s="965">
        <v>203073833600</v>
      </c>
      <c r="G2480" s="965">
        <v>71700</v>
      </c>
      <c r="H2480" s="965">
        <v>73400</v>
      </c>
      <c r="I2480" s="965">
        <v>68800</v>
      </c>
      <c r="J2480" s="965">
        <v>7817175</v>
      </c>
      <c r="K2480" s="965">
        <v>111355765</v>
      </c>
    </row>
    <row r="2481" spans="2:11" s="1258" customFormat="1" ht="16" hidden="1" outlineLevel="1">
      <c r="B2481" s="966" t="s">
        <v>2420</v>
      </c>
      <c r="C2481" s="965">
        <v>72300</v>
      </c>
      <c r="D2481" s="965" t="s">
        <v>2703</v>
      </c>
      <c r="E2481" s="965">
        <v>3760718</v>
      </c>
      <c r="F2481" s="965">
        <v>276753152800</v>
      </c>
      <c r="G2481" s="965">
        <v>78600</v>
      </c>
      <c r="H2481" s="965">
        <v>78600</v>
      </c>
      <c r="I2481" s="965">
        <v>71500</v>
      </c>
      <c r="J2481" s="965">
        <v>8051022</v>
      </c>
      <c r="K2481" s="965">
        <v>111355765</v>
      </c>
    </row>
    <row r="2482" spans="2:11" s="1258" customFormat="1" ht="16" hidden="1" outlineLevel="1">
      <c r="B2482" s="966" t="s">
        <v>2418</v>
      </c>
      <c r="C2482" s="965">
        <v>80100</v>
      </c>
      <c r="D2482" s="965" t="s">
        <v>2211</v>
      </c>
      <c r="E2482" s="965">
        <v>851929</v>
      </c>
      <c r="F2482" s="965">
        <v>68174975700</v>
      </c>
      <c r="G2482" s="965">
        <v>79200</v>
      </c>
      <c r="H2482" s="965">
        <v>81400</v>
      </c>
      <c r="I2482" s="965">
        <v>78600</v>
      </c>
      <c r="J2482" s="965">
        <v>8919597</v>
      </c>
      <c r="K2482" s="965">
        <v>111355765</v>
      </c>
    </row>
    <row r="2483" spans="2:11" s="1258" customFormat="1" ht="16" hidden="1" outlineLevel="1">
      <c r="B2483" s="966" t="s">
        <v>2417</v>
      </c>
      <c r="C2483" s="965">
        <v>80500</v>
      </c>
      <c r="D2483" s="965" t="s">
        <v>2289</v>
      </c>
      <c r="E2483" s="965">
        <v>1058717</v>
      </c>
      <c r="F2483" s="965">
        <v>84507442800</v>
      </c>
      <c r="G2483" s="965">
        <v>77300</v>
      </c>
      <c r="H2483" s="965">
        <v>81400</v>
      </c>
      <c r="I2483" s="965">
        <v>77300</v>
      </c>
      <c r="J2483" s="965">
        <v>8964139</v>
      </c>
      <c r="K2483" s="965">
        <v>111355765</v>
      </c>
    </row>
    <row r="2484" spans="2:11" s="1258" customFormat="1" ht="16" hidden="1" outlineLevel="1">
      <c r="B2484" s="966" t="s">
        <v>2416</v>
      </c>
      <c r="C2484" s="965">
        <v>77200</v>
      </c>
      <c r="D2484" s="965" t="s">
        <v>2234</v>
      </c>
      <c r="E2484" s="965">
        <v>1216791</v>
      </c>
      <c r="F2484" s="965">
        <v>93820604700</v>
      </c>
      <c r="G2484" s="965">
        <v>78000</v>
      </c>
      <c r="H2484" s="965">
        <v>78500</v>
      </c>
      <c r="I2484" s="965">
        <v>75800</v>
      </c>
      <c r="J2484" s="965">
        <v>8596665</v>
      </c>
      <c r="K2484" s="965">
        <v>111355765</v>
      </c>
    </row>
    <row r="2485" spans="2:11" s="1258" customFormat="1" ht="16" hidden="1" outlineLevel="1">
      <c r="B2485" s="966" t="s">
        <v>2414</v>
      </c>
      <c r="C2485" s="965">
        <v>77900</v>
      </c>
      <c r="D2485" s="965" t="s">
        <v>2662</v>
      </c>
      <c r="E2485" s="965">
        <v>1626627</v>
      </c>
      <c r="F2485" s="965">
        <v>130077759300</v>
      </c>
      <c r="G2485" s="965">
        <v>82700</v>
      </c>
      <c r="H2485" s="965">
        <v>83000</v>
      </c>
      <c r="I2485" s="965">
        <v>77800</v>
      </c>
      <c r="J2485" s="965">
        <v>8674614</v>
      </c>
      <c r="K2485" s="965">
        <v>111355765</v>
      </c>
    </row>
    <row r="2486" spans="2:11" s="1258" customFormat="1" ht="16" hidden="1" outlineLevel="1">
      <c r="B2486" s="966" t="s">
        <v>2412</v>
      </c>
      <c r="C2486" s="965">
        <v>81200</v>
      </c>
      <c r="D2486" s="965" t="s">
        <v>2298</v>
      </c>
      <c r="E2486" s="965">
        <v>1102702</v>
      </c>
      <c r="F2486" s="965">
        <v>89122147000</v>
      </c>
      <c r="G2486" s="965">
        <v>82000</v>
      </c>
      <c r="H2486" s="965">
        <v>82500</v>
      </c>
      <c r="I2486" s="965">
        <v>80100</v>
      </c>
      <c r="J2486" s="965">
        <v>9042088</v>
      </c>
      <c r="K2486" s="965">
        <v>111355765</v>
      </c>
    </row>
    <row r="2487" spans="2:11" s="1258" customFormat="1" ht="16" hidden="1" outlineLevel="1">
      <c r="B2487" s="966" t="s">
        <v>2410</v>
      </c>
      <c r="C2487" s="965">
        <v>82600</v>
      </c>
      <c r="D2487" s="965" t="s">
        <v>2241</v>
      </c>
      <c r="E2487" s="965">
        <v>640536</v>
      </c>
      <c r="F2487" s="965">
        <v>53242510900</v>
      </c>
      <c r="G2487" s="965">
        <v>83800</v>
      </c>
      <c r="H2487" s="965">
        <v>84500</v>
      </c>
      <c r="I2487" s="965">
        <v>82100</v>
      </c>
      <c r="J2487" s="965">
        <v>9197986</v>
      </c>
      <c r="K2487" s="965">
        <v>111355765</v>
      </c>
    </row>
    <row r="2488" spans="2:11" s="1258" customFormat="1" ht="16" hidden="1" outlineLevel="1">
      <c r="B2488" s="966" t="s">
        <v>2409</v>
      </c>
      <c r="C2488" s="965">
        <v>83500</v>
      </c>
      <c r="D2488" s="965" t="s">
        <v>2247</v>
      </c>
      <c r="E2488" s="965">
        <v>806504</v>
      </c>
      <c r="F2488" s="965">
        <v>68018783500</v>
      </c>
      <c r="G2488" s="965">
        <v>82700</v>
      </c>
      <c r="H2488" s="965">
        <v>86200</v>
      </c>
      <c r="I2488" s="965">
        <v>82700</v>
      </c>
      <c r="J2488" s="965">
        <v>9298206</v>
      </c>
      <c r="K2488" s="965">
        <v>111355765</v>
      </c>
    </row>
    <row r="2489" spans="2:11" s="1258" customFormat="1" ht="16" hidden="1" outlineLevel="1">
      <c r="B2489" s="966" t="s">
        <v>2407</v>
      </c>
      <c r="C2489" s="965">
        <v>84600</v>
      </c>
      <c r="D2489" s="965" t="s">
        <v>2241</v>
      </c>
      <c r="E2489" s="965">
        <v>1015553</v>
      </c>
      <c r="F2489" s="965">
        <v>85077800000</v>
      </c>
      <c r="G2489" s="965">
        <v>85100</v>
      </c>
      <c r="H2489" s="965">
        <v>85900</v>
      </c>
      <c r="I2489" s="965">
        <v>82600</v>
      </c>
      <c r="J2489" s="965">
        <v>9420698</v>
      </c>
      <c r="K2489" s="965">
        <v>111355765</v>
      </c>
    </row>
    <row r="2490" spans="2:11" s="1258" customFormat="1" ht="16" hidden="1" outlineLevel="1">
      <c r="B2490" s="966" t="s">
        <v>2406</v>
      </c>
      <c r="C2490" s="965">
        <v>85500</v>
      </c>
      <c r="D2490" s="965" t="s">
        <v>2304</v>
      </c>
      <c r="E2490" s="965">
        <v>763532</v>
      </c>
      <c r="F2490" s="965">
        <v>65764751200</v>
      </c>
      <c r="G2490" s="965">
        <v>87000</v>
      </c>
      <c r="H2490" s="965">
        <v>88100</v>
      </c>
      <c r="I2490" s="965">
        <v>85300</v>
      </c>
      <c r="J2490" s="965">
        <v>9520918</v>
      </c>
      <c r="K2490" s="965">
        <v>111355765</v>
      </c>
    </row>
    <row r="2491" spans="2:11" s="1258" customFormat="1" ht="16" hidden="1" outlineLevel="1">
      <c r="B2491" s="966" t="s">
        <v>2404</v>
      </c>
      <c r="C2491" s="965">
        <v>87200</v>
      </c>
      <c r="D2491" s="965" t="s">
        <v>2235</v>
      </c>
      <c r="E2491" s="965">
        <v>1018398</v>
      </c>
      <c r="F2491" s="965">
        <v>90184479300</v>
      </c>
      <c r="G2491" s="965">
        <v>89700</v>
      </c>
      <c r="H2491" s="965">
        <v>90900</v>
      </c>
      <c r="I2491" s="965">
        <v>87000</v>
      </c>
      <c r="J2491" s="965">
        <v>9710223</v>
      </c>
      <c r="K2491" s="965">
        <v>111355765</v>
      </c>
    </row>
    <row r="2492" spans="2:11" s="1258" customFormat="1" ht="16" hidden="1" outlineLevel="1">
      <c r="B2492" s="966" t="s">
        <v>2403</v>
      </c>
      <c r="C2492" s="965">
        <v>89700</v>
      </c>
      <c r="D2492" s="965" t="s">
        <v>2672</v>
      </c>
      <c r="E2492" s="965">
        <v>1371395</v>
      </c>
      <c r="F2492" s="965">
        <v>122699748600</v>
      </c>
      <c r="G2492" s="965">
        <v>87700</v>
      </c>
      <c r="H2492" s="965">
        <v>90400</v>
      </c>
      <c r="I2492" s="965">
        <v>87200</v>
      </c>
      <c r="J2492" s="965">
        <v>9988612</v>
      </c>
      <c r="K2492" s="965">
        <v>111355765</v>
      </c>
    </row>
    <row r="2493" spans="2:11" s="1258" customFormat="1" ht="16" hidden="1" outlineLevel="1">
      <c r="B2493" s="966" t="s">
        <v>2401</v>
      </c>
      <c r="C2493" s="965">
        <v>86200</v>
      </c>
      <c r="D2493" s="965" t="s">
        <v>2234</v>
      </c>
      <c r="E2493" s="965">
        <v>617435</v>
      </c>
      <c r="F2493" s="965">
        <v>54037185700</v>
      </c>
      <c r="G2493" s="965">
        <v>88000</v>
      </c>
      <c r="H2493" s="965">
        <v>88500</v>
      </c>
      <c r="I2493" s="965">
        <v>86200</v>
      </c>
      <c r="J2493" s="965">
        <v>9598867</v>
      </c>
      <c r="K2493" s="965">
        <v>111355765</v>
      </c>
    </row>
    <row r="2494" spans="2:11" s="1258" customFormat="1" ht="16" hidden="1" outlineLevel="1">
      <c r="B2494" s="966" t="s">
        <v>2399</v>
      </c>
      <c r="C2494" s="965">
        <v>86900</v>
      </c>
      <c r="D2494" s="965" t="s">
        <v>2244</v>
      </c>
      <c r="E2494" s="965">
        <v>1026287</v>
      </c>
      <c r="F2494" s="965">
        <v>88498731100</v>
      </c>
      <c r="G2494" s="965">
        <v>86700</v>
      </c>
      <c r="H2494" s="965">
        <v>88200</v>
      </c>
      <c r="I2494" s="965">
        <v>84100</v>
      </c>
      <c r="J2494" s="965">
        <v>9676816</v>
      </c>
      <c r="K2494" s="965">
        <v>111355765</v>
      </c>
    </row>
    <row r="2495" spans="2:11" s="1258" customFormat="1" ht="16" hidden="1" outlineLevel="1">
      <c r="B2495" s="966" t="s">
        <v>2397</v>
      </c>
      <c r="C2495" s="965">
        <v>88400</v>
      </c>
      <c r="D2495" s="965" t="s">
        <v>2250</v>
      </c>
      <c r="E2495" s="965">
        <v>877940</v>
      </c>
      <c r="F2495" s="965">
        <v>77374897300</v>
      </c>
      <c r="G2495" s="965">
        <v>87200</v>
      </c>
      <c r="H2495" s="965">
        <v>88700</v>
      </c>
      <c r="I2495" s="965">
        <v>86800</v>
      </c>
      <c r="J2495" s="965">
        <v>9843850</v>
      </c>
      <c r="K2495" s="965">
        <v>111355765</v>
      </c>
    </row>
    <row r="2496" spans="2:11" s="1258" customFormat="1" ht="16" hidden="1" outlineLevel="1">
      <c r="B2496" s="966" t="s">
        <v>2395</v>
      </c>
      <c r="C2496" s="965">
        <v>87200</v>
      </c>
      <c r="D2496" s="965" t="s">
        <v>2212</v>
      </c>
      <c r="E2496" s="965">
        <v>606048</v>
      </c>
      <c r="F2496" s="965">
        <v>52960455300</v>
      </c>
      <c r="G2496" s="965">
        <v>87500</v>
      </c>
      <c r="H2496" s="965">
        <v>88100</v>
      </c>
      <c r="I2496" s="965">
        <v>86700</v>
      </c>
      <c r="J2496" s="965">
        <v>9710223</v>
      </c>
      <c r="K2496" s="965">
        <v>111355765</v>
      </c>
    </row>
    <row r="2497" spans="2:11" s="1258" customFormat="1" ht="16" hidden="1" outlineLevel="1">
      <c r="B2497" s="966" t="s">
        <v>2394</v>
      </c>
      <c r="C2497" s="965">
        <v>87100</v>
      </c>
      <c r="D2497" s="965" t="s">
        <v>2251</v>
      </c>
      <c r="E2497" s="965">
        <v>551204</v>
      </c>
      <c r="F2497" s="965">
        <v>48158169200</v>
      </c>
      <c r="G2497" s="965">
        <v>86700</v>
      </c>
      <c r="H2497" s="965">
        <v>88400</v>
      </c>
      <c r="I2497" s="965">
        <v>86500</v>
      </c>
      <c r="J2497" s="965">
        <v>9699087</v>
      </c>
      <c r="K2497" s="965">
        <v>111355765</v>
      </c>
    </row>
    <row r="2498" spans="2:11" s="1258" customFormat="1" ht="16" hidden="1" outlineLevel="1">
      <c r="B2498" s="966" t="s">
        <v>2393</v>
      </c>
      <c r="C2498" s="965">
        <v>86500</v>
      </c>
      <c r="D2498" s="965" t="s">
        <v>2625</v>
      </c>
      <c r="E2498" s="965">
        <v>1207656</v>
      </c>
      <c r="F2498" s="965">
        <v>105450197700</v>
      </c>
      <c r="G2498" s="965">
        <v>85000</v>
      </c>
      <c r="H2498" s="965">
        <v>88200</v>
      </c>
      <c r="I2498" s="965">
        <v>85000</v>
      </c>
      <c r="J2498" s="965">
        <v>9632274</v>
      </c>
      <c r="K2498" s="965">
        <v>111355765</v>
      </c>
    </row>
    <row r="2499" spans="2:11" s="1258" customFormat="1" ht="16" hidden="1" outlineLevel="1">
      <c r="B2499" s="966" t="s">
        <v>2391</v>
      </c>
      <c r="C2499" s="965">
        <v>84400</v>
      </c>
      <c r="D2499" s="965" t="s">
        <v>2251</v>
      </c>
      <c r="E2499" s="965">
        <v>1146250</v>
      </c>
      <c r="F2499" s="965">
        <v>97565904100</v>
      </c>
      <c r="G2499" s="965">
        <v>83500</v>
      </c>
      <c r="H2499" s="965">
        <v>86000</v>
      </c>
      <c r="I2499" s="965">
        <v>83300</v>
      </c>
      <c r="J2499" s="965">
        <v>9398427</v>
      </c>
      <c r="K2499" s="965">
        <v>111355765</v>
      </c>
    </row>
    <row r="2500" spans="2:11" s="1258" customFormat="1" ht="16" hidden="1" outlineLevel="1">
      <c r="B2500" s="966" t="s">
        <v>2389</v>
      </c>
      <c r="C2500" s="965">
        <v>83800</v>
      </c>
      <c r="D2500" s="965" t="s">
        <v>2272</v>
      </c>
      <c r="E2500" s="965">
        <v>1897538</v>
      </c>
      <c r="F2500" s="965">
        <v>161326380100</v>
      </c>
      <c r="G2500" s="965">
        <v>87500</v>
      </c>
      <c r="H2500" s="965">
        <v>87900</v>
      </c>
      <c r="I2500" s="965">
        <v>83700</v>
      </c>
      <c r="J2500" s="965">
        <v>9331613</v>
      </c>
      <c r="K2500" s="965">
        <v>111355765</v>
      </c>
    </row>
    <row r="2501" spans="2:11" s="1258" customFormat="1" ht="16" hidden="1" outlineLevel="1">
      <c r="B2501" s="966" t="s">
        <v>2388</v>
      </c>
      <c r="C2501" s="965">
        <v>88300</v>
      </c>
      <c r="D2501" s="965" t="s">
        <v>2248</v>
      </c>
      <c r="E2501" s="965">
        <v>902819</v>
      </c>
      <c r="F2501" s="965">
        <v>80085195000</v>
      </c>
      <c r="G2501" s="965">
        <v>89300</v>
      </c>
      <c r="H2501" s="965">
        <v>89900</v>
      </c>
      <c r="I2501" s="965">
        <v>88200</v>
      </c>
      <c r="J2501" s="965">
        <v>9832714</v>
      </c>
      <c r="K2501" s="965">
        <v>111355765</v>
      </c>
    </row>
    <row r="2502" spans="2:11" s="1258" customFormat="1" ht="16" hidden="1" outlineLevel="1">
      <c r="B2502" s="966" t="s">
        <v>2386</v>
      </c>
      <c r="C2502" s="965">
        <v>89300</v>
      </c>
      <c r="D2502" s="965" t="s">
        <v>2232</v>
      </c>
      <c r="E2502" s="965">
        <v>1585763</v>
      </c>
      <c r="F2502" s="965">
        <v>139968333800</v>
      </c>
      <c r="G2502" s="965">
        <v>89200</v>
      </c>
      <c r="H2502" s="965">
        <v>89600</v>
      </c>
      <c r="I2502" s="965">
        <v>87300</v>
      </c>
      <c r="J2502" s="965">
        <v>9944070</v>
      </c>
      <c r="K2502" s="965">
        <v>111355765</v>
      </c>
    </row>
    <row r="2503" spans="2:11" s="1258" customFormat="1" ht="16" hidden="1" outlineLevel="1">
      <c r="B2503" s="966" t="s">
        <v>2385</v>
      </c>
      <c r="C2503" s="965">
        <v>89100</v>
      </c>
      <c r="D2503" s="965" t="s">
        <v>2702</v>
      </c>
      <c r="E2503" s="965">
        <v>1744604</v>
      </c>
      <c r="F2503" s="965">
        <v>156731450700</v>
      </c>
      <c r="G2503" s="965">
        <v>91500</v>
      </c>
      <c r="H2503" s="965">
        <v>92300</v>
      </c>
      <c r="I2503" s="965">
        <v>88600</v>
      </c>
      <c r="J2503" s="965">
        <v>9921799</v>
      </c>
      <c r="K2503" s="965">
        <v>111355765</v>
      </c>
    </row>
    <row r="2504" spans="2:11" s="1258" customFormat="1" ht="16" hidden="1" outlineLevel="1">
      <c r="B2504" s="966" t="s">
        <v>2383</v>
      </c>
      <c r="C2504" s="965">
        <v>91800</v>
      </c>
      <c r="D2504" s="965" t="s">
        <v>2672</v>
      </c>
      <c r="E2504" s="965">
        <v>2236236</v>
      </c>
      <c r="F2504" s="965">
        <v>203606960500</v>
      </c>
      <c r="G2504" s="965">
        <v>88400</v>
      </c>
      <c r="H2504" s="965">
        <v>92200</v>
      </c>
      <c r="I2504" s="965">
        <v>88100</v>
      </c>
      <c r="J2504" s="965">
        <v>10222459</v>
      </c>
      <c r="K2504" s="965">
        <v>111355765</v>
      </c>
    </row>
    <row r="2505" spans="2:11" s="1258" customFormat="1" ht="16" hidden="1" outlineLevel="1">
      <c r="B2505" s="966" t="s">
        <v>2382</v>
      </c>
      <c r="C2505" s="965">
        <v>88300</v>
      </c>
      <c r="D2505" s="965" t="s">
        <v>2220</v>
      </c>
      <c r="E2505" s="965">
        <v>1408197</v>
      </c>
      <c r="F2505" s="965">
        <v>122670300900</v>
      </c>
      <c r="G2505" s="965">
        <v>86400</v>
      </c>
      <c r="H2505" s="965">
        <v>88600</v>
      </c>
      <c r="I2505" s="965">
        <v>85100</v>
      </c>
      <c r="J2505" s="965">
        <v>9832714</v>
      </c>
      <c r="K2505" s="965">
        <v>111355765</v>
      </c>
    </row>
    <row r="2506" spans="2:11" s="1258" customFormat="1" ht="16" hidden="1" outlineLevel="1">
      <c r="B2506" s="966" t="s">
        <v>2380</v>
      </c>
      <c r="C2506" s="965">
        <v>85800</v>
      </c>
      <c r="D2506" s="965" t="s">
        <v>2228</v>
      </c>
      <c r="E2506" s="965">
        <v>1306213</v>
      </c>
      <c r="F2506" s="965">
        <v>112132780800</v>
      </c>
      <c r="G2506" s="965">
        <v>85900</v>
      </c>
      <c r="H2506" s="965">
        <v>87500</v>
      </c>
      <c r="I2506" s="965">
        <v>84600</v>
      </c>
      <c r="J2506" s="965">
        <v>9554325</v>
      </c>
      <c r="K2506" s="965">
        <v>111355765</v>
      </c>
    </row>
    <row r="2507" spans="2:11" s="1258" customFormat="1" ht="16" hidden="1" outlineLevel="1">
      <c r="B2507" s="966" t="s">
        <v>2379</v>
      </c>
      <c r="C2507" s="965">
        <v>85900</v>
      </c>
      <c r="D2507" s="965" t="s">
        <v>2701</v>
      </c>
      <c r="E2507" s="965">
        <v>2703323</v>
      </c>
      <c r="F2507" s="965">
        <v>231785051800</v>
      </c>
      <c r="G2507" s="965">
        <v>82700</v>
      </c>
      <c r="H2507" s="965">
        <v>88000</v>
      </c>
      <c r="I2507" s="965">
        <v>82200</v>
      </c>
      <c r="J2507" s="965">
        <v>9565460</v>
      </c>
      <c r="K2507" s="965">
        <v>111355765</v>
      </c>
    </row>
    <row r="2508" spans="2:11" s="1258" customFormat="1" ht="16" hidden="1" outlineLevel="1">
      <c r="B2508" s="966" t="s">
        <v>2377</v>
      </c>
      <c r="C2508" s="965">
        <v>82200</v>
      </c>
      <c r="D2508" s="965" t="s">
        <v>2212</v>
      </c>
      <c r="E2508" s="965">
        <v>1239646</v>
      </c>
      <c r="F2508" s="965">
        <v>101394150400</v>
      </c>
      <c r="G2508" s="965">
        <v>82000</v>
      </c>
      <c r="H2508" s="965">
        <v>82400</v>
      </c>
      <c r="I2508" s="965">
        <v>80400</v>
      </c>
      <c r="J2508" s="965">
        <v>9153444</v>
      </c>
      <c r="K2508" s="965">
        <v>111355765</v>
      </c>
    </row>
    <row r="2509" spans="2:11" s="1258" customFormat="1" ht="16" hidden="1" outlineLevel="1">
      <c r="B2509" s="966" t="s">
        <v>2376</v>
      </c>
      <c r="C2509" s="965">
        <v>82100</v>
      </c>
      <c r="D2509" s="965" t="s">
        <v>2212</v>
      </c>
      <c r="E2509" s="965">
        <v>1363037</v>
      </c>
      <c r="F2509" s="965">
        <v>111976966300</v>
      </c>
      <c r="G2509" s="965">
        <v>82200</v>
      </c>
      <c r="H2509" s="965">
        <v>83000</v>
      </c>
      <c r="I2509" s="965">
        <v>81400</v>
      </c>
      <c r="J2509" s="965">
        <v>9142308</v>
      </c>
      <c r="K2509" s="965">
        <v>111355765</v>
      </c>
    </row>
    <row r="2510" spans="2:11" s="1258" customFormat="1" ht="16" hidden="1" outlineLevel="1">
      <c r="B2510" s="966" t="s">
        <v>2374</v>
      </c>
      <c r="C2510" s="965">
        <v>82000</v>
      </c>
      <c r="D2510" s="965" t="s">
        <v>2695</v>
      </c>
      <c r="E2510" s="965">
        <v>1638014</v>
      </c>
      <c r="F2510" s="965">
        <v>131971162900</v>
      </c>
      <c r="G2510" s="965">
        <v>79800</v>
      </c>
      <c r="H2510" s="965">
        <v>82000</v>
      </c>
      <c r="I2510" s="965">
        <v>78900</v>
      </c>
      <c r="J2510" s="965">
        <v>9131173</v>
      </c>
      <c r="K2510" s="965">
        <v>111355765</v>
      </c>
    </row>
    <row r="2511" spans="2:11" s="1258" customFormat="1" ht="16" hidden="1" outlineLevel="1">
      <c r="B2511" s="966" t="s">
        <v>2373</v>
      </c>
      <c r="C2511" s="965">
        <v>80300</v>
      </c>
      <c r="D2511" s="965" t="s">
        <v>2243</v>
      </c>
      <c r="E2511" s="965">
        <v>2109791</v>
      </c>
      <c r="F2511" s="965">
        <v>169862022900</v>
      </c>
      <c r="G2511" s="965">
        <v>80600</v>
      </c>
      <c r="H2511" s="965">
        <v>81900</v>
      </c>
      <c r="I2511" s="965">
        <v>79300</v>
      </c>
      <c r="J2511" s="965">
        <v>8941868</v>
      </c>
      <c r="K2511" s="965">
        <v>111355765</v>
      </c>
    </row>
    <row r="2512" spans="2:11" s="1258" customFormat="1" ht="16" hidden="1" outlineLevel="1">
      <c r="B2512" s="966" t="s">
        <v>2371</v>
      </c>
      <c r="C2512" s="965">
        <v>80000</v>
      </c>
      <c r="D2512" s="965" t="s">
        <v>2670</v>
      </c>
      <c r="E2512" s="965">
        <v>4376956</v>
      </c>
      <c r="F2512" s="965">
        <v>350793215200</v>
      </c>
      <c r="G2512" s="965">
        <v>80000</v>
      </c>
      <c r="H2512" s="965">
        <v>81300</v>
      </c>
      <c r="I2512" s="965">
        <v>79300</v>
      </c>
      <c r="J2512" s="965">
        <v>8908461</v>
      </c>
      <c r="K2512" s="965">
        <v>111355765</v>
      </c>
    </row>
    <row r="2513" spans="2:11" s="1258" customFormat="1" ht="16" hidden="1" outlineLevel="1">
      <c r="B2513" s="966" t="s">
        <v>2369</v>
      </c>
      <c r="C2513" s="965">
        <v>75000</v>
      </c>
      <c r="D2513" s="965" t="s">
        <v>2220</v>
      </c>
      <c r="E2513" s="965">
        <v>2557357</v>
      </c>
      <c r="F2513" s="965">
        <v>188776496100</v>
      </c>
      <c r="G2513" s="965">
        <v>72900</v>
      </c>
      <c r="H2513" s="965">
        <v>76300</v>
      </c>
      <c r="I2513" s="965">
        <v>71200</v>
      </c>
      <c r="J2513" s="965">
        <v>8351682</v>
      </c>
      <c r="K2513" s="965">
        <v>111355765</v>
      </c>
    </row>
    <row r="2514" spans="2:11" s="1258" customFormat="1" ht="16" hidden="1" outlineLevel="1">
      <c r="B2514" s="966" t="s">
        <v>2367</v>
      </c>
      <c r="C2514" s="965">
        <v>72500</v>
      </c>
      <c r="D2514" s="965" t="s">
        <v>2232</v>
      </c>
      <c r="E2514" s="965">
        <v>843856</v>
      </c>
      <c r="F2514" s="965">
        <v>61039460900</v>
      </c>
      <c r="G2514" s="965">
        <v>72900</v>
      </c>
      <c r="H2514" s="965">
        <v>73000</v>
      </c>
      <c r="I2514" s="965">
        <v>71700</v>
      </c>
      <c r="J2514" s="965">
        <v>8073293</v>
      </c>
      <c r="K2514" s="965">
        <v>111355765</v>
      </c>
    </row>
    <row r="2515" spans="2:11" s="1258" customFormat="1" ht="16" hidden="1" outlineLevel="1">
      <c r="B2515" s="966" t="s">
        <v>2365</v>
      </c>
      <c r="C2515" s="965">
        <v>72300</v>
      </c>
      <c r="D2515" s="965" t="s">
        <v>2232</v>
      </c>
      <c r="E2515" s="965">
        <v>781112</v>
      </c>
      <c r="F2515" s="965">
        <v>56225989300</v>
      </c>
      <c r="G2515" s="965">
        <v>72500</v>
      </c>
      <c r="H2515" s="965">
        <v>72600</v>
      </c>
      <c r="I2515" s="965">
        <v>71300</v>
      </c>
      <c r="J2515" s="965">
        <v>8051022</v>
      </c>
      <c r="K2515" s="965">
        <v>111355765</v>
      </c>
    </row>
    <row r="2516" spans="2:11" s="1258" customFormat="1" ht="16" hidden="1" outlineLevel="1">
      <c r="B2516" s="966" t="s">
        <v>2364</v>
      </c>
      <c r="C2516" s="965">
        <v>72100</v>
      </c>
      <c r="D2516" s="965" t="s">
        <v>2700</v>
      </c>
      <c r="E2516" s="965">
        <v>907941</v>
      </c>
      <c r="F2516" s="965">
        <v>64916260300</v>
      </c>
      <c r="G2516" s="965">
        <v>70500</v>
      </c>
      <c r="H2516" s="965">
        <v>72400</v>
      </c>
      <c r="I2516" s="965">
        <v>70400</v>
      </c>
      <c r="J2516" s="965">
        <v>8028751</v>
      </c>
      <c r="K2516" s="965">
        <v>111355765</v>
      </c>
    </row>
    <row r="2517" spans="2:11" s="1258" customFormat="1" ht="16" hidden="1" outlineLevel="1">
      <c r="B2517" s="966" t="s">
        <v>2362</v>
      </c>
      <c r="C2517" s="965">
        <v>70300</v>
      </c>
      <c r="D2517" s="965" t="s">
        <v>2215</v>
      </c>
      <c r="E2517" s="965">
        <v>1680053</v>
      </c>
      <c r="F2517" s="965">
        <v>120147592600</v>
      </c>
      <c r="G2517" s="965">
        <v>70200</v>
      </c>
      <c r="H2517" s="965">
        <v>73100</v>
      </c>
      <c r="I2517" s="965">
        <v>69700</v>
      </c>
      <c r="J2517" s="965">
        <v>7828310</v>
      </c>
      <c r="K2517" s="965">
        <v>111355765</v>
      </c>
    </row>
    <row r="2518" spans="2:11" s="1258" customFormat="1" ht="16" hidden="1" outlineLevel="1">
      <c r="B2518" s="966" t="s">
        <v>2360</v>
      </c>
      <c r="C2518" s="965">
        <v>70600</v>
      </c>
      <c r="D2518" s="965" t="s">
        <v>2248</v>
      </c>
      <c r="E2518" s="965">
        <v>547728</v>
      </c>
      <c r="F2518" s="965">
        <v>38825562300</v>
      </c>
      <c r="G2518" s="965">
        <v>71300</v>
      </c>
      <c r="H2518" s="965">
        <v>71900</v>
      </c>
      <c r="I2518" s="965">
        <v>70100</v>
      </c>
      <c r="J2518" s="965">
        <v>7861717</v>
      </c>
      <c r="K2518" s="965">
        <v>111355765</v>
      </c>
    </row>
    <row r="2519" spans="2:11" s="1258" customFormat="1" ht="16" hidden="1" outlineLevel="1">
      <c r="B2519" s="966" t="s">
        <v>2358</v>
      </c>
      <c r="C2519" s="965">
        <v>71600</v>
      </c>
      <c r="D2519" s="965" t="s">
        <v>2250</v>
      </c>
      <c r="E2519" s="965">
        <v>848668</v>
      </c>
      <c r="F2519" s="965">
        <v>60468038900</v>
      </c>
      <c r="G2519" s="965">
        <v>70100</v>
      </c>
      <c r="H2519" s="965">
        <v>72500</v>
      </c>
      <c r="I2519" s="965">
        <v>70100</v>
      </c>
      <c r="J2519" s="965">
        <v>7973073</v>
      </c>
      <c r="K2519" s="965">
        <v>111355765</v>
      </c>
    </row>
    <row r="2520" spans="2:11" s="1258" customFormat="1" ht="16" hidden="1" outlineLevel="1">
      <c r="B2520" s="966" t="s">
        <v>2357</v>
      </c>
      <c r="C2520" s="965">
        <v>70400</v>
      </c>
      <c r="D2520" s="965" t="s">
        <v>2634</v>
      </c>
      <c r="E2520" s="965">
        <v>1039433</v>
      </c>
      <c r="F2520" s="965">
        <v>73015548100</v>
      </c>
      <c r="G2520" s="965">
        <v>70400</v>
      </c>
      <c r="H2520" s="965">
        <v>71100</v>
      </c>
      <c r="I2520" s="965">
        <v>69300</v>
      </c>
      <c r="J2520" s="965">
        <v>7839446</v>
      </c>
      <c r="K2520" s="965">
        <v>111355765</v>
      </c>
    </row>
    <row r="2521" spans="2:11" s="1258" customFormat="1" ht="16" hidden="1" outlineLevel="1">
      <c r="B2521" s="966" t="s">
        <v>2656</v>
      </c>
      <c r="C2521" s="965">
        <v>71700</v>
      </c>
      <c r="D2521" s="965" t="s">
        <v>2212</v>
      </c>
      <c r="E2521" s="965">
        <v>1145350</v>
      </c>
      <c r="F2521" s="965">
        <v>81933030500</v>
      </c>
      <c r="G2521" s="965">
        <v>71800</v>
      </c>
      <c r="H2521" s="965">
        <v>72400</v>
      </c>
      <c r="I2521" s="965">
        <v>70400</v>
      </c>
      <c r="J2521" s="965">
        <v>7984208</v>
      </c>
      <c r="K2521" s="965">
        <v>111355765</v>
      </c>
    </row>
    <row r="2522" spans="2:11" s="1258" customFormat="1" ht="16" hidden="1" outlineLevel="1">
      <c r="B2522" s="966" t="s">
        <v>2655</v>
      </c>
      <c r="C2522" s="965">
        <v>71600</v>
      </c>
      <c r="D2522" s="965" t="s">
        <v>2245</v>
      </c>
      <c r="E2522" s="965">
        <v>3252206</v>
      </c>
      <c r="F2522" s="965">
        <v>237539170100</v>
      </c>
      <c r="G2522" s="965">
        <v>74300</v>
      </c>
      <c r="H2522" s="965">
        <v>74300</v>
      </c>
      <c r="I2522" s="965">
        <v>71300</v>
      </c>
      <c r="J2522" s="965">
        <v>7973073</v>
      </c>
      <c r="K2522" s="965">
        <v>111355765</v>
      </c>
    </row>
    <row r="2523" spans="2:11" s="1258" customFormat="1" ht="16" hidden="1" outlineLevel="1">
      <c r="B2523" s="966" t="s">
        <v>2654</v>
      </c>
      <c r="C2523" s="965">
        <v>70100</v>
      </c>
      <c r="D2523" s="965" t="s">
        <v>2243</v>
      </c>
      <c r="E2523" s="965">
        <v>3613918</v>
      </c>
      <c r="F2523" s="965">
        <v>254221461500</v>
      </c>
      <c r="G2523" s="965">
        <v>69800</v>
      </c>
      <c r="H2523" s="965">
        <v>72100</v>
      </c>
      <c r="I2523" s="965">
        <v>68600</v>
      </c>
      <c r="J2523" s="965">
        <v>7806039</v>
      </c>
      <c r="K2523" s="965">
        <v>111355765</v>
      </c>
    </row>
    <row r="2524" spans="2:11" s="1258" customFormat="1" ht="16" hidden="1" outlineLevel="1">
      <c r="B2524" s="966" t="s">
        <v>2653</v>
      </c>
      <c r="C2524" s="965">
        <v>69800</v>
      </c>
      <c r="D2524" s="965" t="s">
        <v>2238</v>
      </c>
      <c r="E2524" s="965">
        <v>3637836</v>
      </c>
      <c r="F2524" s="965">
        <v>250729505000</v>
      </c>
      <c r="G2524" s="965">
        <v>67500</v>
      </c>
      <c r="H2524" s="965">
        <v>70300</v>
      </c>
      <c r="I2524" s="965">
        <v>66700</v>
      </c>
      <c r="J2524" s="965">
        <v>7772632</v>
      </c>
      <c r="K2524" s="965">
        <v>111355765</v>
      </c>
    </row>
    <row r="2525" spans="2:11" s="1258" customFormat="1" ht="16" hidden="1" outlineLevel="1">
      <c r="B2525" s="966" t="s">
        <v>2652</v>
      </c>
      <c r="C2525" s="965">
        <v>66700</v>
      </c>
      <c r="D2525" s="965" t="s">
        <v>2240</v>
      </c>
      <c r="E2525" s="965">
        <v>3071047</v>
      </c>
      <c r="F2525" s="965">
        <v>206079525240</v>
      </c>
      <c r="G2525" s="965">
        <v>66800</v>
      </c>
      <c r="H2525" s="965">
        <v>68000</v>
      </c>
      <c r="I2525" s="965">
        <v>66300</v>
      </c>
      <c r="J2525" s="965">
        <v>7427430</v>
      </c>
      <c r="K2525" s="965">
        <v>111355765</v>
      </c>
    </row>
    <row r="2526" spans="2:11" s="1258" customFormat="1" ht="16" hidden="1" outlineLevel="1">
      <c r="B2526" s="966" t="s">
        <v>2651</v>
      </c>
      <c r="C2526" s="965">
        <v>64800</v>
      </c>
      <c r="D2526" s="965" t="s">
        <v>2215</v>
      </c>
      <c r="E2526" s="965">
        <v>1218629</v>
      </c>
      <c r="F2526" s="965">
        <v>79122765300</v>
      </c>
      <c r="G2526" s="965">
        <v>65100</v>
      </c>
      <c r="H2526" s="965">
        <v>65600</v>
      </c>
      <c r="I2526" s="965">
        <v>64000</v>
      </c>
      <c r="J2526" s="965">
        <v>7215854</v>
      </c>
      <c r="K2526" s="965">
        <v>111355765</v>
      </c>
    </row>
    <row r="2527" spans="2:11" s="1258" customFormat="1" ht="16" hidden="1" outlineLevel="1">
      <c r="B2527" s="966" t="s">
        <v>2650</v>
      </c>
      <c r="C2527" s="965">
        <v>65100</v>
      </c>
      <c r="D2527" s="965" t="s">
        <v>2638</v>
      </c>
      <c r="E2527" s="965">
        <v>2210361</v>
      </c>
      <c r="F2527" s="965">
        <v>142069075900</v>
      </c>
      <c r="G2527" s="965">
        <v>64000</v>
      </c>
      <c r="H2527" s="965">
        <v>66200</v>
      </c>
      <c r="I2527" s="965">
        <v>63100</v>
      </c>
      <c r="J2527" s="965">
        <v>7249260</v>
      </c>
      <c r="K2527" s="965">
        <v>111355765</v>
      </c>
    </row>
    <row r="2528" spans="2:11" s="1258" customFormat="1" ht="16" hidden="1" outlineLevel="1">
      <c r="B2528" s="966" t="s">
        <v>2648</v>
      </c>
      <c r="C2528" s="965">
        <v>64300</v>
      </c>
      <c r="D2528" s="965" t="s">
        <v>2657</v>
      </c>
      <c r="E2528" s="965">
        <v>1956071</v>
      </c>
      <c r="F2528" s="965">
        <v>126890975800</v>
      </c>
      <c r="G2528" s="965">
        <v>66100</v>
      </c>
      <c r="H2528" s="965">
        <v>66500</v>
      </c>
      <c r="I2528" s="965">
        <v>64000</v>
      </c>
      <c r="J2528" s="965">
        <v>7160176</v>
      </c>
      <c r="K2528" s="965">
        <v>111355765</v>
      </c>
    </row>
    <row r="2529" spans="2:11" s="1258" customFormat="1" ht="16" hidden="1" outlineLevel="1">
      <c r="B2529" s="966" t="s">
        <v>2647</v>
      </c>
      <c r="C2529" s="965">
        <v>66900</v>
      </c>
      <c r="D2529" s="965" t="s">
        <v>2246</v>
      </c>
      <c r="E2529" s="965">
        <v>886682</v>
      </c>
      <c r="F2529" s="965">
        <v>59094326200</v>
      </c>
      <c r="G2529" s="965">
        <v>66300</v>
      </c>
      <c r="H2529" s="965">
        <v>67300</v>
      </c>
      <c r="I2529" s="965">
        <v>65700</v>
      </c>
      <c r="J2529" s="965">
        <v>7449701</v>
      </c>
      <c r="K2529" s="965">
        <v>111355765</v>
      </c>
    </row>
    <row r="2530" spans="2:11" s="1258" customFormat="1" ht="16" hidden="1" outlineLevel="1">
      <c r="B2530" s="966" t="s">
        <v>2646</v>
      </c>
      <c r="C2530" s="965">
        <v>66000</v>
      </c>
      <c r="D2530" s="965" t="s">
        <v>2222</v>
      </c>
      <c r="E2530" s="965">
        <v>1363021</v>
      </c>
      <c r="F2530" s="965">
        <v>90134392300</v>
      </c>
      <c r="G2530" s="965">
        <v>67000</v>
      </c>
      <c r="H2530" s="965">
        <v>67400</v>
      </c>
      <c r="I2530" s="965">
        <v>65000</v>
      </c>
      <c r="J2530" s="965">
        <v>7349480</v>
      </c>
      <c r="K2530" s="965">
        <v>111355765</v>
      </c>
    </row>
    <row r="2531" spans="2:11" s="1258" customFormat="1" ht="16" hidden="1" outlineLevel="1">
      <c r="B2531" s="966" t="s">
        <v>2645</v>
      </c>
      <c r="C2531" s="965">
        <v>66600</v>
      </c>
      <c r="D2531" s="965" t="s">
        <v>2298</v>
      </c>
      <c r="E2531" s="965">
        <v>1235383</v>
      </c>
      <c r="F2531" s="965">
        <v>83278360600</v>
      </c>
      <c r="G2531" s="965">
        <v>68700</v>
      </c>
      <c r="H2531" s="965">
        <v>69000</v>
      </c>
      <c r="I2531" s="965">
        <v>66400</v>
      </c>
      <c r="J2531" s="965">
        <v>7416294</v>
      </c>
      <c r="K2531" s="965">
        <v>111355765</v>
      </c>
    </row>
    <row r="2532" spans="2:11" s="1258" customFormat="1" ht="16" hidden="1" outlineLevel="1">
      <c r="B2532" s="966" t="s">
        <v>2643</v>
      </c>
      <c r="C2532" s="965">
        <v>68000</v>
      </c>
      <c r="D2532" s="965" t="s">
        <v>2695</v>
      </c>
      <c r="E2532" s="965">
        <v>1835833</v>
      </c>
      <c r="F2532" s="965">
        <v>124572555000</v>
      </c>
      <c r="G2532" s="965">
        <v>66700</v>
      </c>
      <c r="H2532" s="965">
        <v>68700</v>
      </c>
      <c r="I2532" s="965">
        <v>66400</v>
      </c>
      <c r="J2532" s="965">
        <v>7572192</v>
      </c>
      <c r="K2532" s="965">
        <v>111355765</v>
      </c>
    </row>
    <row r="2533" spans="2:11" s="1258" customFormat="1" ht="16" hidden="1" outlineLevel="1">
      <c r="B2533" s="966" t="s">
        <v>2642</v>
      </c>
      <c r="C2533" s="965">
        <v>66300</v>
      </c>
      <c r="D2533" s="965" t="s">
        <v>2246</v>
      </c>
      <c r="E2533" s="965">
        <v>1401547</v>
      </c>
      <c r="F2533" s="965">
        <v>92477048700</v>
      </c>
      <c r="G2533" s="965">
        <v>66400</v>
      </c>
      <c r="H2533" s="965">
        <v>66900</v>
      </c>
      <c r="I2533" s="965">
        <v>64400</v>
      </c>
      <c r="J2533" s="965">
        <v>7382887</v>
      </c>
      <c r="K2533" s="965">
        <v>111355765</v>
      </c>
    </row>
    <row r="2534" spans="2:11" s="1258" customFormat="1" ht="16" hidden="1" outlineLevel="1">
      <c r="B2534" s="966" t="s">
        <v>2640</v>
      </c>
      <c r="C2534" s="965">
        <v>65400</v>
      </c>
      <c r="D2534" s="965" t="s">
        <v>2658</v>
      </c>
      <c r="E2534" s="965">
        <v>3729455</v>
      </c>
      <c r="F2534" s="965">
        <v>241465198200</v>
      </c>
      <c r="G2534" s="965">
        <v>66300</v>
      </c>
      <c r="H2534" s="965">
        <v>67000</v>
      </c>
      <c r="I2534" s="965">
        <v>62500</v>
      </c>
      <c r="J2534" s="965">
        <v>7282667</v>
      </c>
      <c r="K2534" s="965">
        <v>111355765</v>
      </c>
    </row>
    <row r="2535" spans="2:11" s="1258" customFormat="1" ht="16" hidden="1" outlineLevel="1">
      <c r="B2535" s="966" t="s">
        <v>2639</v>
      </c>
      <c r="C2535" s="965">
        <v>67200</v>
      </c>
      <c r="D2535" s="965" t="s">
        <v>2649</v>
      </c>
      <c r="E2535" s="965">
        <v>2783850</v>
      </c>
      <c r="F2535" s="965">
        <v>185066189500</v>
      </c>
      <c r="G2535" s="965">
        <v>65500</v>
      </c>
      <c r="H2535" s="965">
        <v>67400</v>
      </c>
      <c r="I2535" s="965">
        <v>65000</v>
      </c>
      <c r="J2535" s="965">
        <v>7483107</v>
      </c>
      <c r="K2535" s="965">
        <v>111355765</v>
      </c>
    </row>
    <row r="2536" spans="2:11" s="1258" customFormat="1" ht="16" hidden="1" outlineLevel="1">
      <c r="B2536" s="966" t="s">
        <v>2637</v>
      </c>
      <c r="C2536" s="965">
        <v>64300</v>
      </c>
      <c r="D2536" s="965" t="s">
        <v>2252</v>
      </c>
      <c r="E2536" s="965">
        <v>2221284</v>
      </c>
      <c r="F2536" s="965">
        <v>141704048800</v>
      </c>
      <c r="G2536" s="965">
        <v>62400</v>
      </c>
      <c r="H2536" s="965">
        <v>64800</v>
      </c>
      <c r="I2536" s="965">
        <v>61900</v>
      </c>
      <c r="J2536" s="965">
        <v>7160176</v>
      </c>
      <c r="K2536" s="965">
        <v>111355765</v>
      </c>
    </row>
    <row r="2537" spans="2:11" s="1258" customFormat="1" ht="16" hidden="1" outlineLevel="1">
      <c r="B2537" s="966" t="s">
        <v>2636</v>
      </c>
      <c r="C2537" s="965">
        <v>63200</v>
      </c>
      <c r="D2537" s="965" t="s">
        <v>2699</v>
      </c>
      <c r="E2537" s="965">
        <v>2264477</v>
      </c>
      <c r="F2537" s="965">
        <v>141926082996</v>
      </c>
      <c r="G2537" s="965">
        <v>62300</v>
      </c>
      <c r="H2537" s="965">
        <v>63700</v>
      </c>
      <c r="I2537" s="965">
        <v>61400</v>
      </c>
      <c r="J2537" s="965">
        <v>7037684</v>
      </c>
      <c r="K2537" s="965">
        <v>111355765</v>
      </c>
    </row>
    <row r="2538" spans="2:11" s="1258" customFormat="1" ht="16" hidden="1" outlineLevel="1">
      <c r="B2538" s="966" t="s">
        <v>2635</v>
      </c>
      <c r="C2538" s="965">
        <v>60900</v>
      </c>
      <c r="D2538" s="965" t="s">
        <v>2305</v>
      </c>
      <c r="E2538" s="965">
        <v>5472914</v>
      </c>
      <c r="F2538" s="965">
        <v>340522953500</v>
      </c>
      <c r="G2538" s="965">
        <v>62500</v>
      </c>
      <c r="H2538" s="965">
        <v>65900</v>
      </c>
      <c r="I2538" s="965">
        <v>59100</v>
      </c>
      <c r="J2538" s="965">
        <v>6781566</v>
      </c>
      <c r="K2538" s="965">
        <v>111355765</v>
      </c>
    </row>
    <row r="2539" spans="2:11" s="1258" customFormat="1" ht="16" hidden="1" outlineLevel="1">
      <c r="B2539" s="966" t="s">
        <v>2633</v>
      </c>
      <c r="C2539" s="965">
        <v>62500</v>
      </c>
      <c r="D2539" s="965" t="s">
        <v>2253</v>
      </c>
      <c r="E2539" s="965">
        <v>1812305</v>
      </c>
      <c r="F2539" s="965">
        <v>114494622700</v>
      </c>
      <c r="G2539" s="965">
        <v>64100</v>
      </c>
      <c r="H2539" s="965">
        <v>64300</v>
      </c>
      <c r="I2539" s="965">
        <v>61500</v>
      </c>
      <c r="J2539" s="965">
        <v>6959735</v>
      </c>
      <c r="K2539" s="965">
        <v>111355765</v>
      </c>
    </row>
    <row r="2540" spans="2:11" s="1258" customFormat="1" ht="16" hidden="1" outlineLevel="1">
      <c r="B2540" s="966" t="s">
        <v>2632</v>
      </c>
      <c r="C2540" s="965">
        <v>63300</v>
      </c>
      <c r="D2540" s="965" t="s">
        <v>2659</v>
      </c>
      <c r="E2540" s="965">
        <v>3454319</v>
      </c>
      <c r="F2540" s="965">
        <v>218551246700</v>
      </c>
      <c r="G2540" s="965">
        <v>62800</v>
      </c>
      <c r="H2540" s="965">
        <v>64500</v>
      </c>
      <c r="I2540" s="965">
        <v>62200</v>
      </c>
      <c r="J2540" s="965">
        <v>7048820</v>
      </c>
      <c r="K2540" s="965">
        <v>111355765</v>
      </c>
    </row>
    <row r="2541" spans="2:11" s="1258" customFormat="1" ht="16" hidden="1" outlineLevel="1">
      <c r="B2541" s="966" t="s">
        <v>2631</v>
      </c>
      <c r="C2541" s="965">
        <v>60700</v>
      </c>
      <c r="D2541" s="965" t="s">
        <v>2251</v>
      </c>
      <c r="E2541" s="965">
        <v>2046911</v>
      </c>
      <c r="F2541" s="965">
        <v>123874087500</v>
      </c>
      <c r="G2541" s="965">
        <v>58400</v>
      </c>
      <c r="H2541" s="965">
        <v>61800</v>
      </c>
      <c r="I2541" s="965">
        <v>58300</v>
      </c>
      <c r="J2541" s="965">
        <v>6759295</v>
      </c>
      <c r="K2541" s="965">
        <v>111355765</v>
      </c>
    </row>
    <row r="2542" spans="2:11" s="1258" customFormat="1" ht="16" hidden="1" outlineLevel="1">
      <c r="B2542" s="966" t="s">
        <v>2630</v>
      </c>
      <c r="C2542" s="965">
        <v>60100</v>
      </c>
      <c r="D2542" s="965" t="s">
        <v>2228</v>
      </c>
      <c r="E2542" s="965">
        <v>1924836</v>
      </c>
      <c r="F2542" s="965">
        <v>116517554100</v>
      </c>
      <c r="G2542" s="965">
        <v>61000</v>
      </c>
      <c r="H2542" s="965">
        <v>61400</v>
      </c>
      <c r="I2542" s="965">
        <v>60000</v>
      </c>
      <c r="J2542" s="965">
        <v>6692481</v>
      </c>
      <c r="K2542" s="965">
        <v>111355765</v>
      </c>
    </row>
    <row r="2543" spans="2:11" s="1258" customFormat="1" ht="16" hidden="1" outlineLevel="1">
      <c r="B2543" s="966" t="s">
        <v>2629</v>
      </c>
      <c r="C2543" s="965">
        <v>60200</v>
      </c>
      <c r="D2543" s="965" t="s">
        <v>2698</v>
      </c>
      <c r="E2543" s="965">
        <v>3196381</v>
      </c>
      <c r="F2543" s="965">
        <v>194827749900</v>
      </c>
      <c r="G2543" s="965">
        <v>62400</v>
      </c>
      <c r="H2543" s="965">
        <v>62600</v>
      </c>
      <c r="I2543" s="965">
        <v>60100</v>
      </c>
      <c r="J2543" s="965">
        <v>6703617</v>
      </c>
      <c r="K2543" s="965">
        <v>111355765</v>
      </c>
    </row>
    <row r="2544" spans="2:11" s="1258" customFormat="1" ht="16" hidden="1" outlineLevel="1">
      <c r="B2544" s="966" t="s">
        <v>2628</v>
      </c>
      <c r="C2544" s="965">
        <v>62400</v>
      </c>
      <c r="D2544" s="965" t="s">
        <v>2659</v>
      </c>
      <c r="E2544" s="965">
        <v>3512571</v>
      </c>
      <c r="F2544" s="965">
        <v>216478472530</v>
      </c>
      <c r="G2544" s="965">
        <v>60700</v>
      </c>
      <c r="H2544" s="965">
        <v>63100</v>
      </c>
      <c r="I2544" s="965">
        <v>60500</v>
      </c>
      <c r="J2544" s="965">
        <v>6948600</v>
      </c>
      <c r="K2544" s="965">
        <v>111355765</v>
      </c>
    </row>
    <row r="2545" spans="2:11" s="1258" customFormat="1" ht="16" hidden="1" outlineLevel="1">
      <c r="B2545" s="966" t="s">
        <v>2626</v>
      </c>
      <c r="C2545" s="965">
        <v>59800</v>
      </c>
      <c r="D2545" s="965" t="s">
        <v>2251</v>
      </c>
      <c r="E2545" s="965">
        <v>5129154</v>
      </c>
      <c r="F2545" s="965">
        <v>309934383800</v>
      </c>
      <c r="G2545" s="965">
        <v>59700</v>
      </c>
      <c r="H2545" s="965">
        <v>61800</v>
      </c>
      <c r="I2545" s="965">
        <v>59300</v>
      </c>
      <c r="J2545" s="965">
        <v>6659075</v>
      </c>
      <c r="K2545" s="965">
        <v>111355765</v>
      </c>
    </row>
    <row r="2546" spans="2:11" s="1258" customFormat="1" ht="16" hidden="1" outlineLevel="1">
      <c r="B2546" s="966" t="s">
        <v>2624</v>
      </c>
      <c r="C2546" s="965">
        <v>59200</v>
      </c>
      <c r="D2546" s="965" t="s">
        <v>2278</v>
      </c>
      <c r="E2546" s="965">
        <v>8958919</v>
      </c>
      <c r="F2546" s="965">
        <v>524062303900</v>
      </c>
      <c r="G2546" s="965">
        <v>57500</v>
      </c>
      <c r="H2546" s="965">
        <v>60100</v>
      </c>
      <c r="I2546" s="965">
        <v>56100</v>
      </c>
      <c r="J2546" s="965">
        <v>6592261</v>
      </c>
      <c r="K2546" s="965">
        <v>111355765</v>
      </c>
    </row>
    <row r="2547" spans="2:11" s="1258" customFormat="1" ht="16" hidden="1" outlineLevel="1">
      <c r="B2547" s="966" t="s">
        <v>2623</v>
      </c>
      <c r="C2547" s="965">
        <v>62200</v>
      </c>
      <c r="D2547" s="965" t="s">
        <v>2697</v>
      </c>
      <c r="E2547" s="965">
        <v>6791730</v>
      </c>
      <c r="F2547" s="965">
        <v>433485977200</v>
      </c>
      <c r="G2547" s="965">
        <v>68900</v>
      </c>
      <c r="H2547" s="965">
        <v>71100</v>
      </c>
      <c r="I2547" s="965">
        <v>62200</v>
      </c>
      <c r="J2547" s="965">
        <v>6926329</v>
      </c>
      <c r="K2547" s="965">
        <v>111355765</v>
      </c>
    </row>
    <row r="2548" spans="2:11" s="1258" customFormat="1" ht="16" hidden="1" outlineLevel="1">
      <c r="B2548" s="966" t="s">
        <v>2621</v>
      </c>
      <c r="C2548" s="965">
        <v>73100</v>
      </c>
      <c r="D2548" s="965" t="s">
        <v>2211</v>
      </c>
      <c r="E2548" s="965">
        <v>1218260</v>
      </c>
      <c r="F2548" s="965">
        <v>87444613800</v>
      </c>
      <c r="G2548" s="965">
        <v>74000</v>
      </c>
      <c r="H2548" s="965">
        <v>74900</v>
      </c>
      <c r="I2548" s="965">
        <v>69700</v>
      </c>
      <c r="J2548" s="965">
        <v>8140106</v>
      </c>
      <c r="K2548" s="965">
        <v>111355765</v>
      </c>
    </row>
    <row r="2549" spans="2:11" s="1258" customFormat="1" ht="16" hidden="1" outlineLevel="1">
      <c r="B2549" s="966" t="s">
        <v>2619</v>
      </c>
      <c r="C2549" s="965">
        <v>73500</v>
      </c>
      <c r="D2549" s="965" t="s">
        <v>2288</v>
      </c>
      <c r="E2549" s="965">
        <v>892262</v>
      </c>
      <c r="F2549" s="965">
        <v>65285708700</v>
      </c>
      <c r="G2549" s="965">
        <v>74000</v>
      </c>
      <c r="H2549" s="965">
        <v>74000</v>
      </c>
      <c r="I2549" s="965">
        <v>71900</v>
      </c>
      <c r="J2549" s="965">
        <v>8184649</v>
      </c>
      <c r="K2549" s="965">
        <v>111355765</v>
      </c>
    </row>
    <row r="2550" spans="2:11" s="1258" customFormat="1" ht="16" hidden="1" outlineLevel="1">
      <c r="B2550" s="966" t="s">
        <v>2618</v>
      </c>
      <c r="C2550" s="965">
        <v>71500</v>
      </c>
      <c r="D2550" s="965" t="s">
        <v>2634</v>
      </c>
      <c r="E2550" s="965">
        <v>1041726</v>
      </c>
      <c r="F2550" s="965">
        <v>75876273600</v>
      </c>
      <c r="G2550" s="965">
        <v>72800</v>
      </c>
      <c r="H2550" s="965">
        <v>74700</v>
      </c>
      <c r="I2550" s="965">
        <v>71500</v>
      </c>
      <c r="J2550" s="965">
        <v>7961937</v>
      </c>
      <c r="K2550" s="965">
        <v>111355765</v>
      </c>
    </row>
    <row r="2551" spans="2:11" s="1258" customFormat="1" ht="16" hidden="1" outlineLevel="1">
      <c r="B2551" s="966" t="s">
        <v>2617</v>
      </c>
      <c r="C2551" s="965">
        <v>72800</v>
      </c>
      <c r="D2551" s="965" t="s">
        <v>2232</v>
      </c>
      <c r="E2551" s="965">
        <v>604637</v>
      </c>
      <c r="F2551" s="965">
        <v>43997646200</v>
      </c>
      <c r="G2551" s="965">
        <v>72400</v>
      </c>
      <c r="H2551" s="965">
        <v>73400</v>
      </c>
      <c r="I2551" s="965">
        <v>72200</v>
      </c>
      <c r="J2551" s="965">
        <v>8106700</v>
      </c>
      <c r="K2551" s="965">
        <v>111355765</v>
      </c>
    </row>
    <row r="2552" spans="2:11" s="1258" customFormat="1" ht="16" hidden="1" outlineLevel="1">
      <c r="B2552" s="966" t="s">
        <v>2616</v>
      </c>
      <c r="C2552" s="965">
        <v>72600</v>
      </c>
      <c r="D2552" s="965" t="s">
        <v>2228</v>
      </c>
      <c r="E2552" s="965">
        <v>560750</v>
      </c>
      <c r="F2552" s="965">
        <v>40729903100</v>
      </c>
      <c r="G2552" s="965">
        <v>72200</v>
      </c>
      <c r="H2552" s="965">
        <v>73800</v>
      </c>
      <c r="I2552" s="965">
        <v>72100</v>
      </c>
      <c r="J2552" s="965">
        <v>8084429</v>
      </c>
      <c r="K2552" s="965">
        <v>111355765</v>
      </c>
    </row>
    <row r="2553" spans="2:11" s="1258" customFormat="1" ht="16" hidden="1" outlineLevel="1">
      <c r="B2553" s="966" t="s">
        <v>2615</v>
      </c>
      <c r="C2553" s="965">
        <v>72700</v>
      </c>
      <c r="D2553" s="965" t="s">
        <v>2634</v>
      </c>
      <c r="E2553" s="965">
        <v>1046875</v>
      </c>
      <c r="F2553" s="965">
        <v>75600849500</v>
      </c>
      <c r="G2553" s="965">
        <v>74100</v>
      </c>
      <c r="H2553" s="965">
        <v>74300</v>
      </c>
      <c r="I2553" s="965">
        <v>71500</v>
      </c>
      <c r="J2553" s="965">
        <v>8095564</v>
      </c>
      <c r="K2553" s="965">
        <v>111355765</v>
      </c>
    </row>
    <row r="2554" spans="2:11" s="1258" customFormat="1" ht="16" hidden="1" outlineLevel="1">
      <c r="B2554" s="966" t="s">
        <v>2614</v>
      </c>
      <c r="C2554" s="965">
        <v>74000</v>
      </c>
      <c r="D2554" s="965" t="s">
        <v>2248</v>
      </c>
      <c r="E2554" s="965">
        <v>543973</v>
      </c>
      <c r="F2554" s="965">
        <v>40601234400</v>
      </c>
      <c r="G2554" s="965">
        <v>75800</v>
      </c>
      <c r="H2554" s="965">
        <v>76100</v>
      </c>
      <c r="I2554" s="965">
        <v>73900</v>
      </c>
      <c r="J2554" s="965">
        <v>8240327</v>
      </c>
      <c r="K2554" s="965">
        <v>111355765</v>
      </c>
    </row>
    <row r="2555" spans="2:11" s="1258" customFormat="1" ht="16" hidden="1" outlineLevel="1">
      <c r="B2555" s="966" t="s">
        <v>2613</v>
      </c>
      <c r="C2555" s="965">
        <v>75000</v>
      </c>
      <c r="D2555" s="965" t="s">
        <v>2641</v>
      </c>
      <c r="E2555" s="965">
        <v>1037319</v>
      </c>
      <c r="F2555" s="965">
        <v>78841695900</v>
      </c>
      <c r="G2555" s="965">
        <v>77600</v>
      </c>
      <c r="H2555" s="965">
        <v>78200</v>
      </c>
      <c r="I2555" s="965">
        <v>75000</v>
      </c>
      <c r="J2555" s="965">
        <v>8351682</v>
      </c>
      <c r="K2555" s="965">
        <v>111355765</v>
      </c>
    </row>
    <row r="2556" spans="2:11" s="1258" customFormat="1" ht="16" hidden="1" outlineLevel="1">
      <c r="B2556" s="966" t="s">
        <v>2612</v>
      </c>
      <c r="C2556" s="965">
        <v>76900</v>
      </c>
      <c r="D2556" s="965" t="s">
        <v>2664</v>
      </c>
      <c r="E2556" s="965">
        <v>770487</v>
      </c>
      <c r="F2556" s="965">
        <v>59139823900</v>
      </c>
      <c r="G2556" s="965">
        <v>74900</v>
      </c>
      <c r="H2556" s="965">
        <v>77600</v>
      </c>
      <c r="I2556" s="965">
        <v>74800</v>
      </c>
      <c r="J2556" s="965">
        <v>8563258</v>
      </c>
      <c r="K2556" s="965">
        <v>111355765</v>
      </c>
    </row>
    <row r="2557" spans="2:11" s="1258" customFormat="1" ht="16" hidden="1" outlineLevel="1">
      <c r="B2557" s="966" t="s">
        <v>2611</v>
      </c>
      <c r="C2557" s="965">
        <v>75300</v>
      </c>
      <c r="D2557" s="965" t="s">
        <v>2234</v>
      </c>
      <c r="E2557" s="965">
        <v>818126</v>
      </c>
      <c r="F2557" s="965">
        <v>61184810000</v>
      </c>
      <c r="G2557" s="965">
        <v>75500</v>
      </c>
      <c r="H2557" s="965">
        <v>75700</v>
      </c>
      <c r="I2557" s="965">
        <v>73900</v>
      </c>
      <c r="J2557" s="965">
        <v>8385089</v>
      </c>
      <c r="K2557" s="965">
        <v>111355765</v>
      </c>
    </row>
    <row r="2558" spans="2:11" s="1258" customFormat="1" ht="16" hidden="1" outlineLevel="1">
      <c r="B2558" s="966" t="s">
        <v>2610</v>
      </c>
      <c r="C2558" s="965">
        <v>76000</v>
      </c>
      <c r="D2558" s="965" t="s">
        <v>2208</v>
      </c>
      <c r="E2558" s="965">
        <v>506846</v>
      </c>
      <c r="F2558" s="965">
        <v>38477610900</v>
      </c>
      <c r="G2558" s="965">
        <v>75400</v>
      </c>
      <c r="H2558" s="965">
        <v>76600</v>
      </c>
      <c r="I2558" s="965">
        <v>74500</v>
      </c>
      <c r="J2558" s="965">
        <v>8463038</v>
      </c>
      <c r="K2558" s="965">
        <v>111355765</v>
      </c>
    </row>
    <row r="2559" spans="2:11" ht="15" collapsed="1" thickBot="1">
      <c r="B2559" s="960" t="s">
        <v>2609</v>
      </c>
      <c r="C2559" s="960">
        <f>AVERAGE(C2311:C2558)</f>
        <v>75915.322580645166</v>
      </c>
      <c r="D2559" s="961"/>
      <c r="E2559" s="959"/>
      <c r="F2559" s="959"/>
      <c r="G2559" s="959"/>
      <c r="H2559" s="959"/>
      <c r="I2559" s="959"/>
      <c r="J2559" s="960">
        <f>AVERAGE(J2311:J2433)</f>
        <v>8354307.8292682925</v>
      </c>
      <c r="K2559" s="959"/>
    </row>
    <row r="2561" spans="2:11">
      <c r="B2561" s="971" t="s">
        <v>2696</v>
      </c>
    </row>
    <row r="2562" spans="2:11" hidden="1" outlineLevel="1"/>
    <row r="2563" spans="2:11" ht="16" hidden="1" outlineLevel="1">
      <c r="B2563" s="969" t="s">
        <v>1839</v>
      </c>
      <c r="C2563" s="969" t="s">
        <v>1838</v>
      </c>
      <c r="D2563" s="970" t="s">
        <v>1837</v>
      </c>
      <c r="E2563" s="969" t="s">
        <v>1836</v>
      </c>
      <c r="F2563" s="969" t="s">
        <v>1835</v>
      </c>
      <c r="G2563" s="969" t="s">
        <v>1834</v>
      </c>
      <c r="H2563" s="969" t="s">
        <v>1833</v>
      </c>
      <c r="I2563" s="969" t="s">
        <v>1832</v>
      </c>
      <c r="J2563" s="969" t="s">
        <v>1785</v>
      </c>
      <c r="K2563" s="969" t="s">
        <v>1831</v>
      </c>
    </row>
    <row r="2564" spans="2:11" ht="16" hidden="1" outlineLevel="1">
      <c r="B2564" s="968" t="s">
        <v>1830</v>
      </c>
      <c r="C2564" s="967">
        <v>31050</v>
      </c>
      <c r="D2564" s="967" t="s">
        <v>2229</v>
      </c>
      <c r="E2564" s="967">
        <v>413275</v>
      </c>
      <c r="F2564" s="967">
        <v>13067788350</v>
      </c>
      <c r="G2564" s="967">
        <v>32150</v>
      </c>
      <c r="H2564" s="967">
        <v>32400</v>
      </c>
      <c r="I2564" s="967">
        <v>30850</v>
      </c>
      <c r="J2564" s="967">
        <v>2775870</v>
      </c>
      <c r="K2564" s="967">
        <v>89400000</v>
      </c>
    </row>
    <row r="2565" spans="2:11" ht="16" hidden="1" outlineLevel="1">
      <c r="B2565" s="968" t="s">
        <v>1828</v>
      </c>
      <c r="C2565" s="967">
        <v>31400</v>
      </c>
      <c r="D2565" s="967" t="s">
        <v>2283</v>
      </c>
      <c r="E2565" s="967">
        <v>288857</v>
      </c>
      <c r="F2565" s="967">
        <v>9003208600</v>
      </c>
      <c r="G2565" s="967">
        <v>31250</v>
      </c>
      <c r="H2565" s="967">
        <v>31500</v>
      </c>
      <c r="I2565" s="967">
        <v>30800</v>
      </c>
      <c r="J2565" s="967">
        <v>2807160</v>
      </c>
      <c r="K2565" s="967">
        <v>89400000</v>
      </c>
    </row>
    <row r="2566" spans="2:11" ht="16" hidden="1" outlineLevel="1">
      <c r="B2566" s="968" t="s">
        <v>1827</v>
      </c>
      <c r="C2566" s="967">
        <v>30950</v>
      </c>
      <c r="D2566" s="967" t="s">
        <v>2206</v>
      </c>
      <c r="E2566" s="967">
        <v>302116</v>
      </c>
      <c r="F2566" s="967">
        <v>9240436050</v>
      </c>
      <c r="G2566" s="967">
        <v>29950</v>
      </c>
      <c r="H2566" s="967">
        <v>31200</v>
      </c>
      <c r="I2566" s="967">
        <v>29950</v>
      </c>
      <c r="J2566" s="967">
        <v>2766930</v>
      </c>
      <c r="K2566" s="967">
        <v>89400000</v>
      </c>
    </row>
    <row r="2567" spans="2:11" ht="16" hidden="1" outlineLevel="1">
      <c r="B2567" s="968" t="s">
        <v>1825</v>
      </c>
      <c r="C2567" s="967">
        <v>30400</v>
      </c>
      <c r="D2567" s="967" t="s">
        <v>2280</v>
      </c>
      <c r="E2567" s="967">
        <v>637746</v>
      </c>
      <c r="F2567" s="967">
        <v>19545007550</v>
      </c>
      <c r="G2567" s="967">
        <v>31150</v>
      </c>
      <c r="H2567" s="967">
        <v>31350</v>
      </c>
      <c r="I2567" s="967">
        <v>30250</v>
      </c>
      <c r="J2567" s="967">
        <v>2717760</v>
      </c>
      <c r="K2567" s="967">
        <v>89400000</v>
      </c>
    </row>
    <row r="2568" spans="2:11" ht="16" hidden="1" outlineLevel="1">
      <c r="B2568" s="968" t="s">
        <v>1823</v>
      </c>
      <c r="C2568" s="967">
        <v>31150</v>
      </c>
      <c r="D2568" s="967" t="s">
        <v>2282</v>
      </c>
      <c r="E2568" s="967">
        <v>288795</v>
      </c>
      <c r="F2568" s="967">
        <v>8968420750</v>
      </c>
      <c r="G2568" s="967">
        <v>30850</v>
      </c>
      <c r="H2568" s="967">
        <v>31300</v>
      </c>
      <c r="I2568" s="967">
        <v>30700</v>
      </c>
      <c r="J2568" s="967">
        <v>2784810</v>
      </c>
      <c r="K2568" s="967">
        <v>89400000</v>
      </c>
    </row>
    <row r="2569" spans="2:11" ht="16" hidden="1" outlineLevel="1">
      <c r="B2569" s="968" t="s">
        <v>1821</v>
      </c>
      <c r="C2569" s="967">
        <v>30500</v>
      </c>
      <c r="D2569" s="967" t="s">
        <v>2221</v>
      </c>
      <c r="E2569" s="967">
        <v>435905</v>
      </c>
      <c r="F2569" s="967">
        <v>13123671500</v>
      </c>
      <c r="G2569" s="967">
        <v>30500</v>
      </c>
      <c r="H2569" s="967">
        <v>30750</v>
      </c>
      <c r="I2569" s="967">
        <v>29750</v>
      </c>
      <c r="J2569" s="967">
        <v>2726700</v>
      </c>
      <c r="K2569" s="967">
        <v>89400000</v>
      </c>
    </row>
    <row r="2570" spans="2:11" ht="16" hidden="1" outlineLevel="1">
      <c r="B2570" s="968" t="s">
        <v>1819</v>
      </c>
      <c r="C2570" s="967">
        <v>30500</v>
      </c>
      <c r="D2570" s="967" t="s">
        <v>2253</v>
      </c>
      <c r="E2570" s="967">
        <v>587563</v>
      </c>
      <c r="F2570" s="967">
        <v>17887386200</v>
      </c>
      <c r="G2570" s="967">
        <v>31500</v>
      </c>
      <c r="H2570" s="967">
        <v>31600</v>
      </c>
      <c r="I2570" s="967">
        <v>29850</v>
      </c>
      <c r="J2570" s="967">
        <v>2726700</v>
      </c>
      <c r="K2570" s="967">
        <v>89400000</v>
      </c>
    </row>
    <row r="2571" spans="2:11" ht="16" hidden="1" outlineLevel="1">
      <c r="B2571" s="968" t="s">
        <v>1817</v>
      </c>
      <c r="C2571" s="967">
        <v>31300</v>
      </c>
      <c r="D2571" s="967" t="s">
        <v>2226</v>
      </c>
      <c r="E2571" s="967">
        <v>227533</v>
      </c>
      <c r="F2571" s="967">
        <v>7118789800</v>
      </c>
      <c r="G2571" s="967">
        <v>31700</v>
      </c>
      <c r="H2571" s="967">
        <v>31700</v>
      </c>
      <c r="I2571" s="967">
        <v>31050</v>
      </c>
      <c r="J2571" s="967">
        <v>2798220</v>
      </c>
      <c r="K2571" s="967">
        <v>89400000</v>
      </c>
    </row>
    <row r="2572" spans="2:11" ht="16" hidden="1" outlineLevel="1">
      <c r="B2572" s="968" t="s">
        <v>1815</v>
      </c>
      <c r="C2572" s="967">
        <v>31350</v>
      </c>
      <c r="D2572" s="967" t="s">
        <v>2210</v>
      </c>
      <c r="E2572" s="967">
        <v>298233</v>
      </c>
      <c r="F2572" s="967">
        <v>9363225550</v>
      </c>
      <c r="G2572" s="967">
        <v>31150</v>
      </c>
      <c r="H2572" s="967">
        <v>31950</v>
      </c>
      <c r="I2572" s="967">
        <v>30950</v>
      </c>
      <c r="J2572" s="967">
        <v>2802690</v>
      </c>
      <c r="K2572" s="967">
        <v>89400000</v>
      </c>
    </row>
    <row r="2573" spans="2:11" ht="16" hidden="1" outlineLevel="1">
      <c r="B2573" s="968" t="s">
        <v>1813</v>
      </c>
      <c r="C2573" s="967">
        <v>31800</v>
      </c>
      <c r="D2573" s="967" t="s">
        <v>2224</v>
      </c>
      <c r="E2573" s="967">
        <v>360200</v>
      </c>
      <c r="F2573" s="967">
        <v>11446864100</v>
      </c>
      <c r="G2573" s="967">
        <v>32700</v>
      </c>
      <c r="H2573" s="967">
        <v>32700</v>
      </c>
      <c r="I2573" s="967">
        <v>31350</v>
      </c>
      <c r="J2573" s="967">
        <v>2842920</v>
      </c>
      <c r="K2573" s="967">
        <v>89400000</v>
      </c>
    </row>
    <row r="2574" spans="2:11" ht="16" hidden="1" outlineLevel="1">
      <c r="B2574" s="968" t="s">
        <v>1812</v>
      </c>
      <c r="C2574" s="967">
        <v>32000</v>
      </c>
      <c r="D2574" s="967" t="s">
        <v>2281</v>
      </c>
      <c r="E2574" s="967">
        <v>677681</v>
      </c>
      <c r="F2574" s="967">
        <v>21320923400</v>
      </c>
      <c r="G2574" s="967">
        <v>30350</v>
      </c>
      <c r="H2574" s="967">
        <v>32000</v>
      </c>
      <c r="I2574" s="967">
        <v>30150</v>
      </c>
      <c r="J2574" s="967">
        <v>2860800</v>
      </c>
      <c r="K2574" s="967">
        <v>89400000</v>
      </c>
    </row>
    <row r="2575" spans="2:11" ht="16" hidden="1" outlineLevel="1">
      <c r="B2575" s="968" t="s">
        <v>1810</v>
      </c>
      <c r="C2575" s="967">
        <v>30550</v>
      </c>
      <c r="D2575" s="967" t="s">
        <v>2280</v>
      </c>
      <c r="E2575" s="967">
        <v>456226</v>
      </c>
      <c r="F2575" s="967">
        <v>14094516150</v>
      </c>
      <c r="G2575" s="967">
        <v>31350</v>
      </c>
      <c r="H2575" s="967">
        <v>31400</v>
      </c>
      <c r="I2575" s="967">
        <v>30550</v>
      </c>
      <c r="J2575" s="967">
        <v>2731170</v>
      </c>
      <c r="K2575" s="967">
        <v>89400000</v>
      </c>
    </row>
    <row r="2576" spans="2:11" ht="16" hidden="1" outlineLevel="1">
      <c r="B2576" s="968" t="s">
        <v>1809</v>
      </c>
      <c r="C2576" s="967">
        <v>31300</v>
      </c>
      <c r="D2576" s="967" t="s">
        <v>2213</v>
      </c>
      <c r="E2576" s="967">
        <v>337359</v>
      </c>
      <c r="F2576" s="967">
        <v>10496987200</v>
      </c>
      <c r="G2576" s="967">
        <v>30950</v>
      </c>
      <c r="H2576" s="967">
        <v>31500</v>
      </c>
      <c r="I2576" s="967">
        <v>30600</v>
      </c>
      <c r="J2576" s="967">
        <v>2798220</v>
      </c>
      <c r="K2576" s="967">
        <v>89400000</v>
      </c>
    </row>
    <row r="2577" spans="2:11" ht="16" hidden="1" outlineLevel="1">
      <c r="B2577" s="968" t="s">
        <v>1807</v>
      </c>
      <c r="C2577" s="967">
        <v>31050</v>
      </c>
      <c r="D2577" s="967" t="s">
        <v>2279</v>
      </c>
      <c r="E2577" s="967">
        <v>599760</v>
      </c>
      <c r="F2577" s="967">
        <v>18412796900</v>
      </c>
      <c r="G2577" s="967">
        <v>29800</v>
      </c>
      <c r="H2577" s="967">
        <v>32000</v>
      </c>
      <c r="I2577" s="967">
        <v>29700</v>
      </c>
      <c r="J2577" s="967">
        <v>2775870</v>
      </c>
      <c r="K2577" s="967">
        <v>89400000</v>
      </c>
    </row>
    <row r="2578" spans="2:11" ht="16" hidden="1" outlineLevel="1">
      <c r="B2578" s="968" t="s">
        <v>1805</v>
      </c>
      <c r="C2578" s="967">
        <v>29300</v>
      </c>
      <c r="D2578" s="967" t="s">
        <v>2226</v>
      </c>
      <c r="E2578" s="967">
        <v>401451</v>
      </c>
      <c r="F2578" s="967">
        <v>11638954800</v>
      </c>
      <c r="G2578" s="967">
        <v>29750</v>
      </c>
      <c r="H2578" s="967">
        <v>29800</v>
      </c>
      <c r="I2578" s="967">
        <v>28500</v>
      </c>
      <c r="J2578" s="967">
        <v>2619420</v>
      </c>
      <c r="K2578" s="967">
        <v>89400000</v>
      </c>
    </row>
    <row r="2579" spans="2:11" ht="16" hidden="1" outlineLevel="1">
      <c r="B2579" s="968" t="s">
        <v>1803</v>
      </c>
      <c r="C2579" s="967">
        <v>29350</v>
      </c>
      <c r="D2579" s="967" t="s">
        <v>2213</v>
      </c>
      <c r="E2579" s="967">
        <v>459971</v>
      </c>
      <c r="F2579" s="967">
        <v>13586834800</v>
      </c>
      <c r="G2579" s="967">
        <v>29800</v>
      </c>
      <c r="H2579" s="967">
        <v>29950</v>
      </c>
      <c r="I2579" s="967">
        <v>29250</v>
      </c>
      <c r="J2579" s="967">
        <v>2623890</v>
      </c>
      <c r="K2579" s="967">
        <v>89400000</v>
      </c>
    </row>
    <row r="2580" spans="2:11" ht="16" hidden="1" outlineLevel="1">
      <c r="B2580" s="968" t="s">
        <v>1801</v>
      </c>
      <c r="C2580" s="967">
        <v>29100</v>
      </c>
      <c r="D2580" s="967" t="s">
        <v>1826</v>
      </c>
      <c r="E2580" s="967">
        <v>402499</v>
      </c>
      <c r="F2580" s="967">
        <v>11658894400</v>
      </c>
      <c r="G2580" s="967">
        <v>29150</v>
      </c>
      <c r="H2580" s="967">
        <v>29550</v>
      </c>
      <c r="I2580" s="967">
        <v>28550</v>
      </c>
      <c r="J2580" s="967">
        <v>2601540</v>
      </c>
      <c r="K2580" s="967">
        <v>89400000</v>
      </c>
    </row>
    <row r="2581" spans="2:11" ht="16" hidden="1" outlineLevel="1">
      <c r="B2581" s="968" t="s">
        <v>1799</v>
      </c>
      <c r="C2581" s="967">
        <v>28600</v>
      </c>
      <c r="D2581" s="967" t="s">
        <v>2247</v>
      </c>
      <c r="E2581" s="967">
        <v>206373</v>
      </c>
      <c r="F2581" s="967">
        <v>5965614600</v>
      </c>
      <c r="G2581" s="967">
        <v>29600</v>
      </c>
      <c r="H2581" s="967">
        <v>29750</v>
      </c>
      <c r="I2581" s="967">
        <v>28450</v>
      </c>
      <c r="J2581" s="967">
        <v>2556840</v>
      </c>
      <c r="K2581" s="967">
        <v>89400000</v>
      </c>
    </row>
    <row r="2582" spans="2:11" ht="16" hidden="1" outlineLevel="1">
      <c r="B2582" s="968" t="s">
        <v>1797</v>
      </c>
      <c r="C2582" s="967">
        <v>29700</v>
      </c>
      <c r="D2582" s="967" t="s">
        <v>2230</v>
      </c>
      <c r="E2582" s="967">
        <v>397580</v>
      </c>
      <c r="F2582" s="967">
        <v>11436492400</v>
      </c>
      <c r="G2582" s="967">
        <v>28000</v>
      </c>
      <c r="H2582" s="967">
        <v>29700</v>
      </c>
      <c r="I2582" s="967">
        <v>27500</v>
      </c>
      <c r="J2582" s="967">
        <v>2655180</v>
      </c>
      <c r="K2582" s="967">
        <v>89400000</v>
      </c>
    </row>
    <row r="2583" spans="2:11" ht="16" hidden="1" outlineLevel="1">
      <c r="B2583" s="968" t="s">
        <v>1795</v>
      </c>
      <c r="C2583" s="967">
        <v>29350</v>
      </c>
      <c r="D2583" s="967" t="s">
        <v>2253</v>
      </c>
      <c r="E2583" s="967">
        <v>669676</v>
      </c>
      <c r="F2583" s="967">
        <v>19574744500</v>
      </c>
      <c r="G2583" s="967">
        <v>30000</v>
      </c>
      <c r="H2583" s="967">
        <v>30150</v>
      </c>
      <c r="I2583" s="967">
        <v>28800</v>
      </c>
      <c r="J2583" s="967">
        <v>2623890</v>
      </c>
      <c r="K2583" s="967">
        <v>89400000</v>
      </c>
    </row>
    <row r="2584" spans="2:11" ht="16" hidden="1" outlineLevel="1">
      <c r="B2584" s="968" t="s">
        <v>1793</v>
      </c>
      <c r="C2584" s="967">
        <v>30150</v>
      </c>
      <c r="D2584" s="967" t="s">
        <v>2224</v>
      </c>
      <c r="E2584" s="967">
        <v>559254</v>
      </c>
      <c r="F2584" s="967">
        <v>16575322600</v>
      </c>
      <c r="G2584" s="967">
        <v>29600</v>
      </c>
      <c r="H2584" s="967">
        <v>30350</v>
      </c>
      <c r="I2584" s="967">
        <v>29350</v>
      </c>
      <c r="J2584" s="967">
        <v>2695410</v>
      </c>
      <c r="K2584" s="967">
        <v>89400000</v>
      </c>
    </row>
    <row r="2585" spans="2:11" ht="16" hidden="1" outlineLevel="1">
      <c r="B2585" s="968" t="s">
        <v>1791</v>
      </c>
      <c r="C2585" s="967">
        <v>30350</v>
      </c>
      <c r="D2585" s="967" t="s">
        <v>2217</v>
      </c>
      <c r="E2585" s="967">
        <v>322182</v>
      </c>
      <c r="F2585" s="967">
        <v>9782222850</v>
      </c>
      <c r="G2585" s="967">
        <v>31000</v>
      </c>
      <c r="H2585" s="967">
        <v>31350</v>
      </c>
      <c r="I2585" s="967">
        <v>29700</v>
      </c>
      <c r="J2585" s="967">
        <v>2713290</v>
      </c>
      <c r="K2585" s="967">
        <v>89400000</v>
      </c>
    </row>
    <row r="2586" spans="2:11" s="1258" customFormat="1" ht="16" hidden="1" outlineLevel="1">
      <c r="B2586" s="968" t="s">
        <v>2607</v>
      </c>
      <c r="C2586" s="967">
        <v>31000</v>
      </c>
      <c r="D2586" s="967" t="s">
        <v>2664</v>
      </c>
      <c r="E2586" s="967">
        <v>305143</v>
      </c>
      <c r="F2586" s="967">
        <v>9244831300</v>
      </c>
      <c r="G2586" s="967">
        <v>29950</v>
      </c>
      <c r="H2586" s="967">
        <v>31000</v>
      </c>
      <c r="I2586" s="967">
        <v>29900</v>
      </c>
      <c r="J2586" s="967">
        <v>2771400</v>
      </c>
      <c r="K2586" s="967">
        <v>89400000</v>
      </c>
    </row>
    <row r="2587" spans="2:11" s="1258" customFormat="1" ht="16" hidden="1" outlineLevel="1">
      <c r="B2587" s="968" t="s">
        <v>2605</v>
      </c>
      <c r="C2587" s="967">
        <v>29400</v>
      </c>
      <c r="D2587" s="967" t="s">
        <v>2304</v>
      </c>
      <c r="E2587" s="967">
        <v>665003</v>
      </c>
      <c r="F2587" s="967">
        <v>19487406100</v>
      </c>
      <c r="G2587" s="967">
        <v>30650</v>
      </c>
      <c r="H2587" s="967">
        <v>31200</v>
      </c>
      <c r="I2587" s="967">
        <v>27900</v>
      </c>
      <c r="J2587" s="967">
        <v>2628360</v>
      </c>
      <c r="K2587" s="967">
        <v>89400000</v>
      </c>
    </row>
    <row r="2588" spans="2:11" s="1258" customFormat="1" ht="16" hidden="1" outlineLevel="1">
      <c r="B2588" s="968" t="s">
        <v>2603</v>
      </c>
      <c r="C2588" s="967">
        <v>31100</v>
      </c>
      <c r="D2588" s="967" t="s">
        <v>2244</v>
      </c>
      <c r="E2588" s="967">
        <v>355954</v>
      </c>
      <c r="F2588" s="967">
        <v>11130873300</v>
      </c>
      <c r="G2588" s="967">
        <v>31350</v>
      </c>
      <c r="H2588" s="967">
        <v>31700</v>
      </c>
      <c r="I2588" s="967">
        <v>30850</v>
      </c>
      <c r="J2588" s="967">
        <v>2780340</v>
      </c>
      <c r="K2588" s="967">
        <v>89400000</v>
      </c>
    </row>
    <row r="2589" spans="2:11" s="1258" customFormat="1" ht="16" hidden="1" outlineLevel="1">
      <c r="B2589" s="968" t="s">
        <v>2601</v>
      </c>
      <c r="C2589" s="967">
        <v>32600</v>
      </c>
      <c r="D2589" s="967" t="s">
        <v>2221</v>
      </c>
      <c r="E2589" s="967">
        <v>226571</v>
      </c>
      <c r="F2589" s="967">
        <v>7362410600</v>
      </c>
      <c r="G2589" s="967">
        <v>31700</v>
      </c>
      <c r="H2589" s="967">
        <v>33100</v>
      </c>
      <c r="I2589" s="967">
        <v>31650</v>
      </c>
      <c r="J2589" s="967">
        <v>2914440</v>
      </c>
      <c r="K2589" s="967">
        <v>89400000</v>
      </c>
    </row>
    <row r="2590" spans="2:11" s="1258" customFormat="1" ht="16" hidden="1" outlineLevel="1">
      <c r="B2590" s="968" t="s">
        <v>2599</v>
      </c>
      <c r="C2590" s="967">
        <v>32600</v>
      </c>
      <c r="D2590" s="967" t="s">
        <v>2213</v>
      </c>
      <c r="E2590" s="967">
        <v>251921</v>
      </c>
      <c r="F2590" s="967">
        <v>8234801700</v>
      </c>
      <c r="G2590" s="967">
        <v>32350</v>
      </c>
      <c r="H2590" s="967">
        <v>33250</v>
      </c>
      <c r="I2590" s="967">
        <v>32050</v>
      </c>
      <c r="J2590" s="967">
        <v>2914440</v>
      </c>
      <c r="K2590" s="967">
        <v>89400000</v>
      </c>
    </row>
    <row r="2591" spans="2:11" s="1258" customFormat="1" ht="16" hidden="1" outlineLevel="1">
      <c r="B2591" s="968" t="s">
        <v>2598</v>
      </c>
      <c r="C2591" s="967">
        <v>32350</v>
      </c>
      <c r="D2591" s="967" t="s">
        <v>2300</v>
      </c>
      <c r="E2591" s="967">
        <v>273682</v>
      </c>
      <c r="F2591" s="967">
        <v>8700447700</v>
      </c>
      <c r="G2591" s="967">
        <v>30900</v>
      </c>
      <c r="H2591" s="967">
        <v>32350</v>
      </c>
      <c r="I2591" s="967">
        <v>30800</v>
      </c>
      <c r="J2591" s="967">
        <v>2892090</v>
      </c>
      <c r="K2591" s="967">
        <v>89400000</v>
      </c>
    </row>
    <row r="2592" spans="2:11" s="1258" customFormat="1" ht="16" hidden="1" outlineLevel="1">
      <c r="B2592" s="968" t="s">
        <v>2597</v>
      </c>
      <c r="C2592" s="967">
        <v>31200</v>
      </c>
      <c r="D2592" s="967" t="s">
        <v>2221</v>
      </c>
      <c r="E2592" s="967">
        <v>167702</v>
      </c>
      <c r="F2592" s="967">
        <v>5221499500</v>
      </c>
      <c r="G2592" s="967">
        <v>31000</v>
      </c>
      <c r="H2592" s="967">
        <v>31650</v>
      </c>
      <c r="I2592" s="967">
        <v>30700</v>
      </c>
      <c r="J2592" s="967">
        <v>2789280</v>
      </c>
      <c r="K2592" s="967">
        <v>89400000</v>
      </c>
    </row>
    <row r="2593" spans="2:11" s="1258" customFormat="1" ht="16" hidden="1" outlineLevel="1">
      <c r="B2593" s="968" t="s">
        <v>2596</v>
      </c>
      <c r="C2593" s="967">
        <v>31200</v>
      </c>
      <c r="D2593" s="967" t="s">
        <v>2208</v>
      </c>
      <c r="E2593" s="967">
        <v>429749</v>
      </c>
      <c r="F2593" s="967">
        <v>13364508800</v>
      </c>
      <c r="G2593" s="967">
        <v>30700</v>
      </c>
      <c r="H2593" s="967">
        <v>31500</v>
      </c>
      <c r="I2593" s="967">
        <v>30400</v>
      </c>
      <c r="J2593" s="967">
        <v>2789280</v>
      </c>
      <c r="K2593" s="967">
        <v>89400000</v>
      </c>
    </row>
    <row r="2594" spans="2:11" s="1258" customFormat="1" ht="16" hidden="1" outlineLevel="1">
      <c r="B2594" s="968" t="s">
        <v>2595</v>
      </c>
      <c r="C2594" s="967">
        <v>30500</v>
      </c>
      <c r="D2594" s="967" t="s">
        <v>2293</v>
      </c>
      <c r="E2594" s="967">
        <v>417379</v>
      </c>
      <c r="F2594" s="967">
        <v>12633464050</v>
      </c>
      <c r="G2594" s="967">
        <v>31150</v>
      </c>
      <c r="H2594" s="967">
        <v>31400</v>
      </c>
      <c r="I2594" s="967">
        <v>29000</v>
      </c>
      <c r="J2594" s="967">
        <v>2726700</v>
      </c>
      <c r="K2594" s="967">
        <v>89400000</v>
      </c>
    </row>
    <row r="2595" spans="2:11" s="1258" customFormat="1" ht="16" hidden="1" outlineLevel="1">
      <c r="B2595" s="968" t="s">
        <v>2594</v>
      </c>
      <c r="C2595" s="967">
        <v>30750</v>
      </c>
      <c r="D2595" s="967" t="s">
        <v>2222</v>
      </c>
      <c r="E2595" s="967">
        <v>234505</v>
      </c>
      <c r="F2595" s="967">
        <v>7221867050</v>
      </c>
      <c r="G2595" s="967">
        <v>31900</v>
      </c>
      <c r="H2595" s="967">
        <v>31900</v>
      </c>
      <c r="I2595" s="967">
        <v>29750</v>
      </c>
      <c r="J2595" s="967">
        <v>2749050</v>
      </c>
      <c r="K2595" s="967">
        <v>89400000</v>
      </c>
    </row>
    <row r="2596" spans="2:11" s="1258" customFormat="1" ht="16" hidden="1" outlineLevel="1">
      <c r="B2596" s="968" t="s">
        <v>2592</v>
      </c>
      <c r="C2596" s="967">
        <v>31350</v>
      </c>
      <c r="D2596" s="967" t="s">
        <v>2294</v>
      </c>
      <c r="E2596" s="967">
        <v>215601</v>
      </c>
      <c r="F2596" s="967">
        <v>6818698000</v>
      </c>
      <c r="G2596" s="967">
        <v>31700</v>
      </c>
      <c r="H2596" s="967">
        <v>32100</v>
      </c>
      <c r="I2596" s="967">
        <v>31250</v>
      </c>
      <c r="J2596" s="967">
        <v>2802690</v>
      </c>
      <c r="K2596" s="967">
        <v>89400000</v>
      </c>
    </row>
    <row r="2597" spans="2:11" s="1258" customFormat="1" ht="16" hidden="1" outlineLevel="1">
      <c r="B2597" s="968" t="s">
        <v>2591</v>
      </c>
      <c r="C2597" s="967">
        <v>31900</v>
      </c>
      <c r="D2597" s="967" t="s">
        <v>2224</v>
      </c>
      <c r="E2597" s="967">
        <v>377615</v>
      </c>
      <c r="F2597" s="967">
        <v>12142018700</v>
      </c>
      <c r="G2597" s="967">
        <v>32650</v>
      </c>
      <c r="H2597" s="967">
        <v>32750</v>
      </c>
      <c r="I2597" s="967">
        <v>31300</v>
      </c>
      <c r="J2597" s="967">
        <v>2851860</v>
      </c>
      <c r="K2597" s="967">
        <v>89400000</v>
      </c>
    </row>
    <row r="2598" spans="2:11" s="1258" customFormat="1" ht="16" hidden="1" outlineLevel="1">
      <c r="B2598" s="968" t="s">
        <v>2590</v>
      </c>
      <c r="C2598" s="967">
        <v>32100</v>
      </c>
      <c r="D2598" s="967" t="s">
        <v>2219</v>
      </c>
      <c r="E2598" s="967">
        <v>381473</v>
      </c>
      <c r="F2598" s="967">
        <v>12323839100</v>
      </c>
      <c r="G2598" s="967">
        <v>32300</v>
      </c>
      <c r="H2598" s="967">
        <v>32950</v>
      </c>
      <c r="I2598" s="967">
        <v>31800</v>
      </c>
      <c r="J2598" s="967">
        <v>2869740</v>
      </c>
      <c r="K2598" s="967">
        <v>89400000</v>
      </c>
    </row>
    <row r="2599" spans="2:11" s="1258" customFormat="1" ht="16" hidden="1" outlineLevel="1">
      <c r="B2599" s="968" t="s">
        <v>2589</v>
      </c>
      <c r="C2599" s="967">
        <v>31950</v>
      </c>
      <c r="D2599" s="967" t="s">
        <v>2217</v>
      </c>
      <c r="E2599" s="967">
        <v>258118</v>
      </c>
      <c r="F2599" s="967">
        <v>8321213600</v>
      </c>
      <c r="G2599" s="967">
        <v>32250</v>
      </c>
      <c r="H2599" s="967">
        <v>32950</v>
      </c>
      <c r="I2599" s="967">
        <v>31350</v>
      </c>
      <c r="J2599" s="967">
        <v>2856330</v>
      </c>
      <c r="K2599" s="967">
        <v>89400000</v>
      </c>
    </row>
    <row r="2600" spans="2:11" s="1258" customFormat="1" ht="16" hidden="1" outlineLevel="1">
      <c r="B2600" s="968" t="s">
        <v>2588</v>
      </c>
      <c r="C2600" s="967">
        <v>32600</v>
      </c>
      <c r="D2600" s="967" t="s">
        <v>2217</v>
      </c>
      <c r="E2600" s="967">
        <v>437380</v>
      </c>
      <c r="F2600" s="967">
        <v>14392163650</v>
      </c>
      <c r="G2600" s="967">
        <v>32950</v>
      </c>
      <c r="H2600" s="967">
        <v>34000</v>
      </c>
      <c r="I2600" s="967">
        <v>32000</v>
      </c>
      <c r="J2600" s="967">
        <v>2914440</v>
      </c>
      <c r="K2600" s="967">
        <v>89400000</v>
      </c>
    </row>
    <row r="2601" spans="2:11" s="1258" customFormat="1" ht="16" hidden="1" outlineLevel="1">
      <c r="B2601" s="968" t="s">
        <v>2587</v>
      </c>
      <c r="C2601" s="967">
        <v>33250</v>
      </c>
      <c r="D2601" s="967" t="s">
        <v>2225</v>
      </c>
      <c r="E2601" s="967">
        <v>285676</v>
      </c>
      <c r="F2601" s="967">
        <v>9500843500</v>
      </c>
      <c r="G2601" s="967">
        <v>33950</v>
      </c>
      <c r="H2601" s="967">
        <v>34000</v>
      </c>
      <c r="I2601" s="967">
        <v>32700</v>
      </c>
      <c r="J2601" s="967">
        <v>2972550</v>
      </c>
      <c r="K2601" s="967">
        <v>89400000</v>
      </c>
    </row>
    <row r="2602" spans="2:11" s="1258" customFormat="1" ht="16" hidden="1" outlineLevel="1">
      <c r="B2602" s="968" t="s">
        <v>2586</v>
      </c>
      <c r="C2602" s="967">
        <v>33400</v>
      </c>
      <c r="D2602" s="967" t="s">
        <v>2215</v>
      </c>
      <c r="E2602" s="967">
        <v>666253</v>
      </c>
      <c r="F2602" s="967">
        <v>22613080600</v>
      </c>
      <c r="G2602" s="967">
        <v>33450</v>
      </c>
      <c r="H2602" s="967">
        <v>34900</v>
      </c>
      <c r="I2602" s="967">
        <v>32900</v>
      </c>
      <c r="J2602" s="967">
        <v>2985960</v>
      </c>
      <c r="K2602" s="967">
        <v>89400000</v>
      </c>
    </row>
    <row r="2603" spans="2:11" s="1258" customFormat="1" ht="16" hidden="1" outlineLevel="1">
      <c r="B2603" s="968" t="s">
        <v>2584</v>
      </c>
      <c r="C2603" s="967">
        <v>33700</v>
      </c>
      <c r="D2603" s="967" t="s">
        <v>2239</v>
      </c>
      <c r="E2603" s="967">
        <v>1093864</v>
      </c>
      <c r="F2603" s="967">
        <v>36430078550</v>
      </c>
      <c r="G2603" s="967">
        <v>31500</v>
      </c>
      <c r="H2603" s="967">
        <v>34450</v>
      </c>
      <c r="I2603" s="967">
        <v>31050</v>
      </c>
      <c r="J2603" s="967">
        <v>3012780</v>
      </c>
      <c r="K2603" s="967">
        <v>89400000</v>
      </c>
    </row>
    <row r="2604" spans="2:11" s="1258" customFormat="1" ht="16" hidden="1" outlineLevel="1">
      <c r="B2604" s="968" t="s">
        <v>2583</v>
      </c>
      <c r="C2604" s="967">
        <v>31500</v>
      </c>
      <c r="D2604" s="967" t="s">
        <v>2689</v>
      </c>
      <c r="E2604" s="967">
        <v>673621</v>
      </c>
      <c r="F2604" s="967">
        <v>21152965600</v>
      </c>
      <c r="G2604" s="967">
        <v>30450</v>
      </c>
      <c r="H2604" s="967">
        <v>31900</v>
      </c>
      <c r="I2604" s="967">
        <v>30450</v>
      </c>
      <c r="J2604" s="967">
        <v>2816100</v>
      </c>
      <c r="K2604" s="967">
        <v>89400000</v>
      </c>
    </row>
    <row r="2605" spans="2:11" s="1258" customFormat="1" ht="16" hidden="1" outlineLevel="1">
      <c r="B2605" s="968" t="s">
        <v>2582</v>
      </c>
      <c r="C2605" s="967">
        <v>30150</v>
      </c>
      <c r="D2605" s="967" t="s">
        <v>2695</v>
      </c>
      <c r="E2605" s="967">
        <v>309860</v>
      </c>
      <c r="F2605" s="967">
        <v>9124740000</v>
      </c>
      <c r="G2605" s="967">
        <v>28800</v>
      </c>
      <c r="H2605" s="967">
        <v>30150</v>
      </c>
      <c r="I2605" s="967">
        <v>28700</v>
      </c>
      <c r="J2605" s="967">
        <v>2695410</v>
      </c>
      <c r="K2605" s="967">
        <v>89400000</v>
      </c>
    </row>
    <row r="2606" spans="2:11" s="1258" customFormat="1" ht="16" hidden="1" outlineLevel="1">
      <c r="B2606" s="968" t="s">
        <v>2581</v>
      </c>
      <c r="C2606" s="967">
        <v>28450</v>
      </c>
      <c r="D2606" s="967" t="s">
        <v>2211</v>
      </c>
      <c r="E2606" s="967">
        <v>285161</v>
      </c>
      <c r="F2606" s="967">
        <v>8199575350</v>
      </c>
      <c r="G2606" s="967">
        <v>28350</v>
      </c>
      <c r="H2606" s="967">
        <v>29100</v>
      </c>
      <c r="I2606" s="967">
        <v>28350</v>
      </c>
      <c r="J2606" s="967">
        <v>2543430</v>
      </c>
      <c r="K2606" s="967">
        <v>89400000</v>
      </c>
    </row>
    <row r="2607" spans="2:11" s="1258" customFormat="1" ht="16" hidden="1" outlineLevel="1">
      <c r="B2607" s="968" t="s">
        <v>2580</v>
      </c>
      <c r="C2607" s="967">
        <v>28850</v>
      </c>
      <c r="D2607" s="967" t="s">
        <v>2225</v>
      </c>
      <c r="E2607" s="967">
        <v>376790</v>
      </c>
      <c r="F2607" s="967">
        <v>10940409100</v>
      </c>
      <c r="G2607" s="967">
        <v>29900</v>
      </c>
      <c r="H2607" s="967">
        <v>29900</v>
      </c>
      <c r="I2607" s="967">
        <v>28550</v>
      </c>
      <c r="J2607" s="967">
        <v>2579190</v>
      </c>
      <c r="K2607" s="967">
        <v>89400000</v>
      </c>
    </row>
    <row r="2608" spans="2:11" s="1258" customFormat="1" ht="16" hidden="1" outlineLevel="1">
      <c r="B2608" s="968" t="s">
        <v>2578</v>
      </c>
      <c r="C2608" s="967">
        <v>29000</v>
      </c>
      <c r="D2608" s="967" t="s">
        <v>2251</v>
      </c>
      <c r="E2608" s="967">
        <v>585783</v>
      </c>
      <c r="F2608" s="967">
        <v>16953498100</v>
      </c>
      <c r="G2608" s="967">
        <v>28600</v>
      </c>
      <c r="H2608" s="967">
        <v>29450</v>
      </c>
      <c r="I2608" s="967">
        <v>28050</v>
      </c>
      <c r="J2608" s="967">
        <v>2592600</v>
      </c>
      <c r="K2608" s="967">
        <v>89400000</v>
      </c>
    </row>
    <row r="2609" spans="2:11" s="1258" customFormat="1" ht="16" hidden="1" outlineLevel="1">
      <c r="B2609" s="968" t="s">
        <v>2577</v>
      </c>
      <c r="C2609" s="967">
        <v>28400</v>
      </c>
      <c r="D2609" s="967" t="s">
        <v>2215</v>
      </c>
      <c r="E2609" s="967">
        <v>930417</v>
      </c>
      <c r="F2609" s="967">
        <v>25888384800</v>
      </c>
      <c r="G2609" s="967">
        <v>28850</v>
      </c>
      <c r="H2609" s="967">
        <v>29500</v>
      </c>
      <c r="I2609" s="967">
        <v>27150</v>
      </c>
      <c r="J2609" s="967">
        <v>2538960</v>
      </c>
      <c r="K2609" s="967">
        <v>89400000</v>
      </c>
    </row>
    <row r="2610" spans="2:11" s="1258" customFormat="1" ht="16" hidden="1" outlineLevel="1">
      <c r="B2610" s="968" t="s">
        <v>2576</v>
      </c>
      <c r="C2610" s="967">
        <v>28700</v>
      </c>
      <c r="D2610" s="967" t="s">
        <v>2218</v>
      </c>
      <c r="E2610" s="967">
        <v>459768</v>
      </c>
      <c r="F2610" s="967">
        <v>13467295100</v>
      </c>
      <c r="G2610" s="967">
        <v>30000</v>
      </c>
      <c r="H2610" s="967">
        <v>30300</v>
      </c>
      <c r="I2610" s="967">
        <v>28350</v>
      </c>
      <c r="J2610" s="967">
        <v>2565780</v>
      </c>
      <c r="K2610" s="967">
        <v>89400000</v>
      </c>
    </row>
    <row r="2611" spans="2:11" s="1258" customFormat="1" ht="16" hidden="1" outlineLevel="1">
      <c r="B2611" s="968" t="s">
        <v>2575</v>
      </c>
      <c r="C2611" s="967">
        <v>29850</v>
      </c>
      <c r="D2611" s="967" t="s">
        <v>2688</v>
      </c>
      <c r="E2611" s="967">
        <v>365691</v>
      </c>
      <c r="F2611" s="967">
        <v>10933251650</v>
      </c>
      <c r="G2611" s="967">
        <v>29850</v>
      </c>
      <c r="H2611" s="967">
        <v>30200</v>
      </c>
      <c r="I2611" s="967">
        <v>29400</v>
      </c>
      <c r="J2611" s="967">
        <v>2668590</v>
      </c>
      <c r="K2611" s="967">
        <v>89400000</v>
      </c>
    </row>
    <row r="2612" spans="2:11" s="1258" customFormat="1" ht="16" hidden="1" outlineLevel="1">
      <c r="B2612" s="968" t="s">
        <v>2574</v>
      </c>
      <c r="C2612" s="967">
        <v>31050</v>
      </c>
      <c r="D2612" s="967" t="s">
        <v>2241</v>
      </c>
      <c r="E2612" s="967">
        <v>311406</v>
      </c>
      <c r="F2612" s="967">
        <v>9736133900</v>
      </c>
      <c r="G2612" s="967">
        <v>31850</v>
      </c>
      <c r="H2612" s="967">
        <v>31900</v>
      </c>
      <c r="I2612" s="967">
        <v>30750</v>
      </c>
      <c r="J2612" s="967">
        <v>2775870</v>
      </c>
      <c r="K2612" s="967">
        <v>89400000</v>
      </c>
    </row>
    <row r="2613" spans="2:11" s="1258" customFormat="1" ht="16" hidden="1" outlineLevel="1">
      <c r="B2613" s="968" t="s">
        <v>2572</v>
      </c>
      <c r="C2613" s="967">
        <v>31950</v>
      </c>
      <c r="D2613" s="967" t="s">
        <v>1826</v>
      </c>
      <c r="E2613" s="967">
        <v>675139</v>
      </c>
      <c r="F2613" s="967">
        <v>21367785550</v>
      </c>
      <c r="G2613" s="967">
        <v>31550</v>
      </c>
      <c r="H2613" s="967">
        <v>32050</v>
      </c>
      <c r="I2613" s="967">
        <v>31150</v>
      </c>
      <c r="J2613" s="967">
        <v>2856330</v>
      </c>
      <c r="K2613" s="967">
        <v>89400000</v>
      </c>
    </row>
    <row r="2614" spans="2:11" s="1258" customFormat="1" ht="16" hidden="1" outlineLevel="1">
      <c r="B2614" s="968" t="s">
        <v>2571</v>
      </c>
      <c r="C2614" s="967">
        <v>31450</v>
      </c>
      <c r="D2614" s="967" t="s">
        <v>2694</v>
      </c>
      <c r="E2614" s="967">
        <v>575709</v>
      </c>
      <c r="F2614" s="967">
        <v>17711819900</v>
      </c>
      <c r="G2614" s="967">
        <v>29850</v>
      </c>
      <c r="H2614" s="967">
        <v>31500</v>
      </c>
      <c r="I2614" s="967">
        <v>29700</v>
      </c>
      <c r="J2614" s="967">
        <v>2811630</v>
      </c>
      <c r="K2614" s="967">
        <v>89400000</v>
      </c>
    </row>
    <row r="2615" spans="2:11" s="1258" customFormat="1" ht="16" hidden="1" outlineLevel="1">
      <c r="B2615" s="968" t="s">
        <v>2569</v>
      </c>
      <c r="C2615" s="967">
        <v>29200</v>
      </c>
      <c r="D2615" s="967" t="s">
        <v>2222</v>
      </c>
      <c r="E2615" s="967">
        <v>515759</v>
      </c>
      <c r="F2615" s="967">
        <v>15233032300</v>
      </c>
      <c r="G2615" s="967">
        <v>30200</v>
      </c>
      <c r="H2615" s="967">
        <v>30300</v>
      </c>
      <c r="I2615" s="967">
        <v>28550</v>
      </c>
      <c r="J2615" s="967">
        <v>2610480</v>
      </c>
      <c r="K2615" s="967">
        <v>89400000</v>
      </c>
    </row>
    <row r="2616" spans="2:11" s="1258" customFormat="1" ht="16" hidden="1" outlineLevel="1">
      <c r="B2616" s="968" t="s">
        <v>2567</v>
      </c>
      <c r="C2616" s="967">
        <v>29800</v>
      </c>
      <c r="D2616" s="967" t="s">
        <v>2215</v>
      </c>
      <c r="E2616" s="967">
        <v>727474</v>
      </c>
      <c r="F2616" s="967">
        <v>21587689950</v>
      </c>
      <c r="G2616" s="967">
        <v>29000</v>
      </c>
      <c r="H2616" s="967">
        <v>30550</v>
      </c>
      <c r="I2616" s="967">
        <v>28600</v>
      </c>
      <c r="J2616" s="967">
        <v>2664120</v>
      </c>
      <c r="K2616" s="967">
        <v>89400000</v>
      </c>
    </row>
    <row r="2617" spans="2:11" s="1258" customFormat="1" ht="16" hidden="1" outlineLevel="1">
      <c r="B2617" s="968" t="s">
        <v>2566</v>
      </c>
      <c r="C2617" s="967">
        <v>30100</v>
      </c>
      <c r="D2617" s="967" t="s">
        <v>2241</v>
      </c>
      <c r="E2617" s="967">
        <v>534552</v>
      </c>
      <c r="F2617" s="967">
        <v>16271798000</v>
      </c>
      <c r="G2617" s="967">
        <v>31600</v>
      </c>
      <c r="H2617" s="967">
        <v>32000</v>
      </c>
      <c r="I2617" s="967">
        <v>29500</v>
      </c>
      <c r="J2617" s="967">
        <v>2690940</v>
      </c>
      <c r="K2617" s="967">
        <v>89400000</v>
      </c>
    </row>
    <row r="2618" spans="2:11" s="1258" customFormat="1" ht="16" hidden="1" outlineLevel="1">
      <c r="B2618" s="968" t="s">
        <v>2564</v>
      </c>
      <c r="C2618" s="967">
        <v>31000</v>
      </c>
      <c r="D2618" s="967" t="s">
        <v>2221</v>
      </c>
      <c r="E2618" s="967">
        <v>590586</v>
      </c>
      <c r="F2618" s="967">
        <v>17794433000</v>
      </c>
      <c r="G2618" s="967">
        <v>30000</v>
      </c>
      <c r="H2618" s="967">
        <v>31350</v>
      </c>
      <c r="I2618" s="967">
        <v>28800</v>
      </c>
      <c r="J2618" s="967">
        <v>2771400</v>
      </c>
      <c r="K2618" s="967">
        <v>89400000</v>
      </c>
    </row>
    <row r="2619" spans="2:11" s="1258" customFormat="1" ht="16" hidden="1" outlineLevel="1">
      <c r="B2619" s="968" t="s">
        <v>2563</v>
      </c>
      <c r="C2619" s="967">
        <v>31000</v>
      </c>
      <c r="D2619" s="967" t="s">
        <v>2217</v>
      </c>
      <c r="E2619" s="967">
        <v>765644</v>
      </c>
      <c r="F2619" s="967">
        <v>23066546450</v>
      </c>
      <c r="G2619" s="967">
        <v>31000</v>
      </c>
      <c r="H2619" s="967">
        <v>31500</v>
      </c>
      <c r="I2619" s="967">
        <v>28400</v>
      </c>
      <c r="J2619" s="967">
        <v>2771400</v>
      </c>
      <c r="K2619" s="967">
        <v>89400000</v>
      </c>
    </row>
    <row r="2620" spans="2:11" s="1258" customFormat="1" ht="16" hidden="1" outlineLevel="1">
      <c r="B2620" s="968" t="s">
        <v>2562</v>
      </c>
      <c r="C2620" s="967">
        <v>31650</v>
      </c>
      <c r="D2620" s="967" t="s">
        <v>2211</v>
      </c>
      <c r="E2620" s="967">
        <v>542240</v>
      </c>
      <c r="F2620" s="967">
        <v>16977136700</v>
      </c>
      <c r="G2620" s="967">
        <v>30550</v>
      </c>
      <c r="H2620" s="967">
        <v>31800</v>
      </c>
      <c r="I2620" s="967">
        <v>30550</v>
      </c>
      <c r="J2620" s="967">
        <v>2829510</v>
      </c>
      <c r="K2620" s="967">
        <v>89400000</v>
      </c>
    </row>
    <row r="2621" spans="2:11" s="1258" customFormat="1" ht="16" hidden="1" outlineLevel="1">
      <c r="B2621" s="968" t="s">
        <v>2561</v>
      </c>
      <c r="C2621" s="967">
        <v>32050</v>
      </c>
      <c r="D2621" s="967" t="s">
        <v>2222</v>
      </c>
      <c r="E2621" s="967">
        <v>359652</v>
      </c>
      <c r="F2621" s="967">
        <v>11688835650</v>
      </c>
      <c r="G2621" s="967">
        <v>33000</v>
      </c>
      <c r="H2621" s="967">
        <v>33000</v>
      </c>
      <c r="I2621" s="967">
        <v>31850</v>
      </c>
      <c r="J2621" s="967">
        <v>2865270</v>
      </c>
      <c r="K2621" s="967">
        <v>89400000</v>
      </c>
    </row>
    <row r="2622" spans="2:11" s="1258" customFormat="1" ht="16" hidden="1" outlineLevel="1">
      <c r="B2622" s="968" t="s">
        <v>2560</v>
      </c>
      <c r="C2622" s="967">
        <v>32650</v>
      </c>
      <c r="D2622" s="967" t="s">
        <v>2229</v>
      </c>
      <c r="E2622" s="967">
        <v>496498</v>
      </c>
      <c r="F2622" s="967">
        <v>16167696600</v>
      </c>
      <c r="G2622" s="967">
        <v>32550</v>
      </c>
      <c r="H2622" s="967">
        <v>33200</v>
      </c>
      <c r="I2622" s="967">
        <v>32150</v>
      </c>
      <c r="J2622" s="967">
        <v>2918910</v>
      </c>
      <c r="K2622" s="967">
        <v>89400000</v>
      </c>
    </row>
    <row r="2623" spans="2:11" s="1258" customFormat="1" ht="16" hidden="1" outlineLevel="1">
      <c r="B2623" s="968" t="s">
        <v>2559</v>
      </c>
      <c r="C2623" s="967">
        <v>33000</v>
      </c>
      <c r="D2623" s="967" t="s">
        <v>2215</v>
      </c>
      <c r="E2623" s="967">
        <v>684907</v>
      </c>
      <c r="F2623" s="967">
        <v>22352584550</v>
      </c>
      <c r="G2623" s="967">
        <v>32650</v>
      </c>
      <c r="H2623" s="967">
        <v>33300</v>
      </c>
      <c r="I2623" s="967">
        <v>32000</v>
      </c>
      <c r="J2623" s="967">
        <v>2950200</v>
      </c>
      <c r="K2623" s="967">
        <v>89400000</v>
      </c>
    </row>
    <row r="2624" spans="2:11" s="1258" customFormat="1" ht="16" hidden="1" outlineLevel="1">
      <c r="B2624" s="968" t="s">
        <v>2557</v>
      </c>
      <c r="C2624" s="967">
        <v>33300</v>
      </c>
      <c r="D2624" s="967" t="s">
        <v>1814</v>
      </c>
      <c r="E2624" s="967">
        <v>963227</v>
      </c>
      <c r="F2624" s="967">
        <v>32508941100</v>
      </c>
      <c r="G2624" s="967">
        <v>33750</v>
      </c>
      <c r="H2624" s="967">
        <v>34550</v>
      </c>
      <c r="I2624" s="967">
        <v>33050</v>
      </c>
      <c r="J2624" s="967">
        <v>2977020</v>
      </c>
      <c r="K2624" s="967">
        <v>89400000</v>
      </c>
    </row>
    <row r="2625" spans="2:11" s="1258" customFormat="1" ht="16" hidden="1" outlineLevel="1">
      <c r="B2625" s="968" t="s">
        <v>2555</v>
      </c>
      <c r="C2625" s="967">
        <v>33800</v>
      </c>
      <c r="D2625" s="967" t="s">
        <v>2222</v>
      </c>
      <c r="E2625" s="967">
        <v>488741</v>
      </c>
      <c r="F2625" s="967">
        <v>16561230700</v>
      </c>
      <c r="G2625" s="967">
        <v>34300</v>
      </c>
      <c r="H2625" s="967">
        <v>34350</v>
      </c>
      <c r="I2625" s="967">
        <v>33450</v>
      </c>
      <c r="J2625" s="967">
        <v>3021720</v>
      </c>
      <c r="K2625" s="967">
        <v>89400000</v>
      </c>
    </row>
    <row r="2626" spans="2:11" s="1258" customFormat="1" ht="16" hidden="1" outlineLevel="1">
      <c r="B2626" s="968" t="s">
        <v>2554</v>
      </c>
      <c r="C2626" s="967">
        <v>34400</v>
      </c>
      <c r="D2626" s="967" t="s">
        <v>1826</v>
      </c>
      <c r="E2626" s="967">
        <v>408826</v>
      </c>
      <c r="F2626" s="967">
        <v>13929592400</v>
      </c>
      <c r="G2626" s="967">
        <v>33200</v>
      </c>
      <c r="H2626" s="967">
        <v>34400</v>
      </c>
      <c r="I2626" s="967">
        <v>33200</v>
      </c>
      <c r="J2626" s="967">
        <v>3075360</v>
      </c>
      <c r="K2626" s="967">
        <v>89400000</v>
      </c>
    </row>
    <row r="2627" spans="2:11" s="1258" customFormat="1" ht="16" hidden="1" outlineLevel="1">
      <c r="B2627" s="968" t="s">
        <v>2552</v>
      </c>
      <c r="C2627" s="967">
        <v>33900</v>
      </c>
      <c r="D2627" s="967" t="s">
        <v>2687</v>
      </c>
      <c r="E2627" s="967">
        <v>1611861</v>
      </c>
      <c r="F2627" s="967">
        <v>54384773450</v>
      </c>
      <c r="G2627" s="967">
        <v>34950</v>
      </c>
      <c r="H2627" s="967">
        <v>35150</v>
      </c>
      <c r="I2627" s="967">
        <v>33000</v>
      </c>
      <c r="J2627" s="967">
        <v>3030660</v>
      </c>
      <c r="K2627" s="967">
        <v>89400000</v>
      </c>
    </row>
    <row r="2628" spans="2:11" s="1258" customFormat="1" ht="16" hidden="1" outlineLevel="1">
      <c r="B2628" s="968" t="s">
        <v>2550</v>
      </c>
      <c r="C2628" s="967">
        <v>35150</v>
      </c>
      <c r="D2628" s="967" t="s">
        <v>2214</v>
      </c>
      <c r="E2628" s="967">
        <v>274418</v>
      </c>
      <c r="F2628" s="967">
        <v>9680159250</v>
      </c>
      <c r="G2628" s="967">
        <v>35350</v>
      </c>
      <c r="H2628" s="967">
        <v>35850</v>
      </c>
      <c r="I2628" s="967">
        <v>34850</v>
      </c>
      <c r="J2628" s="967">
        <v>3142410</v>
      </c>
      <c r="K2628" s="967">
        <v>89400000</v>
      </c>
    </row>
    <row r="2629" spans="2:11" s="1258" customFormat="1" ht="16" hidden="1" outlineLevel="1">
      <c r="B2629" s="968" t="s">
        <v>2549</v>
      </c>
      <c r="C2629" s="967">
        <v>34750</v>
      </c>
      <c r="D2629" s="967" t="s">
        <v>1826</v>
      </c>
      <c r="E2629" s="967">
        <v>525547</v>
      </c>
      <c r="F2629" s="967">
        <v>18401464400</v>
      </c>
      <c r="G2629" s="967">
        <v>34250</v>
      </c>
      <c r="H2629" s="967">
        <v>35400</v>
      </c>
      <c r="I2629" s="967">
        <v>34100</v>
      </c>
      <c r="J2629" s="967">
        <v>3106650</v>
      </c>
      <c r="K2629" s="967">
        <v>89400000</v>
      </c>
    </row>
    <row r="2630" spans="2:11" s="1258" customFormat="1" ht="16" hidden="1" outlineLevel="1">
      <c r="B2630" s="968" t="s">
        <v>2548</v>
      </c>
      <c r="C2630" s="967">
        <v>34250</v>
      </c>
      <c r="D2630" s="967" t="s">
        <v>2229</v>
      </c>
      <c r="E2630" s="967">
        <v>466986</v>
      </c>
      <c r="F2630" s="967">
        <v>15993737250</v>
      </c>
      <c r="G2630" s="967">
        <v>34550</v>
      </c>
      <c r="H2630" s="967">
        <v>34950</v>
      </c>
      <c r="I2630" s="967">
        <v>34000</v>
      </c>
      <c r="J2630" s="967">
        <v>3061950</v>
      </c>
      <c r="K2630" s="967">
        <v>89400000</v>
      </c>
    </row>
    <row r="2631" spans="2:11" s="1258" customFormat="1" ht="16" hidden="1" outlineLevel="1">
      <c r="B2631" s="968" t="s">
        <v>2546</v>
      </c>
      <c r="C2631" s="967">
        <v>34600</v>
      </c>
      <c r="D2631" s="967" t="s">
        <v>2215</v>
      </c>
      <c r="E2631" s="967">
        <v>532258</v>
      </c>
      <c r="F2631" s="967">
        <v>18327614800</v>
      </c>
      <c r="G2631" s="967">
        <v>35700</v>
      </c>
      <c r="H2631" s="967">
        <v>35700</v>
      </c>
      <c r="I2631" s="967">
        <v>33500</v>
      </c>
      <c r="J2631" s="967">
        <v>3093240</v>
      </c>
      <c r="K2631" s="967">
        <v>89400000</v>
      </c>
    </row>
    <row r="2632" spans="2:11" s="1258" customFormat="1" ht="16" hidden="1" outlineLevel="1">
      <c r="B2632" s="968" t="s">
        <v>2545</v>
      </c>
      <c r="C2632" s="967">
        <v>34900</v>
      </c>
      <c r="D2632" s="967" t="s">
        <v>1814</v>
      </c>
      <c r="E2632" s="967">
        <v>531627</v>
      </c>
      <c r="F2632" s="967">
        <v>18906088900</v>
      </c>
      <c r="G2632" s="967">
        <v>35900</v>
      </c>
      <c r="H2632" s="967">
        <v>36350</v>
      </c>
      <c r="I2632" s="967">
        <v>34900</v>
      </c>
      <c r="J2632" s="967">
        <v>3120060</v>
      </c>
      <c r="K2632" s="967">
        <v>89400000</v>
      </c>
    </row>
    <row r="2633" spans="2:11" s="1258" customFormat="1" ht="16" hidden="1" outlineLevel="1">
      <c r="B2633" s="968" t="s">
        <v>2544</v>
      </c>
      <c r="C2633" s="967">
        <v>35400</v>
      </c>
      <c r="D2633" s="967" t="s">
        <v>2689</v>
      </c>
      <c r="E2633" s="967">
        <v>491281</v>
      </c>
      <c r="F2633" s="967">
        <v>17280092350</v>
      </c>
      <c r="G2633" s="967">
        <v>34300</v>
      </c>
      <c r="H2633" s="967">
        <v>36150</v>
      </c>
      <c r="I2633" s="967">
        <v>34050</v>
      </c>
      <c r="J2633" s="967">
        <v>3164760</v>
      </c>
      <c r="K2633" s="967">
        <v>89400000</v>
      </c>
    </row>
    <row r="2634" spans="2:11" s="1258" customFormat="1" ht="16" hidden="1" outlineLevel="1">
      <c r="B2634" s="968" t="s">
        <v>2543</v>
      </c>
      <c r="C2634" s="967">
        <v>34050</v>
      </c>
      <c r="D2634" s="967" t="s">
        <v>2294</v>
      </c>
      <c r="E2634" s="967">
        <v>358166</v>
      </c>
      <c r="F2634" s="967">
        <v>12498141800</v>
      </c>
      <c r="G2634" s="967">
        <v>34900</v>
      </c>
      <c r="H2634" s="967">
        <v>35650</v>
      </c>
      <c r="I2634" s="967">
        <v>34050</v>
      </c>
      <c r="J2634" s="967">
        <v>3044070</v>
      </c>
      <c r="K2634" s="967">
        <v>89400000</v>
      </c>
    </row>
    <row r="2635" spans="2:11" s="1258" customFormat="1" ht="16" hidden="1" outlineLevel="1">
      <c r="B2635" s="968" t="s">
        <v>2541</v>
      </c>
      <c r="C2635" s="967">
        <v>34600</v>
      </c>
      <c r="D2635" s="967" t="s">
        <v>2215</v>
      </c>
      <c r="E2635" s="967">
        <v>424812</v>
      </c>
      <c r="F2635" s="967">
        <v>14707039650</v>
      </c>
      <c r="G2635" s="967">
        <v>34700</v>
      </c>
      <c r="H2635" s="967">
        <v>35050</v>
      </c>
      <c r="I2635" s="967">
        <v>34300</v>
      </c>
      <c r="J2635" s="967">
        <v>3093240</v>
      </c>
      <c r="K2635" s="967">
        <v>89400000</v>
      </c>
    </row>
    <row r="2636" spans="2:11" s="1258" customFormat="1" ht="16" hidden="1" outlineLevel="1">
      <c r="B2636" s="968" t="s">
        <v>2540</v>
      </c>
      <c r="C2636" s="967">
        <v>34900</v>
      </c>
      <c r="D2636" s="967" t="s">
        <v>2207</v>
      </c>
      <c r="E2636" s="967">
        <v>493198</v>
      </c>
      <c r="F2636" s="967">
        <v>16931222900</v>
      </c>
      <c r="G2636" s="967">
        <v>35000</v>
      </c>
      <c r="H2636" s="967">
        <v>35050</v>
      </c>
      <c r="I2636" s="967">
        <v>33950</v>
      </c>
      <c r="J2636" s="967">
        <v>3120060</v>
      </c>
      <c r="K2636" s="967">
        <v>89400000</v>
      </c>
    </row>
    <row r="2637" spans="2:11" s="1258" customFormat="1" ht="16" hidden="1" outlineLevel="1">
      <c r="B2637" s="968" t="s">
        <v>2539</v>
      </c>
      <c r="C2637" s="967">
        <v>34850</v>
      </c>
      <c r="D2637" s="967" t="s">
        <v>2225</v>
      </c>
      <c r="E2637" s="967">
        <v>589890</v>
      </c>
      <c r="F2637" s="967">
        <v>20740683650</v>
      </c>
      <c r="G2637" s="967">
        <v>34750</v>
      </c>
      <c r="H2637" s="967">
        <v>36000</v>
      </c>
      <c r="I2637" s="967">
        <v>34350</v>
      </c>
      <c r="J2637" s="967">
        <v>3115590</v>
      </c>
      <c r="K2637" s="967">
        <v>89400000</v>
      </c>
    </row>
    <row r="2638" spans="2:11" s="1258" customFormat="1" ht="16" hidden="1" outlineLevel="1">
      <c r="B2638" s="968" t="s">
        <v>2538</v>
      </c>
      <c r="C2638" s="967">
        <v>35000</v>
      </c>
      <c r="D2638" s="967" t="s">
        <v>2691</v>
      </c>
      <c r="E2638" s="967">
        <v>530073</v>
      </c>
      <c r="F2638" s="967">
        <v>18082472650</v>
      </c>
      <c r="G2638" s="967">
        <v>33100</v>
      </c>
      <c r="H2638" s="967">
        <v>35000</v>
      </c>
      <c r="I2638" s="967">
        <v>33000</v>
      </c>
      <c r="J2638" s="967">
        <v>3129000</v>
      </c>
      <c r="K2638" s="967">
        <v>89400000</v>
      </c>
    </row>
    <row r="2639" spans="2:11" s="1258" customFormat="1" ht="16" hidden="1" outlineLevel="1">
      <c r="B2639" s="968" t="s">
        <v>2537</v>
      </c>
      <c r="C2639" s="967">
        <v>33700</v>
      </c>
      <c r="D2639" s="967" t="s">
        <v>2282</v>
      </c>
      <c r="E2639" s="967">
        <v>439840</v>
      </c>
      <c r="F2639" s="967">
        <v>14827981700</v>
      </c>
      <c r="G2639" s="967">
        <v>32900</v>
      </c>
      <c r="H2639" s="967">
        <v>34250</v>
      </c>
      <c r="I2639" s="967">
        <v>32850</v>
      </c>
      <c r="J2639" s="967">
        <v>3012780</v>
      </c>
      <c r="K2639" s="967">
        <v>89400000</v>
      </c>
    </row>
    <row r="2640" spans="2:11" s="1258" customFormat="1" ht="16" hidden="1" outlineLevel="1">
      <c r="B2640" s="968" t="s">
        <v>2536</v>
      </c>
      <c r="C2640" s="967">
        <v>33050</v>
      </c>
      <c r="D2640" s="967" t="s">
        <v>2241</v>
      </c>
      <c r="E2640" s="967">
        <v>965928</v>
      </c>
      <c r="F2640" s="967">
        <v>31798851350</v>
      </c>
      <c r="G2640" s="967">
        <v>34100</v>
      </c>
      <c r="H2640" s="967">
        <v>34100</v>
      </c>
      <c r="I2640" s="967">
        <v>32450</v>
      </c>
      <c r="J2640" s="967">
        <v>2954670</v>
      </c>
      <c r="K2640" s="967">
        <v>89400000</v>
      </c>
    </row>
    <row r="2641" spans="2:11" s="1258" customFormat="1" ht="16" hidden="1" outlineLevel="1">
      <c r="B2641" s="968" t="s">
        <v>2535</v>
      </c>
      <c r="C2641" s="967">
        <v>33950</v>
      </c>
      <c r="D2641" s="967" t="s">
        <v>2224</v>
      </c>
      <c r="E2641" s="967">
        <v>658498</v>
      </c>
      <c r="F2641" s="967">
        <v>22542849600</v>
      </c>
      <c r="G2641" s="967">
        <v>34650</v>
      </c>
      <c r="H2641" s="967">
        <v>35300</v>
      </c>
      <c r="I2641" s="967">
        <v>33600</v>
      </c>
      <c r="J2641" s="967">
        <v>3035130</v>
      </c>
      <c r="K2641" s="967">
        <v>89400000</v>
      </c>
    </row>
    <row r="2642" spans="2:11" s="1258" customFormat="1" ht="16" hidden="1" outlineLevel="1">
      <c r="B2642" s="968" t="s">
        <v>2534</v>
      </c>
      <c r="C2642" s="967">
        <v>34150</v>
      </c>
      <c r="D2642" s="967" t="s">
        <v>2638</v>
      </c>
      <c r="E2642" s="967">
        <v>974115</v>
      </c>
      <c r="F2642" s="967">
        <v>33366328600</v>
      </c>
      <c r="G2642" s="967">
        <v>33400</v>
      </c>
      <c r="H2642" s="967">
        <v>34750</v>
      </c>
      <c r="I2642" s="967">
        <v>33200</v>
      </c>
      <c r="J2642" s="967">
        <v>3053010</v>
      </c>
      <c r="K2642" s="967">
        <v>89400000</v>
      </c>
    </row>
    <row r="2643" spans="2:11" s="1258" customFormat="1" ht="16" hidden="1" outlineLevel="1">
      <c r="B2643" s="968" t="s">
        <v>2533</v>
      </c>
      <c r="C2643" s="967">
        <v>33350</v>
      </c>
      <c r="D2643" s="967" t="s">
        <v>2236</v>
      </c>
      <c r="E2643" s="967">
        <v>538589</v>
      </c>
      <c r="F2643" s="967">
        <v>17920582650</v>
      </c>
      <c r="G2643" s="967">
        <v>32250</v>
      </c>
      <c r="H2643" s="967">
        <v>34000</v>
      </c>
      <c r="I2643" s="967">
        <v>32000</v>
      </c>
      <c r="J2643" s="967">
        <v>2981490</v>
      </c>
      <c r="K2643" s="967">
        <v>89400000</v>
      </c>
    </row>
    <row r="2644" spans="2:11" s="1258" customFormat="1" ht="16" hidden="1" outlineLevel="1">
      <c r="B2644" s="968" t="s">
        <v>2532</v>
      </c>
      <c r="C2644" s="967">
        <v>32350</v>
      </c>
      <c r="D2644" s="967" t="s">
        <v>2211</v>
      </c>
      <c r="E2644" s="967">
        <v>771934</v>
      </c>
      <c r="F2644" s="967">
        <v>24883342500</v>
      </c>
      <c r="G2644" s="967">
        <v>32750</v>
      </c>
      <c r="H2644" s="967">
        <v>33000</v>
      </c>
      <c r="I2644" s="967">
        <v>31650</v>
      </c>
      <c r="J2644" s="967">
        <v>2892090</v>
      </c>
      <c r="K2644" s="967">
        <v>89400000</v>
      </c>
    </row>
    <row r="2645" spans="2:11" s="1258" customFormat="1" ht="16" hidden="1" outlineLevel="1">
      <c r="B2645" s="968" t="s">
        <v>2531</v>
      </c>
      <c r="C2645" s="967">
        <v>32750</v>
      </c>
      <c r="D2645" s="967" t="s">
        <v>2692</v>
      </c>
      <c r="E2645" s="967">
        <v>696554</v>
      </c>
      <c r="F2645" s="967">
        <v>22718123900</v>
      </c>
      <c r="G2645" s="967">
        <v>31850</v>
      </c>
      <c r="H2645" s="967">
        <v>32950</v>
      </c>
      <c r="I2645" s="967">
        <v>31850</v>
      </c>
      <c r="J2645" s="967">
        <v>2927850</v>
      </c>
      <c r="K2645" s="967">
        <v>89400000</v>
      </c>
    </row>
    <row r="2646" spans="2:11" s="1258" customFormat="1" ht="16" hidden="1" outlineLevel="1">
      <c r="B2646" s="968" t="s">
        <v>2530</v>
      </c>
      <c r="C2646" s="967">
        <v>31800</v>
      </c>
      <c r="D2646" s="967" t="s">
        <v>2689</v>
      </c>
      <c r="E2646" s="967">
        <v>1226442</v>
      </c>
      <c r="F2646" s="967">
        <v>38957940700</v>
      </c>
      <c r="G2646" s="967">
        <v>30600</v>
      </c>
      <c r="H2646" s="967">
        <v>32750</v>
      </c>
      <c r="I2646" s="967">
        <v>30100</v>
      </c>
      <c r="J2646" s="967">
        <v>2842920</v>
      </c>
      <c r="K2646" s="967">
        <v>89400000</v>
      </c>
    </row>
    <row r="2647" spans="2:11" s="1258" customFormat="1" ht="16" hidden="1" outlineLevel="1">
      <c r="B2647" s="968" t="s">
        <v>2528</v>
      </c>
      <c r="C2647" s="967">
        <v>30450</v>
      </c>
      <c r="D2647" s="967" t="s">
        <v>2226</v>
      </c>
      <c r="E2647" s="967">
        <v>389074</v>
      </c>
      <c r="F2647" s="967">
        <v>12010184100</v>
      </c>
      <c r="G2647" s="967">
        <v>30550</v>
      </c>
      <c r="H2647" s="967">
        <v>31000</v>
      </c>
      <c r="I2647" s="967">
        <v>30450</v>
      </c>
      <c r="J2647" s="967">
        <v>2722230</v>
      </c>
      <c r="K2647" s="967">
        <v>89400000</v>
      </c>
    </row>
    <row r="2648" spans="2:11" s="1258" customFormat="1" ht="16" hidden="1" outlineLevel="1">
      <c r="B2648" s="968" t="s">
        <v>2527</v>
      </c>
      <c r="C2648" s="967">
        <v>30500</v>
      </c>
      <c r="D2648" s="967" t="s">
        <v>2638</v>
      </c>
      <c r="E2648" s="967">
        <v>577679</v>
      </c>
      <c r="F2648" s="967">
        <v>17645887100</v>
      </c>
      <c r="G2648" s="967">
        <v>30350</v>
      </c>
      <c r="H2648" s="967">
        <v>30750</v>
      </c>
      <c r="I2648" s="967">
        <v>30100</v>
      </c>
      <c r="J2648" s="967">
        <v>2726700</v>
      </c>
      <c r="K2648" s="967">
        <v>89400000</v>
      </c>
    </row>
    <row r="2649" spans="2:11" s="1258" customFormat="1" ht="16" hidden="1" outlineLevel="1">
      <c r="B2649" s="968" t="s">
        <v>2525</v>
      </c>
      <c r="C2649" s="967">
        <v>29700</v>
      </c>
      <c r="D2649" s="967" t="s">
        <v>2280</v>
      </c>
      <c r="E2649" s="967">
        <v>368630</v>
      </c>
      <c r="F2649" s="967">
        <v>11016977000</v>
      </c>
      <c r="G2649" s="967">
        <v>30050</v>
      </c>
      <c r="H2649" s="967">
        <v>30400</v>
      </c>
      <c r="I2649" s="967">
        <v>29550</v>
      </c>
      <c r="J2649" s="967">
        <v>2655180</v>
      </c>
      <c r="K2649" s="967">
        <v>89400000</v>
      </c>
    </row>
    <row r="2650" spans="2:11" s="1258" customFormat="1" ht="16" hidden="1" outlineLevel="1">
      <c r="B2650" s="968" t="s">
        <v>2524</v>
      </c>
      <c r="C2650" s="967">
        <v>30450</v>
      </c>
      <c r="D2650" s="967" t="s">
        <v>2226</v>
      </c>
      <c r="E2650" s="967">
        <v>440819</v>
      </c>
      <c r="F2650" s="967">
        <v>13278663600</v>
      </c>
      <c r="G2650" s="967">
        <v>30200</v>
      </c>
      <c r="H2650" s="967">
        <v>30500</v>
      </c>
      <c r="I2650" s="967">
        <v>29550</v>
      </c>
      <c r="J2650" s="967">
        <v>2722230</v>
      </c>
      <c r="K2650" s="967">
        <v>89400000</v>
      </c>
    </row>
    <row r="2651" spans="2:11" s="1258" customFormat="1" ht="16" hidden="1" outlineLevel="1">
      <c r="B2651" s="968" t="s">
        <v>2523</v>
      </c>
      <c r="C2651" s="967">
        <v>30500</v>
      </c>
      <c r="D2651" s="967" t="s">
        <v>2282</v>
      </c>
      <c r="E2651" s="967">
        <v>497245</v>
      </c>
      <c r="F2651" s="967">
        <v>15000843300</v>
      </c>
      <c r="G2651" s="967">
        <v>29750</v>
      </c>
      <c r="H2651" s="967">
        <v>30500</v>
      </c>
      <c r="I2651" s="967">
        <v>29500</v>
      </c>
      <c r="J2651" s="967">
        <v>2726700</v>
      </c>
      <c r="K2651" s="967">
        <v>89400000</v>
      </c>
    </row>
    <row r="2652" spans="2:11" s="1258" customFormat="1" ht="16" hidden="1" outlineLevel="1">
      <c r="B2652" s="968" t="s">
        <v>2522</v>
      </c>
      <c r="C2652" s="967">
        <v>29850</v>
      </c>
      <c r="D2652" s="967" t="s">
        <v>2226</v>
      </c>
      <c r="E2652" s="967">
        <v>590894</v>
      </c>
      <c r="F2652" s="967">
        <v>17636208900</v>
      </c>
      <c r="G2652" s="967">
        <v>30000</v>
      </c>
      <c r="H2652" s="967">
        <v>30050</v>
      </c>
      <c r="I2652" s="967">
        <v>29450</v>
      </c>
      <c r="J2652" s="967">
        <v>2668590</v>
      </c>
      <c r="K2652" s="967">
        <v>89400000</v>
      </c>
    </row>
    <row r="2653" spans="2:11" s="1258" customFormat="1" ht="16" hidden="1" outlineLevel="1">
      <c r="B2653" s="968" t="s">
        <v>2521</v>
      </c>
      <c r="C2653" s="967">
        <v>29900</v>
      </c>
      <c r="D2653" s="967" t="s">
        <v>1826</v>
      </c>
      <c r="E2653" s="967">
        <v>428950</v>
      </c>
      <c r="F2653" s="967">
        <v>12652486100</v>
      </c>
      <c r="G2653" s="967">
        <v>29500</v>
      </c>
      <c r="H2653" s="967">
        <v>29900</v>
      </c>
      <c r="I2653" s="967">
        <v>29000</v>
      </c>
      <c r="J2653" s="967">
        <v>2673060</v>
      </c>
      <c r="K2653" s="967">
        <v>89400000</v>
      </c>
    </row>
    <row r="2654" spans="2:11" s="1258" customFormat="1" ht="16" hidden="1" outlineLevel="1">
      <c r="B2654" s="968" t="s">
        <v>2520</v>
      </c>
      <c r="C2654" s="967">
        <v>29400</v>
      </c>
      <c r="D2654" s="967" t="s">
        <v>2250</v>
      </c>
      <c r="E2654" s="967">
        <v>699072</v>
      </c>
      <c r="F2654" s="967">
        <v>20354916500</v>
      </c>
      <c r="G2654" s="967">
        <v>28600</v>
      </c>
      <c r="H2654" s="967">
        <v>29450</v>
      </c>
      <c r="I2654" s="967">
        <v>28400</v>
      </c>
      <c r="J2654" s="967">
        <v>2628360</v>
      </c>
      <c r="K2654" s="967">
        <v>89400000</v>
      </c>
    </row>
    <row r="2655" spans="2:11" s="1258" customFormat="1" ht="16" hidden="1" outlineLevel="1">
      <c r="B2655" s="968" t="s">
        <v>2519</v>
      </c>
      <c r="C2655" s="967">
        <v>28200</v>
      </c>
      <c r="D2655" s="967" t="s">
        <v>2206</v>
      </c>
      <c r="E2655" s="967">
        <v>391081</v>
      </c>
      <c r="F2655" s="967">
        <v>11003277700</v>
      </c>
      <c r="G2655" s="967">
        <v>27750</v>
      </c>
      <c r="H2655" s="967">
        <v>28400</v>
      </c>
      <c r="I2655" s="967">
        <v>27750</v>
      </c>
      <c r="J2655" s="967">
        <v>2521080</v>
      </c>
      <c r="K2655" s="967">
        <v>89400000</v>
      </c>
    </row>
    <row r="2656" spans="2:11" s="1258" customFormat="1" ht="16" hidden="1" outlineLevel="1">
      <c r="B2656" s="968" t="s">
        <v>2517</v>
      </c>
      <c r="C2656" s="967">
        <v>27650</v>
      </c>
      <c r="D2656" s="967" t="s">
        <v>2294</v>
      </c>
      <c r="E2656" s="967">
        <v>434672</v>
      </c>
      <c r="F2656" s="967">
        <v>12016798350</v>
      </c>
      <c r="G2656" s="967">
        <v>27850</v>
      </c>
      <c r="H2656" s="967">
        <v>28150</v>
      </c>
      <c r="I2656" s="967">
        <v>27450</v>
      </c>
      <c r="J2656" s="967">
        <v>2471910</v>
      </c>
      <c r="K2656" s="967">
        <v>89400000</v>
      </c>
    </row>
    <row r="2657" spans="2:11" s="1258" customFormat="1" ht="16" hidden="1" outlineLevel="1">
      <c r="B2657" s="968" t="s">
        <v>2516</v>
      </c>
      <c r="C2657" s="967">
        <v>28200</v>
      </c>
      <c r="D2657" s="967" t="s">
        <v>2222</v>
      </c>
      <c r="E2657" s="967">
        <v>531925</v>
      </c>
      <c r="F2657" s="967">
        <v>15071587700</v>
      </c>
      <c r="G2657" s="967">
        <v>28900</v>
      </c>
      <c r="H2657" s="967">
        <v>29000</v>
      </c>
      <c r="I2657" s="967">
        <v>27950</v>
      </c>
      <c r="J2657" s="967">
        <v>2521080</v>
      </c>
      <c r="K2657" s="967">
        <v>89400000</v>
      </c>
    </row>
    <row r="2658" spans="2:11" s="1258" customFormat="1" ht="16" hidden="1" outlineLevel="1">
      <c r="B2658" s="968" t="s">
        <v>2515</v>
      </c>
      <c r="C2658" s="967">
        <v>28800</v>
      </c>
      <c r="D2658" s="967" t="s">
        <v>2221</v>
      </c>
      <c r="E2658" s="967">
        <v>576981</v>
      </c>
      <c r="F2658" s="967">
        <v>16724452600</v>
      </c>
      <c r="G2658" s="967">
        <v>28500</v>
      </c>
      <c r="H2658" s="967">
        <v>29250</v>
      </c>
      <c r="I2658" s="967">
        <v>28500</v>
      </c>
      <c r="J2658" s="967">
        <v>2574720</v>
      </c>
      <c r="K2658" s="967">
        <v>89400000</v>
      </c>
    </row>
    <row r="2659" spans="2:11" s="1258" customFormat="1" ht="16" hidden="1" outlineLevel="1">
      <c r="B2659" s="968" t="s">
        <v>2514</v>
      </c>
      <c r="C2659" s="967">
        <v>28800</v>
      </c>
      <c r="D2659" s="967" t="s">
        <v>2283</v>
      </c>
      <c r="E2659" s="967">
        <v>637294</v>
      </c>
      <c r="F2659" s="967">
        <v>18246826200</v>
      </c>
      <c r="G2659" s="967">
        <v>28450</v>
      </c>
      <c r="H2659" s="967">
        <v>28950</v>
      </c>
      <c r="I2659" s="967">
        <v>28000</v>
      </c>
      <c r="J2659" s="967">
        <v>2574720</v>
      </c>
      <c r="K2659" s="967">
        <v>89400000</v>
      </c>
    </row>
    <row r="2660" spans="2:11" s="1258" customFormat="1" ht="16" hidden="1" outlineLevel="1">
      <c r="B2660" s="968" t="s">
        <v>2513</v>
      </c>
      <c r="C2660" s="967">
        <v>28350</v>
      </c>
      <c r="D2660" s="967" t="s">
        <v>2231</v>
      </c>
      <c r="E2660" s="967">
        <v>1056867</v>
      </c>
      <c r="F2660" s="967">
        <v>29807348000</v>
      </c>
      <c r="G2660" s="967">
        <v>27600</v>
      </c>
      <c r="H2660" s="967">
        <v>28700</v>
      </c>
      <c r="I2660" s="967">
        <v>27200</v>
      </c>
      <c r="J2660" s="967">
        <v>2534490</v>
      </c>
      <c r="K2660" s="967">
        <v>89400000</v>
      </c>
    </row>
    <row r="2661" spans="2:11" s="1258" customFormat="1" ht="16" hidden="1" outlineLevel="1">
      <c r="B2661" s="968" t="s">
        <v>2512</v>
      </c>
      <c r="C2661" s="967">
        <v>27600</v>
      </c>
      <c r="D2661" s="967" t="s">
        <v>2211</v>
      </c>
      <c r="E2661" s="967">
        <v>379277</v>
      </c>
      <c r="F2661" s="967">
        <v>10607183350</v>
      </c>
      <c r="G2661" s="967">
        <v>28300</v>
      </c>
      <c r="H2661" s="967">
        <v>28400</v>
      </c>
      <c r="I2661" s="967">
        <v>27600</v>
      </c>
      <c r="J2661" s="967">
        <v>2467440</v>
      </c>
      <c r="K2661" s="967">
        <v>89400000</v>
      </c>
    </row>
    <row r="2662" spans="2:11" s="1258" customFormat="1" ht="16" hidden="1" outlineLevel="1">
      <c r="B2662" s="968" t="s">
        <v>2511</v>
      </c>
      <c r="C2662" s="967">
        <v>28000</v>
      </c>
      <c r="D2662" s="967" t="s">
        <v>1814</v>
      </c>
      <c r="E2662" s="967">
        <v>572470</v>
      </c>
      <c r="F2662" s="967">
        <v>15879184850</v>
      </c>
      <c r="G2662" s="967">
        <v>28300</v>
      </c>
      <c r="H2662" s="967">
        <v>28450</v>
      </c>
      <c r="I2662" s="967">
        <v>27300</v>
      </c>
      <c r="J2662" s="967">
        <v>2503200</v>
      </c>
      <c r="K2662" s="967">
        <v>89400000</v>
      </c>
    </row>
    <row r="2663" spans="2:11" s="1258" customFormat="1" ht="16" hidden="1" outlineLevel="1">
      <c r="B2663" s="968" t="s">
        <v>2510</v>
      </c>
      <c r="C2663" s="967">
        <v>28500</v>
      </c>
      <c r="D2663" s="967" t="s">
        <v>2206</v>
      </c>
      <c r="E2663" s="967">
        <v>746244</v>
      </c>
      <c r="F2663" s="967">
        <v>21313172600</v>
      </c>
      <c r="G2663" s="967">
        <v>28150</v>
      </c>
      <c r="H2663" s="967">
        <v>28800</v>
      </c>
      <c r="I2663" s="967">
        <v>28000</v>
      </c>
      <c r="J2663" s="967">
        <v>2547900</v>
      </c>
      <c r="K2663" s="967">
        <v>89400000</v>
      </c>
    </row>
    <row r="2664" spans="2:11" s="1258" customFormat="1" ht="16" hidden="1" outlineLevel="1">
      <c r="B2664" s="968" t="s">
        <v>2509</v>
      </c>
      <c r="C2664" s="967">
        <v>27950</v>
      </c>
      <c r="D2664" s="967" t="s">
        <v>2214</v>
      </c>
      <c r="E2664" s="967">
        <v>635631</v>
      </c>
      <c r="F2664" s="967">
        <v>17896265400</v>
      </c>
      <c r="G2664" s="967">
        <v>28000</v>
      </c>
      <c r="H2664" s="967">
        <v>28500</v>
      </c>
      <c r="I2664" s="967">
        <v>27600</v>
      </c>
      <c r="J2664" s="967">
        <v>2498730</v>
      </c>
      <c r="K2664" s="967">
        <v>89400000</v>
      </c>
    </row>
    <row r="2665" spans="2:11" s="1258" customFormat="1" ht="16" hidden="1" outlineLevel="1">
      <c r="B2665" s="968" t="s">
        <v>2508</v>
      </c>
      <c r="C2665" s="967">
        <v>27550</v>
      </c>
      <c r="D2665" s="967" t="s">
        <v>2693</v>
      </c>
      <c r="E2665" s="967">
        <v>1052966</v>
      </c>
      <c r="F2665" s="967">
        <v>29685122150</v>
      </c>
      <c r="G2665" s="967">
        <v>28000</v>
      </c>
      <c r="H2665" s="967">
        <v>29000</v>
      </c>
      <c r="I2665" s="967">
        <v>27350</v>
      </c>
      <c r="J2665" s="967">
        <v>2462970</v>
      </c>
      <c r="K2665" s="967">
        <v>89400000</v>
      </c>
    </row>
    <row r="2666" spans="2:11" s="1258" customFormat="1" ht="16" hidden="1" outlineLevel="1">
      <c r="B2666" s="968" t="s">
        <v>2507</v>
      </c>
      <c r="C2666" s="967">
        <v>28600</v>
      </c>
      <c r="D2666" s="967" t="s">
        <v>2664</v>
      </c>
      <c r="E2666" s="967">
        <v>1833837</v>
      </c>
      <c r="F2666" s="967">
        <v>51772072900</v>
      </c>
      <c r="G2666" s="967">
        <v>27450</v>
      </c>
      <c r="H2666" s="967">
        <v>28800</v>
      </c>
      <c r="I2666" s="967">
        <v>26950</v>
      </c>
      <c r="J2666" s="967">
        <v>2556840</v>
      </c>
      <c r="K2666" s="967">
        <v>89400000</v>
      </c>
    </row>
    <row r="2667" spans="2:11" s="1258" customFormat="1" ht="16" hidden="1" outlineLevel="1">
      <c r="B2667" s="968" t="s">
        <v>2506</v>
      </c>
      <c r="C2667" s="967">
        <v>27000</v>
      </c>
      <c r="D2667" s="967" t="s">
        <v>2252</v>
      </c>
      <c r="E2667" s="967">
        <v>1005870</v>
      </c>
      <c r="F2667" s="967">
        <v>26189363950</v>
      </c>
      <c r="G2667" s="967">
        <v>26200</v>
      </c>
      <c r="H2667" s="967">
        <v>27000</v>
      </c>
      <c r="I2667" s="967">
        <v>25300</v>
      </c>
      <c r="J2667" s="967">
        <v>2413800</v>
      </c>
      <c r="K2667" s="967">
        <v>89400000</v>
      </c>
    </row>
    <row r="2668" spans="2:11" s="1258" customFormat="1" ht="16" hidden="1" outlineLevel="1">
      <c r="B2668" s="968" t="s">
        <v>2504</v>
      </c>
      <c r="C2668" s="967">
        <v>25900</v>
      </c>
      <c r="D2668" s="967" t="s">
        <v>2293</v>
      </c>
      <c r="E2668" s="967">
        <v>293041</v>
      </c>
      <c r="F2668" s="967">
        <v>7651120900</v>
      </c>
      <c r="G2668" s="967">
        <v>26300</v>
      </c>
      <c r="H2668" s="967">
        <v>26300</v>
      </c>
      <c r="I2668" s="967">
        <v>25900</v>
      </c>
      <c r="J2668" s="967">
        <v>2315460</v>
      </c>
      <c r="K2668" s="967">
        <v>89400000</v>
      </c>
    </row>
    <row r="2669" spans="2:11" s="1258" customFormat="1" ht="16" hidden="1" outlineLevel="1">
      <c r="B2669" s="968" t="s">
        <v>2503</v>
      </c>
      <c r="C2669" s="967">
        <v>26150</v>
      </c>
      <c r="D2669" s="967" t="s">
        <v>2226</v>
      </c>
      <c r="E2669" s="967">
        <v>516378</v>
      </c>
      <c r="F2669" s="967">
        <v>13444282000</v>
      </c>
      <c r="G2669" s="967">
        <v>26200</v>
      </c>
      <c r="H2669" s="967">
        <v>26450</v>
      </c>
      <c r="I2669" s="967">
        <v>25700</v>
      </c>
      <c r="J2669" s="967">
        <v>2337810</v>
      </c>
      <c r="K2669" s="967">
        <v>89400000</v>
      </c>
    </row>
    <row r="2670" spans="2:11" s="1258" customFormat="1" ht="16" hidden="1" outlineLevel="1">
      <c r="B2670" s="968" t="s">
        <v>2502</v>
      </c>
      <c r="C2670" s="967">
        <v>26200</v>
      </c>
      <c r="D2670" s="967" t="s">
        <v>2230</v>
      </c>
      <c r="E2670" s="967">
        <v>402658</v>
      </c>
      <c r="F2670" s="967">
        <v>10424843700</v>
      </c>
      <c r="G2670" s="967">
        <v>25850</v>
      </c>
      <c r="H2670" s="967">
        <v>26200</v>
      </c>
      <c r="I2670" s="967">
        <v>25400</v>
      </c>
      <c r="J2670" s="967">
        <v>2342280</v>
      </c>
      <c r="K2670" s="967">
        <v>89400000</v>
      </c>
    </row>
    <row r="2671" spans="2:11" s="1258" customFormat="1" ht="16" hidden="1" outlineLevel="1">
      <c r="B2671" s="968" t="s">
        <v>2501</v>
      </c>
      <c r="C2671" s="967">
        <v>25850</v>
      </c>
      <c r="D2671" s="967" t="s">
        <v>2243</v>
      </c>
      <c r="E2671" s="967">
        <v>580829</v>
      </c>
      <c r="F2671" s="967">
        <v>14912898850</v>
      </c>
      <c r="G2671" s="967">
        <v>25600</v>
      </c>
      <c r="H2671" s="967">
        <v>26200</v>
      </c>
      <c r="I2671" s="967">
        <v>24950</v>
      </c>
      <c r="J2671" s="967">
        <v>2310990</v>
      </c>
      <c r="K2671" s="967">
        <v>89400000</v>
      </c>
    </row>
    <row r="2672" spans="2:11" s="1258" customFormat="1" ht="16" hidden="1" outlineLevel="1">
      <c r="B2672" s="968" t="s">
        <v>2500</v>
      </c>
      <c r="C2672" s="967">
        <v>25550</v>
      </c>
      <c r="D2672" s="967" t="s">
        <v>2216</v>
      </c>
      <c r="E2672" s="967">
        <v>516363</v>
      </c>
      <c r="F2672" s="967">
        <v>13122793850</v>
      </c>
      <c r="G2672" s="967">
        <v>24800</v>
      </c>
      <c r="H2672" s="967">
        <v>25700</v>
      </c>
      <c r="I2672" s="967">
        <v>24800</v>
      </c>
      <c r="J2672" s="967">
        <v>2284170</v>
      </c>
      <c r="K2672" s="967">
        <v>89400000</v>
      </c>
    </row>
    <row r="2673" spans="2:11" s="1258" customFormat="1" ht="16" hidden="1" outlineLevel="1">
      <c r="B2673" s="968" t="s">
        <v>2499</v>
      </c>
      <c r="C2673" s="967">
        <v>24700</v>
      </c>
      <c r="D2673" s="967" t="s">
        <v>2243</v>
      </c>
      <c r="E2673" s="967">
        <v>705331</v>
      </c>
      <c r="F2673" s="967">
        <v>17613523550</v>
      </c>
      <c r="G2673" s="967">
        <v>24600</v>
      </c>
      <c r="H2673" s="967">
        <v>25350</v>
      </c>
      <c r="I2673" s="967">
        <v>24400</v>
      </c>
      <c r="J2673" s="967">
        <v>2208180</v>
      </c>
      <c r="K2673" s="967">
        <v>89400000</v>
      </c>
    </row>
    <row r="2674" spans="2:11" s="1258" customFormat="1" ht="16" hidden="1" outlineLevel="1">
      <c r="B2674" s="968" t="s">
        <v>2498</v>
      </c>
      <c r="C2674" s="967">
        <v>24400</v>
      </c>
      <c r="D2674" s="967" t="s">
        <v>2214</v>
      </c>
      <c r="E2674" s="967">
        <v>1030623</v>
      </c>
      <c r="F2674" s="967">
        <v>25180586750</v>
      </c>
      <c r="G2674" s="967">
        <v>24300</v>
      </c>
      <c r="H2674" s="967">
        <v>24750</v>
      </c>
      <c r="I2674" s="967">
        <v>24050</v>
      </c>
      <c r="J2674" s="967">
        <v>2181360</v>
      </c>
      <c r="K2674" s="967">
        <v>89400000</v>
      </c>
    </row>
    <row r="2675" spans="2:11" s="1258" customFormat="1" ht="16" hidden="1" outlineLevel="1">
      <c r="B2675" s="968" t="s">
        <v>2497</v>
      </c>
      <c r="C2675" s="967">
        <v>24000</v>
      </c>
      <c r="D2675" s="967" t="s">
        <v>2297</v>
      </c>
      <c r="E2675" s="967">
        <v>1193321</v>
      </c>
      <c r="F2675" s="967">
        <v>29434920650</v>
      </c>
      <c r="G2675" s="967">
        <v>25850</v>
      </c>
      <c r="H2675" s="967">
        <v>25950</v>
      </c>
      <c r="I2675" s="967">
        <v>24000</v>
      </c>
      <c r="J2675" s="967">
        <v>2145600</v>
      </c>
      <c r="K2675" s="967">
        <v>89400000</v>
      </c>
    </row>
    <row r="2676" spans="2:11" s="1258" customFormat="1" ht="16" hidden="1" outlineLevel="1">
      <c r="B2676" s="968" t="s">
        <v>2496</v>
      </c>
      <c r="C2676" s="967">
        <v>25650</v>
      </c>
      <c r="D2676" s="967" t="s">
        <v>2215</v>
      </c>
      <c r="E2676" s="967">
        <v>578664</v>
      </c>
      <c r="F2676" s="967">
        <v>14890642550</v>
      </c>
      <c r="G2676" s="967">
        <v>26200</v>
      </c>
      <c r="H2676" s="967">
        <v>26200</v>
      </c>
      <c r="I2676" s="967">
        <v>25600</v>
      </c>
      <c r="J2676" s="967">
        <v>2293110</v>
      </c>
      <c r="K2676" s="967">
        <v>89400000</v>
      </c>
    </row>
    <row r="2677" spans="2:11" s="1258" customFormat="1" ht="16" hidden="1" outlineLevel="1">
      <c r="B2677" s="968" t="s">
        <v>2495</v>
      </c>
      <c r="C2677" s="967">
        <v>25950</v>
      </c>
      <c r="D2677" s="967" t="s">
        <v>2225</v>
      </c>
      <c r="E2677" s="967">
        <v>495962</v>
      </c>
      <c r="F2677" s="967">
        <v>12833322450</v>
      </c>
      <c r="G2677" s="967">
        <v>26000</v>
      </c>
      <c r="H2677" s="967">
        <v>26250</v>
      </c>
      <c r="I2677" s="967">
        <v>25500</v>
      </c>
      <c r="J2677" s="967">
        <v>2319930</v>
      </c>
      <c r="K2677" s="967">
        <v>89400000</v>
      </c>
    </row>
    <row r="2678" spans="2:11" s="1258" customFormat="1" ht="16" hidden="1" outlineLevel="1">
      <c r="B2678" s="968" t="s">
        <v>2494</v>
      </c>
      <c r="C2678" s="967">
        <v>26100</v>
      </c>
      <c r="D2678" s="967" t="s">
        <v>2212</v>
      </c>
      <c r="E2678" s="967">
        <v>460331</v>
      </c>
      <c r="F2678" s="967">
        <v>11998727950</v>
      </c>
      <c r="G2678" s="967">
        <v>25800</v>
      </c>
      <c r="H2678" s="967">
        <v>26350</v>
      </c>
      <c r="I2678" s="967">
        <v>25550</v>
      </c>
      <c r="J2678" s="967">
        <v>2333340</v>
      </c>
      <c r="K2678" s="967">
        <v>89400000</v>
      </c>
    </row>
    <row r="2679" spans="2:11" s="1258" customFormat="1" ht="16" hidden="1" outlineLevel="1">
      <c r="B2679" s="968" t="s">
        <v>2493</v>
      </c>
      <c r="C2679" s="967">
        <v>26000</v>
      </c>
      <c r="D2679" s="967" t="s">
        <v>2690</v>
      </c>
      <c r="E2679" s="967">
        <v>1764201</v>
      </c>
      <c r="F2679" s="967">
        <v>46429750100</v>
      </c>
      <c r="G2679" s="967">
        <v>27750</v>
      </c>
      <c r="H2679" s="967">
        <v>27800</v>
      </c>
      <c r="I2679" s="967">
        <v>25750</v>
      </c>
      <c r="J2679" s="967">
        <v>2324400</v>
      </c>
      <c r="K2679" s="967">
        <v>89400000</v>
      </c>
    </row>
    <row r="2680" spans="2:11" s="1258" customFormat="1" ht="16" hidden="1" outlineLevel="1">
      <c r="B2680" s="968" t="s">
        <v>2492</v>
      </c>
      <c r="C2680" s="967">
        <v>27450</v>
      </c>
      <c r="D2680" s="967" t="s">
        <v>2226</v>
      </c>
      <c r="E2680" s="967">
        <v>521621</v>
      </c>
      <c r="F2680" s="967">
        <v>14261613650</v>
      </c>
      <c r="G2680" s="967">
        <v>27350</v>
      </c>
      <c r="H2680" s="967">
        <v>27550</v>
      </c>
      <c r="I2680" s="967">
        <v>27150</v>
      </c>
      <c r="J2680" s="967">
        <v>2454030</v>
      </c>
      <c r="K2680" s="967">
        <v>89400000</v>
      </c>
    </row>
    <row r="2681" spans="2:11" s="1258" customFormat="1" ht="16" hidden="1" outlineLevel="1">
      <c r="B2681" s="968" t="s">
        <v>2491</v>
      </c>
      <c r="C2681" s="967">
        <v>27500</v>
      </c>
      <c r="D2681" s="967" t="s">
        <v>2219</v>
      </c>
      <c r="E2681" s="967">
        <v>612299</v>
      </c>
      <c r="F2681" s="967">
        <v>16817051300</v>
      </c>
      <c r="G2681" s="967">
        <v>27500</v>
      </c>
      <c r="H2681" s="967">
        <v>27800</v>
      </c>
      <c r="I2681" s="967">
        <v>27300</v>
      </c>
      <c r="J2681" s="967">
        <v>2458500</v>
      </c>
      <c r="K2681" s="967">
        <v>89400000</v>
      </c>
    </row>
    <row r="2682" spans="2:11" s="1258" customFormat="1" ht="16" hidden="1" outlineLevel="1">
      <c r="B2682" s="968" t="s">
        <v>2490</v>
      </c>
      <c r="C2682" s="967">
        <v>27350</v>
      </c>
      <c r="D2682" s="967" t="s">
        <v>2229</v>
      </c>
      <c r="E2682" s="967">
        <v>386181</v>
      </c>
      <c r="F2682" s="967">
        <v>10619257050</v>
      </c>
      <c r="G2682" s="967">
        <v>28000</v>
      </c>
      <c r="H2682" s="967">
        <v>28000</v>
      </c>
      <c r="I2682" s="967">
        <v>27150</v>
      </c>
      <c r="J2682" s="967">
        <v>2445090</v>
      </c>
      <c r="K2682" s="967">
        <v>89400000</v>
      </c>
    </row>
    <row r="2683" spans="2:11" s="1258" customFormat="1" ht="16" hidden="1" outlineLevel="1">
      <c r="B2683" s="968" t="s">
        <v>2489</v>
      </c>
      <c r="C2683" s="967">
        <v>27700</v>
      </c>
      <c r="D2683" s="967" t="s">
        <v>2222</v>
      </c>
      <c r="E2683" s="967">
        <v>550907</v>
      </c>
      <c r="F2683" s="967">
        <v>15352960050</v>
      </c>
      <c r="G2683" s="967">
        <v>28000</v>
      </c>
      <c r="H2683" s="967">
        <v>28500</v>
      </c>
      <c r="I2683" s="967">
        <v>27600</v>
      </c>
      <c r="J2683" s="967">
        <v>2476380</v>
      </c>
      <c r="K2683" s="967">
        <v>89400000</v>
      </c>
    </row>
    <row r="2684" spans="2:11" s="1258" customFormat="1" ht="16" hidden="1" outlineLevel="1">
      <c r="B2684" s="968" t="s">
        <v>2488</v>
      </c>
      <c r="C2684" s="967">
        <v>28300</v>
      </c>
      <c r="D2684" s="967" t="s">
        <v>2215</v>
      </c>
      <c r="E2684" s="967">
        <v>912056</v>
      </c>
      <c r="F2684" s="967">
        <v>26196806400</v>
      </c>
      <c r="G2684" s="967">
        <v>29100</v>
      </c>
      <c r="H2684" s="967">
        <v>29400</v>
      </c>
      <c r="I2684" s="967">
        <v>28200</v>
      </c>
      <c r="J2684" s="967">
        <v>2530020</v>
      </c>
      <c r="K2684" s="967">
        <v>89400000</v>
      </c>
    </row>
    <row r="2685" spans="2:11" s="1258" customFormat="1" ht="16" hidden="1" outlineLevel="1">
      <c r="B2685" s="968" t="s">
        <v>2487</v>
      </c>
      <c r="C2685" s="967">
        <v>28600</v>
      </c>
      <c r="D2685" s="967" t="s">
        <v>2224</v>
      </c>
      <c r="E2685" s="967">
        <v>626229</v>
      </c>
      <c r="F2685" s="967">
        <v>17947644450</v>
      </c>
      <c r="G2685" s="967">
        <v>28500</v>
      </c>
      <c r="H2685" s="967">
        <v>29150</v>
      </c>
      <c r="I2685" s="967">
        <v>28200</v>
      </c>
      <c r="J2685" s="967">
        <v>2556840</v>
      </c>
      <c r="K2685" s="967">
        <v>89400000</v>
      </c>
    </row>
    <row r="2686" spans="2:11" s="1258" customFormat="1" ht="16" hidden="1" outlineLevel="1">
      <c r="B2686" s="968" t="s">
        <v>2485</v>
      </c>
      <c r="C2686" s="967">
        <v>28800</v>
      </c>
      <c r="D2686" s="967" t="s">
        <v>2282</v>
      </c>
      <c r="E2686" s="967">
        <v>849298</v>
      </c>
      <c r="F2686" s="967">
        <v>24384940050</v>
      </c>
      <c r="G2686" s="967">
        <v>28600</v>
      </c>
      <c r="H2686" s="967">
        <v>28950</v>
      </c>
      <c r="I2686" s="967">
        <v>28300</v>
      </c>
      <c r="J2686" s="967">
        <v>2574720</v>
      </c>
      <c r="K2686" s="967">
        <v>89400000</v>
      </c>
    </row>
    <row r="2687" spans="2:11" s="1258" customFormat="1" ht="16" hidden="1" outlineLevel="1">
      <c r="B2687" s="966" t="s">
        <v>2484</v>
      </c>
      <c r="C2687" s="965">
        <v>28150</v>
      </c>
      <c r="D2687" s="965" t="s">
        <v>2638</v>
      </c>
      <c r="E2687" s="965">
        <v>1068258</v>
      </c>
      <c r="F2687" s="965">
        <v>29766628250</v>
      </c>
      <c r="G2687" s="965">
        <v>27300</v>
      </c>
      <c r="H2687" s="965">
        <v>28300</v>
      </c>
      <c r="I2687" s="965">
        <v>27150</v>
      </c>
      <c r="J2687" s="965">
        <v>2516610</v>
      </c>
      <c r="K2687" s="965">
        <v>89400000</v>
      </c>
    </row>
    <row r="2688" spans="2:11" s="1258" customFormat="1" ht="16" hidden="1" outlineLevel="1">
      <c r="B2688" s="966" t="s">
        <v>2483</v>
      </c>
      <c r="C2688" s="965">
        <v>27350</v>
      </c>
      <c r="D2688" s="965" t="s">
        <v>2298</v>
      </c>
      <c r="E2688" s="965">
        <v>872851</v>
      </c>
      <c r="F2688" s="965">
        <v>24450575450</v>
      </c>
      <c r="G2688" s="965">
        <v>28800</v>
      </c>
      <c r="H2688" s="965">
        <v>28800</v>
      </c>
      <c r="I2688" s="965">
        <v>27350</v>
      </c>
      <c r="J2688" s="965">
        <v>2445090</v>
      </c>
      <c r="K2688" s="965">
        <v>89400000</v>
      </c>
    </row>
    <row r="2689" spans="2:11" s="1258" customFormat="1" ht="16" hidden="1" outlineLevel="1">
      <c r="B2689" s="966" t="s">
        <v>2482</v>
      </c>
      <c r="C2689" s="965">
        <v>28750</v>
      </c>
      <c r="D2689" s="965" t="s">
        <v>2208</v>
      </c>
      <c r="E2689" s="965">
        <v>1380343</v>
      </c>
      <c r="F2689" s="965">
        <v>39379950400</v>
      </c>
      <c r="G2689" s="965">
        <v>28200</v>
      </c>
      <c r="H2689" s="965">
        <v>28900</v>
      </c>
      <c r="I2689" s="965">
        <v>27800</v>
      </c>
      <c r="J2689" s="965">
        <v>2570250</v>
      </c>
      <c r="K2689" s="965">
        <v>89400000</v>
      </c>
    </row>
    <row r="2690" spans="2:11" s="1258" customFormat="1" ht="16" hidden="1" outlineLevel="1">
      <c r="B2690" s="966" t="s">
        <v>2481</v>
      </c>
      <c r="C2690" s="965">
        <v>28050</v>
      </c>
      <c r="D2690" s="965" t="s">
        <v>2692</v>
      </c>
      <c r="E2690" s="965">
        <v>1367503</v>
      </c>
      <c r="F2690" s="965">
        <v>37569613550</v>
      </c>
      <c r="G2690" s="965">
        <v>27250</v>
      </c>
      <c r="H2690" s="965">
        <v>28050</v>
      </c>
      <c r="I2690" s="965">
        <v>26900</v>
      </c>
      <c r="J2690" s="965">
        <v>2507670</v>
      </c>
      <c r="K2690" s="965">
        <v>89400000</v>
      </c>
    </row>
    <row r="2691" spans="2:11" s="1258" customFormat="1" ht="16" hidden="1" outlineLevel="1">
      <c r="B2691" s="966" t="s">
        <v>2479</v>
      </c>
      <c r="C2691" s="965">
        <v>27100</v>
      </c>
      <c r="D2691" s="965" t="s">
        <v>2280</v>
      </c>
      <c r="E2691" s="965">
        <v>870271</v>
      </c>
      <c r="F2691" s="965">
        <v>23885142950</v>
      </c>
      <c r="G2691" s="965">
        <v>27850</v>
      </c>
      <c r="H2691" s="965">
        <v>27900</v>
      </c>
      <c r="I2691" s="965">
        <v>27100</v>
      </c>
      <c r="J2691" s="965">
        <v>2422740</v>
      </c>
      <c r="K2691" s="965">
        <v>89400000</v>
      </c>
    </row>
    <row r="2692" spans="2:11" s="1258" customFormat="1" ht="16" hidden="1" outlineLevel="1">
      <c r="B2692" s="966" t="s">
        <v>2478</v>
      </c>
      <c r="C2692" s="965">
        <v>27850</v>
      </c>
      <c r="D2692" s="965" t="s">
        <v>2212</v>
      </c>
      <c r="E2692" s="965">
        <v>1506363</v>
      </c>
      <c r="F2692" s="965">
        <v>41047706300</v>
      </c>
      <c r="G2692" s="965">
        <v>27700</v>
      </c>
      <c r="H2692" s="965">
        <v>28050</v>
      </c>
      <c r="I2692" s="965">
        <v>26750</v>
      </c>
      <c r="J2692" s="965">
        <v>2489790</v>
      </c>
      <c r="K2692" s="965">
        <v>89400000</v>
      </c>
    </row>
    <row r="2693" spans="2:11" s="1258" customFormat="1" ht="16" hidden="1" outlineLevel="1">
      <c r="B2693" s="966" t="s">
        <v>2477</v>
      </c>
      <c r="C2693" s="965">
        <v>27750</v>
      </c>
      <c r="D2693" s="965" t="s">
        <v>2690</v>
      </c>
      <c r="E2693" s="965">
        <v>1848741</v>
      </c>
      <c r="F2693" s="965">
        <v>51852979300</v>
      </c>
      <c r="G2693" s="965">
        <v>28850</v>
      </c>
      <c r="H2693" s="965">
        <v>29050</v>
      </c>
      <c r="I2693" s="965">
        <v>27600</v>
      </c>
      <c r="J2693" s="965">
        <v>2480850</v>
      </c>
      <c r="K2693" s="965">
        <v>89400000</v>
      </c>
    </row>
    <row r="2694" spans="2:11" s="1258" customFormat="1" ht="16" hidden="1" outlineLevel="1">
      <c r="B2694" s="966" t="s">
        <v>2476</v>
      </c>
      <c r="C2694" s="965">
        <v>29200</v>
      </c>
      <c r="D2694" s="965" t="s">
        <v>2691</v>
      </c>
      <c r="E2694" s="965">
        <v>1085016</v>
      </c>
      <c r="F2694" s="965">
        <v>30958821200</v>
      </c>
      <c r="G2694" s="965">
        <v>28350</v>
      </c>
      <c r="H2694" s="965">
        <v>29300</v>
      </c>
      <c r="I2694" s="965">
        <v>27900</v>
      </c>
      <c r="J2694" s="965">
        <v>2610480</v>
      </c>
      <c r="K2694" s="965">
        <v>89400000</v>
      </c>
    </row>
    <row r="2695" spans="2:11" s="1258" customFormat="1" ht="16" hidden="1" outlineLevel="1">
      <c r="B2695" s="966" t="s">
        <v>2475</v>
      </c>
      <c r="C2695" s="965">
        <v>27900</v>
      </c>
      <c r="D2695" s="965" t="s">
        <v>2226</v>
      </c>
      <c r="E2695" s="965">
        <v>1141103</v>
      </c>
      <c r="F2695" s="965">
        <v>31425004800</v>
      </c>
      <c r="G2695" s="965">
        <v>27500</v>
      </c>
      <c r="H2695" s="965">
        <v>27900</v>
      </c>
      <c r="I2695" s="965">
        <v>27250</v>
      </c>
      <c r="J2695" s="965">
        <v>2494260</v>
      </c>
      <c r="K2695" s="965">
        <v>89400000</v>
      </c>
    </row>
    <row r="2696" spans="2:11" s="1258" customFormat="1" ht="16" hidden="1" outlineLevel="1">
      <c r="B2696" s="966" t="s">
        <v>2474</v>
      </c>
      <c r="C2696" s="965">
        <v>27950</v>
      </c>
      <c r="D2696" s="965" t="s">
        <v>2296</v>
      </c>
      <c r="E2696" s="965">
        <v>1426329</v>
      </c>
      <c r="F2696" s="965">
        <v>39671828550</v>
      </c>
      <c r="G2696" s="965">
        <v>29000</v>
      </c>
      <c r="H2696" s="965">
        <v>29050</v>
      </c>
      <c r="I2696" s="965">
        <v>27450</v>
      </c>
      <c r="J2696" s="965">
        <v>2498730</v>
      </c>
      <c r="K2696" s="965">
        <v>89400000</v>
      </c>
    </row>
    <row r="2697" spans="2:11" s="1258" customFormat="1" ht="16" hidden="1" outlineLevel="1">
      <c r="B2697" s="966" t="s">
        <v>2473</v>
      </c>
      <c r="C2697" s="965">
        <v>28800</v>
      </c>
      <c r="D2697" s="965" t="s">
        <v>2296</v>
      </c>
      <c r="E2697" s="965">
        <v>772088</v>
      </c>
      <c r="F2697" s="965">
        <v>22385069400</v>
      </c>
      <c r="G2697" s="965">
        <v>29650</v>
      </c>
      <c r="H2697" s="965">
        <v>29650</v>
      </c>
      <c r="I2697" s="965">
        <v>28700</v>
      </c>
      <c r="J2697" s="965">
        <v>2574720</v>
      </c>
      <c r="K2697" s="965">
        <v>89400000</v>
      </c>
    </row>
    <row r="2698" spans="2:11" s="1258" customFormat="1" ht="16" hidden="1" outlineLevel="1">
      <c r="B2698" s="966" t="s">
        <v>2472</v>
      </c>
      <c r="C2698" s="965">
        <v>29650</v>
      </c>
      <c r="D2698" s="965" t="s">
        <v>2207</v>
      </c>
      <c r="E2698" s="965">
        <v>575218</v>
      </c>
      <c r="F2698" s="965">
        <v>16924415650</v>
      </c>
      <c r="G2698" s="965">
        <v>29700</v>
      </c>
      <c r="H2698" s="965">
        <v>29800</v>
      </c>
      <c r="I2698" s="965">
        <v>29050</v>
      </c>
      <c r="J2698" s="965">
        <v>2650710</v>
      </c>
      <c r="K2698" s="965">
        <v>89400000</v>
      </c>
    </row>
    <row r="2699" spans="2:11" s="1258" customFormat="1" ht="16" hidden="1" outlineLevel="1">
      <c r="B2699" s="966" t="s">
        <v>2471</v>
      </c>
      <c r="C2699" s="965">
        <v>29600</v>
      </c>
      <c r="D2699" s="965" t="s">
        <v>2300</v>
      </c>
      <c r="E2699" s="965">
        <v>740342</v>
      </c>
      <c r="F2699" s="965">
        <v>21642004700</v>
      </c>
      <c r="G2699" s="965">
        <v>28650</v>
      </c>
      <c r="H2699" s="965">
        <v>29600</v>
      </c>
      <c r="I2699" s="965">
        <v>28500</v>
      </c>
      <c r="J2699" s="965">
        <v>2646240</v>
      </c>
      <c r="K2699" s="965">
        <v>89400000</v>
      </c>
    </row>
    <row r="2700" spans="2:11" s="1258" customFormat="1" ht="16" hidden="1" outlineLevel="1">
      <c r="B2700" s="966" t="s">
        <v>2470</v>
      </c>
      <c r="C2700" s="965">
        <v>28450</v>
      </c>
      <c r="D2700" s="965" t="s">
        <v>2248</v>
      </c>
      <c r="E2700" s="965">
        <v>1005792</v>
      </c>
      <c r="F2700" s="965">
        <v>28950367400</v>
      </c>
      <c r="G2700" s="965">
        <v>29400</v>
      </c>
      <c r="H2700" s="965">
        <v>29700</v>
      </c>
      <c r="I2700" s="965">
        <v>28150</v>
      </c>
      <c r="J2700" s="965">
        <v>2543430</v>
      </c>
      <c r="K2700" s="965">
        <v>89400000</v>
      </c>
    </row>
    <row r="2701" spans="2:11" s="1258" customFormat="1" ht="16" hidden="1" outlineLevel="1">
      <c r="B2701" s="966" t="s">
        <v>2468</v>
      </c>
      <c r="C2701" s="965">
        <v>29450</v>
      </c>
      <c r="D2701" s="965" t="s">
        <v>2690</v>
      </c>
      <c r="E2701" s="965">
        <v>1547086</v>
      </c>
      <c r="F2701" s="965">
        <v>45765771300</v>
      </c>
      <c r="G2701" s="965">
        <v>30900</v>
      </c>
      <c r="H2701" s="965">
        <v>30900</v>
      </c>
      <c r="I2701" s="965">
        <v>29000</v>
      </c>
      <c r="J2701" s="965">
        <v>2632830</v>
      </c>
      <c r="K2701" s="965">
        <v>89400000</v>
      </c>
    </row>
    <row r="2702" spans="2:11" s="1258" customFormat="1" ht="16" hidden="1" outlineLevel="1">
      <c r="B2702" s="966" t="s">
        <v>2467</v>
      </c>
      <c r="C2702" s="965">
        <v>30900</v>
      </c>
      <c r="D2702" s="965" t="s">
        <v>2232</v>
      </c>
      <c r="E2702" s="965">
        <v>866568</v>
      </c>
      <c r="F2702" s="965">
        <v>26728076500</v>
      </c>
      <c r="G2702" s="965">
        <v>30700</v>
      </c>
      <c r="H2702" s="965">
        <v>31300</v>
      </c>
      <c r="I2702" s="965">
        <v>30400</v>
      </c>
      <c r="J2702" s="965">
        <v>2762460</v>
      </c>
      <c r="K2702" s="965">
        <v>89400000</v>
      </c>
    </row>
    <row r="2703" spans="2:11" s="1258" customFormat="1" ht="16" hidden="1" outlineLevel="1">
      <c r="B2703" s="966" t="s">
        <v>2466</v>
      </c>
      <c r="C2703" s="965">
        <v>30700</v>
      </c>
      <c r="D2703" s="965" t="s">
        <v>2212</v>
      </c>
      <c r="E2703" s="965">
        <v>660646</v>
      </c>
      <c r="F2703" s="965">
        <v>20293031250</v>
      </c>
      <c r="G2703" s="965">
        <v>30600</v>
      </c>
      <c r="H2703" s="965">
        <v>31300</v>
      </c>
      <c r="I2703" s="965">
        <v>30300</v>
      </c>
      <c r="J2703" s="965">
        <v>2744580</v>
      </c>
      <c r="K2703" s="965">
        <v>89400000</v>
      </c>
    </row>
    <row r="2704" spans="2:11" s="1258" customFormat="1" ht="16" hidden="1" outlineLevel="1">
      <c r="B2704" s="966" t="s">
        <v>2465</v>
      </c>
      <c r="C2704" s="965">
        <v>30600</v>
      </c>
      <c r="D2704" s="965" t="s">
        <v>2225</v>
      </c>
      <c r="E2704" s="965">
        <v>993771</v>
      </c>
      <c r="F2704" s="965">
        <v>30059336200</v>
      </c>
      <c r="G2704" s="965">
        <v>30600</v>
      </c>
      <c r="H2704" s="965">
        <v>30700</v>
      </c>
      <c r="I2704" s="965">
        <v>29850</v>
      </c>
      <c r="J2704" s="965">
        <v>2735640</v>
      </c>
      <c r="K2704" s="965">
        <v>89400000</v>
      </c>
    </row>
    <row r="2705" spans="2:11" s="1258" customFormat="1" ht="16" hidden="1" outlineLevel="1">
      <c r="B2705" s="966" t="s">
        <v>2464</v>
      </c>
      <c r="C2705" s="965">
        <v>30750</v>
      </c>
      <c r="D2705" s="965" t="s">
        <v>2229</v>
      </c>
      <c r="E2705" s="965">
        <v>858422</v>
      </c>
      <c r="F2705" s="965">
        <v>26167202800</v>
      </c>
      <c r="G2705" s="965">
        <v>31000</v>
      </c>
      <c r="H2705" s="965">
        <v>31200</v>
      </c>
      <c r="I2705" s="965">
        <v>30100</v>
      </c>
      <c r="J2705" s="965">
        <v>2749050</v>
      </c>
      <c r="K2705" s="965">
        <v>89400000</v>
      </c>
    </row>
    <row r="2706" spans="2:11" s="1258" customFormat="1" ht="16" hidden="1" outlineLevel="1">
      <c r="B2706" s="966" t="s">
        <v>2463</v>
      </c>
      <c r="C2706" s="965">
        <v>31100</v>
      </c>
      <c r="D2706" s="965" t="s">
        <v>2212</v>
      </c>
      <c r="E2706" s="965">
        <v>1076129</v>
      </c>
      <c r="F2706" s="965">
        <v>33482439300</v>
      </c>
      <c r="G2706" s="965">
        <v>31300</v>
      </c>
      <c r="H2706" s="965">
        <v>31800</v>
      </c>
      <c r="I2706" s="965">
        <v>30400</v>
      </c>
      <c r="J2706" s="965">
        <v>2780340</v>
      </c>
      <c r="K2706" s="965">
        <v>89400000</v>
      </c>
    </row>
    <row r="2707" spans="2:11" s="1258" customFormat="1" ht="16" hidden="1" outlineLevel="1">
      <c r="B2707" s="966" t="s">
        <v>2461</v>
      </c>
      <c r="C2707" s="965">
        <v>31000</v>
      </c>
      <c r="D2707" s="965" t="s">
        <v>2214</v>
      </c>
      <c r="E2707" s="965">
        <v>1318490</v>
      </c>
      <c r="F2707" s="965">
        <v>40534337100</v>
      </c>
      <c r="G2707" s="965">
        <v>30900</v>
      </c>
      <c r="H2707" s="965">
        <v>31450</v>
      </c>
      <c r="I2707" s="965">
        <v>30300</v>
      </c>
      <c r="J2707" s="965">
        <v>2771400</v>
      </c>
      <c r="K2707" s="965">
        <v>89400000</v>
      </c>
    </row>
    <row r="2708" spans="2:11" s="1258" customFormat="1" ht="16" hidden="1" outlineLevel="1">
      <c r="B2708" s="966" t="s">
        <v>2459</v>
      </c>
      <c r="C2708" s="965">
        <v>30600</v>
      </c>
      <c r="D2708" s="965" t="s">
        <v>2689</v>
      </c>
      <c r="E2708" s="965">
        <v>1903316</v>
      </c>
      <c r="F2708" s="965">
        <v>57994491350</v>
      </c>
      <c r="G2708" s="965">
        <v>29850</v>
      </c>
      <c r="H2708" s="965">
        <v>31100</v>
      </c>
      <c r="I2708" s="965">
        <v>29550</v>
      </c>
      <c r="J2708" s="965">
        <v>2735640</v>
      </c>
      <c r="K2708" s="965">
        <v>89400000</v>
      </c>
    </row>
    <row r="2709" spans="2:11" s="1258" customFormat="1" ht="16" hidden="1" outlineLevel="1">
      <c r="B2709" s="966" t="s">
        <v>2457</v>
      </c>
      <c r="C2709" s="965">
        <v>29250</v>
      </c>
      <c r="D2709" s="965" t="s">
        <v>2226</v>
      </c>
      <c r="E2709" s="965">
        <v>701342</v>
      </c>
      <c r="F2709" s="965">
        <v>20529077400</v>
      </c>
      <c r="G2709" s="965">
        <v>29000</v>
      </c>
      <c r="H2709" s="965">
        <v>29650</v>
      </c>
      <c r="I2709" s="965">
        <v>28500</v>
      </c>
      <c r="J2709" s="965">
        <v>2614950</v>
      </c>
      <c r="K2709" s="965">
        <v>89400000</v>
      </c>
    </row>
    <row r="2710" spans="2:11" s="1258" customFormat="1" ht="16" hidden="1" outlineLevel="1">
      <c r="B2710" s="966" t="s">
        <v>2455</v>
      </c>
      <c r="C2710" s="965">
        <v>29300</v>
      </c>
      <c r="D2710" s="965" t="s">
        <v>2251</v>
      </c>
      <c r="E2710" s="965">
        <v>520992</v>
      </c>
      <c r="F2710" s="965">
        <v>15154737600</v>
      </c>
      <c r="G2710" s="965">
        <v>28900</v>
      </c>
      <c r="H2710" s="965">
        <v>29300</v>
      </c>
      <c r="I2710" s="965">
        <v>28700</v>
      </c>
      <c r="J2710" s="965">
        <v>2619420</v>
      </c>
      <c r="K2710" s="965">
        <v>89400000</v>
      </c>
    </row>
    <row r="2711" spans="2:11" s="1258" customFormat="1" ht="16" hidden="1" outlineLevel="1">
      <c r="B2711" s="966" t="s">
        <v>2454</v>
      </c>
      <c r="C2711" s="965">
        <v>28700</v>
      </c>
      <c r="D2711" s="965" t="s">
        <v>2211</v>
      </c>
      <c r="E2711" s="965">
        <v>531019</v>
      </c>
      <c r="F2711" s="965">
        <v>15442484800</v>
      </c>
      <c r="G2711" s="965">
        <v>29200</v>
      </c>
      <c r="H2711" s="965">
        <v>29550</v>
      </c>
      <c r="I2711" s="965">
        <v>28700</v>
      </c>
      <c r="J2711" s="965">
        <v>2565780</v>
      </c>
      <c r="K2711" s="965">
        <v>89400000</v>
      </c>
    </row>
    <row r="2712" spans="2:11" s="1258" customFormat="1" ht="16" hidden="1" outlineLevel="1">
      <c r="B2712" s="966" t="s">
        <v>2453</v>
      </c>
      <c r="C2712" s="965">
        <v>29100</v>
      </c>
      <c r="D2712" s="965" t="s">
        <v>2219</v>
      </c>
      <c r="E2712" s="965">
        <v>620820</v>
      </c>
      <c r="F2712" s="965">
        <v>18129782700</v>
      </c>
      <c r="G2712" s="965">
        <v>29500</v>
      </c>
      <c r="H2712" s="965">
        <v>29700</v>
      </c>
      <c r="I2712" s="965">
        <v>28850</v>
      </c>
      <c r="J2712" s="965">
        <v>2601540</v>
      </c>
      <c r="K2712" s="965">
        <v>89400000</v>
      </c>
    </row>
    <row r="2713" spans="2:11" s="1258" customFormat="1" ht="16" hidden="1" outlineLevel="1">
      <c r="B2713" s="966" t="s">
        <v>2451</v>
      </c>
      <c r="C2713" s="965">
        <v>28950</v>
      </c>
      <c r="D2713" s="965" t="s">
        <v>2226</v>
      </c>
      <c r="E2713" s="965">
        <v>305302</v>
      </c>
      <c r="F2713" s="965">
        <v>8860790450</v>
      </c>
      <c r="G2713" s="965">
        <v>29100</v>
      </c>
      <c r="H2713" s="965">
        <v>29400</v>
      </c>
      <c r="I2713" s="965">
        <v>28700</v>
      </c>
      <c r="J2713" s="965">
        <v>2588130</v>
      </c>
      <c r="K2713" s="965">
        <v>89400000</v>
      </c>
    </row>
    <row r="2714" spans="2:11" s="1258" customFormat="1" ht="16" hidden="1" outlineLevel="1">
      <c r="B2714" s="966" t="s">
        <v>2450</v>
      </c>
      <c r="C2714" s="965">
        <v>29000</v>
      </c>
      <c r="D2714" s="965" t="s">
        <v>2213</v>
      </c>
      <c r="E2714" s="965">
        <v>409061</v>
      </c>
      <c r="F2714" s="965">
        <v>11707858000</v>
      </c>
      <c r="G2714" s="965">
        <v>28750</v>
      </c>
      <c r="H2714" s="965">
        <v>29050</v>
      </c>
      <c r="I2714" s="965">
        <v>28050</v>
      </c>
      <c r="J2714" s="965">
        <v>2592600</v>
      </c>
      <c r="K2714" s="965">
        <v>89400000</v>
      </c>
    </row>
    <row r="2715" spans="2:11" s="1258" customFormat="1" ht="16" hidden="1" outlineLevel="1">
      <c r="B2715" s="966" t="s">
        <v>2449</v>
      </c>
      <c r="C2715" s="965">
        <v>28750</v>
      </c>
      <c r="D2715" s="965" t="s">
        <v>2212</v>
      </c>
      <c r="E2715" s="965">
        <v>515414</v>
      </c>
      <c r="F2715" s="965">
        <v>14812219500</v>
      </c>
      <c r="G2715" s="965">
        <v>28900</v>
      </c>
      <c r="H2715" s="965">
        <v>29100</v>
      </c>
      <c r="I2715" s="965">
        <v>28400</v>
      </c>
      <c r="J2715" s="965">
        <v>2570250</v>
      </c>
      <c r="K2715" s="965">
        <v>89400000</v>
      </c>
    </row>
    <row r="2716" spans="2:11" s="1258" customFormat="1" ht="16" hidden="1" outlineLevel="1">
      <c r="B2716" s="966" t="s">
        <v>2448</v>
      </c>
      <c r="C2716" s="965">
        <v>28650</v>
      </c>
      <c r="D2716" s="965" t="s">
        <v>2237</v>
      </c>
      <c r="E2716" s="965">
        <v>564384</v>
      </c>
      <c r="F2716" s="965">
        <v>15850269100</v>
      </c>
      <c r="G2716" s="965">
        <v>27600</v>
      </c>
      <c r="H2716" s="965">
        <v>28650</v>
      </c>
      <c r="I2716" s="965">
        <v>27400</v>
      </c>
      <c r="J2716" s="965">
        <v>2561310</v>
      </c>
      <c r="K2716" s="965">
        <v>89400000</v>
      </c>
    </row>
    <row r="2717" spans="2:11" s="1258" customFormat="1" ht="16" hidden="1" outlineLevel="1">
      <c r="B2717" s="966" t="s">
        <v>2447</v>
      </c>
      <c r="C2717" s="965">
        <v>27250</v>
      </c>
      <c r="D2717" s="965" t="s">
        <v>2213</v>
      </c>
      <c r="E2717" s="965">
        <v>728483</v>
      </c>
      <c r="F2717" s="965">
        <v>19853942550</v>
      </c>
      <c r="G2717" s="965">
        <v>27350</v>
      </c>
      <c r="H2717" s="965">
        <v>27650</v>
      </c>
      <c r="I2717" s="965">
        <v>27000</v>
      </c>
      <c r="J2717" s="965">
        <v>2436150</v>
      </c>
      <c r="K2717" s="965">
        <v>89400000</v>
      </c>
    </row>
    <row r="2718" spans="2:11" s="1258" customFormat="1" ht="16" hidden="1" outlineLevel="1">
      <c r="B2718" s="966" t="s">
        <v>2446</v>
      </c>
      <c r="C2718" s="965">
        <v>27000</v>
      </c>
      <c r="D2718" s="965" t="s">
        <v>2248</v>
      </c>
      <c r="E2718" s="965">
        <v>836131</v>
      </c>
      <c r="F2718" s="965">
        <v>22548666600</v>
      </c>
      <c r="G2718" s="965">
        <v>27300</v>
      </c>
      <c r="H2718" s="965">
        <v>27550</v>
      </c>
      <c r="I2718" s="965">
        <v>26700</v>
      </c>
      <c r="J2718" s="965">
        <v>2413800</v>
      </c>
      <c r="K2718" s="965">
        <v>89400000</v>
      </c>
    </row>
    <row r="2719" spans="2:11" s="1258" customFormat="1" ht="16" hidden="1" outlineLevel="1">
      <c r="B2719" s="966" t="s">
        <v>2445</v>
      </c>
      <c r="C2719" s="965">
        <v>28000</v>
      </c>
      <c r="D2719" s="965" t="s">
        <v>2222</v>
      </c>
      <c r="E2719" s="965">
        <v>727974</v>
      </c>
      <c r="F2719" s="965">
        <v>20356016500</v>
      </c>
      <c r="G2719" s="965">
        <v>28800</v>
      </c>
      <c r="H2719" s="965">
        <v>28800</v>
      </c>
      <c r="I2719" s="965">
        <v>27600</v>
      </c>
      <c r="J2719" s="965">
        <v>2503200</v>
      </c>
      <c r="K2719" s="965">
        <v>89400000</v>
      </c>
    </row>
    <row r="2720" spans="2:11" s="1258" customFormat="1" ht="16" hidden="1" outlineLevel="1">
      <c r="B2720" s="966" t="s">
        <v>2443</v>
      </c>
      <c r="C2720" s="965">
        <v>28600</v>
      </c>
      <c r="D2720" s="965" t="s">
        <v>2222</v>
      </c>
      <c r="E2720" s="965">
        <v>854635</v>
      </c>
      <c r="F2720" s="965">
        <v>23920478500</v>
      </c>
      <c r="G2720" s="965">
        <v>29100</v>
      </c>
      <c r="H2720" s="965">
        <v>29150</v>
      </c>
      <c r="I2720" s="965">
        <v>26150</v>
      </c>
      <c r="J2720" s="965">
        <v>2556840</v>
      </c>
      <c r="K2720" s="965">
        <v>89400000</v>
      </c>
    </row>
    <row r="2721" spans="2:11" s="1258" customFormat="1" ht="16" hidden="1" outlineLevel="1">
      <c r="B2721" s="966" t="s">
        <v>2441</v>
      </c>
      <c r="C2721" s="965">
        <v>29200</v>
      </c>
      <c r="D2721" s="965" t="s">
        <v>2234</v>
      </c>
      <c r="E2721" s="965">
        <v>670130</v>
      </c>
      <c r="F2721" s="965">
        <v>19290031750</v>
      </c>
      <c r="G2721" s="965">
        <v>29100</v>
      </c>
      <c r="H2721" s="965">
        <v>29750</v>
      </c>
      <c r="I2721" s="965">
        <v>27950</v>
      </c>
      <c r="J2721" s="965">
        <v>2610480</v>
      </c>
      <c r="K2721" s="965">
        <v>89400000</v>
      </c>
    </row>
    <row r="2722" spans="2:11" s="1258" customFormat="1" ht="16" hidden="1" outlineLevel="1">
      <c r="B2722" s="966" t="s">
        <v>2439</v>
      </c>
      <c r="C2722" s="965">
        <v>29900</v>
      </c>
      <c r="D2722" s="965" t="s">
        <v>2222</v>
      </c>
      <c r="E2722" s="965">
        <v>678535</v>
      </c>
      <c r="F2722" s="965">
        <v>20351452900</v>
      </c>
      <c r="G2722" s="965">
        <v>29900</v>
      </c>
      <c r="H2722" s="965">
        <v>30300</v>
      </c>
      <c r="I2722" s="965">
        <v>29700</v>
      </c>
      <c r="J2722" s="965">
        <v>2673060</v>
      </c>
      <c r="K2722" s="965">
        <v>89400000</v>
      </c>
    </row>
    <row r="2723" spans="2:11" s="1258" customFormat="1" ht="16" hidden="1" outlineLevel="1">
      <c r="B2723" s="966" t="s">
        <v>2438</v>
      </c>
      <c r="C2723" s="965">
        <v>30500</v>
      </c>
      <c r="D2723" s="965" t="s">
        <v>2230</v>
      </c>
      <c r="E2723" s="965">
        <v>607806</v>
      </c>
      <c r="F2723" s="965">
        <v>18187950500</v>
      </c>
      <c r="G2723" s="965">
        <v>29800</v>
      </c>
      <c r="H2723" s="965">
        <v>30500</v>
      </c>
      <c r="I2723" s="965">
        <v>29250</v>
      </c>
      <c r="J2723" s="965">
        <v>2726700</v>
      </c>
      <c r="K2723" s="965">
        <v>89400000</v>
      </c>
    </row>
    <row r="2724" spans="2:11" s="1258" customFormat="1" ht="16" hidden="1" outlineLevel="1">
      <c r="B2724" s="966" t="s">
        <v>2436</v>
      </c>
      <c r="C2724" s="965">
        <v>30150</v>
      </c>
      <c r="D2724" s="965" t="s">
        <v>2226</v>
      </c>
      <c r="E2724" s="965">
        <v>634371</v>
      </c>
      <c r="F2724" s="965">
        <v>18933277350</v>
      </c>
      <c r="G2724" s="965">
        <v>30550</v>
      </c>
      <c r="H2724" s="965">
        <v>30600</v>
      </c>
      <c r="I2724" s="965">
        <v>29300</v>
      </c>
      <c r="J2724" s="965">
        <v>2695410</v>
      </c>
      <c r="K2724" s="965">
        <v>89400000</v>
      </c>
    </row>
    <row r="2725" spans="2:11" s="1258" customFormat="1" ht="16" hidden="1" outlineLevel="1">
      <c r="B2725" s="966" t="s">
        <v>2435</v>
      </c>
      <c r="C2725" s="965">
        <v>30200</v>
      </c>
      <c r="D2725" s="965" t="s">
        <v>2208</v>
      </c>
      <c r="E2725" s="965">
        <v>752872</v>
      </c>
      <c r="F2725" s="965">
        <v>22450721700</v>
      </c>
      <c r="G2725" s="965">
        <v>29900</v>
      </c>
      <c r="H2725" s="965">
        <v>30200</v>
      </c>
      <c r="I2725" s="965">
        <v>29300</v>
      </c>
      <c r="J2725" s="965">
        <v>2699880</v>
      </c>
      <c r="K2725" s="965">
        <v>89400000</v>
      </c>
    </row>
    <row r="2726" spans="2:11" s="1258" customFormat="1" ht="16" hidden="1" outlineLevel="1">
      <c r="B2726" s="966" t="s">
        <v>2433</v>
      </c>
      <c r="C2726" s="965">
        <v>29500</v>
      </c>
      <c r="D2726" s="965" t="s">
        <v>2215</v>
      </c>
      <c r="E2726" s="965">
        <v>602143</v>
      </c>
      <c r="F2726" s="965">
        <v>17806864450</v>
      </c>
      <c r="G2726" s="965">
        <v>30100</v>
      </c>
      <c r="H2726" s="965">
        <v>30450</v>
      </c>
      <c r="I2726" s="965">
        <v>29000</v>
      </c>
      <c r="J2726" s="965">
        <v>2637300</v>
      </c>
      <c r="K2726" s="965">
        <v>89400000</v>
      </c>
    </row>
    <row r="2727" spans="2:11" s="1258" customFormat="1" ht="16" hidden="1" outlineLevel="1">
      <c r="B2727" s="966" t="s">
        <v>2431</v>
      </c>
      <c r="C2727" s="965">
        <v>29800</v>
      </c>
      <c r="D2727" s="965" t="s">
        <v>2221</v>
      </c>
      <c r="E2727" s="965">
        <v>618967</v>
      </c>
      <c r="F2727" s="965">
        <v>18406197500</v>
      </c>
      <c r="G2727" s="965">
        <v>29550</v>
      </c>
      <c r="H2727" s="965">
        <v>30200</v>
      </c>
      <c r="I2727" s="965">
        <v>29200</v>
      </c>
      <c r="J2727" s="965">
        <v>2664120</v>
      </c>
      <c r="K2727" s="965">
        <v>89400000</v>
      </c>
    </row>
    <row r="2728" spans="2:11" s="1258" customFormat="1" ht="16" hidden="1" outlineLevel="1">
      <c r="B2728" s="966" t="s">
        <v>2430</v>
      </c>
      <c r="C2728" s="965">
        <v>29800</v>
      </c>
      <c r="D2728" s="965" t="s">
        <v>2245</v>
      </c>
      <c r="E2728" s="965">
        <v>954570</v>
      </c>
      <c r="F2728" s="965">
        <v>27719577200</v>
      </c>
      <c r="G2728" s="965">
        <v>28750</v>
      </c>
      <c r="H2728" s="965">
        <v>29800</v>
      </c>
      <c r="I2728" s="965">
        <v>28550</v>
      </c>
      <c r="J2728" s="965">
        <v>2664120</v>
      </c>
      <c r="K2728" s="965">
        <v>89400000</v>
      </c>
    </row>
    <row r="2729" spans="2:11" s="1258" customFormat="1" ht="16" hidden="1" outlineLevel="1">
      <c r="B2729" s="966" t="s">
        <v>2428</v>
      </c>
      <c r="C2729" s="965">
        <v>28300</v>
      </c>
      <c r="D2729" s="965" t="s">
        <v>2300</v>
      </c>
      <c r="E2729" s="965">
        <v>996820</v>
      </c>
      <c r="F2729" s="965">
        <v>27928176450</v>
      </c>
      <c r="G2729" s="965">
        <v>27300</v>
      </c>
      <c r="H2729" s="965">
        <v>28450</v>
      </c>
      <c r="I2729" s="965">
        <v>27200</v>
      </c>
      <c r="J2729" s="965">
        <v>2530020</v>
      </c>
      <c r="K2729" s="965">
        <v>89400000</v>
      </c>
    </row>
    <row r="2730" spans="2:11" s="1258" customFormat="1" ht="16" hidden="1" outlineLevel="1">
      <c r="B2730" s="966" t="s">
        <v>2427</v>
      </c>
      <c r="C2730" s="965">
        <v>27150</v>
      </c>
      <c r="D2730" s="965" t="s">
        <v>2293</v>
      </c>
      <c r="E2730" s="965">
        <v>1026292</v>
      </c>
      <c r="F2730" s="965">
        <v>28085473200</v>
      </c>
      <c r="G2730" s="965">
        <v>27300</v>
      </c>
      <c r="H2730" s="965">
        <v>27600</v>
      </c>
      <c r="I2730" s="965">
        <v>27000</v>
      </c>
      <c r="J2730" s="965">
        <v>2427210</v>
      </c>
      <c r="K2730" s="965">
        <v>89400000</v>
      </c>
    </row>
    <row r="2731" spans="2:11" s="1258" customFormat="1" ht="16" hidden="1" outlineLevel="1">
      <c r="B2731" s="966" t="s">
        <v>2425</v>
      </c>
      <c r="C2731" s="965">
        <v>27400</v>
      </c>
      <c r="D2731" s="965" t="s">
        <v>2215</v>
      </c>
      <c r="E2731" s="965">
        <v>817008</v>
      </c>
      <c r="F2731" s="965">
        <v>22213725350</v>
      </c>
      <c r="G2731" s="965">
        <v>27900</v>
      </c>
      <c r="H2731" s="965">
        <v>27950</v>
      </c>
      <c r="I2731" s="965">
        <v>26800</v>
      </c>
      <c r="J2731" s="965">
        <v>2449560</v>
      </c>
      <c r="K2731" s="965">
        <v>89400000</v>
      </c>
    </row>
    <row r="2732" spans="2:11" s="1258" customFormat="1" ht="16" hidden="1" outlineLevel="1">
      <c r="B2732" s="966" t="s">
        <v>2423</v>
      </c>
      <c r="C2732" s="965">
        <v>27700</v>
      </c>
      <c r="D2732" s="965" t="s">
        <v>2634</v>
      </c>
      <c r="E2732" s="965">
        <v>732246</v>
      </c>
      <c r="F2732" s="965">
        <v>20689784200</v>
      </c>
      <c r="G2732" s="965">
        <v>29300</v>
      </c>
      <c r="H2732" s="965">
        <v>29300</v>
      </c>
      <c r="I2732" s="965">
        <v>27650</v>
      </c>
      <c r="J2732" s="965">
        <v>2476380</v>
      </c>
      <c r="K2732" s="965">
        <v>89400000</v>
      </c>
    </row>
    <row r="2733" spans="2:11" s="1258" customFormat="1" ht="16" hidden="1" outlineLevel="1">
      <c r="B2733" s="966" t="s">
        <v>2422</v>
      </c>
      <c r="C2733" s="965">
        <v>29000</v>
      </c>
      <c r="D2733" s="965" t="s">
        <v>2221</v>
      </c>
      <c r="E2733" s="965">
        <v>780400</v>
      </c>
      <c r="F2733" s="965">
        <v>22185410900</v>
      </c>
      <c r="G2733" s="965">
        <v>29000</v>
      </c>
      <c r="H2733" s="965">
        <v>29000</v>
      </c>
      <c r="I2733" s="965">
        <v>28000</v>
      </c>
      <c r="J2733" s="965">
        <v>2592600</v>
      </c>
      <c r="K2733" s="965">
        <v>89400000</v>
      </c>
    </row>
    <row r="2734" spans="2:11" s="1258" customFormat="1" ht="16" hidden="1" outlineLevel="1">
      <c r="B2734" s="966" t="s">
        <v>2420</v>
      </c>
      <c r="C2734" s="965">
        <v>29000</v>
      </c>
      <c r="D2734" s="965" t="s">
        <v>2230</v>
      </c>
      <c r="E2734" s="965">
        <v>389142</v>
      </c>
      <c r="F2734" s="965">
        <v>11076817500</v>
      </c>
      <c r="G2734" s="965">
        <v>28500</v>
      </c>
      <c r="H2734" s="965">
        <v>29150</v>
      </c>
      <c r="I2734" s="965">
        <v>27650</v>
      </c>
      <c r="J2734" s="965">
        <v>2592600</v>
      </c>
      <c r="K2734" s="965">
        <v>89400000</v>
      </c>
    </row>
    <row r="2735" spans="2:11" s="1258" customFormat="1" ht="16" hidden="1" outlineLevel="1">
      <c r="B2735" s="966" t="s">
        <v>2418</v>
      </c>
      <c r="C2735" s="965">
        <v>28650</v>
      </c>
      <c r="D2735" s="965" t="s">
        <v>2243</v>
      </c>
      <c r="E2735" s="965">
        <v>405572</v>
      </c>
      <c r="F2735" s="965">
        <v>11560867350</v>
      </c>
      <c r="G2735" s="965">
        <v>28050</v>
      </c>
      <c r="H2735" s="965">
        <v>28850</v>
      </c>
      <c r="I2735" s="965">
        <v>28050</v>
      </c>
      <c r="J2735" s="965">
        <v>2561310</v>
      </c>
      <c r="K2735" s="965">
        <v>89400000</v>
      </c>
    </row>
    <row r="2736" spans="2:11" s="1258" customFormat="1" ht="16" hidden="1" outlineLevel="1">
      <c r="B2736" s="966" t="s">
        <v>2417</v>
      </c>
      <c r="C2736" s="965">
        <v>28350</v>
      </c>
      <c r="D2736" s="965" t="s">
        <v>2212</v>
      </c>
      <c r="E2736" s="965">
        <v>517994</v>
      </c>
      <c r="F2736" s="965">
        <v>14646353300</v>
      </c>
      <c r="G2736" s="965">
        <v>28350</v>
      </c>
      <c r="H2736" s="965">
        <v>28600</v>
      </c>
      <c r="I2736" s="965">
        <v>27950</v>
      </c>
      <c r="J2736" s="965">
        <v>2534490</v>
      </c>
      <c r="K2736" s="965">
        <v>89400000</v>
      </c>
    </row>
    <row r="2737" spans="2:11" s="1258" customFormat="1" ht="16" hidden="1" outlineLevel="1">
      <c r="B2737" s="966" t="s">
        <v>2416</v>
      </c>
      <c r="C2737" s="965">
        <v>28250</v>
      </c>
      <c r="D2737" s="965" t="s">
        <v>2282</v>
      </c>
      <c r="E2737" s="965">
        <v>936985</v>
      </c>
      <c r="F2737" s="965">
        <v>25393194700</v>
      </c>
      <c r="G2737" s="965">
        <v>27400</v>
      </c>
      <c r="H2737" s="965">
        <v>28400</v>
      </c>
      <c r="I2737" s="965">
        <v>26300</v>
      </c>
      <c r="J2737" s="965">
        <v>2525550</v>
      </c>
      <c r="K2737" s="965">
        <v>89400000</v>
      </c>
    </row>
    <row r="2738" spans="2:11" s="1258" customFormat="1" ht="16" hidden="1" outlineLevel="1">
      <c r="B2738" s="966" t="s">
        <v>2414</v>
      </c>
      <c r="C2738" s="965">
        <v>27600</v>
      </c>
      <c r="D2738" s="965" t="s">
        <v>2215</v>
      </c>
      <c r="E2738" s="965">
        <v>583328</v>
      </c>
      <c r="F2738" s="965">
        <v>16157171450</v>
      </c>
      <c r="G2738" s="965">
        <v>28050</v>
      </c>
      <c r="H2738" s="965">
        <v>28350</v>
      </c>
      <c r="I2738" s="965">
        <v>27150</v>
      </c>
      <c r="J2738" s="965">
        <v>2467440</v>
      </c>
      <c r="K2738" s="965">
        <v>89400000</v>
      </c>
    </row>
    <row r="2739" spans="2:11" s="1258" customFormat="1" ht="16" hidden="1" outlineLevel="1">
      <c r="B2739" s="966" t="s">
        <v>2412</v>
      </c>
      <c r="C2739" s="965">
        <v>27900</v>
      </c>
      <c r="D2739" s="965" t="s">
        <v>2688</v>
      </c>
      <c r="E2739" s="965">
        <v>583766</v>
      </c>
      <c r="F2739" s="965">
        <v>16627304900</v>
      </c>
      <c r="G2739" s="965">
        <v>29100</v>
      </c>
      <c r="H2739" s="965">
        <v>29250</v>
      </c>
      <c r="I2739" s="965">
        <v>27850</v>
      </c>
      <c r="J2739" s="965">
        <v>2494260</v>
      </c>
      <c r="K2739" s="965">
        <v>89400000</v>
      </c>
    </row>
    <row r="2740" spans="2:11" s="1258" customFormat="1" ht="16" hidden="1" outlineLevel="1">
      <c r="B2740" s="966" t="s">
        <v>2410</v>
      </c>
      <c r="C2740" s="965">
        <v>29100</v>
      </c>
      <c r="D2740" s="965" t="s">
        <v>2251</v>
      </c>
      <c r="E2740" s="965">
        <v>559928</v>
      </c>
      <c r="F2740" s="965">
        <v>15994627050</v>
      </c>
      <c r="G2740" s="965">
        <v>28500</v>
      </c>
      <c r="H2740" s="965">
        <v>29100</v>
      </c>
      <c r="I2740" s="965">
        <v>28150</v>
      </c>
      <c r="J2740" s="965">
        <v>2601540</v>
      </c>
      <c r="K2740" s="965">
        <v>89400000</v>
      </c>
    </row>
    <row r="2741" spans="2:11" s="1258" customFormat="1" ht="16" hidden="1" outlineLevel="1">
      <c r="B2741" s="966" t="s">
        <v>2409</v>
      </c>
      <c r="C2741" s="965">
        <v>28500</v>
      </c>
      <c r="D2741" s="965" t="s">
        <v>2296</v>
      </c>
      <c r="E2741" s="965">
        <v>1158522</v>
      </c>
      <c r="F2741" s="965">
        <v>33177398760</v>
      </c>
      <c r="G2741" s="965">
        <v>28800</v>
      </c>
      <c r="H2741" s="965">
        <v>29150</v>
      </c>
      <c r="I2741" s="965">
        <v>27850</v>
      </c>
      <c r="J2741" s="965">
        <v>2547900</v>
      </c>
      <c r="K2741" s="965">
        <v>89400000</v>
      </c>
    </row>
    <row r="2742" spans="2:11" s="1258" customFormat="1" ht="16" hidden="1" outlineLevel="1">
      <c r="B2742" s="966" t="s">
        <v>2407</v>
      </c>
      <c r="C2742" s="965">
        <v>29350</v>
      </c>
      <c r="D2742" s="965" t="s">
        <v>2207</v>
      </c>
      <c r="E2742" s="965">
        <v>715097</v>
      </c>
      <c r="F2742" s="965">
        <v>20637390800</v>
      </c>
      <c r="G2742" s="965">
        <v>29500</v>
      </c>
      <c r="H2742" s="965">
        <v>29600</v>
      </c>
      <c r="I2742" s="965">
        <v>28300</v>
      </c>
      <c r="J2742" s="965">
        <v>2623890</v>
      </c>
      <c r="K2742" s="965">
        <v>89400000</v>
      </c>
    </row>
    <row r="2743" spans="2:11" s="1258" customFormat="1" ht="16" hidden="1" outlineLevel="1">
      <c r="B2743" s="966" t="s">
        <v>2406</v>
      </c>
      <c r="C2743" s="965">
        <v>29300</v>
      </c>
      <c r="D2743" s="965" t="s">
        <v>2228</v>
      </c>
      <c r="E2743" s="965">
        <v>617406</v>
      </c>
      <c r="F2743" s="965">
        <v>18127243200</v>
      </c>
      <c r="G2743" s="965">
        <v>29650</v>
      </c>
      <c r="H2743" s="965">
        <v>30000</v>
      </c>
      <c r="I2743" s="965">
        <v>28700</v>
      </c>
      <c r="J2743" s="965">
        <v>2619420</v>
      </c>
      <c r="K2743" s="965">
        <v>89400000</v>
      </c>
    </row>
    <row r="2744" spans="2:11" s="1258" customFormat="1" ht="16" hidden="1" outlineLevel="1">
      <c r="B2744" s="966" t="s">
        <v>2404</v>
      </c>
      <c r="C2744" s="965">
        <v>29400</v>
      </c>
      <c r="D2744" s="965" t="s">
        <v>2247</v>
      </c>
      <c r="E2744" s="965">
        <v>792713</v>
      </c>
      <c r="F2744" s="965">
        <v>23359685150</v>
      </c>
      <c r="G2744" s="965">
        <v>30250</v>
      </c>
      <c r="H2744" s="965">
        <v>30500</v>
      </c>
      <c r="I2744" s="965">
        <v>29050</v>
      </c>
      <c r="J2744" s="965">
        <v>2628360</v>
      </c>
      <c r="K2744" s="965">
        <v>89400000</v>
      </c>
    </row>
    <row r="2745" spans="2:11" s="1258" customFormat="1" ht="16" hidden="1" outlineLevel="1">
      <c r="B2745" s="966" t="s">
        <v>2403</v>
      </c>
      <c r="C2745" s="965">
        <v>30500</v>
      </c>
      <c r="D2745" s="965" t="s">
        <v>2212</v>
      </c>
      <c r="E2745" s="965">
        <v>460439</v>
      </c>
      <c r="F2745" s="965">
        <v>14204110900</v>
      </c>
      <c r="G2745" s="965">
        <v>31400</v>
      </c>
      <c r="H2745" s="965">
        <v>31450</v>
      </c>
      <c r="I2745" s="965">
        <v>30500</v>
      </c>
      <c r="J2745" s="965">
        <v>2726700</v>
      </c>
      <c r="K2745" s="965">
        <v>89400000</v>
      </c>
    </row>
    <row r="2746" spans="2:11" s="1258" customFormat="1" ht="16" hidden="1" outlineLevel="1">
      <c r="B2746" s="966" t="s">
        <v>2401</v>
      </c>
      <c r="C2746" s="965">
        <v>30400</v>
      </c>
      <c r="D2746" s="965" t="s">
        <v>2252</v>
      </c>
      <c r="E2746" s="965">
        <v>1484721</v>
      </c>
      <c r="F2746" s="965">
        <v>45619341500</v>
      </c>
      <c r="G2746" s="965">
        <v>30000</v>
      </c>
      <c r="H2746" s="965">
        <v>31600</v>
      </c>
      <c r="I2746" s="965">
        <v>29800</v>
      </c>
      <c r="J2746" s="965">
        <v>2717760</v>
      </c>
      <c r="K2746" s="965">
        <v>89400000</v>
      </c>
    </row>
    <row r="2747" spans="2:11" s="1258" customFormat="1" ht="16" hidden="1" outlineLevel="1">
      <c r="B2747" s="966" t="s">
        <v>2399</v>
      </c>
      <c r="C2747" s="965">
        <v>29300</v>
      </c>
      <c r="D2747" s="965" t="s">
        <v>2686</v>
      </c>
      <c r="E2747" s="965">
        <v>1031627</v>
      </c>
      <c r="F2747" s="965">
        <v>29983994100</v>
      </c>
      <c r="G2747" s="965">
        <v>27850</v>
      </c>
      <c r="H2747" s="965">
        <v>29700</v>
      </c>
      <c r="I2747" s="965">
        <v>27500</v>
      </c>
      <c r="J2747" s="965">
        <v>2619420</v>
      </c>
      <c r="K2747" s="965">
        <v>89400000</v>
      </c>
    </row>
    <row r="2748" spans="2:11" s="1258" customFormat="1" ht="16" hidden="1" outlineLevel="1">
      <c r="B2748" s="966" t="s">
        <v>2397</v>
      </c>
      <c r="C2748" s="965">
        <v>28050</v>
      </c>
      <c r="D2748" s="965" t="s">
        <v>2210</v>
      </c>
      <c r="E2748" s="965">
        <v>614178</v>
      </c>
      <c r="F2748" s="965">
        <v>17393507700</v>
      </c>
      <c r="G2748" s="965">
        <v>28500</v>
      </c>
      <c r="H2748" s="965">
        <v>28750</v>
      </c>
      <c r="I2748" s="965">
        <v>27900</v>
      </c>
      <c r="J2748" s="965">
        <v>2507670</v>
      </c>
      <c r="K2748" s="965">
        <v>89400000</v>
      </c>
    </row>
    <row r="2749" spans="2:11" s="1258" customFormat="1" ht="16" hidden="1" outlineLevel="1">
      <c r="B2749" s="966" t="s">
        <v>2395</v>
      </c>
      <c r="C2749" s="965">
        <v>28500</v>
      </c>
      <c r="D2749" s="965" t="s">
        <v>2250</v>
      </c>
      <c r="E2749" s="965">
        <v>1016184</v>
      </c>
      <c r="F2749" s="965">
        <v>28805710000</v>
      </c>
      <c r="G2749" s="965">
        <v>27550</v>
      </c>
      <c r="H2749" s="965">
        <v>28800</v>
      </c>
      <c r="I2749" s="965">
        <v>27500</v>
      </c>
      <c r="J2749" s="965">
        <v>2547900</v>
      </c>
      <c r="K2749" s="965">
        <v>89400000</v>
      </c>
    </row>
    <row r="2750" spans="2:11" s="1258" customFormat="1" ht="16" hidden="1" outlineLevel="1">
      <c r="B2750" s="966" t="s">
        <v>2394</v>
      </c>
      <c r="C2750" s="965">
        <v>27300</v>
      </c>
      <c r="D2750" s="965" t="s">
        <v>2214</v>
      </c>
      <c r="E2750" s="965">
        <v>526502</v>
      </c>
      <c r="F2750" s="965">
        <v>14312393600</v>
      </c>
      <c r="G2750" s="965">
        <v>27200</v>
      </c>
      <c r="H2750" s="965">
        <v>27400</v>
      </c>
      <c r="I2750" s="965">
        <v>26950</v>
      </c>
      <c r="J2750" s="965">
        <v>2440620</v>
      </c>
      <c r="K2750" s="965">
        <v>89400000</v>
      </c>
    </row>
    <row r="2751" spans="2:11" s="1258" customFormat="1" ht="16" hidden="1" outlineLevel="1">
      <c r="B2751" s="966" t="s">
        <v>2393</v>
      </c>
      <c r="C2751" s="965">
        <v>26900</v>
      </c>
      <c r="D2751" s="965" t="s">
        <v>2241</v>
      </c>
      <c r="E2751" s="965">
        <v>1031825</v>
      </c>
      <c r="F2751" s="965">
        <v>28077675300</v>
      </c>
      <c r="G2751" s="965">
        <v>27750</v>
      </c>
      <c r="H2751" s="965">
        <v>28150</v>
      </c>
      <c r="I2751" s="965">
        <v>26800</v>
      </c>
      <c r="J2751" s="965">
        <v>2404860</v>
      </c>
      <c r="K2751" s="965">
        <v>89400000</v>
      </c>
    </row>
    <row r="2752" spans="2:11" s="1258" customFormat="1" ht="16" hidden="1" outlineLevel="1">
      <c r="B2752" s="966" t="s">
        <v>2391</v>
      </c>
      <c r="C2752" s="965">
        <v>27800</v>
      </c>
      <c r="D2752" s="965" t="s">
        <v>2294</v>
      </c>
      <c r="E2752" s="965">
        <v>1123886</v>
      </c>
      <c r="F2752" s="965">
        <v>31101698650</v>
      </c>
      <c r="G2752" s="965">
        <v>28350</v>
      </c>
      <c r="H2752" s="965">
        <v>28500</v>
      </c>
      <c r="I2752" s="965">
        <v>27150</v>
      </c>
      <c r="J2752" s="965">
        <v>2485320</v>
      </c>
      <c r="K2752" s="965">
        <v>89400000</v>
      </c>
    </row>
    <row r="2753" spans="2:11" s="1258" customFormat="1" ht="16" hidden="1" outlineLevel="1">
      <c r="B2753" s="966" t="s">
        <v>2389</v>
      </c>
      <c r="C2753" s="965">
        <v>28350</v>
      </c>
      <c r="D2753" s="965" t="s">
        <v>2228</v>
      </c>
      <c r="E2753" s="965">
        <v>901817</v>
      </c>
      <c r="F2753" s="965">
        <v>25607949300</v>
      </c>
      <c r="G2753" s="965">
        <v>28450</v>
      </c>
      <c r="H2753" s="965">
        <v>29000</v>
      </c>
      <c r="I2753" s="965">
        <v>27900</v>
      </c>
      <c r="J2753" s="965">
        <v>2534490</v>
      </c>
      <c r="K2753" s="965">
        <v>89400000</v>
      </c>
    </row>
    <row r="2754" spans="2:11" s="1258" customFormat="1" ht="16" hidden="1" outlineLevel="1">
      <c r="B2754" s="966" t="s">
        <v>2388</v>
      </c>
      <c r="C2754" s="965">
        <v>28450</v>
      </c>
      <c r="D2754" s="965" t="s">
        <v>2208</v>
      </c>
      <c r="E2754" s="965">
        <v>1140995</v>
      </c>
      <c r="F2754" s="965">
        <v>32257209150</v>
      </c>
      <c r="G2754" s="965">
        <v>28000</v>
      </c>
      <c r="H2754" s="965">
        <v>28700</v>
      </c>
      <c r="I2754" s="965">
        <v>27350</v>
      </c>
      <c r="J2754" s="965">
        <v>2543430</v>
      </c>
      <c r="K2754" s="965">
        <v>89400000</v>
      </c>
    </row>
    <row r="2755" spans="2:11" s="1258" customFormat="1" ht="16" hidden="1" outlineLevel="1">
      <c r="B2755" s="966" t="s">
        <v>2386</v>
      </c>
      <c r="C2755" s="965">
        <v>27750</v>
      </c>
      <c r="D2755" s="965" t="s">
        <v>2301</v>
      </c>
      <c r="E2755" s="965">
        <v>1414854</v>
      </c>
      <c r="F2755" s="965">
        <v>38715868800</v>
      </c>
      <c r="G2755" s="965">
        <v>26300</v>
      </c>
      <c r="H2755" s="965">
        <v>27950</v>
      </c>
      <c r="I2755" s="965">
        <v>26050</v>
      </c>
      <c r="J2755" s="965">
        <v>2480850</v>
      </c>
      <c r="K2755" s="965">
        <v>89400000</v>
      </c>
    </row>
    <row r="2756" spans="2:11" s="1258" customFormat="1" ht="16" hidden="1" outlineLevel="1">
      <c r="B2756" s="966" t="s">
        <v>2385</v>
      </c>
      <c r="C2756" s="965">
        <v>26200</v>
      </c>
      <c r="D2756" s="965" t="s">
        <v>2229</v>
      </c>
      <c r="E2756" s="965">
        <v>547659</v>
      </c>
      <c r="F2756" s="965">
        <v>14320759300</v>
      </c>
      <c r="G2756" s="965">
        <v>26300</v>
      </c>
      <c r="H2756" s="965">
        <v>26700</v>
      </c>
      <c r="I2756" s="965">
        <v>25850</v>
      </c>
      <c r="J2756" s="965">
        <v>2342280</v>
      </c>
      <c r="K2756" s="965">
        <v>89400000</v>
      </c>
    </row>
    <row r="2757" spans="2:11" s="1258" customFormat="1" ht="16" hidden="1" outlineLevel="1">
      <c r="B2757" s="966" t="s">
        <v>2383</v>
      </c>
      <c r="C2757" s="965">
        <v>26550</v>
      </c>
      <c r="D2757" s="965" t="s">
        <v>2212</v>
      </c>
      <c r="E2757" s="965">
        <v>829423</v>
      </c>
      <c r="F2757" s="965">
        <v>22219300650</v>
      </c>
      <c r="G2757" s="965">
        <v>26700</v>
      </c>
      <c r="H2757" s="965">
        <v>27300</v>
      </c>
      <c r="I2757" s="965">
        <v>26350</v>
      </c>
      <c r="J2757" s="965">
        <v>2373570</v>
      </c>
      <c r="K2757" s="965">
        <v>89400000</v>
      </c>
    </row>
    <row r="2758" spans="2:11" s="1258" customFormat="1" ht="16" hidden="1" outlineLevel="1">
      <c r="B2758" s="966" t="s">
        <v>2382</v>
      </c>
      <c r="C2758" s="965">
        <v>26450</v>
      </c>
      <c r="D2758" s="965" t="s">
        <v>2215</v>
      </c>
      <c r="E2758" s="965">
        <v>510135</v>
      </c>
      <c r="F2758" s="965">
        <v>13615866450</v>
      </c>
      <c r="G2758" s="965">
        <v>26750</v>
      </c>
      <c r="H2758" s="965">
        <v>27100</v>
      </c>
      <c r="I2758" s="965">
        <v>26350</v>
      </c>
      <c r="J2758" s="965">
        <v>2364630</v>
      </c>
      <c r="K2758" s="965">
        <v>89400000</v>
      </c>
    </row>
    <row r="2759" spans="2:11" s="1258" customFormat="1" ht="16" hidden="1" outlineLevel="1">
      <c r="B2759" s="966" t="s">
        <v>2380</v>
      </c>
      <c r="C2759" s="965">
        <v>26750</v>
      </c>
      <c r="D2759" s="965" t="s">
        <v>2213</v>
      </c>
      <c r="E2759" s="965">
        <v>1300510</v>
      </c>
      <c r="F2759" s="965">
        <v>35117140300</v>
      </c>
      <c r="G2759" s="965">
        <v>27000</v>
      </c>
      <c r="H2759" s="965">
        <v>27900</v>
      </c>
      <c r="I2759" s="965">
        <v>26300</v>
      </c>
      <c r="J2759" s="965">
        <v>2391450</v>
      </c>
      <c r="K2759" s="965">
        <v>89400000</v>
      </c>
    </row>
    <row r="2760" spans="2:11" s="1258" customFormat="1" ht="16" hidden="1" outlineLevel="1">
      <c r="B2760" s="966" t="s">
        <v>2379</v>
      </c>
      <c r="C2760" s="965">
        <v>26500</v>
      </c>
      <c r="D2760" s="965" t="s">
        <v>2687</v>
      </c>
      <c r="E2760" s="965">
        <v>771622</v>
      </c>
      <c r="F2760" s="965">
        <v>20627533500</v>
      </c>
      <c r="G2760" s="965">
        <v>27400</v>
      </c>
      <c r="H2760" s="965">
        <v>27600</v>
      </c>
      <c r="I2760" s="965">
        <v>26500</v>
      </c>
      <c r="J2760" s="965">
        <v>2369100</v>
      </c>
      <c r="K2760" s="965">
        <v>89400000</v>
      </c>
    </row>
    <row r="2761" spans="2:11" s="1258" customFormat="1" ht="16" hidden="1" outlineLevel="1">
      <c r="B2761" s="966" t="s">
        <v>2377</v>
      </c>
      <c r="C2761" s="965">
        <v>27750</v>
      </c>
      <c r="D2761" s="965" t="s">
        <v>2207</v>
      </c>
      <c r="E2761" s="965">
        <v>1820044</v>
      </c>
      <c r="F2761" s="965">
        <v>50588259500</v>
      </c>
      <c r="G2761" s="965">
        <v>27500</v>
      </c>
      <c r="H2761" s="965">
        <v>28450</v>
      </c>
      <c r="I2761" s="965">
        <v>26700</v>
      </c>
      <c r="J2761" s="965">
        <v>2480850</v>
      </c>
      <c r="K2761" s="965">
        <v>89400000</v>
      </c>
    </row>
    <row r="2762" spans="2:11" s="1258" customFormat="1" ht="16" hidden="1" outlineLevel="1">
      <c r="B2762" s="966" t="s">
        <v>2376</v>
      </c>
      <c r="C2762" s="965">
        <v>27700</v>
      </c>
      <c r="D2762" s="965" t="s">
        <v>2236</v>
      </c>
      <c r="E2762" s="965">
        <v>1787531</v>
      </c>
      <c r="F2762" s="965">
        <v>49323449700</v>
      </c>
      <c r="G2762" s="965">
        <v>26900</v>
      </c>
      <c r="H2762" s="965">
        <v>28050</v>
      </c>
      <c r="I2762" s="965">
        <v>26600</v>
      </c>
      <c r="J2762" s="965">
        <v>2476380</v>
      </c>
      <c r="K2762" s="965">
        <v>89400000</v>
      </c>
    </row>
    <row r="2763" spans="2:11" s="1258" customFormat="1" ht="16" hidden="1" outlineLevel="1">
      <c r="B2763" s="966" t="s">
        <v>2374</v>
      </c>
      <c r="C2763" s="965">
        <v>26700</v>
      </c>
      <c r="D2763" s="965" t="s">
        <v>2300</v>
      </c>
      <c r="E2763" s="965">
        <v>1610584</v>
      </c>
      <c r="F2763" s="965">
        <v>42850297300</v>
      </c>
      <c r="G2763" s="965">
        <v>25550</v>
      </c>
      <c r="H2763" s="965">
        <v>26950</v>
      </c>
      <c r="I2763" s="965">
        <v>25400</v>
      </c>
      <c r="J2763" s="965">
        <v>2386980</v>
      </c>
      <c r="K2763" s="965">
        <v>89400000</v>
      </c>
    </row>
    <row r="2764" spans="2:11" s="1258" customFormat="1" ht="16" hidden="1" outlineLevel="1">
      <c r="B2764" s="966" t="s">
        <v>2373</v>
      </c>
      <c r="C2764" s="965">
        <v>25550</v>
      </c>
      <c r="D2764" s="965" t="s">
        <v>2243</v>
      </c>
      <c r="E2764" s="965">
        <v>959200</v>
      </c>
      <c r="F2764" s="965">
        <v>24370961900</v>
      </c>
      <c r="G2764" s="965">
        <v>25400</v>
      </c>
      <c r="H2764" s="965">
        <v>25800</v>
      </c>
      <c r="I2764" s="965">
        <v>25050</v>
      </c>
      <c r="J2764" s="965">
        <v>2284170</v>
      </c>
      <c r="K2764" s="965">
        <v>89400000</v>
      </c>
    </row>
    <row r="2765" spans="2:11" s="1258" customFormat="1" ht="16" hidden="1" outlineLevel="1">
      <c r="B2765" s="966" t="s">
        <v>2371</v>
      </c>
      <c r="C2765" s="965">
        <v>25250</v>
      </c>
      <c r="D2765" s="965" t="s">
        <v>2244</v>
      </c>
      <c r="E2765" s="965">
        <v>1289413</v>
      </c>
      <c r="F2765" s="965">
        <v>32953702200</v>
      </c>
      <c r="G2765" s="965">
        <v>26700</v>
      </c>
      <c r="H2765" s="965">
        <v>26700</v>
      </c>
      <c r="I2765" s="965">
        <v>25250</v>
      </c>
      <c r="J2765" s="965">
        <v>2257350</v>
      </c>
      <c r="K2765" s="965">
        <v>89400000</v>
      </c>
    </row>
    <row r="2766" spans="2:11" s="1258" customFormat="1" ht="16" hidden="1" outlineLevel="1">
      <c r="B2766" s="966" t="s">
        <v>2369</v>
      </c>
      <c r="C2766" s="965">
        <v>26750</v>
      </c>
      <c r="D2766" s="965" t="s">
        <v>2638</v>
      </c>
      <c r="E2766" s="965">
        <v>1338463</v>
      </c>
      <c r="F2766" s="965">
        <v>35682560450</v>
      </c>
      <c r="G2766" s="965">
        <v>25950</v>
      </c>
      <c r="H2766" s="965">
        <v>27050</v>
      </c>
      <c r="I2766" s="965">
        <v>25900</v>
      </c>
      <c r="J2766" s="965">
        <v>2391450</v>
      </c>
      <c r="K2766" s="965">
        <v>89400000</v>
      </c>
    </row>
    <row r="2767" spans="2:11" s="1258" customFormat="1" ht="16" hidden="1" outlineLevel="1">
      <c r="B2767" s="966" t="s">
        <v>2367</v>
      </c>
      <c r="C2767" s="965">
        <v>25950</v>
      </c>
      <c r="D2767" s="965" t="s">
        <v>2224</v>
      </c>
      <c r="E2767" s="965">
        <v>1109206</v>
      </c>
      <c r="F2767" s="965">
        <v>28691547900</v>
      </c>
      <c r="G2767" s="965">
        <v>26200</v>
      </c>
      <c r="H2767" s="965">
        <v>26300</v>
      </c>
      <c r="I2767" s="965">
        <v>25600</v>
      </c>
      <c r="J2767" s="965">
        <v>2319930</v>
      </c>
      <c r="K2767" s="965">
        <v>89400000</v>
      </c>
    </row>
    <row r="2768" spans="2:11" s="1258" customFormat="1" ht="16" hidden="1" outlineLevel="1">
      <c r="B2768" s="966" t="s">
        <v>2365</v>
      </c>
      <c r="C2768" s="965">
        <v>26150</v>
      </c>
      <c r="D2768" s="965" t="s">
        <v>2279</v>
      </c>
      <c r="E2768" s="965">
        <v>2416289</v>
      </c>
      <c r="F2768" s="965">
        <v>62247128850</v>
      </c>
      <c r="G2768" s="965">
        <v>24800</v>
      </c>
      <c r="H2768" s="965">
        <v>26150</v>
      </c>
      <c r="I2768" s="965">
        <v>24750</v>
      </c>
      <c r="J2768" s="965">
        <v>2337810</v>
      </c>
      <c r="K2768" s="965">
        <v>89400000</v>
      </c>
    </row>
    <row r="2769" spans="2:11" s="1258" customFormat="1" ht="16" hidden="1" outlineLevel="1">
      <c r="B2769" s="966" t="s">
        <v>2364</v>
      </c>
      <c r="C2769" s="965">
        <v>24400</v>
      </c>
      <c r="D2769" s="965" t="s">
        <v>2213</v>
      </c>
      <c r="E2769" s="965">
        <v>777277</v>
      </c>
      <c r="F2769" s="965">
        <v>19029385900</v>
      </c>
      <c r="G2769" s="965">
        <v>24500</v>
      </c>
      <c r="H2769" s="965">
        <v>24750</v>
      </c>
      <c r="I2769" s="965">
        <v>24150</v>
      </c>
      <c r="J2769" s="965">
        <v>2181360</v>
      </c>
      <c r="K2769" s="965">
        <v>89400000</v>
      </c>
    </row>
    <row r="2770" spans="2:11" s="1258" customFormat="1" ht="16" hidden="1" outlineLevel="1">
      <c r="B2770" s="966" t="s">
        <v>2362</v>
      </c>
      <c r="C2770" s="965">
        <v>24150</v>
      </c>
      <c r="D2770" s="965" t="s">
        <v>2228</v>
      </c>
      <c r="E2770" s="965">
        <v>1145904</v>
      </c>
      <c r="F2770" s="965">
        <v>27732868100</v>
      </c>
      <c r="G2770" s="965">
        <v>24400</v>
      </c>
      <c r="H2770" s="965">
        <v>24650</v>
      </c>
      <c r="I2770" s="965">
        <v>23850</v>
      </c>
      <c r="J2770" s="965">
        <v>2159010</v>
      </c>
      <c r="K2770" s="965">
        <v>89400000</v>
      </c>
    </row>
    <row r="2771" spans="2:11" s="1258" customFormat="1" ht="16" hidden="1" outlineLevel="1">
      <c r="B2771" s="966" t="s">
        <v>2360</v>
      </c>
      <c r="C2771" s="965">
        <v>24250</v>
      </c>
      <c r="D2771" s="965" t="s">
        <v>2230</v>
      </c>
      <c r="E2771" s="965">
        <v>1569130</v>
      </c>
      <c r="F2771" s="965">
        <v>38270304000</v>
      </c>
      <c r="G2771" s="965">
        <v>24350</v>
      </c>
      <c r="H2771" s="965">
        <v>24600</v>
      </c>
      <c r="I2771" s="965">
        <v>23800</v>
      </c>
      <c r="J2771" s="965">
        <v>2167950</v>
      </c>
      <c r="K2771" s="965">
        <v>89400000</v>
      </c>
    </row>
    <row r="2772" spans="2:11" s="1258" customFormat="1" ht="16" hidden="1" outlineLevel="1">
      <c r="B2772" s="966" t="s">
        <v>2358</v>
      </c>
      <c r="C2772" s="965">
        <v>23900</v>
      </c>
      <c r="D2772" s="965" t="s">
        <v>2686</v>
      </c>
      <c r="E2772" s="965">
        <v>1343443</v>
      </c>
      <c r="F2772" s="965">
        <v>31648816050</v>
      </c>
      <c r="G2772" s="965">
        <v>22650</v>
      </c>
      <c r="H2772" s="965">
        <v>24150</v>
      </c>
      <c r="I2772" s="965">
        <v>22600</v>
      </c>
      <c r="J2772" s="965">
        <v>2136660</v>
      </c>
      <c r="K2772" s="965">
        <v>89400000</v>
      </c>
    </row>
    <row r="2773" spans="2:11" s="1258" customFormat="1" ht="16" hidden="1" outlineLevel="1">
      <c r="B2773" s="966" t="s">
        <v>2357</v>
      </c>
      <c r="C2773" s="965">
        <v>22650</v>
      </c>
      <c r="D2773" s="965" t="s">
        <v>2219</v>
      </c>
      <c r="E2773" s="965">
        <v>590370</v>
      </c>
      <c r="F2773" s="965">
        <v>13308279500</v>
      </c>
      <c r="G2773" s="965">
        <v>22700</v>
      </c>
      <c r="H2773" s="965">
        <v>22750</v>
      </c>
      <c r="I2773" s="965">
        <v>22400</v>
      </c>
      <c r="J2773" s="965">
        <v>2024910</v>
      </c>
      <c r="K2773" s="965">
        <v>89400000</v>
      </c>
    </row>
    <row r="2774" spans="2:11" s="1258" customFormat="1" ht="16" hidden="1" outlineLevel="1">
      <c r="B2774" s="966" t="s">
        <v>2656</v>
      </c>
      <c r="C2774" s="965">
        <v>22500</v>
      </c>
      <c r="D2774" s="965" t="s">
        <v>2253</v>
      </c>
      <c r="E2774" s="965">
        <v>906575</v>
      </c>
      <c r="F2774" s="965">
        <v>20587372400</v>
      </c>
      <c r="G2774" s="965">
        <v>23300</v>
      </c>
      <c r="H2774" s="965">
        <v>23400</v>
      </c>
      <c r="I2774" s="965">
        <v>22450</v>
      </c>
      <c r="J2774" s="965">
        <v>2011500</v>
      </c>
      <c r="K2774" s="965">
        <v>89400000</v>
      </c>
    </row>
    <row r="2775" spans="2:11" s="1258" customFormat="1" ht="16" hidden="1" outlineLevel="1">
      <c r="B2775" s="966" t="s">
        <v>2655</v>
      </c>
      <c r="C2775" s="965">
        <v>23300</v>
      </c>
      <c r="D2775" s="965" t="s">
        <v>2221</v>
      </c>
      <c r="E2775" s="965">
        <v>689759</v>
      </c>
      <c r="F2775" s="965">
        <v>16187814200</v>
      </c>
      <c r="G2775" s="965">
        <v>23650</v>
      </c>
      <c r="H2775" s="965">
        <v>23800</v>
      </c>
      <c r="I2775" s="965">
        <v>23050</v>
      </c>
      <c r="J2775" s="965">
        <v>2083020</v>
      </c>
      <c r="K2775" s="965">
        <v>89400000</v>
      </c>
    </row>
    <row r="2776" spans="2:11" s="1258" customFormat="1" ht="16" hidden="1" outlineLevel="1">
      <c r="B2776" s="966" t="s">
        <v>2654</v>
      </c>
      <c r="C2776" s="965">
        <v>23300</v>
      </c>
      <c r="D2776" s="965" t="s">
        <v>2225</v>
      </c>
      <c r="E2776" s="965">
        <v>463507</v>
      </c>
      <c r="F2776" s="965">
        <v>10772951100</v>
      </c>
      <c r="G2776" s="965">
        <v>23050</v>
      </c>
      <c r="H2776" s="965">
        <v>23550</v>
      </c>
      <c r="I2776" s="965">
        <v>22950</v>
      </c>
      <c r="J2776" s="965">
        <v>2083020</v>
      </c>
      <c r="K2776" s="965">
        <v>89400000</v>
      </c>
    </row>
    <row r="2777" spans="2:11" s="1258" customFormat="1" ht="16" hidden="1" outlineLevel="1">
      <c r="B2777" s="966" t="s">
        <v>2653</v>
      </c>
      <c r="C2777" s="965">
        <v>23450</v>
      </c>
      <c r="D2777" s="965" t="s">
        <v>2215</v>
      </c>
      <c r="E2777" s="965">
        <v>653339</v>
      </c>
      <c r="F2777" s="965">
        <v>15299224050</v>
      </c>
      <c r="G2777" s="965">
        <v>23600</v>
      </c>
      <c r="H2777" s="965">
        <v>23950</v>
      </c>
      <c r="I2777" s="965">
        <v>23100</v>
      </c>
      <c r="J2777" s="965">
        <v>2096430</v>
      </c>
      <c r="K2777" s="965">
        <v>89400000</v>
      </c>
    </row>
    <row r="2778" spans="2:11" s="1258" customFormat="1" ht="16" hidden="1" outlineLevel="1">
      <c r="B2778" s="966" t="s">
        <v>2652</v>
      </c>
      <c r="C2778" s="965">
        <v>23750</v>
      </c>
      <c r="D2778" s="965" t="s">
        <v>2215</v>
      </c>
      <c r="E2778" s="965">
        <v>361136</v>
      </c>
      <c r="F2778" s="965">
        <v>8552097300</v>
      </c>
      <c r="G2778" s="965">
        <v>23800</v>
      </c>
      <c r="H2778" s="965">
        <v>23850</v>
      </c>
      <c r="I2778" s="965">
        <v>23450</v>
      </c>
      <c r="J2778" s="965">
        <v>2123250</v>
      </c>
      <c r="K2778" s="965">
        <v>89400000</v>
      </c>
    </row>
    <row r="2779" spans="2:11" s="1258" customFormat="1" ht="16" hidden="1" outlineLevel="1">
      <c r="B2779" s="966" t="s">
        <v>2651</v>
      </c>
      <c r="C2779" s="965">
        <v>24050</v>
      </c>
      <c r="D2779" s="965" t="s">
        <v>2282</v>
      </c>
      <c r="E2779" s="965">
        <v>1187466</v>
      </c>
      <c r="F2779" s="965">
        <v>28171095700</v>
      </c>
      <c r="G2779" s="965">
        <v>23150</v>
      </c>
      <c r="H2779" s="965">
        <v>24150</v>
      </c>
      <c r="I2779" s="965">
        <v>23150</v>
      </c>
      <c r="J2779" s="965">
        <v>2150070</v>
      </c>
      <c r="K2779" s="965">
        <v>89400000</v>
      </c>
    </row>
    <row r="2780" spans="2:11" s="1258" customFormat="1" ht="16" hidden="1" outlineLevel="1">
      <c r="B2780" s="966" t="s">
        <v>2650</v>
      </c>
      <c r="C2780" s="965">
        <v>23400</v>
      </c>
      <c r="D2780" s="965" t="s">
        <v>1826</v>
      </c>
      <c r="E2780" s="965">
        <v>1019834</v>
      </c>
      <c r="F2780" s="965">
        <v>23686913300</v>
      </c>
      <c r="G2780" s="965">
        <v>23000</v>
      </c>
      <c r="H2780" s="965">
        <v>23450</v>
      </c>
      <c r="I2780" s="965">
        <v>22650</v>
      </c>
      <c r="J2780" s="965">
        <v>2091960</v>
      </c>
      <c r="K2780" s="965">
        <v>89400000</v>
      </c>
    </row>
    <row r="2781" spans="2:11" s="1258" customFormat="1" ht="16" hidden="1" outlineLevel="1">
      <c r="B2781" s="966" t="s">
        <v>2648</v>
      </c>
      <c r="C2781" s="965">
        <v>22900</v>
      </c>
      <c r="D2781" s="965" t="s">
        <v>2283</v>
      </c>
      <c r="E2781" s="965">
        <v>714104</v>
      </c>
      <c r="F2781" s="965">
        <v>16130045400</v>
      </c>
      <c r="G2781" s="965">
        <v>22550</v>
      </c>
      <c r="H2781" s="965">
        <v>22950</v>
      </c>
      <c r="I2781" s="965">
        <v>22150</v>
      </c>
      <c r="J2781" s="965">
        <v>2047260</v>
      </c>
      <c r="K2781" s="965">
        <v>89400000</v>
      </c>
    </row>
    <row r="2782" spans="2:11" s="1258" customFormat="1" ht="16" hidden="1" outlineLevel="1">
      <c r="B2782" s="966" t="s">
        <v>2647</v>
      </c>
      <c r="C2782" s="965">
        <v>22450</v>
      </c>
      <c r="D2782" s="965" t="s">
        <v>2243</v>
      </c>
      <c r="E2782" s="965">
        <v>551642</v>
      </c>
      <c r="F2782" s="965">
        <v>12286269400</v>
      </c>
      <c r="G2782" s="965">
        <v>22200</v>
      </c>
      <c r="H2782" s="965">
        <v>22450</v>
      </c>
      <c r="I2782" s="965">
        <v>21850</v>
      </c>
      <c r="J2782" s="965">
        <v>2007030</v>
      </c>
      <c r="K2782" s="965">
        <v>89400000</v>
      </c>
    </row>
    <row r="2783" spans="2:11" s="1258" customFormat="1" ht="16" hidden="1" outlineLevel="1">
      <c r="B2783" s="966" t="s">
        <v>2646</v>
      </c>
      <c r="C2783" s="965">
        <v>22150</v>
      </c>
      <c r="D2783" s="965" t="s">
        <v>2230</v>
      </c>
      <c r="E2783" s="965">
        <v>648017</v>
      </c>
      <c r="F2783" s="965">
        <v>14320613050</v>
      </c>
      <c r="G2783" s="965">
        <v>21950</v>
      </c>
      <c r="H2783" s="965">
        <v>22300</v>
      </c>
      <c r="I2783" s="965">
        <v>21700</v>
      </c>
      <c r="J2783" s="965">
        <v>1980210</v>
      </c>
      <c r="K2783" s="965">
        <v>89400000</v>
      </c>
    </row>
    <row r="2784" spans="2:11" s="1258" customFormat="1" ht="16" hidden="1" outlineLevel="1">
      <c r="B2784" s="966" t="s">
        <v>2645</v>
      </c>
      <c r="C2784" s="965">
        <v>21800</v>
      </c>
      <c r="D2784" s="965" t="s">
        <v>2230</v>
      </c>
      <c r="E2784" s="965">
        <v>887840</v>
      </c>
      <c r="F2784" s="965">
        <v>19292192750</v>
      </c>
      <c r="G2784" s="965">
        <v>21550</v>
      </c>
      <c r="H2784" s="965">
        <v>21950</v>
      </c>
      <c r="I2784" s="965">
        <v>21450</v>
      </c>
      <c r="J2784" s="965">
        <v>1948920</v>
      </c>
      <c r="K2784" s="965">
        <v>89400000</v>
      </c>
    </row>
    <row r="2785" spans="2:11" s="1258" customFormat="1" ht="16" hidden="1" outlineLevel="1">
      <c r="B2785" s="966" t="s">
        <v>2643</v>
      </c>
      <c r="C2785" s="965">
        <v>21450</v>
      </c>
      <c r="D2785" s="965" t="s">
        <v>2211</v>
      </c>
      <c r="E2785" s="965">
        <v>1301313</v>
      </c>
      <c r="F2785" s="965">
        <v>27918162850</v>
      </c>
      <c r="G2785" s="965">
        <v>21800</v>
      </c>
      <c r="H2785" s="965">
        <v>21900</v>
      </c>
      <c r="I2785" s="965">
        <v>21300</v>
      </c>
      <c r="J2785" s="965">
        <v>1917630</v>
      </c>
      <c r="K2785" s="965">
        <v>89400000</v>
      </c>
    </row>
    <row r="2786" spans="2:11" s="1258" customFormat="1" ht="16" hidden="1" outlineLevel="1">
      <c r="B2786" s="966" t="s">
        <v>2642</v>
      </c>
      <c r="C2786" s="965">
        <v>21850</v>
      </c>
      <c r="D2786" s="965" t="s">
        <v>2293</v>
      </c>
      <c r="E2786" s="965">
        <v>833173</v>
      </c>
      <c r="F2786" s="965">
        <v>18102289150</v>
      </c>
      <c r="G2786" s="965">
        <v>22200</v>
      </c>
      <c r="H2786" s="965">
        <v>22250</v>
      </c>
      <c r="I2786" s="965">
        <v>21400</v>
      </c>
      <c r="J2786" s="965">
        <v>1953390</v>
      </c>
      <c r="K2786" s="965">
        <v>89400000</v>
      </c>
    </row>
    <row r="2787" spans="2:11" s="1258" customFormat="1" ht="16" hidden="1" outlineLevel="1">
      <c r="B2787" s="966" t="s">
        <v>2640</v>
      </c>
      <c r="C2787" s="965">
        <v>22100</v>
      </c>
      <c r="D2787" s="965" t="s">
        <v>2280</v>
      </c>
      <c r="E2787" s="965">
        <v>744027</v>
      </c>
      <c r="F2787" s="965">
        <v>16614120750</v>
      </c>
      <c r="G2787" s="965">
        <v>23000</v>
      </c>
      <c r="H2787" s="965">
        <v>23000</v>
      </c>
      <c r="I2787" s="965">
        <v>22100</v>
      </c>
      <c r="J2787" s="965">
        <v>1975740</v>
      </c>
      <c r="K2787" s="965">
        <v>89400000</v>
      </c>
    </row>
    <row r="2788" spans="2:11" s="1258" customFormat="1" ht="16" hidden="1" outlineLevel="1">
      <c r="B2788" s="966" t="s">
        <v>2639</v>
      </c>
      <c r="C2788" s="965">
        <v>22850</v>
      </c>
      <c r="D2788" s="965" t="s">
        <v>2229</v>
      </c>
      <c r="E2788" s="965">
        <v>742662</v>
      </c>
      <c r="F2788" s="965">
        <v>16918058300</v>
      </c>
      <c r="G2788" s="965">
        <v>23100</v>
      </c>
      <c r="H2788" s="965">
        <v>23150</v>
      </c>
      <c r="I2788" s="965">
        <v>22550</v>
      </c>
      <c r="J2788" s="965">
        <v>2042790</v>
      </c>
      <c r="K2788" s="965">
        <v>89400000</v>
      </c>
    </row>
    <row r="2789" spans="2:11" s="1258" customFormat="1" ht="16" hidden="1" outlineLevel="1">
      <c r="B2789" s="966" t="s">
        <v>2637</v>
      </c>
      <c r="C2789" s="965">
        <v>23200</v>
      </c>
      <c r="D2789" s="965" t="s">
        <v>2638</v>
      </c>
      <c r="E2789" s="965">
        <v>816057</v>
      </c>
      <c r="F2789" s="965">
        <v>18672378250</v>
      </c>
      <c r="G2789" s="965">
        <v>22500</v>
      </c>
      <c r="H2789" s="965">
        <v>23200</v>
      </c>
      <c r="I2789" s="965">
        <v>22300</v>
      </c>
      <c r="J2789" s="965">
        <v>2074080</v>
      </c>
      <c r="K2789" s="965">
        <v>89400000</v>
      </c>
    </row>
    <row r="2790" spans="2:11" s="1258" customFormat="1" ht="16" hidden="1" outlineLevel="1">
      <c r="B2790" s="966" t="s">
        <v>2636</v>
      </c>
      <c r="C2790" s="965">
        <v>22400</v>
      </c>
      <c r="D2790" s="965" t="s">
        <v>2225</v>
      </c>
      <c r="E2790" s="965">
        <v>318434</v>
      </c>
      <c r="F2790" s="965">
        <v>7154294600</v>
      </c>
      <c r="G2790" s="965">
        <v>22600</v>
      </c>
      <c r="H2790" s="965">
        <v>22800</v>
      </c>
      <c r="I2790" s="965">
        <v>22200</v>
      </c>
      <c r="J2790" s="965">
        <v>2002560</v>
      </c>
      <c r="K2790" s="965">
        <v>89400000</v>
      </c>
    </row>
    <row r="2791" spans="2:11" s="1258" customFormat="1" ht="16" hidden="1" outlineLevel="1">
      <c r="B2791" s="966" t="s">
        <v>2635</v>
      </c>
      <c r="C2791" s="965">
        <v>22550</v>
      </c>
      <c r="D2791" s="965" t="s">
        <v>2219</v>
      </c>
      <c r="E2791" s="965">
        <v>247841</v>
      </c>
      <c r="F2791" s="965">
        <v>5578972650</v>
      </c>
      <c r="G2791" s="965">
        <v>22550</v>
      </c>
      <c r="H2791" s="965">
        <v>22700</v>
      </c>
      <c r="I2791" s="965">
        <v>22250</v>
      </c>
      <c r="J2791" s="965">
        <v>2015970</v>
      </c>
      <c r="K2791" s="965">
        <v>89400000</v>
      </c>
    </row>
    <row r="2792" spans="2:11" s="1258" customFormat="1" ht="16" hidden="1" outlineLevel="1">
      <c r="B2792" s="966" t="s">
        <v>2633</v>
      </c>
      <c r="C2792" s="965">
        <v>22400</v>
      </c>
      <c r="D2792" s="965" t="s">
        <v>2211</v>
      </c>
      <c r="E2792" s="965">
        <v>261433</v>
      </c>
      <c r="F2792" s="965">
        <v>5911015700</v>
      </c>
      <c r="G2792" s="965">
        <v>22800</v>
      </c>
      <c r="H2792" s="965">
        <v>22950</v>
      </c>
      <c r="I2792" s="965">
        <v>22350</v>
      </c>
      <c r="J2792" s="965">
        <v>2002560</v>
      </c>
      <c r="K2792" s="965">
        <v>89400000</v>
      </c>
    </row>
    <row r="2793" spans="2:11" s="1258" customFormat="1" ht="16" hidden="1" outlineLevel="1">
      <c r="B2793" s="966" t="s">
        <v>2632</v>
      </c>
      <c r="C2793" s="965">
        <v>22800</v>
      </c>
      <c r="D2793" s="965" t="s">
        <v>2243</v>
      </c>
      <c r="E2793" s="965">
        <v>767139</v>
      </c>
      <c r="F2793" s="965">
        <v>17572561600</v>
      </c>
      <c r="G2793" s="965">
        <v>22700</v>
      </c>
      <c r="H2793" s="965">
        <v>23250</v>
      </c>
      <c r="I2793" s="965">
        <v>22350</v>
      </c>
      <c r="J2793" s="965">
        <v>2038320</v>
      </c>
      <c r="K2793" s="965">
        <v>89400000</v>
      </c>
    </row>
    <row r="2794" spans="2:11" s="1258" customFormat="1" ht="16" hidden="1" outlineLevel="1">
      <c r="B2794" s="966" t="s">
        <v>2631</v>
      </c>
      <c r="C2794" s="965">
        <v>22500</v>
      </c>
      <c r="D2794" s="965" t="s">
        <v>2215</v>
      </c>
      <c r="E2794" s="965">
        <v>742353</v>
      </c>
      <c r="F2794" s="965">
        <v>16509849000</v>
      </c>
      <c r="G2794" s="965">
        <v>21950</v>
      </c>
      <c r="H2794" s="965">
        <v>22550</v>
      </c>
      <c r="I2794" s="965">
        <v>21850</v>
      </c>
      <c r="J2794" s="965">
        <v>2011500</v>
      </c>
      <c r="K2794" s="965">
        <v>89400000</v>
      </c>
    </row>
    <row r="2795" spans="2:11" s="1258" customFormat="1" ht="16" hidden="1" outlineLevel="1">
      <c r="B2795" s="966" t="s">
        <v>2630</v>
      </c>
      <c r="C2795" s="965">
        <v>22800</v>
      </c>
      <c r="D2795" s="965" t="s">
        <v>2228</v>
      </c>
      <c r="E2795" s="965">
        <v>431916</v>
      </c>
      <c r="F2795" s="965">
        <v>9784895800</v>
      </c>
      <c r="G2795" s="965">
        <v>22950</v>
      </c>
      <c r="H2795" s="965">
        <v>22950</v>
      </c>
      <c r="I2795" s="965">
        <v>22500</v>
      </c>
      <c r="J2795" s="965">
        <v>2038320</v>
      </c>
      <c r="K2795" s="965">
        <v>89400000</v>
      </c>
    </row>
    <row r="2796" spans="2:11" s="1258" customFormat="1" ht="16" hidden="1" outlineLevel="1">
      <c r="B2796" s="966" t="s">
        <v>2629</v>
      </c>
      <c r="C2796" s="965">
        <v>22900</v>
      </c>
      <c r="D2796" s="965" t="s">
        <v>2234</v>
      </c>
      <c r="E2796" s="965">
        <v>664732</v>
      </c>
      <c r="F2796" s="965">
        <v>15294173650</v>
      </c>
      <c r="G2796" s="965">
        <v>23450</v>
      </c>
      <c r="H2796" s="965">
        <v>23600</v>
      </c>
      <c r="I2796" s="965">
        <v>22750</v>
      </c>
      <c r="J2796" s="965">
        <v>2047260</v>
      </c>
      <c r="K2796" s="965">
        <v>89400000</v>
      </c>
    </row>
    <row r="2797" spans="2:11" s="1258" customFormat="1" ht="16" hidden="1" outlineLevel="1">
      <c r="B2797" s="966" t="s">
        <v>2628</v>
      </c>
      <c r="C2797" s="965">
        <v>23600</v>
      </c>
      <c r="D2797" s="965" t="s">
        <v>2213</v>
      </c>
      <c r="E2797" s="965">
        <v>558711</v>
      </c>
      <c r="F2797" s="965">
        <v>13197515850</v>
      </c>
      <c r="G2797" s="965">
        <v>23200</v>
      </c>
      <c r="H2797" s="965">
        <v>24000</v>
      </c>
      <c r="I2797" s="965">
        <v>23200</v>
      </c>
      <c r="J2797" s="965">
        <v>2109840</v>
      </c>
      <c r="K2797" s="965">
        <v>89400000</v>
      </c>
    </row>
    <row r="2798" spans="2:11" s="1258" customFormat="1" ht="16" hidden="1" outlineLevel="1">
      <c r="B2798" s="966" t="s">
        <v>2626</v>
      </c>
      <c r="C2798" s="965">
        <v>23350</v>
      </c>
      <c r="D2798" s="965" t="s">
        <v>2214</v>
      </c>
      <c r="E2798" s="965">
        <v>361490</v>
      </c>
      <c r="F2798" s="965">
        <v>8442079000</v>
      </c>
      <c r="G2798" s="965">
        <v>23150</v>
      </c>
      <c r="H2798" s="965">
        <v>23550</v>
      </c>
      <c r="I2798" s="965">
        <v>23000</v>
      </c>
      <c r="J2798" s="965">
        <v>2087490</v>
      </c>
      <c r="K2798" s="965">
        <v>89400000</v>
      </c>
    </row>
    <row r="2799" spans="2:11" s="1258" customFormat="1" ht="16" hidden="1" outlineLevel="1">
      <c r="B2799" s="966" t="s">
        <v>2624</v>
      </c>
      <c r="C2799" s="965">
        <v>22950</v>
      </c>
      <c r="D2799" s="965" t="s">
        <v>2213</v>
      </c>
      <c r="E2799" s="965">
        <v>363035</v>
      </c>
      <c r="F2799" s="965">
        <v>8271942200</v>
      </c>
      <c r="G2799" s="965">
        <v>22250</v>
      </c>
      <c r="H2799" s="965">
        <v>23150</v>
      </c>
      <c r="I2799" s="965">
        <v>22050</v>
      </c>
      <c r="J2799" s="965">
        <v>2051730</v>
      </c>
      <c r="K2799" s="965">
        <v>89400000</v>
      </c>
    </row>
    <row r="2800" spans="2:11" s="1258" customFormat="1" ht="16" hidden="1" outlineLevel="1">
      <c r="B2800" s="966" t="s">
        <v>2623</v>
      </c>
      <c r="C2800" s="965">
        <v>22700</v>
      </c>
      <c r="D2800" s="965" t="s">
        <v>2634</v>
      </c>
      <c r="E2800" s="965">
        <v>1725866</v>
      </c>
      <c r="F2800" s="965">
        <v>39607145800</v>
      </c>
      <c r="G2800" s="965">
        <v>24000</v>
      </c>
      <c r="H2800" s="965">
        <v>24100</v>
      </c>
      <c r="I2800" s="965">
        <v>22350</v>
      </c>
      <c r="J2800" s="965">
        <v>2029380</v>
      </c>
      <c r="K2800" s="965">
        <v>89400000</v>
      </c>
    </row>
    <row r="2801" spans="2:11" s="1258" customFormat="1" ht="16" hidden="1" outlineLevel="1">
      <c r="B2801" s="966" t="s">
        <v>2621</v>
      </c>
      <c r="C2801" s="965">
        <v>24000</v>
      </c>
      <c r="D2801" s="965" t="s">
        <v>2282</v>
      </c>
      <c r="E2801" s="965">
        <v>1081986</v>
      </c>
      <c r="F2801" s="965">
        <v>25846263150</v>
      </c>
      <c r="G2801" s="965">
        <v>23500</v>
      </c>
      <c r="H2801" s="965">
        <v>24300</v>
      </c>
      <c r="I2801" s="965">
        <v>23350</v>
      </c>
      <c r="J2801" s="965">
        <v>2145600</v>
      </c>
      <c r="K2801" s="965">
        <v>89400000</v>
      </c>
    </row>
    <row r="2802" spans="2:11" s="1258" customFormat="1" ht="16" hidden="1" outlineLevel="1">
      <c r="B2802" s="966" t="s">
        <v>2619</v>
      </c>
      <c r="C2802" s="965">
        <v>23350</v>
      </c>
      <c r="D2802" s="965" t="s">
        <v>2280</v>
      </c>
      <c r="E2802" s="965">
        <v>755779</v>
      </c>
      <c r="F2802" s="965">
        <v>17819320650</v>
      </c>
      <c r="G2802" s="965">
        <v>24100</v>
      </c>
      <c r="H2802" s="965">
        <v>24300</v>
      </c>
      <c r="I2802" s="965">
        <v>22750</v>
      </c>
      <c r="J2802" s="965">
        <v>2087490</v>
      </c>
      <c r="K2802" s="965">
        <v>89400000</v>
      </c>
    </row>
    <row r="2803" spans="2:11" s="1258" customFormat="1" ht="16" hidden="1" outlineLevel="1">
      <c r="B2803" s="966" t="s">
        <v>2618</v>
      </c>
      <c r="C2803" s="965">
        <v>24100</v>
      </c>
      <c r="D2803" s="965" t="s">
        <v>2253</v>
      </c>
      <c r="E2803" s="965">
        <v>753140</v>
      </c>
      <c r="F2803" s="965">
        <v>18517011200</v>
      </c>
      <c r="G2803" s="965">
        <v>25050</v>
      </c>
      <c r="H2803" s="965">
        <v>25200</v>
      </c>
      <c r="I2803" s="965">
        <v>24050</v>
      </c>
      <c r="J2803" s="965">
        <v>2154540</v>
      </c>
      <c r="K2803" s="965">
        <v>89400000</v>
      </c>
    </row>
    <row r="2804" spans="2:11" s="1258" customFormat="1" ht="16" hidden="1" outlineLevel="1">
      <c r="B2804" s="966" t="s">
        <v>2617</v>
      </c>
      <c r="C2804" s="965">
        <v>24900</v>
      </c>
      <c r="D2804" s="965" t="s">
        <v>2232</v>
      </c>
      <c r="E2804" s="965">
        <v>421727</v>
      </c>
      <c r="F2804" s="965">
        <v>10389672500</v>
      </c>
      <c r="G2804" s="965">
        <v>24650</v>
      </c>
      <c r="H2804" s="965">
        <v>25000</v>
      </c>
      <c r="I2804" s="965">
        <v>24450</v>
      </c>
      <c r="J2804" s="965">
        <v>2226060</v>
      </c>
      <c r="K2804" s="965">
        <v>89400000</v>
      </c>
    </row>
    <row r="2805" spans="2:11" s="1258" customFormat="1" ht="16" hidden="1" outlineLevel="1">
      <c r="B2805" s="966" t="s">
        <v>2616</v>
      </c>
      <c r="C2805" s="965">
        <v>24700</v>
      </c>
      <c r="D2805" s="965" t="s">
        <v>2283</v>
      </c>
      <c r="E2805" s="965">
        <v>713274</v>
      </c>
      <c r="F2805" s="965">
        <v>17593105000</v>
      </c>
      <c r="G2805" s="965">
        <v>24600</v>
      </c>
      <c r="H2805" s="965">
        <v>25100</v>
      </c>
      <c r="I2805" s="965">
        <v>24300</v>
      </c>
      <c r="J2805" s="965">
        <v>2208180</v>
      </c>
      <c r="K2805" s="965">
        <v>89400000</v>
      </c>
    </row>
    <row r="2806" spans="2:11" s="1258" customFormat="1" ht="16" hidden="1" outlineLevel="1">
      <c r="B2806" s="966" t="s">
        <v>2615</v>
      </c>
      <c r="C2806" s="965">
        <v>24250</v>
      </c>
      <c r="D2806" s="965" t="s">
        <v>2215</v>
      </c>
      <c r="E2806" s="965">
        <v>469856</v>
      </c>
      <c r="F2806" s="965">
        <v>11405092050</v>
      </c>
      <c r="G2806" s="965">
        <v>24550</v>
      </c>
      <c r="H2806" s="965">
        <v>24700</v>
      </c>
      <c r="I2806" s="965">
        <v>23900</v>
      </c>
      <c r="J2806" s="965">
        <v>2167950</v>
      </c>
      <c r="K2806" s="965">
        <v>89400000</v>
      </c>
    </row>
    <row r="2807" spans="2:11" s="1258" customFormat="1" ht="16" hidden="1" outlineLevel="1">
      <c r="B2807" s="966" t="s">
        <v>2614</v>
      </c>
      <c r="C2807" s="965">
        <v>24550</v>
      </c>
      <c r="D2807" s="965" t="s">
        <v>2280</v>
      </c>
      <c r="E2807" s="965">
        <v>687312</v>
      </c>
      <c r="F2807" s="965">
        <v>17133884800</v>
      </c>
      <c r="G2807" s="965">
        <v>25600</v>
      </c>
      <c r="H2807" s="965">
        <v>25600</v>
      </c>
      <c r="I2807" s="965">
        <v>24550</v>
      </c>
      <c r="J2807" s="965">
        <v>2194770</v>
      </c>
      <c r="K2807" s="965">
        <v>89400000</v>
      </c>
    </row>
    <row r="2808" spans="2:11" s="1258" customFormat="1" ht="16" hidden="1" outlineLevel="1">
      <c r="B2808" s="966" t="s">
        <v>2613</v>
      </c>
      <c r="C2808" s="965">
        <v>25300</v>
      </c>
      <c r="D2808" s="965" t="s">
        <v>2210</v>
      </c>
      <c r="E2808" s="965">
        <v>1039346</v>
      </c>
      <c r="F2808" s="965">
        <v>26239786300</v>
      </c>
      <c r="G2808" s="965">
        <v>25750</v>
      </c>
      <c r="H2808" s="965">
        <v>25800</v>
      </c>
      <c r="I2808" s="965">
        <v>24850</v>
      </c>
      <c r="J2808" s="965">
        <v>2261820</v>
      </c>
      <c r="K2808" s="965">
        <v>89400000</v>
      </c>
    </row>
    <row r="2809" spans="2:11" s="1258" customFormat="1" ht="16" hidden="1" outlineLevel="1">
      <c r="B2809" s="966" t="s">
        <v>2612</v>
      </c>
      <c r="C2809" s="965">
        <v>25750</v>
      </c>
      <c r="D2809" s="965" t="s">
        <v>2252</v>
      </c>
      <c r="E2809" s="965">
        <v>1570674</v>
      </c>
      <c r="F2809" s="965">
        <v>40224501500</v>
      </c>
      <c r="G2809" s="965">
        <v>25000</v>
      </c>
      <c r="H2809" s="965">
        <v>25900</v>
      </c>
      <c r="I2809" s="965">
        <v>24950</v>
      </c>
      <c r="J2809" s="965">
        <v>2302050</v>
      </c>
      <c r="K2809" s="965">
        <v>89400000</v>
      </c>
    </row>
    <row r="2810" spans="2:11" s="1258" customFormat="1" ht="16" hidden="1" outlineLevel="1">
      <c r="B2810" s="966" t="s">
        <v>2611</v>
      </c>
      <c r="C2810" s="965">
        <v>24650</v>
      </c>
      <c r="D2810" s="965" t="s">
        <v>2207</v>
      </c>
      <c r="E2810" s="965">
        <v>623318</v>
      </c>
      <c r="F2810" s="965">
        <v>15330161600</v>
      </c>
      <c r="G2810" s="965">
        <v>24500</v>
      </c>
      <c r="H2810" s="965">
        <v>25000</v>
      </c>
      <c r="I2810" s="965">
        <v>24150</v>
      </c>
      <c r="J2810" s="965">
        <v>2203710</v>
      </c>
      <c r="K2810" s="965">
        <v>89400000</v>
      </c>
    </row>
    <row r="2811" spans="2:11" s="1258" customFormat="1" ht="16" hidden="1" outlineLevel="1">
      <c r="B2811" s="966" t="s">
        <v>2610</v>
      </c>
      <c r="C2811" s="965">
        <v>24600</v>
      </c>
      <c r="D2811" s="965" t="s">
        <v>2251</v>
      </c>
      <c r="E2811" s="965">
        <v>697127</v>
      </c>
      <c r="F2811" s="965">
        <v>16999468550</v>
      </c>
      <c r="G2811" s="965">
        <v>24100</v>
      </c>
      <c r="H2811" s="965">
        <v>24600</v>
      </c>
      <c r="I2811" s="965">
        <v>23950</v>
      </c>
      <c r="J2811" s="965">
        <v>2199240</v>
      </c>
      <c r="K2811" s="965">
        <v>89400000</v>
      </c>
    </row>
    <row r="2812" spans="2:11" ht="15" collapsed="1" thickBot="1">
      <c r="B2812" s="960" t="s">
        <v>2609</v>
      </c>
      <c r="C2812" s="959"/>
      <c r="D2812" s="961"/>
      <c r="E2812" s="959"/>
      <c r="F2812" s="959"/>
      <c r="G2812" s="959"/>
      <c r="H2812" s="959"/>
      <c r="I2812" s="959"/>
      <c r="J2812" s="960">
        <f>AVERAGE(J2564:J2686)</f>
        <v>2721975.6097560977</v>
      </c>
      <c r="K2812" s="959"/>
    </row>
    <row r="2814" spans="2:11">
      <c r="G2814" s="958"/>
    </row>
    <row r="2815" spans="2:11">
      <c r="G2815" s="958"/>
    </row>
    <row r="2816" spans="2:11">
      <c r="B2816" s="980" t="s">
        <v>2047</v>
      </c>
      <c r="G2816" s="958"/>
    </row>
    <row r="2817" spans="2:11">
      <c r="G2817" s="958"/>
    </row>
    <row r="2818" spans="2:11">
      <c r="B2818" s="977" t="s">
        <v>1917</v>
      </c>
      <c r="C2818" s="977"/>
      <c r="D2818" s="977" t="s">
        <v>2685</v>
      </c>
      <c r="E2818" s="977" t="s">
        <v>2684</v>
      </c>
      <c r="F2818" s="976" t="s">
        <v>2039</v>
      </c>
      <c r="G2818" s="977" t="s">
        <v>1919</v>
      </c>
      <c r="H2818" s="977" t="s">
        <v>2683</v>
      </c>
      <c r="I2818" s="977" t="s">
        <v>2682</v>
      </c>
    </row>
    <row r="2819" spans="2:11">
      <c r="B2819" s="957" t="s">
        <v>2040</v>
      </c>
      <c r="D2819" s="957" t="s">
        <v>2681</v>
      </c>
      <c r="E2819" s="957" t="s">
        <v>2679</v>
      </c>
      <c r="F2819" s="958">
        <v>2822250</v>
      </c>
      <c r="G2819" s="957">
        <v>46.34</v>
      </c>
      <c r="H2819" s="957">
        <v>416247</v>
      </c>
      <c r="I2819" s="957">
        <f>H2819</f>
        <v>416247</v>
      </c>
    </row>
    <row r="2820" spans="2:11">
      <c r="B2820" s="957" t="s">
        <v>2041</v>
      </c>
      <c r="D2820" s="957" t="s">
        <v>2681</v>
      </c>
      <c r="E2820" s="957" t="s">
        <v>2679</v>
      </c>
      <c r="F2820" s="958">
        <v>13420000</v>
      </c>
      <c r="G2820" s="957">
        <v>100</v>
      </c>
      <c r="H2820" s="957">
        <v>312968</v>
      </c>
      <c r="I2820" s="957">
        <f>H2820</f>
        <v>312968</v>
      </c>
    </row>
    <row r="2821" spans="2:11">
      <c r="B2821" s="957" t="s">
        <v>2042</v>
      </c>
      <c r="D2821" s="957" t="s">
        <v>2680</v>
      </c>
      <c r="E2821" s="957" t="s">
        <v>2679</v>
      </c>
      <c r="F2821" s="958">
        <v>140000</v>
      </c>
      <c r="G2821" s="957">
        <v>70</v>
      </c>
      <c r="H2821" s="957">
        <v>700</v>
      </c>
      <c r="I2821" s="957">
        <f>H2821</f>
        <v>700</v>
      </c>
    </row>
    <row r="2822" spans="2:11">
      <c r="B2822" s="957" t="s">
        <v>2043</v>
      </c>
      <c r="D2822" s="957" t="s">
        <v>2681</v>
      </c>
      <c r="E2822" s="957" t="s">
        <v>2679</v>
      </c>
      <c r="F2822" s="958">
        <v>3687642</v>
      </c>
      <c r="G2822" s="957">
        <v>40.97</v>
      </c>
      <c r="H2822" s="957">
        <v>57848</v>
      </c>
      <c r="I2822" s="957">
        <f>H2822</f>
        <v>57848</v>
      </c>
    </row>
    <row r="2823" spans="2:11">
      <c r="B2823" s="957" t="s">
        <v>2044</v>
      </c>
      <c r="D2823" s="957" t="s">
        <v>2681</v>
      </c>
      <c r="E2823" s="957" t="s">
        <v>1926</v>
      </c>
      <c r="F2823" s="958">
        <v>1872000</v>
      </c>
      <c r="G2823" s="957">
        <v>15.6</v>
      </c>
      <c r="H2823" s="957">
        <v>63354</v>
      </c>
      <c r="I2823" s="1051">
        <f>J3080*G2823%</f>
        <v>253252.68292682926</v>
      </c>
    </row>
    <row r="2824" spans="2:11">
      <c r="B2824" s="957" t="s">
        <v>2045</v>
      </c>
      <c r="D2824" s="957" t="s">
        <v>2680</v>
      </c>
      <c r="E2824" s="957" t="s">
        <v>1926</v>
      </c>
      <c r="F2824" s="958">
        <v>12449790</v>
      </c>
      <c r="G2824" s="957">
        <v>14.69</v>
      </c>
      <c r="H2824" s="957">
        <v>17953</v>
      </c>
      <c r="I2824" s="1051">
        <f>J3295*G2824%</f>
        <v>35832.060586991873</v>
      </c>
    </row>
    <row r="2825" spans="2:11">
      <c r="B2825" s="957" t="s">
        <v>2046</v>
      </c>
      <c r="D2825" s="957" t="s">
        <v>2680</v>
      </c>
      <c r="E2825" s="957" t="s">
        <v>2679</v>
      </c>
      <c r="F2825" s="958">
        <v>30000</v>
      </c>
      <c r="G2825" s="957">
        <v>25</v>
      </c>
      <c r="H2825" s="957">
        <v>0</v>
      </c>
      <c r="I2825" s="957">
        <f>H2825</f>
        <v>0</v>
      </c>
    </row>
    <row r="2826" spans="2:11">
      <c r="B2826" s="977" t="s">
        <v>2678</v>
      </c>
      <c r="C2826" s="977"/>
      <c r="D2826" s="976"/>
      <c r="E2826" s="977"/>
      <c r="F2826" s="976"/>
      <c r="G2826" s="977"/>
      <c r="H2826" s="977">
        <f>SUM(H2819:H2825)</f>
        <v>869070</v>
      </c>
      <c r="I2826" s="977">
        <f>SUM(I2819:I2825)</f>
        <v>1076847.7435138212</v>
      </c>
    </row>
    <row r="2829" spans="2:11">
      <c r="B2829" s="971" t="s">
        <v>2677</v>
      </c>
    </row>
    <row r="2830" spans="2:11" hidden="1" outlineLevel="1"/>
    <row r="2831" spans="2:11" ht="16" hidden="1" outlineLevel="1">
      <c r="B2831" s="969" t="s">
        <v>1839</v>
      </c>
      <c r="C2831" s="969" t="s">
        <v>1838</v>
      </c>
      <c r="D2831" s="970" t="s">
        <v>1837</v>
      </c>
      <c r="E2831" s="969" t="s">
        <v>1836</v>
      </c>
      <c r="F2831" s="969" t="s">
        <v>1835</v>
      </c>
      <c r="G2831" s="969" t="s">
        <v>1834</v>
      </c>
      <c r="H2831" s="969" t="s">
        <v>1833</v>
      </c>
      <c r="I2831" s="969" t="s">
        <v>1832</v>
      </c>
      <c r="J2831" s="969" t="s">
        <v>1785</v>
      </c>
      <c r="K2831" s="969" t="s">
        <v>1831</v>
      </c>
    </row>
    <row r="2832" spans="2:11" ht="16" hidden="1" outlineLevel="1">
      <c r="B2832" s="968" t="s">
        <v>1830</v>
      </c>
      <c r="C2832" s="967">
        <v>122000</v>
      </c>
      <c r="D2832" s="967" t="s">
        <v>2274</v>
      </c>
      <c r="E2832" s="974">
        <v>81898</v>
      </c>
      <c r="F2832" s="974">
        <v>10116804000</v>
      </c>
      <c r="G2832" s="974">
        <v>126500</v>
      </c>
      <c r="H2832" s="974">
        <v>127500</v>
      </c>
      <c r="I2832" s="974">
        <v>120500</v>
      </c>
      <c r="J2832" s="974">
        <v>1464000</v>
      </c>
      <c r="K2832" s="974">
        <v>12000000</v>
      </c>
    </row>
    <row r="2833" spans="2:11" ht="16" hidden="1" outlineLevel="1">
      <c r="B2833" s="968" t="s">
        <v>1828</v>
      </c>
      <c r="C2833" s="967">
        <v>125500</v>
      </c>
      <c r="D2833" s="967" t="s">
        <v>2278</v>
      </c>
      <c r="E2833" s="974">
        <v>54307</v>
      </c>
      <c r="F2833" s="974">
        <v>6896178000</v>
      </c>
      <c r="G2833" s="974">
        <v>129500</v>
      </c>
      <c r="H2833" s="974">
        <v>129500</v>
      </c>
      <c r="I2833" s="974">
        <v>125000</v>
      </c>
      <c r="J2833" s="974">
        <v>1506000</v>
      </c>
      <c r="K2833" s="974">
        <v>12000000</v>
      </c>
    </row>
    <row r="2834" spans="2:11" ht="16" hidden="1" outlineLevel="1">
      <c r="B2834" s="968" t="s">
        <v>1827</v>
      </c>
      <c r="C2834" s="967">
        <v>128500</v>
      </c>
      <c r="D2834" s="967" t="s">
        <v>2220</v>
      </c>
      <c r="E2834" s="974">
        <v>58874</v>
      </c>
      <c r="F2834" s="974">
        <v>7483958000</v>
      </c>
      <c r="G2834" s="974">
        <v>124500</v>
      </c>
      <c r="H2834" s="974">
        <v>129500</v>
      </c>
      <c r="I2834" s="974">
        <v>123500</v>
      </c>
      <c r="J2834" s="974">
        <v>1542000</v>
      </c>
      <c r="K2834" s="974">
        <v>12000000</v>
      </c>
    </row>
    <row r="2835" spans="2:11" ht="16" hidden="1" outlineLevel="1">
      <c r="B2835" s="968" t="s">
        <v>1825</v>
      </c>
      <c r="C2835" s="967">
        <v>126000</v>
      </c>
      <c r="D2835" s="967" t="s">
        <v>1814</v>
      </c>
      <c r="E2835" s="974">
        <v>32808</v>
      </c>
      <c r="F2835" s="974">
        <v>4170666000</v>
      </c>
      <c r="G2835" s="974">
        <v>127500</v>
      </c>
      <c r="H2835" s="974">
        <v>129000</v>
      </c>
      <c r="I2835" s="974">
        <v>125500</v>
      </c>
      <c r="J2835" s="974">
        <v>1512000</v>
      </c>
      <c r="K2835" s="974">
        <v>12000000</v>
      </c>
    </row>
    <row r="2836" spans="2:11" ht="16" hidden="1" outlineLevel="1">
      <c r="B2836" s="968" t="s">
        <v>1823</v>
      </c>
      <c r="C2836" s="967">
        <v>126500</v>
      </c>
      <c r="D2836" s="967" t="s">
        <v>2245</v>
      </c>
      <c r="E2836" s="974">
        <v>57225</v>
      </c>
      <c r="F2836" s="974">
        <v>7217283000</v>
      </c>
      <c r="G2836" s="974">
        <v>126500</v>
      </c>
      <c r="H2836" s="974">
        <v>127500</v>
      </c>
      <c r="I2836" s="974">
        <v>124000</v>
      </c>
      <c r="J2836" s="974">
        <v>1518000</v>
      </c>
      <c r="K2836" s="974">
        <v>12000000</v>
      </c>
    </row>
    <row r="2837" spans="2:11" ht="16" hidden="1" outlineLevel="1">
      <c r="B2837" s="968" t="s">
        <v>1821</v>
      </c>
      <c r="C2837" s="967">
        <v>125000</v>
      </c>
      <c r="D2837" s="967" t="s">
        <v>1814</v>
      </c>
      <c r="E2837" s="974">
        <v>35121</v>
      </c>
      <c r="F2837" s="974">
        <v>4421924500</v>
      </c>
      <c r="G2837" s="974">
        <v>128000</v>
      </c>
      <c r="H2837" s="974">
        <v>128000</v>
      </c>
      <c r="I2837" s="974">
        <v>124500</v>
      </c>
      <c r="J2837" s="974">
        <v>1500000</v>
      </c>
      <c r="K2837" s="974">
        <v>12000000</v>
      </c>
    </row>
    <row r="2838" spans="2:11" ht="16" hidden="1" outlineLevel="1">
      <c r="B2838" s="968" t="s">
        <v>1819</v>
      </c>
      <c r="C2838" s="967">
        <v>125500</v>
      </c>
      <c r="D2838" s="967" t="s">
        <v>1814</v>
      </c>
      <c r="E2838" s="974">
        <v>53402</v>
      </c>
      <c r="F2838" s="974">
        <v>6837170000</v>
      </c>
      <c r="G2838" s="974">
        <v>127500</v>
      </c>
      <c r="H2838" s="974">
        <v>130500</v>
      </c>
      <c r="I2838" s="974">
        <v>125500</v>
      </c>
      <c r="J2838" s="974">
        <v>1506000</v>
      </c>
      <c r="K2838" s="974">
        <v>12000000</v>
      </c>
    </row>
    <row r="2839" spans="2:11" ht="16" hidden="1" outlineLevel="1">
      <c r="B2839" s="968" t="s">
        <v>1817</v>
      </c>
      <c r="C2839" s="967">
        <v>126000</v>
      </c>
      <c r="D2839" s="967" t="s">
        <v>2244</v>
      </c>
      <c r="E2839" s="974">
        <v>53209</v>
      </c>
      <c r="F2839" s="974">
        <v>6673836500</v>
      </c>
      <c r="G2839" s="974">
        <v>128500</v>
      </c>
      <c r="H2839" s="974">
        <v>128500</v>
      </c>
      <c r="I2839" s="974">
        <v>123500</v>
      </c>
      <c r="J2839" s="974">
        <v>1512000</v>
      </c>
      <c r="K2839" s="974">
        <v>12000000</v>
      </c>
    </row>
    <row r="2840" spans="2:11" ht="16" hidden="1" outlineLevel="1">
      <c r="B2840" s="968" t="s">
        <v>1815</v>
      </c>
      <c r="C2840" s="967">
        <v>127500</v>
      </c>
      <c r="D2840" s="967" t="s">
        <v>2242</v>
      </c>
      <c r="E2840" s="974">
        <v>30099</v>
      </c>
      <c r="F2840" s="974">
        <v>3835869000</v>
      </c>
      <c r="G2840" s="974">
        <v>128000</v>
      </c>
      <c r="H2840" s="974">
        <v>128500</v>
      </c>
      <c r="I2840" s="974">
        <v>126500</v>
      </c>
      <c r="J2840" s="974">
        <v>1530000</v>
      </c>
      <c r="K2840" s="974">
        <v>12000000</v>
      </c>
    </row>
    <row r="2841" spans="2:11" ht="16" hidden="1" outlineLevel="1">
      <c r="B2841" s="968" t="s">
        <v>1813</v>
      </c>
      <c r="C2841" s="967">
        <v>129500</v>
      </c>
      <c r="D2841" s="967" t="s">
        <v>2236</v>
      </c>
      <c r="E2841" s="974">
        <v>69252</v>
      </c>
      <c r="F2841" s="974">
        <v>8923791000</v>
      </c>
      <c r="G2841" s="974">
        <v>130500</v>
      </c>
      <c r="H2841" s="974">
        <v>130500</v>
      </c>
      <c r="I2841" s="974">
        <v>128000</v>
      </c>
      <c r="J2841" s="974">
        <v>1554000</v>
      </c>
      <c r="K2841" s="974">
        <v>12000000</v>
      </c>
    </row>
    <row r="2842" spans="2:11" ht="16" hidden="1" outlineLevel="1">
      <c r="B2842" s="968" t="s">
        <v>1812</v>
      </c>
      <c r="C2842" s="967">
        <v>128500</v>
      </c>
      <c r="D2842" s="967" t="s">
        <v>2235</v>
      </c>
      <c r="E2842" s="974">
        <v>22928</v>
      </c>
      <c r="F2842" s="974">
        <v>2959754000</v>
      </c>
      <c r="G2842" s="974">
        <v>130500</v>
      </c>
      <c r="H2842" s="974">
        <v>131000</v>
      </c>
      <c r="I2842" s="974">
        <v>128000</v>
      </c>
      <c r="J2842" s="974">
        <v>1542000</v>
      </c>
      <c r="K2842" s="974">
        <v>12000000</v>
      </c>
    </row>
    <row r="2843" spans="2:11" ht="16" hidden="1" outlineLevel="1">
      <c r="B2843" s="968" t="s">
        <v>1810</v>
      </c>
      <c r="C2843" s="967">
        <v>131000</v>
      </c>
      <c r="D2843" s="967" t="s">
        <v>2277</v>
      </c>
      <c r="E2843" s="974">
        <v>69792</v>
      </c>
      <c r="F2843" s="974">
        <v>9045903500</v>
      </c>
      <c r="G2843" s="974">
        <v>129000</v>
      </c>
      <c r="H2843" s="974">
        <v>131500</v>
      </c>
      <c r="I2843" s="974">
        <v>128000</v>
      </c>
      <c r="J2843" s="974">
        <v>1572000</v>
      </c>
      <c r="K2843" s="974">
        <v>12000000</v>
      </c>
    </row>
    <row r="2844" spans="2:11" ht="16" hidden="1" outlineLevel="1">
      <c r="B2844" s="968" t="s">
        <v>1809</v>
      </c>
      <c r="C2844" s="967">
        <v>128000</v>
      </c>
      <c r="D2844" s="967" t="s">
        <v>2248</v>
      </c>
      <c r="E2844" s="974">
        <v>57989</v>
      </c>
      <c r="F2844" s="974">
        <v>7403207500</v>
      </c>
      <c r="G2844" s="974">
        <v>129000</v>
      </c>
      <c r="H2844" s="974">
        <v>130500</v>
      </c>
      <c r="I2844" s="974">
        <v>126500</v>
      </c>
      <c r="J2844" s="974">
        <v>1536000</v>
      </c>
      <c r="K2844" s="974">
        <v>12000000</v>
      </c>
    </row>
    <row r="2845" spans="2:11" ht="16" hidden="1" outlineLevel="1">
      <c r="B2845" s="968" t="s">
        <v>1807</v>
      </c>
      <c r="C2845" s="967">
        <v>129000</v>
      </c>
      <c r="D2845" s="967" t="s">
        <v>2221</v>
      </c>
      <c r="E2845" s="974">
        <v>59466</v>
      </c>
      <c r="F2845" s="974">
        <v>7669757000</v>
      </c>
      <c r="G2845" s="974">
        <v>131000</v>
      </c>
      <c r="H2845" s="974">
        <v>131000</v>
      </c>
      <c r="I2845" s="974">
        <v>127500</v>
      </c>
      <c r="J2845" s="974">
        <v>1548000</v>
      </c>
      <c r="K2845" s="974">
        <v>12000000</v>
      </c>
    </row>
    <row r="2846" spans="2:11" ht="16" hidden="1" outlineLevel="1">
      <c r="B2846" s="968" t="s">
        <v>1805</v>
      </c>
      <c r="C2846" s="967">
        <v>129000</v>
      </c>
      <c r="D2846" s="967" t="s">
        <v>2276</v>
      </c>
      <c r="E2846" s="974">
        <v>65482</v>
      </c>
      <c r="F2846" s="974">
        <v>8489774000</v>
      </c>
      <c r="G2846" s="974">
        <v>133000</v>
      </c>
      <c r="H2846" s="974">
        <v>134000</v>
      </c>
      <c r="I2846" s="974">
        <v>128000</v>
      </c>
      <c r="J2846" s="974">
        <v>1548000</v>
      </c>
      <c r="K2846" s="974">
        <v>12000000</v>
      </c>
    </row>
    <row r="2847" spans="2:11" ht="16" hidden="1" outlineLevel="1">
      <c r="B2847" s="968" t="s">
        <v>1803</v>
      </c>
      <c r="C2847" s="967">
        <v>133000</v>
      </c>
      <c r="D2847" s="967" t="s">
        <v>2275</v>
      </c>
      <c r="E2847" s="974">
        <v>71202</v>
      </c>
      <c r="F2847" s="974">
        <v>9646886500</v>
      </c>
      <c r="G2847" s="974">
        <v>138000</v>
      </c>
      <c r="H2847" s="974">
        <v>144000</v>
      </c>
      <c r="I2847" s="974">
        <v>133000</v>
      </c>
      <c r="J2847" s="974">
        <v>1596000</v>
      </c>
      <c r="K2847" s="974">
        <v>12000000</v>
      </c>
    </row>
    <row r="2848" spans="2:11" ht="16" hidden="1" outlineLevel="1">
      <c r="B2848" s="968" t="s">
        <v>1801</v>
      </c>
      <c r="C2848" s="967">
        <v>138000</v>
      </c>
      <c r="D2848" s="967" t="s">
        <v>2221</v>
      </c>
      <c r="E2848" s="974">
        <v>62938</v>
      </c>
      <c r="F2848" s="974">
        <v>8670062500</v>
      </c>
      <c r="G2848" s="974">
        <v>142000</v>
      </c>
      <c r="H2848" s="974">
        <v>142500</v>
      </c>
      <c r="I2848" s="974">
        <v>135500</v>
      </c>
      <c r="J2848" s="974">
        <v>1656000</v>
      </c>
      <c r="K2848" s="974">
        <v>12000000</v>
      </c>
    </row>
    <row r="2849" spans="2:11" ht="16" hidden="1" outlineLevel="1">
      <c r="B2849" s="968" t="s">
        <v>1799</v>
      </c>
      <c r="C2849" s="967">
        <v>138000</v>
      </c>
      <c r="D2849" s="967" t="s">
        <v>2220</v>
      </c>
      <c r="E2849" s="974">
        <v>63789</v>
      </c>
      <c r="F2849" s="974">
        <v>8777581000</v>
      </c>
      <c r="G2849" s="974">
        <v>133000</v>
      </c>
      <c r="H2849" s="974">
        <v>139000</v>
      </c>
      <c r="I2849" s="974">
        <v>133000</v>
      </c>
      <c r="J2849" s="974">
        <v>1656000</v>
      </c>
      <c r="K2849" s="974">
        <v>12000000</v>
      </c>
    </row>
    <row r="2850" spans="2:11" ht="16" hidden="1" outlineLevel="1">
      <c r="B2850" s="968" t="s">
        <v>1797</v>
      </c>
      <c r="C2850" s="967">
        <v>135500</v>
      </c>
      <c r="D2850" s="967" t="s">
        <v>2274</v>
      </c>
      <c r="E2850" s="974">
        <v>16863</v>
      </c>
      <c r="F2850" s="974">
        <v>2277359500</v>
      </c>
      <c r="G2850" s="974">
        <v>136000</v>
      </c>
      <c r="H2850" s="974">
        <v>136500</v>
      </c>
      <c r="I2850" s="974">
        <v>132500</v>
      </c>
      <c r="J2850" s="974">
        <v>1626000</v>
      </c>
      <c r="K2850" s="974">
        <v>12000000</v>
      </c>
    </row>
    <row r="2851" spans="2:11" ht="16" hidden="1" outlineLevel="1">
      <c r="B2851" s="968" t="s">
        <v>1795</v>
      </c>
      <c r="C2851" s="967">
        <v>139000</v>
      </c>
      <c r="D2851" s="967" t="s">
        <v>2273</v>
      </c>
      <c r="E2851" s="974">
        <v>42543</v>
      </c>
      <c r="F2851" s="974">
        <v>5859532500</v>
      </c>
      <c r="G2851" s="974">
        <v>134500</v>
      </c>
      <c r="H2851" s="974">
        <v>139000</v>
      </c>
      <c r="I2851" s="974">
        <v>134500</v>
      </c>
      <c r="J2851" s="974">
        <v>1668000</v>
      </c>
      <c r="K2851" s="974">
        <v>12000000</v>
      </c>
    </row>
    <row r="2852" spans="2:11" ht="16" hidden="1" outlineLevel="1">
      <c r="B2852" s="968" t="s">
        <v>1793</v>
      </c>
      <c r="C2852" s="967">
        <v>133500</v>
      </c>
      <c r="D2852" s="967" t="s">
        <v>2272</v>
      </c>
      <c r="E2852" s="974">
        <v>40148</v>
      </c>
      <c r="F2852" s="974">
        <v>5429755500</v>
      </c>
      <c r="G2852" s="974">
        <v>135500</v>
      </c>
      <c r="H2852" s="974">
        <v>138000</v>
      </c>
      <c r="I2852" s="974">
        <v>133000</v>
      </c>
      <c r="J2852" s="974">
        <v>1602000</v>
      </c>
      <c r="K2852" s="974">
        <v>12000000</v>
      </c>
    </row>
    <row r="2853" spans="2:11" ht="16" hidden="1" outlineLevel="1">
      <c r="B2853" s="968" t="s">
        <v>1791</v>
      </c>
      <c r="C2853" s="967">
        <v>138000</v>
      </c>
      <c r="D2853" s="967" t="s">
        <v>2242</v>
      </c>
      <c r="E2853" s="967">
        <v>60293</v>
      </c>
      <c r="F2853" s="967">
        <v>8248969000</v>
      </c>
      <c r="G2853" s="967">
        <v>140000</v>
      </c>
      <c r="H2853" s="967">
        <v>142000</v>
      </c>
      <c r="I2853" s="967">
        <v>134000</v>
      </c>
      <c r="J2853" s="967">
        <v>1656000</v>
      </c>
      <c r="K2853" s="967">
        <v>12000000</v>
      </c>
    </row>
    <row r="2854" spans="2:11" s="1258" customFormat="1" ht="16" hidden="1" outlineLevel="1">
      <c r="B2854" s="968" t="s">
        <v>2607</v>
      </c>
      <c r="C2854" s="967">
        <v>140000</v>
      </c>
      <c r="D2854" s="967" t="s">
        <v>2669</v>
      </c>
      <c r="E2854" s="967">
        <v>56600</v>
      </c>
      <c r="F2854" s="967">
        <v>7786988000</v>
      </c>
      <c r="G2854" s="967">
        <v>135500</v>
      </c>
      <c r="H2854" s="967">
        <v>140000</v>
      </c>
      <c r="I2854" s="967">
        <v>133000</v>
      </c>
      <c r="J2854" s="967">
        <v>1680000</v>
      </c>
      <c r="K2854" s="967">
        <v>12000000</v>
      </c>
    </row>
    <row r="2855" spans="2:11" s="1258" customFormat="1" ht="16" hidden="1" outlineLevel="1">
      <c r="B2855" s="968" t="s">
        <v>2605</v>
      </c>
      <c r="C2855" s="967">
        <v>134000</v>
      </c>
      <c r="D2855" s="967" t="s">
        <v>2220</v>
      </c>
      <c r="E2855" s="967">
        <v>29197</v>
      </c>
      <c r="F2855" s="967">
        <v>3894902500</v>
      </c>
      <c r="G2855" s="967">
        <v>131500</v>
      </c>
      <c r="H2855" s="967">
        <v>135500</v>
      </c>
      <c r="I2855" s="967">
        <v>130000</v>
      </c>
      <c r="J2855" s="967">
        <v>1608000</v>
      </c>
      <c r="K2855" s="967">
        <v>12000000</v>
      </c>
    </row>
    <row r="2856" spans="2:11" s="1258" customFormat="1" ht="16" hidden="1" outlineLevel="1">
      <c r="B2856" s="968" t="s">
        <v>2603</v>
      </c>
      <c r="C2856" s="967">
        <v>131500</v>
      </c>
      <c r="D2856" s="967" t="s">
        <v>1814</v>
      </c>
      <c r="E2856" s="967">
        <v>24463</v>
      </c>
      <c r="F2856" s="967">
        <v>3191501500</v>
      </c>
      <c r="G2856" s="967">
        <v>125500</v>
      </c>
      <c r="H2856" s="967">
        <v>132500</v>
      </c>
      <c r="I2856" s="967">
        <v>125500</v>
      </c>
      <c r="J2856" s="967">
        <v>1578000</v>
      </c>
      <c r="K2856" s="967">
        <v>12000000</v>
      </c>
    </row>
    <row r="2857" spans="2:11" s="1258" customFormat="1" ht="16" hidden="1" outlineLevel="1">
      <c r="B2857" s="968" t="s">
        <v>2601</v>
      </c>
      <c r="C2857" s="967">
        <v>132000</v>
      </c>
      <c r="D2857" s="967" t="s">
        <v>2242</v>
      </c>
      <c r="E2857" s="967">
        <v>24209</v>
      </c>
      <c r="F2857" s="967">
        <v>3162265000</v>
      </c>
      <c r="G2857" s="967">
        <v>132000</v>
      </c>
      <c r="H2857" s="967">
        <v>132500</v>
      </c>
      <c r="I2857" s="967">
        <v>128500</v>
      </c>
      <c r="J2857" s="967">
        <v>1584000</v>
      </c>
      <c r="K2857" s="967">
        <v>12000000</v>
      </c>
    </row>
    <row r="2858" spans="2:11" s="1258" customFormat="1" ht="16" hidden="1" outlineLevel="1">
      <c r="B2858" s="968" t="s">
        <v>2599</v>
      </c>
      <c r="C2858" s="967">
        <v>134000</v>
      </c>
      <c r="D2858" s="967" t="s">
        <v>1814</v>
      </c>
      <c r="E2858" s="967">
        <v>42794</v>
      </c>
      <c r="F2858" s="967">
        <v>5672532500</v>
      </c>
      <c r="G2858" s="967">
        <v>132000</v>
      </c>
      <c r="H2858" s="967">
        <v>135000</v>
      </c>
      <c r="I2858" s="967">
        <v>130000</v>
      </c>
      <c r="J2858" s="967">
        <v>1608000</v>
      </c>
      <c r="K2858" s="967">
        <v>12000000</v>
      </c>
    </row>
    <row r="2859" spans="2:11" s="1258" customFormat="1" ht="16" hidden="1" outlineLevel="1">
      <c r="B2859" s="968" t="s">
        <v>2598</v>
      </c>
      <c r="C2859" s="967">
        <v>134500</v>
      </c>
      <c r="D2859" s="967" t="s">
        <v>2277</v>
      </c>
      <c r="E2859" s="967">
        <v>28703</v>
      </c>
      <c r="F2859" s="967">
        <v>3825957500</v>
      </c>
      <c r="G2859" s="967">
        <v>131500</v>
      </c>
      <c r="H2859" s="967">
        <v>137000</v>
      </c>
      <c r="I2859" s="967">
        <v>130500</v>
      </c>
      <c r="J2859" s="967">
        <v>1614000</v>
      </c>
      <c r="K2859" s="967">
        <v>12000000</v>
      </c>
    </row>
    <row r="2860" spans="2:11" s="1258" customFormat="1" ht="16" hidden="1" outlineLevel="1">
      <c r="B2860" s="968" t="s">
        <v>2597</v>
      </c>
      <c r="C2860" s="967">
        <v>131500</v>
      </c>
      <c r="D2860" s="967" t="s">
        <v>2672</v>
      </c>
      <c r="E2860" s="967">
        <v>98141</v>
      </c>
      <c r="F2860" s="967">
        <v>13010416500</v>
      </c>
      <c r="G2860" s="967">
        <v>129500</v>
      </c>
      <c r="H2860" s="967">
        <v>134500</v>
      </c>
      <c r="I2860" s="967">
        <v>129000</v>
      </c>
      <c r="J2860" s="967">
        <v>1578000</v>
      </c>
      <c r="K2860" s="967">
        <v>12000000</v>
      </c>
    </row>
    <row r="2861" spans="2:11" s="1258" customFormat="1" ht="16" hidden="1" outlineLevel="1">
      <c r="B2861" s="968" t="s">
        <v>2596</v>
      </c>
      <c r="C2861" s="967">
        <v>128000</v>
      </c>
      <c r="D2861" s="967" t="s">
        <v>2666</v>
      </c>
      <c r="E2861" s="967">
        <v>78744</v>
      </c>
      <c r="F2861" s="967">
        <v>9837294000</v>
      </c>
      <c r="G2861" s="967">
        <v>125000</v>
      </c>
      <c r="H2861" s="967">
        <v>128000</v>
      </c>
      <c r="I2861" s="967">
        <v>121500</v>
      </c>
      <c r="J2861" s="967">
        <v>1536000</v>
      </c>
      <c r="K2861" s="967">
        <v>12000000</v>
      </c>
    </row>
    <row r="2862" spans="2:11" s="1258" customFormat="1" ht="16" hidden="1" outlineLevel="1">
      <c r="B2862" s="968" t="s">
        <v>2595</v>
      </c>
      <c r="C2862" s="967">
        <v>124000</v>
      </c>
      <c r="D2862" s="967" t="s">
        <v>2235</v>
      </c>
      <c r="E2862" s="967">
        <v>34412</v>
      </c>
      <c r="F2862" s="967">
        <v>4320364500</v>
      </c>
      <c r="G2862" s="967">
        <v>129500</v>
      </c>
      <c r="H2862" s="967">
        <v>129500</v>
      </c>
      <c r="I2862" s="967">
        <v>122000</v>
      </c>
      <c r="J2862" s="967">
        <v>1488000</v>
      </c>
      <c r="K2862" s="967">
        <v>12000000</v>
      </c>
    </row>
    <row r="2863" spans="2:11" s="1258" customFormat="1" ht="16" hidden="1" outlineLevel="1">
      <c r="B2863" s="968" t="s">
        <v>2594</v>
      </c>
      <c r="C2863" s="967">
        <v>126500</v>
      </c>
      <c r="D2863" s="967" t="s">
        <v>2276</v>
      </c>
      <c r="E2863" s="967">
        <v>43184</v>
      </c>
      <c r="F2863" s="967">
        <v>5538610500</v>
      </c>
      <c r="G2863" s="967">
        <v>130500</v>
      </c>
      <c r="H2863" s="967">
        <v>130500</v>
      </c>
      <c r="I2863" s="967">
        <v>125000</v>
      </c>
      <c r="J2863" s="967">
        <v>1518000</v>
      </c>
      <c r="K2863" s="967">
        <v>12000000</v>
      </c>
    </row>
    <row r="2864" spans="2:11" s="1258" customFormat="1" ht="16" hidden="1" outlineLevel="1">
      <c r="B2864" s="968" t="s">
        <v>2592</v>
      </c>
      <c r="C2864" s="967">
        <v>130500</v>
      </c>
      <c r="D2864" s="967" t="s">
        <v>2220</v>
      </c>
      <c r="E2864" s="967">
        <v>37282</v>
      </c>
      <c r="F2864" s="967">
        <v>4809544000</v>
      </c>
      <c r="G2864" s="967">
        <v>127000</v>
      </c>
      <c r="H2864" s="967">
        <v>131500</v>
      </c>
      <c r="I2864" s="967">
        <v>127000</v>
      </c>
      <c r="J2864" s="967">
        <v>1566000</v>
      </c>
      <c r="K2864" s="967">
        <v>12000000</v>
      </c>
    </row>
    <row r="2865" spans="2:11" s="1258" customFormat="1" ht="16" hidden="1" outlineLevel="1">
      <c r="B2865" s="968" t="s">
        <v>2591</v>
      </c>
      <c r="C2865" s="967">
        <v>128000</v>
      </c>
      <c r="D2865" s="967" t="s">
        <v>2671</v>
      </c>
      <c r="E2865" s="967">
        <v>39815</v>
      </c>
      <c r="F2865" s="967">
        <v>5182035500</v>
      </c>
      <c r="G2865" s="967">
        <v>135000</v>
      </c>
      <c r="H2865" s="967">
        <v>135500</v>
      </c>
      <c r="I2865" s="967">
        <v>128000</v>
      </c>
      <c r="J2865" s="967">
        <v>1536000</v>
      </c>
      <c r="K2865" s="967">
        <v>12000000</v>
      </c>
    </row>
    <row r="2866" spans="2:11" s="1258" customFormat="1" ht="16" hidden="1" outlineLevel="1">
      <c r="B2866" s="968" t="s">
        <v>2590</v>
      </c>
      <c r="C2866" s="967">
        <v>134500</v>
      </c>
      <c r="D2866" s="967" t="s">
        <v>2220</v>
      </c>
      <c r="E2866" s="967">
        <v>38019</v>
      </c>
      <c r="F2866" s="967">
        <v>5037671500</v>
      </c>
      <c r="G2866" s="967">
        <v>132000</v>
      </c>
      <c r="H2866" s="967">
        <v>134500</v>
      </c>
      <c r="I2866" s="967">
        <v>129500</v>
      </c>
      <c r="J2866" s="967">
        <v>1614000</v>
      </c>
      <c r="K2866" s="967">
        <v>12000000</v>
      </c>
    </row>
    <row r="2867" spans="2:11" s="1258" customFormat="1" ht="16" hidden="1" outlineLevel="1">
      <c r="B2867" s="968" t="s">
        <v>2589</v>
      </c>
      <c r="C2867" s="967">
        <v>132000</v>
      </c>
      <c r="D2867" s="967" t="s">
        <v>2244</v>
      </c>
      <c r="E2867" s="967">
        <v>50250</v>
      </c>
      <c r="F2867" s="967">
        <v>6529016000</v>
      </c>
      <c r="G2867" s="967">
        <v>133500</v>
      </c>
      <c r="H2867" s="967">
        <v>134500</v>
      </c>
      <c r="I2867" s="967">
        <v>127000</v>
      </c>
      <c r="J2867" s="967">
        <v>1584000</v>
      </c>
      <c r="K2867" s="967">
        <v>12000000</v>
      </c>
    </row>
    <row r="2868" spans="2:11" s="1258" customFormat="1" ht="16" hidden="1" outlineLevel="1">
      <c r="B2868" s="968" t="s">
        <v>2588</v>
      </c>
      <c r="C2868" s="967">
        <v>133500</v>
      </c>
      <c r="D2868" s="967" t="s">
        <v>2242</v>
      </c>
      <c r="E2868" s="967">
        <v>33853</v>
      </c>
      <c r="F2868" s="967">
        <v>4568725500</v>
      </c>
      <c r="G2868" s="967">
        <v>133500</v>
      </c>
      <c r="H2868" s="967">
        <v>137000</v>
      </c>
      <c r="I2868" s="967">
        <v>132000</v>
      </c>
      <c r="J2868" s="967">
        <v>1602000</v>
      </c>
      <c r="K2868" s="967">
        <v>12000000</v>
      </c>
    </row>
    <row r="2869" spans="2:11" s="1258" customFormat="1" ht="16" hidden="1" outlineLevel="1">
      <c r="B2869" s="968" t="s">
        <v>2587</v>
      </c>
      <c r="C2869" s="967">
        <v>135500</v>
      </c>
      <c r="D2869" s="967" t="s">
        <v>2673</v>
      </c>
      <c r="E2869" s="967">
        <v>85734</v>
      </c>
      <c r="F2869" s="967">
        <v>11340844000</v>
      </c>
      <c r="G2869" s="967">
        <v>128000</v>
      </c>
      <c r="H2869" s="967">
        <v>136000</v>
      </c>
      <c r="I2869" s="967">
        <v>127000</v>
      </c>
      <c r="J2869" s="967">
        <v>1626000</v>
      </c>
      <c r="K2869" s="967">
        <v>12000000</v>
      </c>
    </row>
    <row r="2870" spans="2:11" s="1258" customFormat="1" ht="16" hidden="1" outlineLevel="1">
      <c r="B2870" s="968" t="s">
        <v>2586</v>
      </c>
      <c r="C2870" s="967">
        <v>129000</v>
      </c>
      <c r="D2870" s="967" t="s">
        <v>2236</v>
      </c>
      <c r="E2870" s="967">
        <v>82951</v>
      </c>
      <c r="F2870" s="967">
        <v>10814511000</v>
      </c>
      <c r="G2870" s="967">
        <v>129000</v>
      </c>
      <c r="H2870" s="967">
        <v>132000</v>
      </c>
      <c r="I2870" s="967">
        <v>129000</v>
      </c>
      <c r="J2870" s="967">
        <v>1548000</v>
      </c>
      <c r="K2870" s="967">
        <v>12000000</v>
      </c>
    </row>
    <row r="2871" spans="2:11" s="1258" customFormat="1" ht="16" hidden="1" outlineLevel="1">
      <c r="B2871" s="968" t="s">
        <v>2584</v>
      </c>
      <c r="C2871" s="967">
        <v>128000</v>
      </c>
      <c r="D2871" s="967" t="s">
        <v>2245</v>
      </c>
      <c r="E2871" s="967">
        <v>86135</v>
      </c>
      <c r="F2871" s="967">
        <v>11088787500</v>
      </c>
      <c r="G2871" s="967">
        <v>127000</v>
      </c>
      <c r="H2871" s="967">
        <v>130500</v>
      </c>
      <c r="I2871" s="967">
        <v>126500</v>
      </c>
      <c r="J2871" s="967">
        <v>1536000</v>
      </c>
      <c r="K2871" s="967">
        <v>12000000</v>
      </c>
    </row>
    <row r="2872" spans="2:11" s="1258" customFormat="1" ht="16" hidden="1" outlineLevel="1">
      <c r="B2872" s="968" t="s">
        <v>2583</v>
      </c>
      <c r="C2872" s="967">
        <v>126500</v>
      </c>
      <c r="D2872" s="967" t="s">
        <v>2672</v>
      </c>
      <c r="E2872" s="967">
        <v>106281</v>
      </c>
      <c r="F2872" s="967">
        <v>13340135000</v>
      </c>
      <c r="G2872" s="967">
        <v>124500</v>
      </c>
      <c r="H2872" s="967">
        <v>127500</v>
      </c>
      <c r="I2872" s="967">
        <v>123500</v>
      </c>
      <c r="J2872" s="967">
        <v>1518000</v>
      </c>
      <c r="K2872" s="967">
        <v>12000000</v>
      </c>
    </row>
    <row r="2873" spans="2:11" s="1258" customFormat="1" ht="16" hidden="1" outlineLevel="1">
      <c r="B2873" s="968" t="s">
        <v>2582</v>
      </c>
      <c r="C2873" s="967">
        <v>123000</v>
      </c>
      <c r="D2873" s="967" t="s">
        <v>2278</v>
      </c>
      <c r="E2873" s="967">
        <v>129739</v>
      </c>
      <c r="F2873" s="967">
        <v>16179492500</v>
      </c>
      <c r="G2873" s="967">
        <v>125500</v>
      </c>
      <c r="H2873" s="967">
        <v>132000</v>
      </c>
      <c r="I2873" s="967">
        <v>122500</v>
      </c>
      <c r="J2873" s="967">
        <v>1476000</v>
      </c>
      <c r="K2873" s="967">
        <v>12000000</v>
      </c>
    </row>
    <row r="2874" spans="2:11" s="1258" customFormat="1" ht="16" hidden="1" outlineLevel="1">
      <c r="B2874" s="968" t="s">
        <v>2581</v>
      </c>
      <c r="C2874" s="967">
        <v>126000</v>
      </c>
      <c r="D2874" s="967" t="s">
        <v>2244</v>
      </c>
      <c r="E2874" s="967">
        <v>75784</v>
      </c>
      <c r="F2874" s="967">
        <v>9405061000</v>
      </c>
      <c r="G2874" s="967">
        <v>127500</v>
      </c>
      <c r="H2874" s="967">
        <v>129500</v>
      </c>
      <c r="I2874" s="967">
        <v>119500</v>
      </c>
      <c r="J2874" s="967">
        <v>1512000</v>
      </c>
      <c r="K2874" s="967">
        <v>12000000</v>
      </c>
    </row>
    <row r="2875" spans="2:11" s="1258" customFormat="1" ht="16" hidden="1" outlineLevel="1">
      <c r="B2875" s="968" t="s">
        <v>2580</v>
      </c>
      <c r="C2875" s="967">
        <v>127500</v>
      </c>
      <c r="D2875" s="967" t="s">
        <v>2676</v>
      </c>
      <c r="E2875" s="967">
        <v>73425</v>
      </c>
      <c r="F2875" s="967">
        <v>9566047000</v>
      </c>
      <c r="G2875" s="967">
        <v>135000</v>
      </c>
      <c r="H2875" s="967">
        <v>136500</v>
      </c>
      <c r="I2875" s="967">
        <v>127000</v>
      </c>
      <c r="J2875" s="967">
        <v>1530000</v>
      </c>
      <c r="K2875" s="967">
        <v>12000000</v>
      </c>
    </row>
    <row r="2876" spans="2:11" s="1258" customFormat="1" ht="16" hidden="1" outlineLevel="1">
      <c r="B2876" s="968" t="s">
        <v>2578</v>
      </c>
      <c r="C2876" s="967">
        <v>135000</v>
      </c>
      <c r="D2876" s="967" t="s">
        <v>2275</v>
      </c>
      <c r="E2876" s="967">
        <v>31679</v>
      </c>
      <c r="F2876" s="967">
        <v>4385206500</v>
      </c>
      <c r="G2876" s="967">
        <v>140000</v>
      </c>
      <c r="H2876" s="967">
        <v>143000</v>
      </c>
      <c r="I2876" s="967">
        <v>135000</v>
      </c>
      <c r="J2876" s="967">
        <v>1620000</v>
      </c>
      <c r="K2876" s="967">
        <v>12000000</v>
      </c>
    </row>
    <row r="2877" spans="2:11" s="1258" customFormat="1" ht="16" hidden="1" outlineLevel="1">
      <c r="B2877" s="968" t="s">
        <v>2577</v>
      </c>
      <c r="C2877" s="967">
        <v>140000</v>
      </c>
      <c r="D2877" s="967" t="s">
        <v>2675</v>
      </c>
      <c r="E2877" s="967">
        <v>58836</v>
      </c>
      <c r="F2877" s="967">
        <v>7840550000</v>
      </c>
      <c r="G2877" s="967">
        <v>133500</v>
      </c>
      <c r="H2877" s="967">
        <v>141000</v>
      </c>
      <c r="I2877" s="967">
        <v>127000</v>
      </c>
      <c r="J2877" s="967">
        <v>1680000</v>
      </c>
      <c r="K2877" s="967">
        <v>12000000</v>
      </c>
    </row>
    <row r="2878" spans="2:11" s="1258" customFormat="1" ht="16" hidden="1" outlineLevel="1">
      <c r="B2878" s="968" t="s">
        <v>2576</v>
      </c>
      <c r="C2878" s="967">
        <v>132000</v>
      </c>
      <c r="D2878" s="967" t="s">
        <v>2278</v>
      </c>
      <c r="E2878" s="967">
        <v>71278</v>
      </c>
      <c r="F2878" s="967">
        <v>9123866500</v>
      </c>
      <c r="G2878" s="967">
        <v>134000</v>
      </c>
      <c r="H2878" s="967">
        <v>134000</v>
      </c>
      <c r="I2878" s="967">
        <v>122000</v>
      </c>
      <c r="J2878" s="967">
        <v>1584000</v>
      </c>
      <c r="K2878" s="967">
        <v>12000000</v>
      </c>
    </row>
    <row r="2879" spans="2:11" s="1258" customFormat="1" ht="16" hidden="1" outlineLevel="1">
      <c r="B2879" s="968" t="s">
        <v>2575</v>
      </c>
      <c r="C2879" s="967">
        <v>135000</v>
      </c>
      <c r="D2879" s="967" t="s">
        <v>2671</v>
      </c>
      <c r="E2879" s="967">
        <v>70502</v>
      </c>
      <c r="F2879" s="967">
        <v>9529864500</v>
      </c>
      <c r="G2879" s="967">
        <v>136000</v>
      </c>
      <c r="H2879" s="967">
        <v>139500</v>
      </c>
      <c r="I2879" s="967">
        <v>130000</v>
      </c>
      <c r="J2879" s="967">
        <v>1620000</v>
      </c>
      <c r="K2879" s="967">
        <v>12000000</v>
      </c>
    </row>
    <row r="2880" spans="2:11" s="1258" customFormat="1" ht="16" hidden="1" outlineLevel="1">
      <c r="B2880" s="968" t="s">
        <v>2574</v>
      </c>
      <c r="C2880" s="967">
        <v>141500</v>
      </c>
      <c r="D2880" s="967" t="s">
        <v>1814</v>
      </c>
      <c r="E2880" s="967">
        <v>78283</v>
      </c>
      <c r="F2880" s="967">
        <v>11186227000</v>
      </c>
      <c r="G2880" s="967">
        <v>143500</v>
      </c>
      <c r="H2880" s="967">
        <v>145000</v>
      </c>
      <c r="I2880" s="967">
        <v>140500</v>
      </c>
      <c r="J2880" s="967">
        <v>1698000</v>
      </c>
      <c r="K2880" s="967">
        <v>12000000</v>
      </c>
    </row>
    <row r="2881" spans="2:11" s="1258" customFormat="1" ht="16" hidden="1" outlineLevel="1">
      <c r="B2881" s="968" t="s">
        <v>2572</v>
      </c>
      <c r="C2881" s="967">
        <v>142000</v>
      </c>
      <c r="D2881" s="967" t="s">
        <v>2235</v>
      </c>
      <c r="E2881" s="967">
        <v>44136</v>
      </c>
      <c r="F2881" s="967">
        <v>6298232000</v>
      </c>
      <c r="G2881" s="967">
        <v>144500</v>
      </c>
      <c r="H2881" s="967">
        <v>146000</v>
      </c>
      <c r="I2881" s="967">
        <v>141000</v>
      </c>
      <c r="J2881" s="967">
        <v>1704000</v>
      </c>
      <c r="K2881" s="967">
        <v>12000000</v>
      </c>
    </row>
    <row r="2882" spans="2:11" s="1258" customFormat="1" ht="16" hidden="1" outlineLevel="1">
      <c r="B2882" s="968" t="s">
        <v>2571</v>
      </c>
      <c r="C2882" s="967">
        <v>144500</v>
      </c>
      <c r="D2882" s="967" t="s">
        <v>2248</v>
      </c>
      <c r="E2882" s="967">
        <v>55541</v>
      </c>
      <c r="F2882" s="967">
        <v>8001342000</v>
      </c>
      <c r="G2882" s="967">
        <v>147000</v>
      </c>
      <c r="H2882" s="967">
        <v>149500</v>
      </c>
      <c r="I2882" s="967">
        <v>142000</v>
      </c>
      <c r="J2882" s="967">
        <v>1734000</v>
      </c>
      <c r="K2882" s="967">
        <v>12000000</v>
      </c>
    </row>
    <row r="2883" spans="2:11" s="1258" customFormat="1" ht="16" hidden="1" outlineLevel="1">
      <c r="B2883" s="968" t="s">
        <v>2569</v>
      </c>
      <c r="C2883" s="967">
        <v>145500</v>
      </c>
      <c r="D2883" s="967" t="s">
        <v>2236</v>
      </c>
      <c r="E2883" s="967">
        <v>52321</v>
      </c>
      <c r="F2883" s="967">
        <v>7556189390</v>
      </c>
      <c r="G2883" s="967">
        <v>145500</v>
      </c>
      <c r="H2883" s="967">
        <v>148000</v>
      </c>
      <c r="I2883" s="967">
        <v>142500</v>
      </c>
      <c r="J2883" s="967">
        <v>1746000</v>
      </c>
      <c r="K2883" s="967">
        <v>12000000</v>
      </c>
    </row>
    <row r="2884" spans="2:11" s="1258" customFormat="1" ht="16" hidden="1" outlineLevel="1">
      <c r="B2884" s="968" t="s">
        <v>2567</v>
      </c>
      <c r="C2884" s="967">
        <v>144500</v>
      </c>
      <c r="D2884" s="967" t="s">
        <v>1814</v>
      </c>
      <c r="E2884" s="967">
        <v>82930</v>
      </c>
      <c r="F2884" s="967">
        <v>11864290500</v>
      </c>
      <c r="G2884" s="967">
        <v>135000</v>
      </c>
      <c r="H2884" s="967">
        <v>145500</v>
      </c>
      <c r="I2884" s="967">
        <v>135000</v>
      </c>
      <c r="J2884" s="967">
        <v>1734000</v>
      </c>
      <c r="K2884" s="967">
        <v>12000000</v>
      </c>
    </row>
    <row r="2885" spans="2:11" s="1258" customFormat="1" ht="16" hidden="1" outlineLevel="1">
      <c r="B2885" s="968" t="s">
        <v>2566</v>
      </c>
      <c r="C2885" s="967">
        <v>145000</v>
      </c>
      <c r="D2885" s="967" t="s">
        <v>2272</v>
      </c>
      <c r="E2885" s="967">
        <v>67238</v>
      </c>
      <c r="F2885" s="967">
        <v>9743659000</v>
      </c>
      <c r="G2885" s="967">
        <v>151000</v>
      </c>
      <c r="H2885" s="967">
        <v>153500</v>
      </c>
      <c r="I2885" s="967">
        <v>140500</v>
      </c>
      <c r="J2885" s="967">
        <v>1740000</v>
      </c>
      <c r="K2885" s="967">
        <v>12000000</v>
      </c>
    </row>
    <row r="2886" spans="2:11" s="1258" customFormat="1" ht="16" hidden="1" outlineLevel="1">
      <c r="B2886" s="968" t="s">
        <v>2564</v>
      </c>
      <c r="C2886" s="967">
        <v>149500</v>
      </c>
      <c r="D2886" s="967" t="s">
        <v>2221</v>
      </c>
      <c r="E2886" s="967">
        <v>47273</v>
      </c>
      <c r="F2886" s="967">
        <v>6632489000</v>
      </c>
      <c r="G2886" s="967">
        <v>147000</v>
      </c>
      <c r="H2886" s="967">
        <v>150000</v>
      </c>
      <c r="I2886" s="967">
        <v>130500</v>
      </c>
      <c r="J2886" s="967">
        <v>1794000</v>
      </c>
      <c r="K2886" s="967">
        <v>12000000</v>
      </c>
    </row>
    <row r="2887" spans="2:11" s="1258" customFormat="1" ht="16" hidden="1" outlineLevel="1">
      <c r="B2887" s="968" t="s">
        <v>2563</v>
      </c>
      <c r="C2887" s="967">
        <v>149500</v>
      </c>
      <c r="D2887" s="967" t="s">
        <v>2275</v>
      </c>
      <c r="E2887" s="967">
        <v>70562</v>
      </c>
      <c r="F2887" s="967">
        <v>10555161500</v>
      </c>
      <c r="G2887" s="967">
        <v>151000</v>
      </c>
      <c r="H2887" s="967">
        <v>154000</v>
      </c>
      <c r="I2887" s="967">
        <v>146000</v>
      </c>
      <c r="J2887" s="967">
        <v>1794000</v>
      </c>
      <c r="K2887" s="967">
        <v>12000000</v>
      </c>
    </row>
    <row r="2888" spans="2:11" s="1258" customFormat="1" ht="16" hidden="1" outlineLevel="1">
      <c r="B2888" s="968" t="s">
        <v>2562</v>
      </c>
      <c r="C2888" s="967">
        <v>154500</v>
      </c>
      <c r="D2888" s="967" t="s">
        <v>2244</v>
      </c>
      <c r="E2888" s="967">
        <v>81330</v>
      </c>
      <c r="F2888" s="967">
        <v>12346927000</v>
      </c>
      <c r="G2888" s="967">
        <v>145500</v>
      </c>
      <c r="H2888" s="967">
        <v>158000</v>
      </c>
      <c r="I2888" s="967">
        <v>140500</v>
      </c>
      <c r="J2888" s="967">
        <v>1854000</v>
      </c>
      <c r="K2888" s="967">
        <v>12000000</v>
      </c>
    </row>
    <row r="2889" spans="2:11" s="1258" customFormat="1" ht="16" hidden="1" outlineLevel="1">
      <c r="B2889" s="968" t="s">
        <v>2561</v>
      </c>
      <c r="C2889" s="967">
        <v>156000</v>
      </c>
      <c r="D2889" s="967" t="s">
        <v>2220</v>
      </c>
      <c r="E2889" s="967">
        <v>32757</v>
      </c>
      <c r="F2889" s="967">
        <v>5124028500</v>
      </c>
      <c r="G2889" s="967">
        <v>156000</v>
      </c>
      <c r="H2889" s="967">
        <v>158000</v>
      </c>
      <c r="I2889" s="967">
        <v>153500</v>
      </c>
      <c r="J2889" s="967">
        <v>1872000</v>
      </c>
      <c r="K2889" s="967">
        <v>12000000</v>
      </c>
    </row>
    <row r="2890" spans="2:11" s="1258" customFormat="1" ht="16" hidden="1" outlineLevel="1">
      <c r="B2890" s="968" t="s">
        <v>2560</v>
      </c>
      <c r="C2890" s="967">
        <v>153500</v>
      </c>
      <c r="D2890" s="967" t="s">
        <v>2221</v>
      </c>
      <c r="E2890" s="967">
        <v>79899</v>
      </c>
      <c r="F2890" s="967">
        <v>12332598500</v>
      </c>
      <c r="G2890" s="967">
        <v>154000</v>
      </c>
      <c r="H2890" s="967">
        <v>155500</v>
      </c>
      <c r="I2890" s="967">
        <v>151500</v>
      </c>
      <c r="J2890" s="967">
        <v>1842000</v>
      </c>
      <c r="K2890" s="967">
        <v>12000000</v>
      </c>
    </row>
    <row r="2891" spans="2:11" s="1258" customFormat="1" ht="16" hidden="1" outlineLevel="1">
      <c r="B2891" s="968" t="s">
        <v>2559</v>
      </c>
      <c r="C2891" s="967">
        <v>153500</v>
      </c>
      <c r="D2891" s="967" t="s">
        <v>2248</v>
      </c>
      <c r="E2891" s="967">
        <v>51221</v>
      </c>
      <c r="F2891" s="967">
        <v>7893681000</v>
      </c>
      <c r="G2891" s="967">
        <v>155500</v>
      </c>
      <c r="H2891" s="967">
        <v>157000</v>
      </c>
      <c r="I2891" s="967">
        <v>151500</v>
      </c>
      <c r="J2891" s="967">
        <v>1842000</v>
      </c>
      <c r="K2891" s="967">
        <v>12000000</v>
      </c>
    </row>
    <row r="2892" spans="2:11" s="1258" customFormat="1" ht="16" hidden="1" outlineLevel="1">
      <c r="B2892" s="968" t="s">
        <v>2557</v>
      </c>
      <c r="C2892" s="967">
        <v>154500</v>
      </c>
      <c r="D2892" s="967" t="s">
        <v>2669</v>
      </c>
      <c r="E2892" s="967">
        <v>57250</v>
      </c>
      <c r="F2892" s="967">
        <v>8641896000</v>
      </c>
      <c r="G2892" s="967">
        <v>148500</v>
      </c>
      <c r="H2892" s="967">
        <v>154500</v>
      </c>
      <c r="I2892" s="967">
        <v>146500</v>
      </c>
      <c r="J2892" s="967">
        <v>1854000</v>
      </c>
      <c r="K2892" s="967">
        <v>12000000</v>
      </c>
    </row>
    <row r="2893" spans="2:11" s="1258" customFormat="1" ht="16" hidden="1" outlineLevel="1">
      <c r="B2893" s="968" t="s">
        <v>2555</v>
      </c>
      <c r="C2893" s="967">
        <v>148500</v>
      </c>
      <c r="D2893" s="967" t="s">
        <v>1814</v>
      </c>
      <c r="E2893" s="967">
        <v>46080</v>
      </c>
      <c r="F2893" s="967">
        <v>6818206500</v>
      </c>
      <c r="G2893" s="967">
        <v>149000</v>
      </c>
      <c r="H2893" s="967">
        <v>150000</v>
      </c>
      <c r="I2893" s="967">
        <v>145500</v>
      </c>
      <c r="J2893" s="967">
        <v>1782000</v>
      </c>
      <c r="K2893" s="967">
        <v>12000000</v>
      </c>
    </row>
    <row r="2894" spans="2:11" s="1258" customFormat="1" ht="16" hidden="1" outlineLevel="1">
      <c r="B2894" s="968" t="s">
        <v>2554</v>
      </c>
      <c r="C2894" s="967">
        <v>149000</v>
      </c>
      <c r="D2894" s="967" t="s">
        <v>2248</v>
      </c>
      <c r="E2894" s="967">
        <v>89016</v>
      </c>
      <c r="F2894" s="967">
        <v>13241940500</v>
      </c>
      <c r="G2894" s="967">
        <v>148000</v>
      </c>
      <c r="H2894" s="967">
        <v>150500</v>
      </c>
      <c r="I2894" s="967">
        <v>146000</v>
      </c>
      <c r="J2894" s="967">
        <v>1788000</v>
      </c>
      <c r="K2894" s="967">
        <v>12000000</v>
      </c>
    </row>
    <row r="2895" spans="2:11" s="1258" customFormat="1" ht="16" hidden="1" outlineLevel="1">
      <c r="B2895" s="968" t="s">
        <v>2552</v>
      </c>
      <c r="C2895" s="967">
        <v>150000</v>
      </c>
      <c r="D2895" s="967" t="s">
        <v>2669</v>
      </c>
      <c r="E2895" s="967">
        <v>110770</v>
      </c>
      <c r="F2895" s="967">
        <v>16489515500</v>
      </c>
      <c r="G2895" s="967">
        <v>145000</v>
      </c>
      <c r="H2895" s="967">
        <v>151000</v>
      </c>
      <c r="I2895" s="967">
        <v>145000</v>
      </c>
      <c r="J2895" s="967">
        <v>1800000</v>
      </c>
      <c r="K2895" s="967">
        <v>12000000</v>
      </c>
    </row>
    <row r="2896" spans="2:11" s="1258" customFormat="1" ht="16" hidden="1" outlineLevel="1">
      <c r="B2896" s="968" t="s">
        <v>2550</v>
      </c>
      <c r="C2896" s="967">
        <v>144000</v>
      </c>
      <c r="D2896" s="967" t="s">
        <v>2221</v>
      </c>
      <c r="E2896" s="967">
        <v>75648</v>
      </c>
      <c r="F2896" s="967">
        <v>10747662000</v>
      </c>
      <c r="G2896" s="967">
        <v>144000</v>
      </c>
      <c r="H2896" s="967">
        <v>145000</v>
      </c>
      <c r="I2896" s="967">
        <v>140000</v>
      </c>
      <c r="J2896" s="967">
        <v>1728000</v>
      </c>
      <c r="K2896" s="967">
        <v>12000000</v>
      </c>
    </row>
    <row r="2897" spans="2:11" s="1258" customFormat="1" ht="16" hidden="1" outlineLevel="1">
      <c r="B2897" s="968" t="s">
        <v>2549</v>
      </c>
      <c r="C2897" s="967">
        <v>144000</v>
      </c>
      <c r="D2897" s="967" t="s">
        <v>2221</v>
      </c>
      <c r="E2897" s="967">
        <v>35396</v>
      </c>
      <c r="F2897" s="967">
        <v>5117646000</v>
      </c>
      <c r="G2897" s="967">
        <v>142000</v>
      </c>
      <c r="H2897" s="967">
        <v>146000</v>
      </c>
      <c r="I2897" s="967">
        <v>142000</v>
      </c>
      <c r="J2897" s="967">
        <v>1728000</v>
      </c>
      <c r="K2897" s="967">
        <v>12000000</v>
      </c>
    </row>
    <row r="2898" spans="2:11" s="1258" customFormat="1" ht="16" hidden="1" outlineLevel="1">
      <c r="B2898" s="968" t="s">
        <v>2548</v>
      </c>
      <c r="C2898" s="967">
        <v>144000</v>
      </c>
      <c r="D2898" s="967" t="s">
        <v>1814</v>
      </c>
      <c r="E2898" s="967">
        <v>88271</v>
      </c>
      <c r="F2898" s="967">
        <v>12462982000</v>
      </c>
      <c r="G2898" s="967">
        <v>146000</v>
      </c>
      <c r="H2898" s="967">
        <v>146000</v>
      </c>
      <c r="I2898" s="967">
        <v>139000</v>
      </c>
      <c r="J2898" s="967">
        <v>1728000</v>
      </c>
      <c r="K2898" s="967">
        <v>12000000</v>
      </c>
    </row>
    <row r="2899" spans="2:11" s="1258" customFormat="1" ht="16" hidden="1" outlineLevel="1">
      <c r="B2899" s="968" t="s">
        <v>2546</v>
      </c>
      <c r="C2899" s="967">
        <v>144500</v>
      </c>
      <c r="D2899" s="967" t="s">
        <v>2236</v>
      </c>
      <c r="E2899" s="967">
        <v>55836</v>
      </c>
      <c r="F2899" s="967">
        <v>7971124500</v>
      </c>
      <c r="G2899" s="967">
        <v>142500</v>
      </c>
      <c r="H2899" s="967">
        <v>145000</v>
      </c>
      <c r="I2899" s="967">
        <v>141000</v>
      </c>
      <c r="J2899" s="967">
        <v>1734000</v>
      </c>
      <c r="K2899" s="967">
        <v>12000000</v>
      </c>
    </row>
    <row r="2900" spans="2:11" s="1258" customFormat="1" ht="16" hidden="1" outlineLevel="1">
      <c r="B2900" s="968" t="s">
        <v>2545</v>
      </c>
      <c r="C2900" s="967">
        <v>143500</v>
      </c>
      <c r="D2900" s="967" t="s">
        <v>2669</v>
      </c>
      <c r="E2900" s="967">
        <v>71067</v>
      </c>
      <c r="F2900" s="967">
        <v>10136871500</v>
      </c>
      <c r="G2900" s="967">
        <v>139000</v>
      </c>
      <c r="H2900" s="967">
        <v>145500</v>
      </c>
      <c r="I2900" s="967">
        <v>139000</v>
      </c>
      <c r="J2900" s="967">
        <v>1722000</v>
      </c>
      <c r="K2900" s="967">
        <v>12000000</v>
      </c>
    </row>
    <row r="2901" spans="2:11" s="1258" customFormat="1" ht="16" hidden="1" outlineLevel="1">
      <c r="B2901" s="968" t="s">
        <v>2544</v>
      </c>
      <c r="C2901" s="967">
        <v>137500</v>
      </c>
      <c r="D2901" s="967" t="s">
        <v>2248</v>
      </c>
      <c r="E2901" s="967">
        <v>42242</v>
      </c>
      <c r="F2901" s="967">
        <v>5892569000</v>
      </c>
      <c r="G2901" s="967">
        <v>138000</v>
      </c>
      <c r="H2901" s="967">
        <v>140500</v>
      </c>
      <c r="I2901" s="967">
        <v>137500</v>
      </c>
      <c r="J2901" s="967">
        <v>1650000</v>
      </c>
      <c r="K2901" s="967">
        <v>12000000</v>
      </c>
    </row>
    <row r="2902" spans="2:11" s="1258" customFormat="1" ht="16" hidden="1" outlineLevel="1">
      <c r="B2902" s="968" t="s">
        <v>2543</v>
      </c>
      <c r="C2902" s="967">
        <v>138500</v>
      </c>
      <c r="D2902" s="967" t="s">
        <v>2276</v>
      </c>
      <c r="E2902" s="967">
        <v>74996</v>
      </c>
      <c r="F2902" s="967">
        <v>10630854500</v>
      </c>
      <c r="G2902" s="967">
        <v>142500</v>
      </c>
      <c r="H2902" s="967">
        <v>147000</v>
      </c>
      <c r="I2902" s="967">
        <v>138500</v>
      </c>
      <c r="J2902" s="967">
        <v>1662000</v>
      </c>
      <c r="K2902" s="967">
        <v>12000000</v>
      </c>
    </row>
    <row r="2903" spans="2:11" s="1258" customFormat="1" ht="16" hidden="1" outlineLevel="1">
      <c r="B2903" s="968" t="s">
        <v>2541</v>
      </c>
      <c r="C2903" s="967">
        <v>142500</v>
      </c>
      <c r="D2903" s="967" t="s">
        <v>2666</v>
      </c>
      <c r="E2903" s="967">
        <v>85087</v>
      </c>
      <c r="F2903" s="967">
        <v>12169990000</v>
      </c>
      <c r="G2903" s="967">
        <v>138500</v>
      </c>
      <c r="H2903" s="967">
        <v>145000</v>
      </c>
      <c r="I2903" s="967">
        <v>138500</v>
      </c>
      <c r="J2903" s="967">
        <v>1710000</v>
      </c>
      <c r="K2903" s="967">
        <v>12000000</v>
      </c>
    </row>
    <row r="2904" spans="2:11" s="1258" customFormat="1" ht="16" hidden="1" outlineLevel="1">
      <c r="B2904" s="968" t="s">
        <v>2540</v>
      </c>
      <c r="C2904" s="967">
        <v>138500</v>
      </c>
      <c r="D2904" s="967" t="s">
        <v>2248</v>
      </c>
      <c r="E2904" s="967">
        <v>95755</v>
      </c>
      <c r="F2904" s="967">
        <v>13162547000</v>
      </c>
      <c r="G2904" s="967">
        <v>137500</v>
      </c>
      <c r="H2904" s="967">
        <v>138500</v>
      </c>
      <c r="I2904" s="967">
        <v>136000</v>
      </c>
      <c r="J2904" s="967">
        <v>1662000</v>
      </c>
      <c r="K2904" s="967">
        <v>12000000</v>
      </c>
    </row>
    <row r="2905" spans="2:11" s="1258" customFormat="1" ht="16" hidden="1" outlineLevel="1">
      <c r="B2905" s="968" t="s">
        <v>2539</v>
      </c>
      <c r="C2905" s="967">
        <v>139500</v>
      </c>
      <c r="D2905" s="967" t="s">
        <v>2675</v>
      </c>
      <c r="E2905" s="967">
        <v>85414</v>
      </c>
      <c r="F2905" s="967">
        <v>11576124500</v>
      </c>
      <c r="G2905" s="967">
        <v>131500</v>
      </c>
      <c r="H2905" s="967">
        <v>139500</v>
      </c>
      <c r="I2905" s="967">
        <v>131500</v>
      </c>
      <c r="J2905" s="967">
        <v>1674000</v>
      </c>
      <c r="K2905" s="967">
        <v>12000000</v>
      </c>
    </row>
    <row r="2906" spans="2:11" s="1258" customFormat="1" ht="16" hidden="1" outlineLevel="1">
      <c r="B2906" s="968" t="s">
        <v>2538</v>
      </c>
      <c r="C2906" s="967">
        <v>131500</v>
      </c>
      <c r="D2906" s="967" t="s">
        <v>2288</v>
      </c>
      <c r="E2906" s="967">
        <v>57762</v>
      </c>
      <c r="F2906" s="967">
        <v>7611375000</v>
      </c>
      <c r="G2906" s="967">
        <v>128500</v>
      </c>
      <c r="H2906" s="967">
        <v>134000</v>
      </c>
      <c r="I2906" s="967">
        <v>127500</v>
      </c>
      <c r="J2906" s="967">
        <v>1578000</v>
      </c>
      <c r="K2906" s="967">
        <v>12000000</v>
      </c>
    </row>
    <row r="2907" spans="2:11" s="1258" customFormat="1" ht="16" hidden="1" outlineLevel="1">
      <c r="B2907" s="968" t="s">
        <v>2537</v>
      </c>
      <c r="C2907" s="967">
        <v>129500</v>
      </c>
      <c r="D2907" s="967" t="s">
        <v>2244</v>
      </c>
      <c r="E2907" s="967">
        <v>27057</v>
      </c>
      <c r="F2907" s="967">
        <v>3507384500</v>
      </c>
      <c r="G2907" s="967">
        <v>130000</v>
      </c>
      <c r="H2907" s="967">
        <v>131000</v>
      </c>
      <c r="I2907" s="967">
        <v>128000</v>
      </c>
      <c r="J2907" s="967">
        <v>1554000</v>
      </c>
      <c r="K2907" s="967">
        <v>12000000</v>
      </c>
    </row>
    <row r="2908" spans="2:11" s="1258" customFormat="1" ht="16" hidden="1" outlineLevel="1">
      <c r="B2908" s="968" t="s">
        <v>2536</v>
      </c>
      <c r="C2908" s="967">
        <v>131000</v>
      </c>
      <c r="D2908" s="967" t="s">
        <v>2244</v>
      </c>
      <c r="E2908" s="967">
        <v>30039</v>
      </c>
      <c r="F2908" s="967">
        <v>3964052500</v>
      </c>
      <c r="G2908" s="967">
        <v>135000</v>
      </c>
      <c r="H2908" s="967">
        <v>135000</v>
      </c>
      <c r="I2908" s="967">
        <v>131000</v>
      </c>
      <c r="J2908" s="967">
        <v>1572000</v>
      </c>
      <c r="K2908" s="967">
        <v>12000000</v>
      </c>
    </row>
    <row r="2909" spans="2:11" s="1258" customFormat="1" ht="16" hidden="1" outlineLevel="1">
      <c r="B2909" s="968" t="s">
        <v>2535</v>
      </c>
      <c r="C2909" s="967">
        <v>132500</v>
      </c>
      <c r="D2909" s="967" t="s">
        <v>2288</v>
      </c>
      <c r="E2909" s="967">
        <v>54206</v>
      </c>
      <c r="F2909" s="967">
        <v>7163559500</v>
      </c>
      <c r="G2909" s="967">
        <v>130000</v>
      </c>
      <c r="H2909" s="967">
        <v>134500</v>
      </c>
      <c r="I2909" s="967">
        <v>129500</v>
      </c>
      <c r="J2909" s="967">
        <v>1590000</v>
      </c>
      <c r="K2909" s="967">
        <v>12000000</v>
      </c>
    </row>
    <row r="2910" spans="2:11" s="1258" customFormat="1" ht="16" hidden="1" outlineLevel="1">
      <c r="B2910" s="968" t="s">
        <v>2534</v>
      </c>
      <c r="C2910" s="967">
        <v>130500</v>
      </c>
      <c r="D2910" s="967" t="s">
        <v>2248</v>
      </c>
      <c r="E2910" s="967">
        <v>44537</v>
      </c>
      <c r="F2910" s="967">
        <v>5800786000</v>
      </c>
      <c r="G2910" s="967">
        <v>132500</v>
      </c>
      <c r="H2910" s="967">
        <v>133000</v>
      </c>
      <c r="I2910" s="967">
        <v>128500</v>
      </c>
      <c r="J2910" s="967">
        <v>1566000</v>
      </c>
      <c r="K2910" s="967">
        <v>12000000</v>
      </c>
    </row>
    <row r="2911" spans="2:11" s="1258" customFormat="1" ht="16" hidden="1" outlineLevel="1">
      <c r="B2911" s="968" t="s">
        <v>2533</v>
      </c>
      <c r="C2911" s="967">
        <v>131500</v>
      </c>
      <c r="D2911" s="967" t="s">
        <v>2672</v>
      </c>
      <c r="E2911" s="967">
        <v>68098</v>
      </c>
      <c r="F2911" s="967">
        <v>8925466000</v>
      </c>
      <c r="G2911" s="967">
        <v>128500</v>
      </c>
      <c r="H2911" s="967">
        <v>136500</v>
      </c>
      <c r="I2911" s="967">
        <v>128500</v>
      </c>
      <c r="J2911" s="967">
        <v>1578000</v>
      </c>
      <c r="K2911" s="967">
        <v>12000000</v>
      </c>
    </row>
    <row r="2912" spans="2:11" s="1258" customFormat="1" ht="16" hidden="1" outlineLevel="1">
      <c r="B2912" s="968" t="s">
        <v>2532</v>
      </c>
      <c r="C2912" s="967">
        <v>128000</v>
      </c>
      <c r="D2912" s="967" t="s">
        <v>2288</v>
      </c>
      <c r="E2912" s="967">
        <v>46648</v>
      </c>
      <c r="F2912" s="967">
        <v>5949805915</v>
      </c>
      <c r="G2912" s="967">
        <v>126500</v>
      </c>
      <c r="H2912" s="967">
        <v>129000</v>
      </c>
      <c r="I2912" s="967">
        <v>126000</v>
      </c>
      <c r="J2912" s="967">
        <v>1536000</v>
      </c>
      <c r="K2912" s="967">
        <v>12000000</v>
      </c>
    </row>
    <row r="2913" spans="2:11" s="1258" customFormat="1" ht="16" hidden="1" outlineLevel="1">
      <c r="B2913" s="968" t="s">
        <v>2531</v>
      </c>
      <c r="C2913" s="967">
        <v>126000</v>
      </c>
      <c r="D2913" s="967" t="s">
        <v>2244</v>
      </c>
      <c r="E2913" s="967">
        <v>30215</v>
      </c>
      <c r="F2913" s="967">
        <v>3845539500</v>
      </c>
      <c r="G2913" s="967">
        <v>129500</v>
      </c>
      <c r="H2913" s="967">
        <v>130000</v>
      </c>
      <c r="I2913" s="967">
        <v>126000</v>
      </c>
      <c r="J2913" s="967">
        <v>1512000</v>
      </c>
      <c r="K2913" s="967">
        <v>12000000</v>
      </c>
    </row>
    <row r="2914" spans="2:11" s="1258" customFormat="1" ht="16" hidden="1" outlineLevel="1">
      <c r="B2914" s="968" t="s">
        <v>2530</v>
      </c>
      <c r="C2914" s="967">
        <v>127500</v>
      </c>
      <c r="D2914" s="967" t="s">
        <v>2242</v>
      </c>
      <c r="E2914" s="967">
        <v>25288</v>
      </c>
      <c r="F2914" s="967">
        <v>3252969000</v>
      </c>
      <c r="G2914" s="967">
        <v>129500</v>
      </c>
      <c r="H2914" s="967">
        <v>130500</v>
      </c>
      <c r="I2914" s="967">
        <v>127500</v>
      </c>
      <c r="J2914" s="967">
        <v>1530000</v>
      </c>
      <c r="K2914" s="967">
        <v>12000000</v>
      </c>
    </row>
    <row r="2915" spans="2:11" s="1258" customFormat="1" ht="16" hidden="1" outlineLevel="1">
      <c r="B2915" s="968" t="s">
        <v>2528</v>
      </c>
      <c r="C2915" s="967">
        <v>129500</v>
      </c>
      <c r="D2915" s="967" t="s">
        <v>2288</v>
      </c>
      <c r="E2915" s="967">
        <v>49473</v>
      </c>
      <c r="F2915" s="967">
        <v>6450007500</v>
      </c>
      <c r="G2915" s="967">
        <v>128500</v>
      </c>
      <c r="H2915" s="967">
        <v>132000</v>
      </c>
      <c r="I2915" s="967">
        <v>128500</v>
      </c>
      <c r="J2915" s="967">
        <v>1554000</v>
      </c>
      <c r="K2915" s="967">
        <v>12000000</v>
      </c>
    </row>
    <row r="2916" spans="2:11" s="1258" customFormat="1" ht="16" hidden="1" outlineLevel="1">
      <c r="B2916" s="968" t="s">
        <v>2527</v>
      </c>
      <c r="C2916" s="967">
        <v>127500</v>
      </c>
      <c r="D2916" s="967" t="s">
        <v>2248</v>
      </c>
      <c r="E2916" s="967">
        <v>27576</v>
      </c>
      <c r="F2916" s="967">
        <v>3544735000</v>
      </c>
      <c r="G2916" s="967">
        <v>130000</v>
      </c>
      <c r="H2916" s="967">
        <v>130000</v>
      </c>
      <c r="I2916" s="967">
        <v>127000</v>
      </c>
      <c r="J2916" s="967">
        <v>1530000</v>
      </c>
      <c r="K2916" s="967">
        <v>12000000</v>
      </c>
    </row>
    <row r="2917" spans="2:11" s="1258" customFormat="1" ht="16" hidden="1" outlineLevel="1">
      <c r="B2917" s="968" t="s">
        <v>2525</v>
      </c>
      <c r="C2917" s="967">
        <v>128500</v>
      </c>
      <c r="D2917" s="967" t="s">
        <v>2221</v>
      </c>
      <c r="E2917" s="967">
        <v>43654</v>
      </c>
      <c r="F2917" s="967">
        <v>5526593500</v>
      </c>
      <c r="G2917" s="967">
        <v>126500</v>
      </c>
      <c r="H2917" s="967">
        <v>129000</v>
      </c>
      <c r="I2917" s="967">
        <v>125500</v>
      </c>
      <c r="J2917" s="967">
        <v>1542000</v>
      </c>
      <c r="K2917" s="967">
        <v>12000000</v>
      </c>
    </row>
    <row r="2918" spans="2:11" s="1258" customFormat="1" ht="16" hidden="1" outlineLevel="1">
      <c r="B2918" s="968" t="s">
        <v>2524</v>
      </c>
      <c r="C2918" s="967">
        <v>128500</v>
      </c>
      <c r="D2918" s="967" t="s">
        <v>2235</v>
      </c>
      <c r="E2918" s="967">
        <v>75299</v>
      </c>
      <c r="F2918" s="967">
        <v>9595791500</v>
      </c>
      <c r="G2918" s="967">
        <v>131000</v>
      </c>
      <c r="H2918" s="967">
        <v>132000</v>
      </c>
      <c r="I2918" s="967">
        <v>125000</v>
      </c>
      <c r="J2918" s="967">
        <v>1542000</v>
      </c>
      <c r="K2918" s="967">
        <v>12000000</v>
      </c>
    </row>
    <row r="2919" spans="2:11" s="1258" customFormat="1" ht="16" hidden="1" outlineLevel="1">
      <c r="B2919" s="968" t="s">
        <v>2523</v>
      </c>
      <c r="C2919" s="967">
        <v>131000</v>
      </c>
      <c r="D2919" s="967" t="s">
        <v>2278</v>
      </c>
      <c r="E2919" s="967">
        <v>17643</v>
      </c>
      <c r="F2919" s="967">
        <v>2331689000</v>
      </c>
      <c r="G2919" s="967">
        <v>133500</v>
      </c>
      <c r="H2919" s="967">
        <v>134000</v>
      </c>
      <c r="I2919" s="967">
        <v>131000</v>
      </c>
      <c r="J2919" s="967">
        <v>1572000</v>
      </c>
      <c r="K2919" s="967">
        <v>12000000</v>
      </c>
    </row>
    <row r="2920" spans="2:11" s="1258" customFormat="1" ht="16" hidden="1" outlineLevel="1">
      <c r="B2920" s="968" t="s">
        <v>2522</v>
      </c>
      <c r="C2920" s="967">
        <v>134000</v>
      </c>
      <c r="D2920" s="967" t="s">
        <v>2276</v>
      </c>
      <c r="E2920" s="967">
        <v>53622</v>
      </c>
      <c r="F2920" s="967">
        <v>7243591500</v>
      </c>
      <c r="G2920" s="967">
        <v>138000</v>
      </c>
      <c r="H2920" s="967">
        <v>141000</v>
      </c>
      <c r="I2920" s="967">
        <v>133000</v>
      </c>
      <c r="J2920" s="967">
        <v>1608000</v>
      </c>
      <c r="K2920" s="967">
        <v>12000000</v>
      </c>
    </row>
    <row r="2921" spans="2:11" s="1258" customFormat="1" ht="16" hidden="1" outlineLevel="1">
      <c r="B2921" s="968" t="s">
        <v>2521</v>
      </c>
      <c r="C2921" s="967">
        <v>138000</v>
      </c>
      <c r="D2921" s="967" t="s">
        <v>2248</v>
      </c>
      <c r="E2921" s="967">
        <v>38205</v>
      </c>
      <c r="F2921" s="967">
        <v>5235158000</v>
      </c>
      <c r="G2921" s="967">
        <v>138000</v>
      </c>
      <c r="H2921" s="967">
        <v>140000</v>
      </c>
      <c r="I2921" s="967">
        <v>133500</v>
      </c>
      <c r="J2921" s="967">
        <v>1656000</v>
      </c>
      <c r="K2921" s="967">
        <v>12000000</v>
      </c>
    </row>
    <row r="2922" spans="2:11" s="1258" customFormat="1" ht="16" hidden="1" outlineLevel="1">
      <c r="B2922" s="968" t="s">
        <v>2520</v>
      </c>
      <c r="C2922" s="967">
        <v>139000</v>
      </c>
      <c r="D2922" s="967" t="s">
        <v>2221</v>
      </c>
      <c r="E2922" s="967">
        <v>19268</v>
      </c>
      <c r="F2922" s="967">
        <v>2672775000</v>
      </c>
      <c r="G2922" s="967">
        <v>138000</v>
      </c>
      <c r="H2922" s="967">
        <v>140000</v>
      </c>
      <c r="I2922" s="967">
        <v>137000</v>
      </c>
      <c r="J2922" s="967">
        <v>1668000</v>
      </c>
      <c r="K2922" s="967">
        <v>12000000</v>
      </c>
    </row>
    <row r="2923" spans="2:11" s="1258" customFormat="1" ht="16" hidden="1" outlineLevel="1">
      <c r="B2923" s="968" t="s">
        <v>2519</v>
      </c>
      <c r="C2923" s="967">
        <v>139000</v>
      </c>
      <c r="D2923" s="967" t="s">
        <v>2221</v>
      </c>
      <c r="E2923" s="967">
        <v>29437</v>
      </c>
      <c r="F2923" s="967">
        <v>4065629000</v>
      </c>
      <c r="G2923" s="967">
        <v>138500</v>
      </c>
      <c r="H2923" s="967">
        <v>140000</v>
      </c>
      <c r="I2923" s="967">
        <v>135000</v>
      </c>
      <c r="J2923" s="967">
        <v>1668000</v>
      </c>
      <c r="K2923" s="967">
        <v>12000000</v>
      </c>
    </row>
    <row r="2924" spans="2:11" s="1258" customFormat="1" ht="16" hidden="1" outlineLevel="1">
      <c r="B2924" s="968" t="s">
        <v>2517</v>
      </c>
      <c r="C2924" s="967">
        <v>139000</v>
      </c>
      <c r="D2924" s="967" t="s">
        <v>2248</v>
      </c>
      <c r="E2924" s="967">
        <v>17867</v>
      </c>
      <c r="F2924" s="967">
        <v>2464743000</v>
      </c>
      <c r="G2924" s="967">
        <v>137500</v>
      </c>
      <c r="H2924" s="967">
        <v>139000</v>
      </c>
      <c r="I2924" s="967">
        <v>136500</v>
      </c>
      <c r="J2924" s="967">
        <v>1668000</v>
      </c>
      <c r="K2924" s="967">
        <v>12000000</v>
      </c>
    </row>
    <row r="2925" spans="2:11" s="1258" customFormat="1" ht="16" hidden="1" outlineLevel="1">
      <c r="B2925" s="968" t="s">
        <v>2516</v>
      </c>
      <c r="C2925" s="967">
        <v>140000</v>
      </c>
      <c r="D2925" s="967" t="s">
        <v>2220</v>
      </c>
      <c r="E2925" s="967">
        <v>94318</v>
      </c>
      <c r="F2925" s="967">
        <v>13168498000</v>
      </c>
      <c r="G2925" s="967">
        <v>139000</v>
      </c>
      <c r="H2925" s="967">
        <v>140000</v>
      </c>
      <c r="I2925" s="967">
        <v>138000</v>
      </c>
      <c r="J2925" s="967">
        <v>1680000</v>
      </c>
      <c r="K2925" s="967">
        <v>12000000</v>
      </c>
    </row>
    <row r="2926" spans="2:11" s="1258" customFormat="1" ht="16" hidden="1" outlineLevel="1">
      <c r="B2926" s="968" t="s">
        <v>2515</v>
      </c>
      <c r="C2926" s="967">
        <v>137500</v>
      </c>
      <c r="D2926" s="967" t="s">
        <v>2288</v>
      </c>
      <c r="E2926" s="967">
        <v>14494</v>
      </c>
      <c r="F2926" s="967">
        <v>1975278000</v>
      </c>
      <c r="G2926" s="967">
        <v>135500</v>
      </c>
      <c r="H2926" s="967">
        <v>137500</v>
      </c>
      <c r="I2926" s="967">
        <v>134500</v>
      </c>
      <c r="J2926" s="967">
        <v>1650000</v>
      </c>
      <c r="K2926" s="967">
        <v>12000000</v>
      </c>
    </row>
    <row r="2927" spans="2:11" s="1258" customFormat="1" ht="16" hidden="1" outlineLevel="1">
      <c r="B2927" s="968" t="s">
        <v>2514</v>
      </c>
      <c r="C2927" s="967">
        <v>135500</v>
      </c>
      <c r="D2927" s="967" t="s">
        <v>2220</v>
      </c>
      <c r="E2927" s="967">
        <v>35700</v>
      </c>
      <c r="F2927" s="967">
        <v>4768255000</v>
      </c>
      <c r="G2927" s="967">
        <v>130500</v>
      </c>
      <c r="H2927" s="967">
        <v>136000</v>
      </c>
      <c r="I2927" s="967">
        <v>130500</v>
      </c>
      <c r="J2927" s="967">
        <v>1626000</v>
      </c>
      <c r="K2927" s="967">
        <v>12000000</v>
      </c>
    </row>
    <row r="2928" spans="2:11" s="1258" customFormat="1" ht="16" hidden="1" outlineLevel="1">
      <c r="B2928" s="968" t="s">
        <v>2513</v>
      </c>
      <c r="C2928" s="967">
        <v>133000</v>
      </c>
      <c r="D2928" s="967" t="s">
        <v>2244</v>
      </c>
      <c r="E2928" s="967">
        <v>31288</v>
      </c>
      <c r="F2928" s="967">
        <v>4184635500</v>
      </c>
      <c r="G2928" s="967">
        <v>137000</v>
      </c>
      <c r="H2928" s="967">
        <v>137000</v>
      </c>
      <c r="I2928" s="967">
        <v>132000</v>
      </c>
      <c r="J2928" s="967">
        <v>1596000</v>
      </c>
      <c r="K2928" s="967">
        <v>12000000</v>
      </c>
    </row>
    <row r="2929" spans="2:11" s="1258" customFormat="1" ht="16" hidden="1" outlineLevel="1">
      <c r="B2929" s="968" t="s">
        <v>2512</v>
      </c>
      <c r="C2929" s="967">
        <v>134500</v>
      </c>
      <c r="D2929" s="967" t="s">
        <v>2248</v>
      </c>
      <c r="E2929" s="967">
        <v>65878</v>
      </c>
      <c r="F2929" s="967">
        <v>8764629000</v>
      </c>
      <c r="G2929" s="967">
        <v>136000</v>
      </c>
      <c r="H2929" s="967">
        <v>137000</v>
      </c>
      <c r="I2929" s="967">
        <v>130500</v>
      </c>
      <c r="J2929" s="967">
        <v>1614000</v>
      </c>
      <c r="K2929" s="967">
        <v>12000000</v>
      </c>
    </row>
    <row r="2930" spans="2:11" s="1258" customFormat="1" ht="16" hidden="1" outlineLevel="1">
      <c r="B2930" s="968" t="s">
        <v>2511</v>
      </c>
      <c r="C2930" s="967">
        <v>135500</v>
      </c>
      <c r="D2930" s="967" t="s">
        <v>2272</v>
      </c>
      <c r="E2930" s="967">
        <v>51878</v>
      </c>
      <c r="F2930" s="967">
        <v>7069555000</v>
      </c>
      <c r="G2930" s="967">
        <v>140000</v>
      </c>
      <c r="H2930" s="967">
        <v>140000</v>
      </c>
      <c r="I2930" s="967">
        <v>132500</v>
      </c>
      <c r="J2930" s="967">
        <v>1626000</v>
      </c>
      <c r="K2930" s="967">
        <v>12000000</v>
      </c>
    </row>
    <row r="2931" spans="2:11" s="1258" customFormat="1" ht="16" hidden="1" outlineLevel="1">
      <c r="B2931" s="968" t="s">
        <v>2510</v>
      </c>
      <c r="C2931" s="967">
        <v>140000</v>
      </c>
      <c r="D2931" s="967" t="s">
        <v>2666</v>
      </c>
      <c r="E2931" s="967">
        <v>35248</v>
      </c>
      <c r="F2931" s="967">
        <v>4913388000</v>
      </c>
      <c r="G2931" s="967">
        <v>136000</v>
      </c>
      <c r="H2931" s="967">
        <v>141000</v>
      </c>
      <c r="I2931" s="967">
        <v>135000</v>
      </c>
      <c r="J2931" s="967">
        <v>1680000</v>
      </c>
      <c r="K2931" s="967">
        <v>12000000</v>
      </c>
    </row>
    <row r="2932" spans="2:11" s="1258" customFormat="1" ht="16" hidden="1" outlineLevel="1">
      <c r="B2932" s="968" t="s">
        <v>2509</v>
      </c>
      <c r="C2932" s="967">
        <v>136000</v>
      </c>
      <c r="D2932" s="967" t="s">
        <v>2236</v>
      </c>
      <c r="E2932" s="967">
        <v>26151</v>
      </c>
      <c r="F2932" s="967">
        <v>3601138000</v>
      </c>
      <c r="G2932" s="967">
        <v>137000</v>
      </c>
      <c r="H2932" s="967">
        <v>140000</v>
      </c>
      <c r="I2932" s="967">
        <v>135500</v>
      </c>
      <c r="J2932" s="967">
        <v>1632000</v>
      </c>
      <c r="K2932" s="967">
        <v>12000000</v>
      </c>
    </row>
    <row r="2933" spans="2:11" s="1258" customFormat="1" ht="16" hidden="1" outlineLevel="1">
      <c r="B2933" s="968" t="s">
        <v>2508</v>
      </c>
      <c r="C2933" s="967">
        <v>135000</v>
      </c>
      <c r="D2933" s="967" t="s">
        <v>2274</v>
      </c>
      <c r="E2933" s="967">
        <v>88030</v>
      </c>
      <c r="F2933" s="967">
        <v>11809440000</v>
      </c>
      <c r="G2933" s="967">
        <v>135000</v>
      </c>
      <c r="H2933" s="967">
        <v>137000</v>
      </c>
      <c r="I2933" s="967">
        <v>131500</v>
      </c>
      <c r="J2933" s="967">
        <v>1620000</v>
      </c>
      <c r="K2933" s="967">
        <v>12000000</v>
      </c>
    </row>
    <row r="2934" spans="2:11" s="1258" customFormat="1" ht="16" hidden="1" outlineLevel="1">
      <c r="B2934" s="968" t="s">
        <v>2507</v>
      </c>
      <c r="C2934" s="967">
        <v>138500</v>
      </c>
      <c r="D2934" s="967" t="s">
        <v>2674</v>
      </c>
      <c r="E2934" s="967">
        <v>88100</v>
      </c>
      <c r="F2934" s="967">
        <v>12419348000</v>
      </c>
      <c r="G2934" s="967">
        <v>145500</v>
      </c>
      <c r="H2934" s="967">
        <v>145500</v>
      </c>
      <c r="I2934" s="967">
        <v>137000</v>
      </c>
      <c r="J2934" s="967">
        <v>1662000</v>
      </c>
      <c r="K2934" s="967">
        <v>12000000</v>
      </c>
    </row>
    <row r="2935" spans="2:11" s="1258" customFormat="1" ht="16" hidden="1" outlineLevel="1">
      <c r="B2935" s="968" t="s">
        <v>2506</v>
      </c>
      <c r="C2935" s="967">
        <v>145500</v>
      </c>
      <c r="D2935" s="967" t="s">
        <v>2277</v>
      </c>
      <c r="E2935" s="967">
        <v>75986</v>
      </c>
      <c r="F2935" s="967">
        <v>10900551500</v>
      </c>
      <c r="G2935" s="967">
        <v>144500</v>
      </c>
      <c r="H2935" s="967">
        <v>145500</v>
      </c>
      <c r="I2935" s="967">
        <v>139500</v>
      </c>
      <c r="J2935" s="967">
        <v>1746000</v>
      </c>
      <c r="K2935" s="967">
        <v>12000000</v>
      </c>
    </row>
    <row r="2936" spans="2:11" s="1258" customFormat="1" ht="16" hidden="1" outlineLevel="1">
      <c r="B2936" s="968" t="s">
        <v>2504</v>
      </c>
      <c r="C2936" s="967">
        <v>142500</v>
      </c>
      <c r="D2936" s="967" t="s">
        <v>2242</v>
      </c>
      <c r="E2936" s="967">
        <v>19613</v>
      </c>
      <c r="F2936" s="967">
        <v>2794383500</v>
      </c>
      <c r="G2936" s="967">
        <v>144500</v>
      </c>
      <c r="H2936" s="967">
        <v>146500</v>
      </c>
      <c r="I2936" s="967">
        <v>140000</v>
      </c>
      <c r="J2936" s="967">
        <v>1710000</v>
      </c>
      <c r="K2936" s="967">
        <v>12000000</v>
      </c>
    </row>
    <row r="2937" spans="2:11" s="1258" customFormat="1" ht="16" hidden="1" outlineLevel="1">
      <c r="B2937" s="968" t="s">
        <v>2503</v>
      </c>
      <c r="C2937" s="967">
        <v>144500</v>
      </c>
      <c r="D2937" s="967" t="s">
        <v>2673</v>
      </c>
      <c r="E2937" s="967">
        <v>71552</v>
      </c>
      <c r="F2937" s="967">
        <v>10217321500</v>
      </c>
      <c r="G2937" s="967">
        <v>138500</v>
      </c>
      <c r="H2937" s="967">
        <v>145000</v>
      </c>
      <c r="I2937" s="967">
        <v>138000</v>
      </c>
      <c r="J2937" s="967">
        <v>1734000</v>
      </c>
      <c r="K2937" s="967">
        <v>12000000</v>
      </c>
    </row>
    <row r="2938" spans="2:11" s="1258" customFormat="1" ht="16" hidden="1" outlineLevel="1">
      <c r="B2938" s="968" t="s">
        <v>2502</v>
      </c>
      <c r="C2938" s="967">
        <v>138000</v>
      </c>
      <c r="D2938" s="967" t="s">
        <v>2672</v>
      </c>
      <c r="E2938" s="967">
        <v>27338</v>
      </c>
      <c r="F2938" s="967">
        <v>3740884000</v>
      </c>
      <c r="G2938" s="967">
        <v>136500</v>
      </c>
      <c r="H2938" s="967">
        <v>138000</v>
      </c>
      <c r="I2938" s="967">
        <v>135000</v>
      </c>
      <c r="J2938" s="967">
        <v>1656000</v>
      </c>
      <c r="K2938" s="967">
        <v>12000000</v>
      </c>
    </row>
    <row r="2939" spans="2:11" s="1258" customFormat="1" ht="16" hidden="1" outlineLevel="1">
      <c r="B2939" s="968" t="s">
        <v>2501</v>
      </c>
      <c r="C2939" s="967">
        <v>134500</v>
      </c>
      <c r="D2939" s="967" t="s">
        <v>2244</v>
      </c>
      <c r="E2939" s="967">
        <v>59957</v>
      </c>
      <c r="F2939" s="967">
        <v>8144562000</v>
      </c>
      <c r="G2939" s="967">
        <v>136000</v>
      </c>
      <c r="H2939" s="967">
        <v>137500</v>
      </c>
      <c r="I2939" s="967">
        <v>134500</v>
      </c>
      <c r="J2939" s="967">
        <v>1614000</v>
      </c>
      <c r="K2939" s="967">
        <v>12000000</v>
      </c>
    </row>
    <row r="2940" spans="2:11" s="1258" customFormat="1" ht="16" hidden="1" outlineLevel="1">
      <c r="B2940" s="968" t="s">
        <v>2500</v>
      </c>
      <c r="C2940" s="967">
        <v>136000</v>
      </c>
      <c r="D2940" s="967" t="s">
        <v>2220</v>
      </c>
      <c r="E2940" s="967">
        <v>46403</v>
      </c>
      <c r="F2940" s="967">
        <v>6271904500</v>
      </c>
      <c r="G2940" s="967">
        <v>133500</v>
      </c>
      <c r="H2940" s="967">
        <v>137000</v>
      </c>
      <c r="I2940" s="967">
        <v>131500</v>
      </c>
      <c r="J2940" s="967">
        <v>1632000</v>
      </c>
      <c r="K2940" s="967">
        <v>12000000</v>
      </c>
    </row>
    <row r="2941" spans="2:11" s="1258" customFormat="1" ht="16" hidden="1" outlineLevel="1">
      <c r="B2941" s="968" t="s">
        <v>2499</v>
      </c>
      <c r="C2941" s="967">
        <v>133500</v>
      </c>
      <c r="D2941" s="967" t="s">
        <v>2671</v>
      </c>
      <c r="E2941" s="967">
        <v>66562</v>
      </c>
      <c r="F2941" s="967">
        <v>9125899500</v>
      </c>
      <c r="G2941" s="967">
        <v>139000</v>
      </c>
      <c r="H2941" s="967">
        <v>140000</v>
      </c>
      <c r="I2941" s="967">
        <v>133000</v>
      </c>
      <c r="J2941" s="967">
        <v>1602000</v>
      </c>
      <c r="K2941" s="967">
        <v>12000000</v>
      </c>
    </row>
    <row r="2942" spans="2:11" s="1258" customFormat="1" ht="16" hidden="1" outlineLevel="1">
      <c r="B2942" s="968" t="s">
        <v>2498</v>
      </c>
      <c r="C2942" s="967">
        <v>140000</v>
      </c>
      <c r="D2942" s="967" t="s">
        <v>2670</v>
      </c>
      <c r="E2942" s="967">
        <v>75733</v>
      </c>
      <c r="F2942" s="967">
        <v>10464039500</v>
      </c>
      <c r="G2942" s="967">
        <v>135000</v>
      </c>
      <c r="H2942" s="967">
        <v>140000</v>
      </c>
      <c r="I2942" s="967">
        <v>132500</v>
      </c>
      <c r="J2942" s="967">
        <v>1680000</v>
      </c>
      <c r="K2942" s="967">
        <v>12000000</v>
      </c>
    </row>
    <row r="2943" spans="2:11" s="1258" customFormat="1" ht="16" hidden="1" outlineLevel="1">
      <c r="B2943" s="968" t="s">
        <v>2497</v>
      </c>
      <c r="C2943" s="967">
        <v>135000</v>
      </c>
      <c r="D2943" s="967" t="s">
        <v>2288</v>
      </c>
      <c r="E2943" s="967">
        <v>70644</v>
      </c>
      <c r="F2943" s="967">
        <v>9490148500</v>
      </c>
      <c r="G2943" s="967">
        <v>133500</v>
      </c>
      <c r="H2943" s="967">
        <v>136500</v>
      </c>
      <c r="I2943" s="967">
        <v>132500</v>
      </c>
      <c r="J2943" s="967">
        <v>1620000</v>
      </c>
      <c r="K2943" s="967">
        <v>12000000</v>
      </c>
    </row>
    <row r="2944" spans="2:11" s="1258" customFormat="1" ht="16" hidden="1" outlineLevel="1">
      <c r="B2944" s="968" t="s">
        <v>2496</v>
      </c>
      <c r="C2944" s="967">
        <v>133000</v>
      </c>
      <c r="D2944" s="967" t="s">
        <v>2244</v>
      </c>
      <c r="E2944" s="967">
        <v>145703</v>
      </c>
      <c r="F2944" s="967">
        <v>19931698000</v>
      </c>
      <c r="G2944" s="967">
        <v>135000</v>
      </c>
      <c r="H2944" s="967">
        <v>140500</v>
      </c>
      <c r="I2944" s="967">
        <v>132000</v>
      </c>
      <c r="J2944" s="967">
        <v>1596000</v>
      </c>
      <c r="K2944" s="967">
        <v>12000000</v>
      </c>
    </row>
    <row r="2945" spans="2:11" s="1258" customFormat="1" ht="16" hidden="1" outlineLevel="1">
      <c r="B2945" s="968" t="s">
        <v>2495</v>
      </c>
      <c r="C2945" s="967">
        <v>134500</v>
      </c>
      <c r="D2945" s="967" t="s">
        <v>1826</v>
      </c>
      <c r="E2945" s="967">
        <v>28952</v>
      </c>
      <c r="F2945" s="967">
        <v>3890061500</v>
      </c>
      <c r="G2945" s="967">
        <v>134000</v>
      </c>
      <c r="H2945" s="967">
        <v>135500</v>
      </c>
      <c r="I2945" s="967">
        <v>132500</v>
      </c>
      <c r="J2945" s="967">
        <v>1614000</v>
      </c>
      <c r="K2945" s="967">
        <v>12000000</v>
      </c>
    </row>
    <row r="2946" spans="2:11" s="1258" customFormat="1" ht="16" hidden="1" outlineLevel="1">
      <c r="B2946" s="968" t="s">
        <v>2494</v>
      </c>
      <c r="C2946" s="967">
        <v>134000</v>
      </c>
      <c r="D2946" s="967" t="s">
        <v>2288</v>
      </c>
      <c r="E2946" s="967">
        <v>19478</v>
      </c>
      <c r="F2946" s="967">
        <v>2605056500</v>
      </c>
      <c r="G2946" s="967">
        <v>131000</v>
      </c>
      <c r="H2946" s="967">
        <v>134500</v>
      </c>
      <c r="I2946" s="967">
        <v>131000</v>
      </c>
      <c r="J2946" s="967">
        <v>1608000</v>
      </c>
      <c r="K2946" s="967">
        <v>12000000</v>
      </c>
    </row>
    <row r="2947" spans="2:11" s="1258" customFormat="1" ht="16" hidden="1" outlineLevel="1">
      <c r="B2947" s="968" t="s">
        <v>2493</v>
      </c>
      <c r="C2947" s="967">
        <v>132000</v>
      </c>
      <c r="D2947" s="967" t="s">
        <v>2242</v>
      </c>
      <c r="E2947" s="967">
        <v>21850</v>
      </c>
      <c r="F2947" s="967">
        <v>2893692000</v>
      </c>
      <c r="G2947" s="967">
        <v>135000</v>
      </c>
      <c r="H2947" s="967">
        <v>135000</v>
      </c>
      <c r="I2947" s="967">
        <v>131000</v>
      </c>
      <c r="J2947" s="967">
        <v>1584000</v>
      </c>
      <c r="K2947" s="967">
        <v>12000000</v>
      </c>
    </row>
    <row r="2948" spans="2:11" s="1258" customFormat="1" ht="16" hidden="1" outlineLevel="1">
      <c r="B2948" s="968" t="s">
        <v>2492</v>
      </c>
      <c r="C2948" s="967">
        <v>134000</v>
      </c>
      <c r="D2948" s="967" t="s">
        <v>2244</v>
      </c>
      <c r="E2948" s="967">
        <v>24889</v>
      </c>
      <c r="F2948" s="967">
        <v>3328993500</v>
      </c>
      <c r="G2948" s="967">
        <v>134000</v>
      </c>
      <c r="H2948" s="967">
        <v>135000</v>
      </c>
      <c r="I2948" s="967">
        <v>132500</v>
      </c>
      <c r="J2948" s="967">
        <v>1608000</v>
      </c>
      <c r="K2948" s="967">
        <v>12000000</v>
      </c>
    </row>
    <row r="2949" spans="2:11" s="1258" customFormat="1" ht="16" hidden="1" outlineLevel="1">
      <c r="B2949" s="968" t="s">
        <v>2491</v>
      </c>
      <c r="C2949" s="967">
        <v>135500</v>
      </c>
      <c r="D2949" s="967" t="s">
        <v>2669</v>
      </c>
      <c r="E2949" s="967">
        <v>113930</v>
      </c>
      <c r="F2949" s="967">
        <v>15133359000</v>
      </c>
      <c r="G2949" s="967">
        <v>130000</v>
      </c>
      <c r="H2949" s="967">
        <v>135500</v>
      </c>
      <c r="I2949" s="967">
        <v>128500</v>
      </c>
      <c r="J2949" s="967">
        <v>1626000</v>
      </c>
      <c r="K2949" s="967">
        <v>12000000</v>
      </c>
    </row>
    <row r="2950" spans="2:11" s="1258" customFormat="1" ht="16" hidden="1" outlineLevel="1">
      <c r="B2950" s="968" t="s">
        <v>2490</v>
      </c>
      <c r="C2950" s="967">
        <v>129500</v>
      </c>
      <c r="D2950" s="967" t="s">
        <v>2244</v>
      </c>
      <c r="E2950" s="967">
        <v>36665</v>
      </c>
      <c r="F2950" s="967">
        <v>4810778000</v>
      </c>
      <c r="G2950" s="967">
        <v>132500</v>
      </c>
      <c r="H2950" s="967">
        <v>134500</v>
      </c>
      <c r="I2950" s="967">
        <v>129500</v>
      </c>
      <c r="J2950" s="967">
        <v>1554000</v>
      </c>
      <c r="K2950" s="967">
        <v>12000000</v>
      </c>
    </row>
    <row r="2951" spans="2:11" s="1258" customFormat="1" ht="16" hidden="1" outlineLevel="1">
      <c r="B2951" s="968" t="s">
        <v>2489</v>
      </c>
      <c r="C2951" s="967">
        <v>131000</v>
      </c>
      <c r="D2951" s="967" t="s">
        <v>2666</v>
      </c>
      <c r="E2951" s="967">
        <v>49298</v>
      </c>
      <c r="F2951" s="967">
        <v>6389581000</v>
      </c>
      <c r="G2951" s="967">
        <v>127000</v>
      </c>
      <c r="H2951" s="967">
        <v>131000</v>
      </c>
      <c r="I2951" s="967">
        <v>124500</v>
      </c>
      <c r="J2951" s="967">
        <v>1572000</v>
      </c>
      <c r="K2951" s="967">
        <v>12000000</v>
      </c>
    </row>
    <row r="2952" spans="2:11" s="1258" customFormat="1" ht="16" hidden="1" outlineLevel="1">
      <c r="B2952" s="968" t="s">
        <v>2488</v>
      </c>
      <c r="C2952" s="967">
        <v>127000</v>
      </c>
      <c r="D2952" s="967" t="s">
        <v>2275</v>
      </c>
      <c r="E2952" s="967">
        <v>79667</v>
      </c>
      <c r="F2952" s="967">
        <v>10356676000</v>
      </c>
      <c r="G2952" s="967">
        <v>132500</v>
      </c>
      <c r="H2952" s="967">
        <v>135000</v>
      </c>
      <c r="I2952" s="967">
        <v>126500</v>
      </c>
      <c r="J2952" s="967">
        <v>1524000</v>
      </c>
      <c r="K2952" s="967">
        <v>12000000</v>
      </c>
    </row>
    <row r="2953" spans="2:11" s="1258" customFormat="1" ht="16" hidden="1" outlineLevel="1">
      <c r="B2953" s="968" t="s">
        <v>2487</v>
      </c>
      <c r="C2953" s="967">
        <v>132000</v>
      </c>
      <c r="D2953" s="967" t="s">
        <v>2666</v>
      </c>
      <c r="E2953" s="967">
        <v>111805</v>
      </c>
      <c r="F2953" s="967">
        <v>14701887500</v>
      </c>
      <c r="G2953" s="967">
        <v>128500</v>
      </c>
      <c r="H2953" s="967">
        <v>133000</v>
      </c>
      <c r="I2953" s="967">
        <v>128000</v>
      </c>
      <c r="J2953" s="967">
        <v>1584000</v>
      </c>
      <c r="K2953" s="967">
        <v>12000000</v>
      </c>
    </row>
    <row r="2954" spans="2:11" s="1258" customFormat="1" ht="16" hidden="1" outlineLevel="1">
      <c r="B2954" s="968" t="s">
        <v>2485</v>
      </c>
      <c r="C2954" s="967">
        <v>128000</v>
      </c>
      <c r="D2954" s="967" t="s">
        <v>2288</v>
      </c>
      <c r="E2954" s="967">
        <v>51121</v>
      </c>
      <c r="F2954" s="967">
        <v>6511303000</v>
      </c>
      <c r="G2954" s="967">
        <v>128000</v>
      </c>
      <c r="H2954" s="967">
        <v>129000</v>
      </c>
      <c r="I2954" s="967">
        <v>125500</v>
      </c>
      <c r="J2954" s="967">
        <v>1536000</v>
      </c>
      <c r="K2954" s="967">
        <v>12000000</v>
      </c>
    </row>
    <row r="2955" spans="2:11" s="1258" customFormat="1" ht="16" hidden="1" outlineLevel="1">
      <c r="B2955" s="966" t="s">
        <v>2484</v>
      </c>
      <c r="C2955" s="965">
        <v>126000</v>
      </c>
      <c r="D2955" s="965" t="s">
        <v>2249</v>
      </c>
      <c r="E2955" s="965">
        <v>94728</v>
      </c>
      <c r="F2955" s="965">
        <v>12017520500</v>
      </c>
      <c r="G2955" s="965">
        <v>131500</v>
      </c>
      <c r="H2955" s="965">
        <v>132000</v>
      </c>
      <c r="I2955" s="965">
        <v>124000</v>
      </c>
      <c r="J2955" s="965">
        <v>1512000</v>
      </c>
      <c r="K2955" s="965">
        <v>12000000</v>
      </c>
    </row>
    <row r="2956" spans="2:11" s="1258" customFormat="1" ht="16" hidden="1" outlineLevel="1">
      <c r="B2956" s="966" t="s">
        <v>2483</v>
      </c>
      <c r="C2956" s="965">
        <v>132000</v>
      </c>
      <c r="D2956" s="965" t="s">
        <v>2668</v>
      </c>
      <c r="E2956" s="965">
        <v>255170</v>
      </c>
      <c r="F2956" s="965">
        <v>32827114000</v>
      </c>
      <c r="G2956" s="965">
        <v>121000</v>
      </c>
      <c r="H2956" s="965">
        <v>132000</v>
      </c>
      <c r="I2956" s="965">
        <v>120500</v>
      </c>
      <c r="J2956" s="965">
        <v>1584000</v>
      </c>
      <c r="K2956" s="965">
        <v>12000000</v>
      </c>
    </row>
    <row r="2957" spans="2:11" s="1258" customFormat="1" ht="16" hidden="1" outlineLevel="1">
      <c r="B2957" s="966" t="s">
        <v>2482</v>
      </c>
      <c r="C2957" s="965">
        <v>119000</v>
      </c>
      <c r="D2957" s="965" t="s">
        <v>1826</v>
      </c>
      <c r="E2957" s="965">
        <v>54430</v>
      </c>
      <c r="F2957" s="965">
        <v>6401332500</v>
      </c>
      <c r="G2957" s="965">
        <v>119500</v>
      </c>
      <c r="H2957" s="965">
        <v>120000</v>
      </c>
      <c r="I2957" s="965">
        <v>115000</v>
      </c>
      <c r="J2957" s="965">
        <v>1428000</v>
      </c>
      <c r="K2957" s="965">
        <v>12000000</v>
      </c>
    </row>
    <row r="2958" spans="2:11" s="1258" customFormat="1" ht="16" hidden="1" outlineLevel="1">
      <c r="B2958" s="966" t="s">
        <v>2481</v>
      </c>
      <c r="C2958" s="965">
        <v>118500</v>
      </c>
      <c r="D2958" s="965" t="s">
        <v>2245</v>
      </c>
      <c r="E2958" s="965">
        <v>30081</v>
      </c>
      <c r="F2958" s="965">
        <v>3512288500</v>
      </c>
      <c r="G2958" s="965">
        <v>117000</v>
      </c>
      <c r="H2958" s="965">
        <v>118500</v>
      </c>
      <c r="I2958" s="965">
        <v>115500</v>
      </c>
      <c r="J2958" s="965">
        <v>1422000</v>
      </c>
      <c r="K2958" s="965">
        <v>12000000</v>
      </c>
    </row>
    <row r="2959" spans="2:11" s="1258" customFormat="1" ht="16" hidden="1" outlineLevel="1">
      <c r="B2959" s="966" t="s">
        <v>2479</v>
      </c>
      <c r="C2959" s="965">
        <v>117000</v>
      </c>
      <c r="D2959" s="965" t="s">
        <v>2245</v>
      </c>
      <c r="E2959" s="965">
        <v>29397</v>
      </c>
      <c r="F2959" s="965">
        <v>3439332000</v>
      </c>
      <c r="G2959" s="965">
        <v>116000</v>
      </c>
      <c r="H2959" s="965">
        <v>118500</v>
      </c>
      <c r="I2959" s="965">
        <v>115500</v>
      </c>
      <c r="J2959" s="965">
        <v>1404000</v>
      </c>
      <c r="K2959" s="965">
        <v>12000000</v>
      </c>
    </row>
    <row r="2960" spans="2:11" s="1258" customFormat="1" ht="16" hidden="1" outlineLevel="1">
      <c r="B2960" s="966" t="s">
        <v>2478</v>
      </c>
      <c r="C2960" s="965">
        <v>115500</v>
      </c>
      <c r="D2960" s="965" t="s">
        <v>2274</v>
      </c>
      <c r="E2960" s="965">
        <v>34347</v>
      </c>
      <c r="F2960" s="965">
        <v>4038412000</v>
      </c>
      <c r="G2960" s="965">
        <v>119000</v>
      </c>
      <c r="H2960" s="965">
        <v>120500</v>
      </c>
      <c r="I2960" s="965">
        <v>115000</v>
      </c>
      <c r="J2960" s="965">
        <v>1386000</v>
      </c>
      <c r="K2960" s="965">
        <v>12000000</v>
      </c>
    </row>
    <row r="2961" spans="2:11" s="1258" customFormat="1" ht="16" hidden="1" outlineLevel="1">
      <c r="B2961" s="966" t="s">
        <v>2477</v>
      </c>
      <c r="C2961" s="965">
        <v>119000</v>
      </c>
      <c r="D2961" s="965" t="s">
        <v>2274</v>
      </c>
      <c r="E2961" s="965">
        <v>79915</v>
      </c>
      <c r="F2961" s="965">
        <v>9604483000</v>
      </c>
      <c r="G2961" s="965">
        <v>123500</v>
      </c>
      <c r="H2961" s="965">
        <v>123500</v>
      </c>
      <c r="I2961" s="965">
        <v>119000</v>
      </c>
      <c r="J2961" s="965">
        <v>1428000</v>
      </c>
      <c r="K2961" s="965">
        <v>12000000</v>
      </c>
    </row>
    <row r="2962" spans="2:11" s="1258" customFormat="1" ht="16" hidden="1" outlineLevel="1">
      <c r="B2962" s="966" t="s">
        <v>2476</v>
      </c>
      <c r="C2962" s="965">
        <v>122500</v>
      </c>
      <c r="D2962" s="965" t="s">
        <v>2667</v>
      </c>
      <c r="E2962" s="965">
        <v>145157</v>
      </c>
      <c r="F2962" s="965">
        <v>17438861500</v>
      </c>
      <c r="G2962" s="965">
        <v>115500</v>
      </c>
      <c r="H2962" s="965">
        <v>122500</v>
      </c>
      <c r="I2962" s="965">
        <v>115500</v>
      </c>
      <c r="J2962" s="965">
        <v>1470000</v>
      </c>
      <c r="K2962" s="965">
        <v>12000000</v>
      </c>
    </row>
    <row r="2963" spans="2:11" s="1258" customFormat="1" ht="16" hidden="1" outlineLevel="1">
      <c r="B2963" s="966" t="s">
        <v>2475</v>
      </c>
      <c r="C2963" s="965">
        <v>115000</v>
      </c>
      <c r="D2963" s="965" t="s">
        <v>2245</v>
      </c>
      <c r="E2963" s="965">
        <v>83939</v>
      </c>
      <c r="F2963" s="965">
        <v>9640079500</v>
      </c>
      <c r="G2963" s="965">
        <v>112500</v>
      </c>
      <c r="H2963" s="965">
        <v>116500</v>
      </c>
      <c r="I2963" s="965">
        <v>112000</v>
      </c>
      <c r="J2963" s="965">
        <v>1380000</v>
      </c>
      <c r="K2963" s="965">
        <v>12000000</v>
      </c>
    </row>
    <row r="2964" spans="2:11" s="1258" customFormat="1" ht="16" hidden="1" outlineLevel="1">
      <c r="B2964" s="966" t="s">
        <v>2474</v>
      </c>
      <c r="C2964" s="965">
        <v>113500</v>
      </c>
      <c r="D2964" s="965" t="s">
        <v>2248</v>
      </c>
      <c r="E2964" s="965">
        <v>65021</v>
      </c>
      <c r="F2964" s="965">
        <v>7427729500</v>
      </c>
      <c r="G2964" s="965">
        <v>115000</v>
      </c>
      <c r="H2964" s="965">
        <v>117500</v>
      </c>
      <c r="I2964" s="965">
        <v>112000</v>
      </c>
      <c r="J2964" s="965">
        <v>1362000</v>
      </c>
      <c r="K2964" s="965">
        <v>12000000</v>
      </c>
    </row>
    <row r="2965" spans="2:11" s="1258" customFormat="1" ht="16" hidden="1" outlineLevel="1">
      <c r="B2965" s="966" t="s">
        <v>2473</v>
      </c>
      <c r="C2965" s="965">
        <v>114500</v>
      </c>
      <c r="D2965" s="965" t="s">
        <v>2274</v>
      </c>
      <c r="E2965" s="965">
        <v>80391</v>
      </c>
      <c r="F2965" s="965">
        <v>9267059000</v>
      </c>
      <c r="G2965" s="965">
        <v>118000</v>
      </c>
      <c r="H2965" s="965">
        <v>118000</v>
      </c>
      <c r="I2965" s="965">
        <v>113000</v>
      </c>
      <c r="J2965" s="965">
        <v>1374000</v>
      </c>
      <c r="K2965" s="965">
        <v>12000000</v>
      </c>
    </row>
    <row r="2966" spans="2:11" s="1258" customFormat="1" ht="16" hidden="1" outlineLevel="1">
      <c r="B2966" s="966" t="s">
        <v>2472</v>
      </c>
      <c r="C2966" s="965">
        <v>118000</v>
      </c>
      <c r="D2966" s="965" t="s">
        <v>1826</v>
      </c>
      <c r="E2966" s="965">
        <v>92623</v>
      </c>
      <c r="F2966" s="965">
        <v>10939335000</v>
      </c>
      <c r="G2966" s="965">
        <v>118500</v>
      </c>
      <c r="H2966" s="965">
        <v>121000</v>
      </c>
      <c r="I2966" s="965">
        <v>116000</v>
      </c>
      <c r="J2966" s="965">
        <v>1416000</v>
      </c>
      <c r="K2966" s="965">
        <v>12000000</v>
      </c>
    </row>
    <row r="2967" spans="2:11" s="1258" customFormat="1" ht="16" hidden="1" outlineLevel="1">
      <c r="B2967" s="966" t="s">
        <v>2471</v>
      </c>
      <c r="C2967" s="965">
        <v>117500</v>
      </c>
      <c r="D2967" s="965" t="s">
        <v>2235</v>
      </c>
      <c r="E2967" s="965">
        <v>49737</v>
      </c>
      <c r="F2967" s="965">
        <v>5838930500</v>
      </c>
      <c r="G2967" s="965">
        <v>120000</v>
      </c>
      <c r="H2967" s="965">
        <v>120000</v>
      </c>
      <c r="I2967" s="965">
        <v>116500</v>
      </c>
      <c r="J2967" s="965">
        <v>1410000</v>
      </c>
      <c r="K2967" s="965">
        <v>12000000</v>
      </c>
    </row>
    <row r="2968" spans="2:11" s="1258" customFormat="1" ht="16" hidden="1" outlineLevel="1">
      <c r="B2968" s="966" t="s">
        <v>2470</v>
      </c>
      <c r="C2968" s="965">
        <v>120000</v>
      </c>
      <c r="D2968" s="965" t="s">
        <v>2248</v>
      </c>
      <c r="E2968" s="965">
        <v>61418</v>
      </c>
      <c r="F2968" s="965">
        <v>7369937500</v>
      </c>
      <c r="G2968" s="965">
        <v>120000</v>
      </c>
      <c r="H2968" s="965">
        <v>121500</v>
      </c>
      <c r="I2968" s="965">
        <v>119000</v>
      </c>
      <c r="J2968" s="965">
        <v>1440000</v>
      </c>
      <c r="K2968" s="965">
        <v>12000000</v>
      </c>
    </row>
    <row r="2969" spans="2:11" s="1258" customFormat="1" ht="16" hidden="1" outlineLevel="1">
      <c r="B2969" s="966" t="s">
        <v>2468</v>
      </c>
      <c r="C2969" s="965">
        <v>121000</v>
      </c>
      <c r="D2969" s="965" t="s">
        <v>2236</v>
      </c>
      <c r="E2969" s="965">
        <v>55062</v>
      </c>
      <c r="F2969" s="965">
        <v>6691127000</v>
      </c>
      <c r="G2969" s="965">
        <v>120000</v>
      </c>
      <c r="H2969" s="965">
        <v>122000</v>
      </c>
      <c r="I2969" s="965">
        <v>120000</v>
      </c>
      <c r="J2969" s="965">
        <v>1452000</v>
      </c>
      <c r="K2969" s="965">
        <v>12000000</v>
      </c>
    </row>
    <row r="2970" spans="2:11" s="1258" customFormat="1" ht="16" hidden="1" outlineLevel="1">
      <c r="B2970" s="966" t="s">
        <v>2467</v>
      </c>
      <c r="C2970" s="965">
        <v>120000</v>
      </c>
      <c r="D2970" s="965" t="s">
        <v>2288</v>
      </c>
      <c r="E2970" s="965">
        <v>67277</v>
      </c>
      <c r="F2970" s="965">
        <v>8069099254</v>
      </c>
      <c r="G2970" s="965">
        <v>118000</v>
      </c>
      <c r="H2970" s="965">
        <v>122000</v>
      </c>
      <c r="I2970" s="965">
        <v>116000</v>
      </c>
      <c r="J2970" s="965">
        <v>1440000</v>
      </c>
      <c r="K2970" s="965">
        <v>12000000</v>
      </c>
    </row>
    <row r="2971" spans="2:11" s="1258" customFormat="1" ht="16" hidden="1" outlineLevel="1">
      <c r="B2971" s="966" t="s">
        <v>2466</v>
      </c>
      <c r="C2971" s="965">
        <v>118000</v>
      </c>
      <c r="D2971" s="965" t="s">
        <v>2221</v>
      </c>
      <c r="E2971" s="965">
        <v>77312</v>
      </c>
      <c r="F2971" s="965">
        <v>9141818500</v>
      </c>
      <c r="G2971" s="965">
        <v>119000</v>
      </c>
      <c r="H2971" s="965">
        <v>120000</v>
      </c>
      <c r="I2971" s="965">
        <v>116000</v>
      </c>
      <c r="J2971" s="965">
        <v>1416000</v>
      </c>
      <c r="K2971" s="965">
        <v>12000000</v>
      </c>
    </row>
    <row r="2972" spans="2:11" s="1258" customFormat="1" ht="16" hidden="1" outlineLevel="1">
      <c r="B2972" s="966" t="s">
        <v>2465</v>
      </c>
      <c r="C2972" s="965">
        <v>118000</v>
      </c>
      <c r="D2972" s="965" t="s">
        <v>2235</v>
      </c>
      <c r="E2972" s="965">
        <v>147924</v>
      </c>
      <c r="F2972" s="965">
        <v>17617675500</v>
      </c>
      <c r="G2972" s="965">
        <v>120500</v>
      </c>
      <c r="H2972" s="965">
        <v>121500</v>
      </c>
      <c r="I2972" s="965">
        <v>118000</v>
      </c>
      <c r="J2972" s="965">
        <v>1416000</v>
      </c>
      <c r="K2972" s="965">
        <v>12000000</v>
      </c>
    </row>
    <row r="2973" spans="2:11" s="1258" customFormat="1" ht="16" hidden="1" outlineLevel="1">
      <c r="B2973" s="966" t="s">
        <v>2464</v>
      </c>
      <c r="C2973" s="965">
        <v>120500</v>
      </c>
      <c r="D2973" s="965" t="s">
        <v>1814</v>
      </c>
      <c r="E2973" s="965">
        <v>88508</v>
      </c>
      <c r="F2973" s="965">
        <v>10849511500</v>
      </c>
      <c r="G2973" s="965">
        <v>121500</v>
      </c>
      <c r="H2973" s="965">
        <v>124500</v>
      </c>
      <c r="I2973" s="965">
        <v>120000</v>
      </c>
      <c r="J2973" s="965">
        <v>1446000</v>
      </c>
      <c r="K2973" s="965">
        <v>12000000</v>
      </c>
    </row>
    <row r="2974" spans="2:11" s="1258" customFormat="1" ht="16" hidden="1" outlineLevel="1">
      <c r="B2974" s="966" t="s">
        <v>2463</v>
      </c>
      <c r="C2974" s="965">
        <v>121000</v>
      </c>
      <c r="D2974" s="965" t="s">
        <v>2278</v>
      </c>
      <c r="E2974" s="965">
        <v>68900</v>
      </c>
      <c r="F2974" s="965">
        <v>8357130000</v>
      </c>
      <c r="G2974" s="965">
        <v>125000</v>
      </c>
      <c r="H2974" s="965">
        <v>125500</v>
      </c>
      <c r="I2974" s="965">
        <v>120000</v>
      </c>
      <c r="J2974" s="965">
        <v>1452000</v>
      </c>
      <c r="K2974" s="965">
        <v>12000000</v>
      </c>
    </row>
    <row r="2975" spans="2:11" s="1258" customFormat="1" ht="16" hidden="1" outlineLevel="1">
      <c r="B2975" s="966" t="s">
        <v>2461</v>
      </c>
      <c r="C2975" s="965">
        <v>124000</v>
      </c>
      <c r="D2975" s="965" t="s">
        <v>2220</v>
      </c>
      <c r="E2975" s="965">
        <v>165837</v>
      </c>
      <c r="F2975" s="965">
        <v>20468912500</v>
      </c>
      <c r="G2975" s="965">
        <v>122000</v>
      </c>
      <c r="H2975" s="965">
        <v>125000</v>
      </c>
      <c r="I2975" s="965">
        <v>121000</v>
      </c>
      <c r="J2975" s="965">
        <v>1488000</v>
      </c>
      <c r="K2975" s="965">
        <v>12000000</v>
      </c>
    </row>
    <row r="2976" spans="2:11" s="1258" customFormat="1" ht="16" hidden="1" outlineLevel="1">
      <c r="B2976" s="966" t="s">
        <v>2459</v>
      </c>
      <c r="C2976" s="965">
        <v>121500</v>
      </c>
      <c r="D2976" s="965" t="s">
        <v>2220</v>
      </c>
      <c r="E2976" s="965">
        <v>126279</v>
      </c>
      <c r="F2976" s="965">
        <v>15213702000</v>
      </c>
      <c r="G2976" s="965">
        <v>120000</v>
      </c>
      <c r="H2976" s="965">
        <v>121500</v>
      </c>
      <c r="I2976" s="965">
        <v>118500</v>
      </c>
      <c r="J2976" s="965">
        <v>1458000</v>
      </c>
      <c r="K2976" s="965">
        <v>12000000</v>
      </c>
    </row>
    <row r="2977" spans="2:11" s="1258" customFormat="1" ht="16" hidden="1" outlineLevel="1">
      <c r="B2977" s="966" t="s">
        <v>2457</v>
      </c>
      <c r="C2977" s="965">
        <v>119000</v>
      </c>
      <c r="D2977" s="965" t="s">
        <v>2666</v>
      </c>
      <c r="E2977" s="965">
        <v>158928</v>
      </c>
      <c r="F2977" s="965">
        <v>18890422500</v>
      </c>
      <c r="G2977" s="965">
        <v>117000</v>
      </c>
      <c r="H2977" s="965">
        <v>119500</v>
      </c>
      <c r="I2977" s="965">
        <v>116500</v>
      </c>
      <c r="J2977" s="965">
        <v>1428000</v>
      </c>
      <c r="K2977" s="965">
        <v>12000000</v>
      </c>
    </row>
    <row r="2978" spans="2:11" s="1258" customFormat="1" ht="16" hidden="1" outlineLevel="1">
      <c r="B2978" s="966" t="s">
        <v>2455</v>
      </c>
      <c r="C2978" s="965">
        <v>115000</v>
      </c>
      <c r="D2978" s="965" t="s">
        <v>1826</v>
      </c>
      <c r="E2978" s="965">
        <v>84314</v>
      </c>
      <c r="F2978" s="965">
        <v>9645415500</v>
      </c>
      <c r="G2978" s="965">
        <v>114500</v>
      </c>
      <c r="H2978" s="965">
        <v>115500</v>
      </c>
      <c r="I2978" s="965">
        <v>111500</v>
      </c>
      <c r="J2978" s="965">
        <v>1380000</v>
      </c>
      <c r="K2978" s="965">
        <v>12000000</v>
      </c>
    </row>
    <row r="2979" spans="2:11" s="1258" customFormat="1" ht="16" hidden="1" outlineLevel="1">
      <c r="B2979" s="966" t="s">
        <v>2454</v>
      </c>
      <c r="C2979" s="965">
        <v>114500</v>
      </c>
      <c r="D2979" s="965" t="s">
        <v>1826</v>
      </c>
      <c r="E2979" s="965">
        <v>99268</v>
      </c>
      <c r="F2979" s="965">
        <v>11421614000</v>
      </c>
      <c r="G2979" s="965">
        <v>115000</v>
      </c>
      <c r="H2979" s="965">
        <v>116500</v>
      </c>
      <c r="I2979" s="965">
        <v>114000</v>
      </c>
      <c r="J2979" s="965">
        <v>1374000</v>
      </c>
      <c r="K2979" s="965">
        <v>12000000</v>
      </c>
    </row>
    <row r="2980" spans="2:11" s="1258" customFormat="1" ht="16" hidden="1" outlineLevel="1">
      <c r="B2980" s="966" t="s">
        <v>2453</v>
      </c>
      <c r="C2980" s="965">
        <v>114000</v>
      </c>
      <c r="D2980" s="965" t="s">
        <v>2666</v>
      </c>
      <c r="E2980" s="965">
        <v>126277</v>
      </c>
      <c r="F2980" s="965">
        <v>14069552000</v>
      </c>
      <c r="G2980" s="965">
        <v>111000</v>
      </c>
      <c r="H2980" s="965">
        <v>114000</v>
      </c>
      <c r="I2980" s="965">
        <v>109000</v>
      </c>
      <c r="J2980" s="965">
        <v>1368000</v>
      </c>
      <c r="K2980" s="965">
        <v>12000000</v>
      </c>
    </row>
    <row r="2981" spans="2:11" s="1258" customFormat="1" ht="16" hidden="1" outlineLevel="1">
      <c r="B2981" s="966" t="s">
        <v>2451</v>
      </c>
      <c r="C2981" s="965">
        <v>110000</v>
      </c>
      <c r="D2981" s="965" t="s">
        <v>1826</v>
      </c>
      <c r="E2981" s="965">
        <v>38717</v>
      </c>
      <c r="F2981" s="965">
        <v>4240686500</v>
      </c>
      <c r="G2981" s="965">
        <v>109000</v>
      </c>
      <c r="H2981" s="965">
        <v>110000</v>
      </c>
      <c r="I2981" s="965">
        <v>108500</v>
      </c>
      <c r="J2981" s="965">
        <v>1320000</v>
      </c>
      <c r="K2981" s="965">
        <v>12000000</v>
      </c>
    </row>
    <row r="2982" spans="2:11" s="1258" customFormat="1" ht="16" hidden="1" outlineLevel="1">
      <c r="B2982" s="966" t="s">
        <v>2450</v>
      </c>
      <c r="C2982" s="965">
        <v>109500</v>
      </c>
      <c r="D2982" s="965" t="s">
        <v>2236</v>
      </c>
      <c r="E2982" s="965">
        <v>68051</v>
      </c>
      <c r="F2982" s="965">
        <v>7455089000</v>
      </c>
      <c r="G2982" s="965">
        <v>110000</v>
      </c>
      <c r="H2982" s="965">
        <v>111000</v>
      </c>
      <c r="I2982" s="965">
        <v>108500</v>
      </c>
      <c r="J2982" s="965">
        <v>1314000</v>
      </c>
      <c r="K2982" s="965">
        <v>12000000</v>
      </c>
    </row>
    <row r="2983" spans="2:11" s="1258" customFormat="1" ht="16" hidden="1" outlineLevel="1">
      <c r="B2983" s="966" t="s">
        <v>2449</v>
      </c>
      <c r="C2983" s="965">
        <v>108500</v>
      </c>
      <c r="D2983" s="965" t="s">
        <v>1814</v>
      </c>
      <c r="E2983" s="965">
        <v>86631</v>
      </c>
      <c r="F2983" s="965">
        <v>9449154500</v>
      </c>
      <c r="G2983" s="965">
        <v>109000</v>
      </c>
      <c r="H2983" s="965">
        <v>110000</v>
      </c>
      <c r="I2983" s="965">
        <v>107500</v>
      </c>
      <c r="J2983" s="965">
        <v>1302000</v>
      </c>
      <c r="K2983" s="965">
        <v>12000000</v>
      </c>
    </row>
    <row r="2984" spans="2:11" s="1258" customFormat="1" ht="16" hidden="1" outlineLevel="1">
      <c r="B2984" s="966" t="s">
        <v>2448</v>
      </c>
      <c r="C2984" s="965">
        <v>109000</v>
      </c>
      <c r="D2984" s="965" t="s">
        <v>2245</v>
      </c>
      <c r="E2984" s="965">
        <v>110704</v>
      </c>
      <c r="F2984" s="965">
        <v>11992782000</v>
      </c>
      <c r="G2984" s="965">
        <v>108000</v>
      </c>
      <c r="H2984" s="965">
        <v>109000</v>
      </c>
      <c r="I2984" s="965">
        <v>107500</v>
      </c>
      <c r="J2984" s="965">
        <v>1308000</v>
      </c>
      <c r="K2984" s="965">
        <v>12000000</v>
      </c>
    </row>
    <row r="2985" spans="2:11" s="1258" customFormat="1" ht="16" hidden="1" outlineLevel="1">
      <c r="B2985" s="966" t="s">
        <v>2447</v>
      </c>
      <c r="C2985" s="965">
        <v>107500</v>
      </c>
      <c r="D2985" s="965" t="s">
        <v>2277</v>
      </c>
      <c r="E2985" s="965">
        <v>178906</v>
      </c>
      <c r="F2985" s="965">
        <v>18927612500</v>
      </c>
      <c r="G2985" s="965">
        <v>104500</v>
      </c>
      <c r="H2985" s="965">
        <v>107500</v>
      </c>
      <c r="I2985" s="965">
        <v>103500</v>
      </c>
      <c r="J2985" s="965">
        <v>1290000</v>
      </c>
      <c r="K2985" s="965">
        <v>12000000</v>
      </c>
    </row>
    <row r="2986" spans="2:11" s="1258" customFormat="1" ht="16" hidden="1" outlineLevel="1">
      <c r="B2986" s="966" t="s">
        <v>2446</v>
      </c>
      <c r="C2986" s="965">
        <v>104500</v>
      </c>
      <c r="D2986" s="965" t="s">
        <v>1826</v>
      </c>
      <c r="E2986" s="965">
        <v>138920</v>
      </c>
      <c r="F2986" s="965">
        <v>14370876000</v>
      </c>
      <c r="G2986" s="965">
        <v>103000</v>
      </c>
      <c r="H2986" s="965">
        <v>105500</v>
      </c>
      <c r="I2986" s="965">
        <v>101000</v>
      </c>
      <c r="J2986" s="965">
        <v>1254000</v>
      </c>
      <c r="K2986" s="965">
        <v>12000000</v>
      </c>
    </row>
    <row r="2987" spans="2:11" s="1258" customFormat="1" ht="16" hidden="1" outlineLevel="1">
      <c r="B2987" s="966" t="s">
        <v>2445</v>
      </c>
      <c r="C2987" s="965">
        <v>104000</v>
      </c>
      <c r="D2987" s="965" t="s">
        <v>2236</v>
      </c>
      <c r="E2987" s="965">
        <v>170820</v>
      </c>
      <c r="F2987" s="965">
        <v>17995835500</v>
      </c>
      <c r="G2987" s="965">
        <v>104500</v>
      </c>
      <c r="H2987" s="965">
        <v>108500</v>
      </c>
      <c r="I2987" s="965">
        <v>103000</v>
      </c>
      <c r="J2987" s="965">
        <v>1248000</v>
      </c>
      <c r="K2987" s="965">
        <v>12000000</v>
      </c>
    </row>
    <row r="2988" spans="2:11" s="1258" customFormat="1" ht="16" hidden="1" outlineLevel="1">
      <c r="B2988" s="966" t="s">
        <v>2443</v>
      </c>
      <c r="C2988" s="965">
        <v>103000</v>
      </c>
      <c r="D2988" s="965" t="s">
        <v>2248</v>
      </c>
      <c r="E2988" s="965">
        <v>153439</v>
      </c>
      <c r="F2988" s="965">
        <v>15800963500</v>
      </c>
      <c r="G2988" s="965">
        <v>104000</v>
      </c>
      <c r="H2988" s="965">
        <v>106500</v>
      </c>
      <c r="I2988" s="965">
        <v>99600</v>
      </c>
      <c r="J2988" s="965">
        <v>1236000</v>
      </c>
      <c r="K2988" s="965">
        <v>12000000</v>
      </c>
    </row>
    <row r="2989" spans="2:11" s="1258" customFormat="1" ht="16" hidden="1" outlineLevel="1">
      <c r="B2989" s="966" t="s">
        <v>2441</v>
      </c>
      <c r="C2989" s="965">
        <v>104000</v>
      </c>
      <c r="D2989" s="965" t="s">
        <v>2242</v>
      </c>
      <c r="E2989" s="965">
        <v>80913</v>
      </c>
      <c r="F2989" s="965">
        <v>8410192000</v>
      </c>
      <c r="G2989" s="965">
        <v>105500</v>
      </c>
      <c r="H2989" s="965">
        <v>106500</v>
      </c>
      <c r="I2989" s="965">
        <v>101000</v>
      </c>
      <c r="J2989" s="965">
        <v>1248000</v>
      </c>
      <c r="K2989" s="965">
        <v>12000000</v>
      </c>
    </row>
    <row r="2990" spans="2:11" s="1258" customFormat="1" ht="16" hidden="1" outlineLevel="1">
      <c r="B2990" s="966" t="s">
        <v>2439</v>
      </c>
      <c r="C2990" s="965">
        <v>106000</v>
      </c>
      <c r="D2990" s="965" t="s">
        <v>2288</v>
      </c>
      <c r="E2990" s="965">
        <v>178380</v>
      </c>
      <c r="F2990" s="965">
        <v>18857304500</v>
      </c>
      <c r="G2990" s="965">
        <v>102500</v>
      </c>
      <c r="H2990" s="965">
        <v>107000</v>
      </c>
      <c r="I2990" s="965">
        <v>102500</v>
      </c>
      <c r="J2990" s="965">
        <v>1272000</v>
      </c>
      <c r="K2990" s="965">
        <v>12000000</v>
      </c>
    </row>
    <row r="2991" spans="2:11" s="1258" customFormat="1" ht="16" hidden="1" outlineLevel="1">
      <c r="B2991" s="966" t="s">
        <v>2438</v>
      </c>
      <c r="C2991" s="965">
        <v>104000</v>
      </c>
      <c r="D2991" s="965" t="s">
        <v>2221</v>
      </c>
      <c r="E2991" s="965">
        <v>142590</v>
      </c>
      <c r="F2991" s="965">
        <v>14798769000</v>
      </c>
      <c r="G2991" s="965">
        <v>103500</v>
      </c>
      <c r="H2991" s="965">
        <v>105500</v>
      </c>
      <c r="I2991" s="965">
        <v>101500</v>
      </c>
      <c r="J2991" s="965">
        <v>1248000</v>
      </c>
      <c r="K2991" s="965">
        <v>12000000</v>
      </c>
    </row>
    <row r="2992" spans="2:11" s="1258" customFormat="1" ht="16" hidden="1" outlineLevel="1">
      <c r="B2992" s="966" t="s">
        <v>2436</v>
      </c>
      <c r="C2992" s="965">
        <v>104000</v>
      </c>
      <c r="D2992" s="965" t="s">
        <v>2288</v>
      </c>
      <c r="E2992" s="965">
        <v>177402</v>
      </c>
      <c r="F2992" s="965">
        <v>18425668500</v>
      </c>
      <c r="G2992" s="965">
        <v>102000</v>
      </c>
      <c r="H2992" s="965">
        <v>104500</v>
      </c>
      <c r="I2992" s="965">
        <v>101000</v>
      </c>
      <c r="J2992" s="965">
        <v>1248000</v>
      </c>
      <c r="K2992" s="965">
        <v>12000000</v>
      </c>
    </row>
    <row r="2993" spans="2:11" s="1258" customFormat="1" ht="16" hidden="1" outlineLevel="1">
      <c r="B2993" s="966" t="s">
        <v>2435</v>
      </c>
      <c r="C2993" s="965">
        <v>102000</v>
      </c>
      <c r="D2993" s="965" t="s">
        <v>2665</v>
      </c>
      <c r="E2993" s="965">
        <v>149765</v>
      </c>
      <c r="F2993" s="965">
        <v>14887419900</v>
      </c>
      <c r="G2993" s="965">
        <v>95600</v>
      </c>
      <c r="H2993" s="965">
        <v>102000</v>
      </c>
      <c r="I2993" s="965">
        <v>94600</v>
      </c>
      <c r="J2993" s="965">
        <v>1224000</v>
      </c>
      <c r="K2993" s="965">
        <v>12000000</v>
      </c>
    </row>
    <row r="2994" spans="2:11" s="1258" customFormat="1" ht="16" hidden="1" outlineLevel="1">
      <c r="B2994" s="966" t="s">
        <v>2433</v>
      </c>
      <c r="C2994" s="965">
        <v>95300</v>
      </c>
      <c r="D2994" s="965" t="s">
        <v>2664</v>
      </c>
      <c r="E2994" s="965">
        <v>79017</v>
      </c>
      <c r="F2994" s="965">
        <v>7535211800</v>
      </c>
      <c r="G2994" s="965">
        <v>93700</v>
      </c>
      <c r="H2994" s="965">
        <v>96000</v>
      </c>
      <c r="I2994" s="965">
        <v>93700</v>
      </c>
      <c r="J2994" s="965">
        <v>1143600</v>
      </c>
      <c r="K2994" s="965">
        <v>12000000</v>
      </c>
    </row>
    <row r="2995" spans="2:11" s="1258" customFormat="1" ht="16" hidden="1" outlineLevel="1">
      <c r="B2995" s="966" t="s">
        <v>2431</v>
      </c>
      <c r="C2995" s="965">
        <v>93700</v>
      </c>
      <c r="D2995" s="965" t="s">
        <v>2304</v>
      </c>
      <c r="E2995" s="965">
        <v>45790</v>
      </c>
      <c r="F2995" s="965">
        <v>4325850700</v>
      </c>
      <c r="G2995" s="965">
        <v>95600</v>
      </c>
      <c r="H2995" s="965">
        <v>96400</v>
      </c>
      <c r="I2995" s="965">
        <v>93700</v>
      </c>
      <c r="J2995" s="965">
        <v>1124400</v>
      </c>
      <c r="K2995" s="965">
        <v>12000000</v>
      </c>
    </row>
    <row r="2996" spans="2:11" s="1258" customFormat="1" ht="16" hidden="1" outlineLevel="1">
      <c r="B2996" s="966" t="s">
        <v>2430</v>
      </c>
      <c r="C2996" s="965">
        <v>95400</v>
      </c>
      <c r="D2996" s="965" t="s">
        <v>2243</v>
      </c>
      <c r="E2996" s="965">
        <v>44023</v>
      </c>
      <c r="F2996" s="965">
        <v>4185205220</v>
      </c>
      <c r="G2996" s="965">
        <v>95300</v>
      </c>
      <c r="H2996" s="965">
        <v>95600</v>
      </c>
      <c r="I2996" s="965">
        <v>94000</v>
      </c>
      <c r="J2996" s="965">
        <v>1144800</v>
      </c>
      <c r="K2996" s="965">
        <v>12000000</v>
      </c>
    </row>
    <row r="2997" spans="2:11" s="1258" customFormat="1" ht="16" hidden="1" outlineLevel="1">
      <c r="B2997" s="966" t="s">
        <v>2428</v>
      </c>
      <c r="C2997" s="965">
        <v>95100</v>
      </c>
      <c r="D2997" s="965" t="s">
        <v>2240</v>
      </c>
      <c r="E2997" s="965">
        <v>54657</v>
      </c>
      <c r="F2997" s="965">
        <v>5204549700</v>
      </c>
      <c r="G2997" s="965">
        <v>93100</v>
      </c>
      <c r="H2997" s="965">
        <v>96300</v>
      </c>
      <c r="I2997" s="965">
        <v>92800</v>
      </c>
      <c r="J2997" s="965">
        <v>1141200</v>
      </c>
      <c r="K2997" s="965">
        <v>12000000</v>
      </c>
    </row>
    <row r="2998" spans="2:11" s="1258" customFormat="1" ht="16" hidden="1" outlineLevel="1">
      <c r="B2998" s="966" t="s">
        <v>2427</v>
      </c>
      <c r="C2998" s="965">
        <v>93200</v>
      </c>
      <c r="D2998" s="965" t="s">
        <v>2658</v>
      </c>
      <c r="E2998" s="965">
        <v>33525</v>
      </c>
      <c r="F2998" s="965">
        <v>3139631713</v>
      </c>
      <c r="G2998" s="965">
        <v>94900</v>
      </c>
      <c r="H2998" s="965">
        <v>94900</v>
      </c>
      <c r="I2998" s="965">
        <v>93000</v>
      </c>
      <c r="J2998" s="965">
        <v>1118400</v>
      </c>
      <c r="K2998" s="965">
        <v>12000000</v>
      </c>
    </row>
    <row r="2999" spans="2:11" s="1258" customFormat="1" ht="16" hidden="1" outlineLevel="1">
      <c r="B2999" s="966" t="s">
        <v>2425</v>
      </c>
      <c r="C2999" s="965">
        <v>95000</v>
      </c>
      <c r="D2999" s="965" t="s">
        <v>2247</v>
      </c>
      <c r="E2999" s="965">
        <v>40507</v>
      </c>
      <c r="F2999" s="965">
        <v>3831219700</v>
      </c>
      <c r="G2999" s="965">
        <v>96900</v>
      </c>
      <c r="H2999" s="965">
        <v>96900</v>
      </c>
      <c r="I2999" s="965">
        <v>93000</v>
      </c>
      <c r="J2999" s="965">
        <v>1140000</v>
      </c>
      <c r="K2999" s="965">
        <v>12000000</v>
      </c>
    </row>
    <row r="3000" spans="2:11" s="1258" customFormat="1" ht="16" hidden="1" outlineLevel="1">
      <c r="B3000" s="966" t="s">
        <v>2423</v>
      </c>
      <c r="C3000" s="965">
        <v>96100</v>
      </c>
      <c r="D3000" s="965" t="s">
        <v>2241</v>
      </c>
      <c r="E3000" s="965">
        <v>105231</v>
      </c>
      <c r="F3000" s="965">
        <v>10178710200</v>
      </c>
      <c r="G3000" s="965">
        <v>96000</v>
      </c>
      <c r="H3000" s="965">
        <v>99400</v>
      </c>
      <c r="I3000" s="965">
        <v>95000</v>
      </c>
      <c r="J3000" s="965">
        <v>1153200</v>
      </c>
      <c r="K3000" s="965">
        <v>12000000</v>
      </c>
    </row>
    <row r="3001" spans="2:11" s="1258" customFormat="1" ht="16" hidden="1" outlineLevel="1">
      <c r="B3001" s="966" t="s">
        <v>2422</v>
      </c>
      <c r="C3001" s="965">
        <v>97000</v>
      </c>
      <c r="D3001" s="965" t="s">
        <v>2663</v>
      </c>
      <c r="E3001" s="965">
        <v>107288</v>
      </c>
      <c r="F3001" s="965">
        <v>10193260400</v>
      </c>
      <c r="G3001" s="965">
        <v>90800</v>
      </c>
      <c r="H3001" s="965">
        <v>97300</v>
      </c>
      <c r="I3001" s="965">
        <v>90000</v>
      </c>
      <c r="J3001" s="965">
        <v>1164000</v>
      </c>
      <c r="K3001" s="965">
        <v>12000000</v>
      </c>
    </row>
    <row r="3002" spans="2:11" s="1258" customFormat="1" ht="16" hidden="1" outlineLevel="1">
      <c r="B3002" s="966" t="s">
        <v>2420</v>
      </c>
      <c r="C3002" s="965">
        <v>90000</v>
      </c>
      <c r="D3002" s="965" t="s">
        <v>2243</v>
      </c>
      <c r="E3002" s="965">
        <v>41443</v>
      </c>
      <c r="F3002" s="965">
        <v>3702238100</v>
      </c>
      <c r="G3002" s="965">
        <v>89700</v>
      </c>
      <c r="H3002" s="965">
        <v>90800</v>
      </c>
      <c r="I3002" s="965">
        <v>88200</v>
      </c>
      <c r="J3002" s="965">
        <v>1080000</v>
      </c>
      <c r="K3002" s="965">
        <v>12000000</v>
      </c>
    </row>
    <row r="3003" spans="2:11" s="1258" customFormat="1" ht="16" hidden="1" outlineLevel="1">
      <c r="B3003" s="966" t="s">
        <v>2418</v>
      </c>
      <c r="C3003" s="965">
        <v>89700</v>
      </c>
      <c r="D3003" s="965" t="s">
        <v>2622</v>
      </c>
      <c r="E3003" s="965">
        <v>44872</v>
      </c>
      <c r="F3003" s="965">
        <v>4049098600</v>
      </c>
      <c r="G3003" s="965">
        <v>93000</v>
      </c>
      <c r="H3003" s="965">
        <v>93000</v>
      </c>
      <c r="I3003" s="965">
        <v>89700</v>
      </c>
      <c r="J3003" s="965">
        <v>1076400</v>
      </c>
      <c r="K3003" s="965">
        <v>12000000</v>
      </c>
    </row>
    <row r="3004" spans="2:11" s="1258" customFormat="1" ht="16" hidden="1" outlineLevel="1">
      <c r="B3004" s="966" t="s">
        <v>2417</v>
      </c>
      <c r="C3004" s="965">
        <v>92000</v>
      </c>
      <c r="D3004" s="965" t="s">
        <v>2292</v>
      </c>
      <c r="E3004" s="965">
        <v>74186</v>
      </c>
      <c r="F3004" s="965">
        <v>6769209700</v>
      </c>
      <c r="G3004" s="965">
        <v>88900</v>
      </c>
      <c r="H3004" s="965">
        <v>92400</v>
      </c>
      <c r="I3004" s="965">
        <v>88900</v>
      </c>
      <c r="J3004" s="965">
        <v>1104000</v>
      </c>
      <c r="K3004" s="965">
        <v>12000000</v>
      </c>
    </row>
    <row r="3005" spans="2:11" s="1258" customFormat="1" ht="16" hidden="1" outlineLevel="1">
      <c r="B3005" s="966" t="s">
        <v>2416</v>
      </c>
      <c r="C3005" s="965">
        <v>88800</v>
      </c>
      <c r="D3005" s="965" t="s">
        <v>2662</v>
      </c>
      <c r="E3005" s="965">
        <v>153366</v>
      </c>
      <c r="F3005" s="965">
        <v>13738606500</v>
      </c>
      <c r="G3005" s="965">
        <v>92300</v>
      </c>
      <c r="H3005" s="965">
        <v>93500</v>
      </c>
      <c r="I3005" s="965">
        <v>86400</v>
      </c>
      <c r="J3005" s="965">
        <v>1065600</v>
      </c>
      <c r="K3005" s="965">
        <v>12000000</v>
      </c>
    </row>
    <row r="3006" spans="2:11" s="1258" customFormat="1" ht="16" hidden="1" outlineLevel="1">
      <c r="B3006" s="966" t="s">
        <v>2414</v>
      </c>
      <c r="C3006" s="965">
        <v>92100</v>
      </c>
      <c r="D3006" s="965" t="s">
        <v>2304</v>
      </c>
      <c r="E3006" s="965">
        <v>42017</v>
      </c>
      <c r="F3006" s="965">
        <v>3882124400</v>
      </c>
      <c r="G3006" s="965">
        <v>93200</v>
      </c>
      <c r="H3006" s="965">
        <v>93800</v>
      </c>
      <c r="I3006" s="965">
        <v>92000</v>
      </c>
      <c r="J3006" s="965">
        <v>1105200</v>
      </c>
      <c r="K3006" s="965">
        <v>12000000</v>
      </c>
    </row>
    <row r="3007" spans="2:11" s="1258" customFormat="1" ht="16" hidden="1" outlineLevel="1">
      <c r="B3007" s="966" t="s">
        <v>2412</v>
      </c>
      <c r="C3007" s="965">
        <v>93800</v>
      </c>
      <c r="D3007" s="965" t="s">
        <v>2208</v>
      </c>
      <c r="E3007" s="965">
        <v>50587</v>
      </c>
      <c r="F3007" s="965">
        <v>4747573200</v>
      </c>
      <c r="G3007" s="965">
        <v>94100</v>
      </c>
      <c r="H3007" s="965">
        <v>95100</v>
      </c>
      <c r="I3007" s="965">
        <v>92800</v>
      </c>
      <c r="J3007" s="965">
        <v>1125600</v>
      </c>
      <c r="K3007" s="965">
        <v>12000000</v>
      </c>
    </row>
    <row r="3008" spans="2:11" s="1258" customFormat="1" ht="16" hidden="1" outlineLevel="1">
      <c r="B3008" s="966" t="s">
        <v>2410</v>
      </c>
      <c r="C3008" s="965">
        <v>93100</v>
      </c>
      <c r="D3008" s="965" t="s">
        <v>2661</v>
      </c>
      <c r="E3008" s="965">
        <v>87203</v>
      </c>
      <c r="F3008" s="965">
        <v>8112005700</v>
      </c>
      <c r="G3008" s="965">
        <v>95300</v>
      </c>
      <c r="H3008" s="965">
        <v>96800</v>
      </c>
      <c r="I3008" s="965">
        <v>92300</v>
      </c>
      <c r="J3008" s="965">
        <v>1117200</v>
      </c>
      <c r="K3008" s="965">
        <v>12000000</v>
      </c>
    </row>
    <row r="3009" spans="2:11" s="1258" customFormat="1" ht="16" hidden="1" outlineLevel="1">
      <c r="B3009" s="966" t="s">
        <v>2409</v>
      </c>
      <c r="C3009" s="965">
        <v>95200</v>
      </c>
      <c r="D3009" s="965" t="s">
        <v>2290</v>
      </c>
      <c r="E3009" s="965">
        <v>67966</v>
      </c>
      <c r="F3009" s="965">
        <v>6567340200</v>
      </c>
      <c r="G3009" s="965">
        <v>100500</v>
      </c>
      <c r="H3009" s="965">
        <v>100500</v>
      </c>
      <c r="I3009" s="965">
        <v>94600</v>
      </c>
      <c r="J3009" s="965">
        <v>1142400</v>
      </c>
      <c r="K3009" s="965">
        <v>12000000</v>
      </c>
    </row>
    <row r="3010" spans="2:11" s="1258" customFormat="1" ht="16" hidden="1" outlineLevel="1">
      <c r="B3010" s="966" t="s">
        <v>2407</v>
      </c>
      <c r="C3010" s="965">
        <v>99900</v>
      </c>
      <c r="D3010" s="965" t="s">
        <v>2247</v>
      </c>
      <c r="E3010" s="965">
        <v>42840</v>
      </c>
      <c r="F3010" s="965">
        <v>4264327800</v>
      </c>
      <c r="G3010" s="965">
        <v>101500</v>
      </c>
      <c r="H3010" s="965">
        <v>101500</v>
      </c>
      <c r="I3010" s="965">
        <v>98300</v>
      </c>
      <c r="J3010" s="965">
        <v>1198800</v>
      </c>
      <c r="K3010" s="965">
        <v>12000000</v>
      </c>
    </row>
    <row r="3011" spans="2:11" s="1258" customFormat="1" ht="16" hidden="1" outlineLevel="1">
      <c r="B3011" s="966" t="s">
        <v>2406</v>
      </c>
      <c r="C3011" s="965">
        <v>101000</v>
      </c>
      <c r="D3011" s="965" t="s">
        <v>1826</v>
      </c>
      <c r="E3011" s="965">
        <v>17328</v>
      </c>
      <c r="F3011" s="965">
        <v>1752582000</v>
      </c>
      <c r="G3011" s="965">
        <v>101000</v>
      </c>
      <c r="H3011" s="965">
        <v>102000</v>
      </c>
      <c r="I3011" s="965">
        <v>100500</v>
      </c>
      <c r="J3011" s="965">
        <v>1212000</v>
      </c>
      <c r="K3011" s="965">
        <v>12000000</v>
      </c>
    </row>
    <row r="3012" spans="2:11" s="1258" customFormat="1" ht="16" hidden="1" outlineLevel="1">
      <c r="B3012" s="966" t="s">
        <v>2404</v>
      </c>
      <c r="C3012" s="965">
        <v>100500</v>
      </c>
      <c r="D3012" s="965" t="s">
        <v>1826</v>
      </c>
      <c r="E3012" s="965">
        <v>26770</v>
      </c>
      <c r="F3012" s="965">
        <v>2697927000</v>
      </c>
      <c r="G3012" s="965">
        <v>101000</v>
      </c>
      <c r="H3012" s="965">
        <v>102000</v>
      </c>
      <c r="I3012" s="965">
        <v>100000</v>
      </c>
      <c r="J3012" s="965">
        <v>1206000</v>
      </c>
      <c r="K3012" s="965">
        <v>12000000</v>
      </c>
    </row>
    <row r="3013" spans="2:11" s="1258" customFormat="1" ht="16" hidden="1" outlineLevel="1">
      <c r="B3013" s="966" t="s">
        <v>2403</v>
      </c>
      <c r="C3013" s="965">
        <v>100000</v>
      </c>
      <c r="D3013" s="965" t="s">
        <v>2272</v>
      </c>
      <c r="E3013" s="965">
        <v>55936</v>
      </c>
      <c r="F3013" s="965">
        <v>5688828700</v>
      </c>
      <c r="G3013" s="965">
        <v>105000</v>
      </c>
      <c r="H3013" s="965">
        <v>105500</v>
      </c>
      <c r="I3013" s="965">
        <v>99600</v>
      </c>
      <c r="J3013" s="965">
        <v>1200000</v>
      </c>
      <c r="K3013" s="965">
        <v>12000000</v>
      </c>
    </row>
    <row r="3014" spans="2:11" s="1258" customFormat="1" ht="16" hidden="1" outlineLevel="1">
      <c r="B3014" s="966" t="s">
        <v>2401</v>
      </c>
      <c r="C3014" s="965">
        <v>104500</v>
      </c>
      <c r="D3014" s="965" t="s">
        <v>2221</v>
      </c>
      <c r="E3014" s="965">
        <v>47947</v>
      </c>
      <c r="F3014" s="965">
        <v>4981123000</v>
      </c>
      <c r="G3014" s="965">
        <v>105000</v>
      </c>
      <c r="H3014" s="965">
        <v>105000</v>
      </c>
      <c r="I3014" s="965">
        <v>102000</v>
      </c>
      <c r="J3014" s="965">
        <v>1254000</v>
      </c>
      <c r="K3014" s="965">
        <v>12000000</v>
      </c>
    </row>
    <row r="3015" spans="2:11" s="1258" customFormat="1" ht="16" hidden="1" outlineLevel="1">
      <c r="B3015" s="966" t="s">
        <v>2399</v>
      </c>
      <c r="C3015" s="965">
        <v>104500</v>
      </c>
      <c r="D3015" s="965" t="s">
        <v>1814</v>
      </c>
      <c r="E3015" s="965">
        <v>43139</v>
      </c>
      <c r="F3015" s="965">
        <v>4446096000</v>
      </c>
      <c r="G3015" s="965">
        <v>102500</v>
      </c>
      <c r="H3015" s="965">
        <v>105000</v>
      </c>
      <c r="I3015" s="965">
        <v>101000</v>
      </c>
      <c r="J3015" s="965">
        <v>1254000</v>
      </c>
      <c r="K3015" s="965">
        <v>12000000</v>
      </c>
    </row>
    <row r="3016" spans="2:11" s="1258" customFormat="1" ht="16" hidden="1" outlineLevel="1">
      <c r="B3016" s="966" t="s">
        <v>2397</v>
      </c>
      <c r="C3016" s="965">
        <v>105000</v>
      </c>
      <c r="D3016" s="965" t="s">
        <v>2288</v>
      </c>
      <c r="E3016" s="965">
        <v>116517</v>
      </c>
      <c r="F3016" s="965">
        <v>12156228000</v>
      </c>
      <c r="G3016" s="965">
        <v>103000</v>
      </c>
      <c r="H3016" s="965">
        <v>105500</v>
      </c>
      <c r="I3016" s="965">
        <v>101500</v>
      </c>
      <c r="J3016" s="965">
        <v>1260000</v>
      </c>
      <c r="K3016" s="965">
        <v>12000000</v>
      </c>
    </row>
    <row r="3017" spans="2:11" s="1258" customFormat="1" ht="16" hidden="1" outlineLevel="1">
      <c r="B3017" s="966" t="s">
        <v>2395</v>
      </c>
      <c r="C3017" s="965">
        <v>103000</v>
      </c>
      <c r="D3017" s="965" t="s">
        <v>2660</v>
      </c>
      <c r="E3017" s="965">
        <v>115170</v>
      </c>
      <c r="F3017" s="965">
        <v>11628123600</v>
      </c>
      <c r="G3017" s="965">
        <v>98300</v>
      </c>
      <c r="H3017" s="965">
        <v>103000</v>
      </c>
      <c r="I3017" s="965">
        <v>98000</v>
      </c>
      <c r="J3017" s="965">
        <v>1236000</v>
      </c>
      <c r="K3017" s="965">
        <v>12000000</v>
      </c>
    </row>
    <row r="3018" spans="2:11" s="1258" customFormat="1" ht="16" hidden="1" outlineLevel="1">
      <c r="B3018" s="966" t="s">
        <v>2394</v>
      </c>
      <c r="C3018" s="965">
        <v>97700</v>
      </c>
      <c r="D3018" s="965" t="s">
        <v>2659</v>
      </c>
      <c r="E3018" s="965">
        <v>83891</v>
      </c>
      <c r="F3018" s="965">
        <v>8207502800</v>
      </c>
      <c r="G3018" s="965">
        <v>96100</v>
      </c>
      <c r="H3018" s="965">
        <v>99900</v>
      </c>
      <c r="I3018" s="965">
        <v>96100</v>
      </c>
      <c r="J3018" s="965">
        <v>1172400</v>
      </c>
      <c r="K3018" s="965">
        <v>12000000</v>
      </c>
    </row>
    <row r="3019" spans="2:11" s="1258" customFormat="1" ht="16" hidden="1" outlineLevel="1">
      <c r="B3019" s="966" t="s">
        <v>2393</v>
      </c>
      <c r="C3019" s="965">
        <v>95100</v>
      </c>
      <c r="D3019" s="965" t="s">
        <v>2289</v>
      </c>
      <c r="E3019" s="965">
        <v>109189</v>
      </c>
      <c r="F3019" s="965">
        <v>10266794100</v>
      </c>
      <c r="G3019" s="965">
        <v>92100</v>
      </c>
      <c r="H3019" s="965">
        <v>95400</v>
      </c>
      <c r="I3019" s="965">
        <v>91800</v>
      </c>
      <c r="J3019" s="965">
        <v>1141200</v>
      </c>
      <c r="K3019" s="965">
        <v>12000000</v>
      </c>
    </row>
    <row r="3020" spans="2:11" s="1258" customFormat="1" ht="16" hidden="1" outlineLevel="1">
      <c r="B3020" s="966" t="s">
        <v>2391</v>
      </c>
      <c r="C3020" s="965">
        <v>91800</v>
      </c>
      <c r="D3020" s="965" t="s">
        <v>2298</v>
      </c>
      <c r="E3020" s="965">
        <v>99525</v>
      </c>
      <c r="F3020" s="965">
        <v>9205659300</v>
      </c>
      <c r="G3020" s="965">
        <v>93200</v>
      </c>
      <c r="H3020" s="965">
        <v>95000</v>
      </c>
      <c r="I3020" s="965">
        <v>91500</v>
      </c>
      <c r="J3020" s="965">
        <v>1101600</v>
      </c>
      <c r="K3020" s="965">
        <v>12000000</v>
      </c>
    </row>
    <row r="3021" spans="2:11" s="1258" customFormat="1" ht="16" hidden="1" outlineLevel="1">
      <c r="B3021" s="966" t="s">
        <v>2389</v>
      </c>
      <c r="C3021" s="965">
        <v>93200</v>
      </c>
      <c r="D3021" s="965" t="s">
        <v>2658</v>
      </c>
      <c r="E3021" s="965">
        <v>43910</v>
      </c>
      <c r="F3021" s="965">
        <v>4124496200</v>
      </c>
      <c r="G3021" s="965">
        <v>95000</v>
      </c>
      <c r="H3021" s="965">
        <v>95700</v>
      </c>
      <c r="I3021" s="965">
        <v>93100</v>
      </c>
      <c r="J3021" s="965">
        <v>1118400</v>
      </c>
      <c r="K3021" s="965">
        <v>12000000</v>
      </c>
    </row>
    <row r="3022" spans="2:11" s="1258" customFormat="1" ht="16" hidden="1" outlineLevel="1">
      <c r="B3022" s="966" t="s">
        <v>2388</v>
      </c>
      <c r="C3022" s="965">
        <v>95000</v>
      </c>
      <c r="D3022" s="965" t="s">
        <v>2641</v>
      </c>
      <c r="E3022" s="965">
        <v>47845</v>
      </c>
      <c r="F3022" s="965">
        <v>4582265000</v>
      </c>
      <c r="G3022" s="965">
        <v>96800</v>
      </c>
      <c r="H3022" s="965">
        <v>98100</v>
      </c>
      <c r="I3022" s="965">
        <v>94600</v>
      </c>
      <c r="J3022" s="965">
        <v>1140000</v>
      </c>
      <c r="K3022" s="965">
        <v>12000000</v>
      </c>
    </row>
    <row r="3023" spans="2:11" s="1258" customFormat="1" ht="16" hidden="1" outlineLevel="1">
      <c r="B3023" s="966" t="s">
        <v>2386</v>
      </c>
      <c r="C3023" s="965">
        <v>96900</v>
      </c>
      <c r="D3023" s="965" t="s">
        <v>2214</v>
      </c>
      <c r="E3023" s="965">
        <v>38997</v>
      </c>
      <c r="F3023" s="965">
        <v>3773903600</v>
      </c>
      <c r="G3023" s="965">
        <v>96600</v>
      </c>
      <c r="H3023" s="965">
        <v>98500</v>
      </c>
      <c r="I3023" s="965">
        <v>96000</v>
      </c>
      <c r="J3023" s="965">
        <v>1162800</v>
      </c>
      <c r="K3023" s="965">
        <v>12000000</v>
      </c>
    </row>
    <row r="3024" spans="2:11" s="1258" customFormat="1" ht="16" hidden="1" outlineLevel="1">
      <c r="B3024" s="966" t="s">
        <v>2385</v>
      </c>
      <c r="C3024" s="965">
        <v>96500</v>
      </c>
      <c r="D3024" s="965" t="s">
        <v>2641</v>
      </c>
      <c r="E3024" s="965">
        <v>57680</v>
      </c>
      <c r="F3024" s="965">
        <v>5606719900</v>
      </c>
      <c r="G3024" s="965">
        <v>98100</v>
      </c>
      <c r="H3024" s="965">
        <v>98100</v>
      </c>
      <c r="I3024" s="965">
        <v>96200</v>
      </c>
      <c r="J3024" s="965">
        <v>1158000</v>
      </c>
      <c r="K3024" s="965">
        <v>12000000</v>
      </c>
    </row>
    <row r="3025" spans="2:11" s="1258" customFormat="1" ht="16" hidden="1" outlineLevel="1">
      <c r="B3025" s="966" t="s">
        <v>2383</v>
      </c>
      <c r="C3025" s="965">
        <v>98400</v>
      </c>
      <c r="D3025" s="965" t="s">
        <v>2657</v>
      </c>
      <c r="E3025" s="965">
        <v>49055</v>
      </c>
      <c r="F3025" s="965">
        <v>4878312100</v>
      </c>
      <c r="G3025" s="965">
        <v>102000</v>
      </c>
      <c r="H3025" s="965">
        <v>102000</v>
      </c>
      <c r="I3025" s="965">
        <v>98300</v>
      </c>
      <c r="J3025" s="965">
        <v>1180800</v>
      </c>
      <c r="K3025" s="965">
        <v>12000000</v>
      </c>
    </row>
    <row r="3026" spans="2:11" s="1258" customFormat="1" ht="16" hidden="1" outlineLevel="1">
      <c r="B3026" s="966" t="s">
        <v>2382</v>
      </c>
      <c r="C3026" s="965">
        <v>101000</v>
      </c>
      <c r="D3026" s="965" t="s">
        <v>1826</v>
      </c>
      <c r="E3026" s="965">
        <v>31083</v>
      </c>
      <c r="F3026" s="965">
        <v>3141989300</v>
      </c>
      <c r="G3026" s="965">
        <v>100000</v>
      </c>
      <c r="H3026" s="965">
        <v>102000</v>
      </c>
      <c r="I3026" s="965">
        <v>99900</v>
      </c>
      <c r="J3026" s="965">
        <v>1212000</v>
      </c>
      <c r="K3026" s="965">
        <v>12000000</v>
      </c>
    </row>
    <row r="3027" spans="2:11" s="1258" customFormat="1" ht="16" hidden="1" outlineLevel="1">
      <c r="B3027" s="966" t="s">
        <v>2380</v>
      </c>
      <c r="C3027" s="965">
        <v>100500</v>
      </c>
      <c r="D3027" s="965" t="s">
        <v>2221</v>
      </c>
      <c r="E3027" s="965">
        <v>39345</v>
      </c>
      <c r="F3027" s="965">
        <v>3943203100</v>
      </c>
      <c r="G3027" s="965">
        <v>101500</v>
      </c>
      <c r="H3027" s="965">
        <v>102000</v>
      </c>
      <c r="I3027" s="965">
        <v>99400</v>
      </c>
      <c r="J3027" s="965">
        <v>1206000</v>
      </c>
      <c r="K3027" s="965">
        <v>12000000</v>
      </c>
    </row>
    <row r="3028" spans="2:11" s="1258" customFormat="1" ht="16" hidden="1" outlineLevel="1">
      <c r="B3028" s="966" t="s">
        <v>2379</v>
      </c>
      <c r="C3028" s="965">
        <v>100500</v>
      </c>
      <c r="D3028" s="965" t="s">
        <v>2276</v>
      </c>
      <c r="E3028" s="965">
        <v>74182</v>
      </c>
      <c r="F3028" s="965">
        <v>7509886500</v>
      </c>
      <c r="G3028" s="965">
        <v>104500</v>
      </c>
      <c r="H3028" s="965">
        <v>105000</v>
      </c>
      <c r="I3028" s="965">
        <v>100000</v>
      </c>
      <c r="J3028" s="965">
        <v>1206000</v>
      </c>
      <c r="K3028" s="965">
        <v>12000000</v>
      </c>
    </row>
    <row r="3029" spans="2:11" s="1258" customFormat="1" ht="16" hidden="1" outlineLevel="1">
      <c r="B3029" s="966" t="s">
        <v>2377</v>
      </c>
      <c r="C3029" s="965">
        <v>104500</v>
      </c>
      <c r="D3029" s="965" t="s">
        <v>2236</v>
      </c>
      <c r="E3029" s="965">
        <v>16267</v>
      </c>
      <c r="F3029" s="965">
        <v>1687373000</v>
      </c>
      <c r="G3029" s="965">
        <v>103500</v>
      </c>
      <c r="H3029" s="965">
        <v>104500</v>
      </c>
      <c r="I3029" s="965">
        <v>103000</v>
      </c>
      <c r="J3029" s="965">
        <v>1254000</v>
      </c>
      <c r="K3029" s="965">
        <v>12000000</v>
      </c>
    </row>
    <row r="3030" spans="2:11" s="1258" customFormat="1" ht="16" hidden="1" outlineLevel="1">
      <c r="B3030" s="966" t="s">
        <v>2376</v>
      </c>
      <c r="C3030" s="965">
        <v>103500</v>
      </c>
      <c r="D3030" s="965" t="s">
        <v>2278</v>
      </c>
      <c r="E3030" s="965">
        <v>51987</v>
      </c>
      <c r="F3030" s="965">
        <v>5421529500</v>
      </c>
      <c r="G3030" s="965">
        <v>105500</v>
      </c>
      <c r="H3030" s="965">
        <v>107500</v>
      </c>
      <c r="I3030" s="965">
        <v>103000</v>
      </c>
      <c r="J3030" s="965">
        <v>1242000</v>
      </c>
      <c r="K3030" s="965">
        <v>12000000</v>
      </c>
    </row>
    <row r="3031" spans="2:11" s="1258" customFormat="1" ht="16" hidden="1" outlineLevel="1">
      <c r="B3031" s="966" t="s">
        <v>2374</v>
      </c>
      <c r="C3031" s="965">
        <v>106500</v>
      </c>
      <c r="D3031" s="965" t="s">
        <v>2278</v>
      </c>
      <c r="E3031" s="965">
        <v>60604</v>
      </c>
      <c r="F3031" s="965">
        <v>6550540000</v>
      </c>
      <c r="G3031" s="965">
        <v>111000</v>
      </c>
      <c r="H3031" s="965">
        <v>111000</v>
      </c>
      <c r="I3031" s="965">
        <v>106500</v>
      </c>
      <c r="J3031" s="965">
        <v>1278000</v>
      </c>
      <c r="K3031" s="965">
        <v>12000000</v>
      </c>
    </row>
    <row r="3032" spans="2:11" s="1258" customFormat="1" ht="16" hidden="1" outlineLevel="1">
      <c r="B3032" s="966" t="s">
        <v>2373</v>
      </c>
      <c r="C3032" s="965">
        <v>109500</v>
      </c>
      <c r="D3032" s="965" t="s">
        <v>2277</v>
      </c>
      <c r="E3032" s="965">
        <v>120029</v>
      </c>
      <c r="F3032" s="965">
        <v>12950068500</v>
      </c>
      <c r="G3032" s="965">
        <v>107000</v>
      </c>
      <c r="H3032" s="965">
        <v>109500</v>
      </c>
      <c r="I3032" s="965">
        <v>106000</v>
      </c>
      <c r="J3032" s="965">
        <v>1314000</v>
      </c>
      <c r="K3032" s="965">
        <v>12000000</v>
      </c>
    </row>
    <row r="3033" spans="2:11" s="1258" customFormat="1" ht="16" hidden="1" outlineLevel="1">
      <c r="B3033" s="966" t="s">
        <v>2371</v>
      </c>
      <c r="C3033" s="965">
        <v>106500</v>
      </c>
      <c r="D3033" s="965" t="s">
        <v>2288</v>
      </c>
      <c r="E3033" s="965">
        <v>88744</v>
      </c>
      <c r="F3033" s="965">
        <v>9373933500</v>
      </c>
      <c r="G3033" s="965">
        <v>104000</v>
      </c>
      <c r="H3033" s="965">
        <v>107000</v>
      </c>
      <c r="I3033" s="965">
        <v>104000</v>
      </c>
      <c r="J3033" s="965">
        <v>1278000</v>
      </c>
      <c r="K3033" s="965">
        <v>12000000</v>
      </c>
    </row>
    <row r="3034" spans="2:11" s="1258" customFormat="1" ht="16" hidden="1" outlineLevel="1">
      <c r="B3034" s="966" t="s">
        <v>2369</v>
      </c>
      <c r="C3034" s="965">
        <v>104500</v>
      </c>
      <c r="D3034" s="965" t="s">
        <v>2220</v>
      </c>
      <c r="E3034" s="965">
        <v>65266</v>
      </c>
      <c r="F3034" s="965">
        <v>6801154000</v>
      </c>
      <c r="G3034" s="965">
        <v>103000</v>
      </c>
      <c r="H3034" s="965">
        <v>105500</v>
      </c>
      <c r="I3034" s="965">
        <v>102500</v>
      </c>
      <c r="J3034" s="965">
        <v>1254000</v>
      </c>
      <c r="K3034" s="965">
        <v>12000000</v>
      </c>
    </row>
    <row r="3035" spans="2:11" s="1258" customFormat="1" ht="16" hidden="1" outlineLevel="1">
      <c r="B3035" s="966" t="s">
        <v>2367</v>
      </c>
      <c r="C3035" s="965">
        <v>102000</v>
      </c>
      <c r="D3035" s="965" t="s">
        <v>1814</v>
      </c>
      <c r="E3035" s="965">
        <v>56332</v>
      </c>
      <c r="F3035" s="965">
        <v>5734750500</v>
      </c>
      <c r="G3035" s="965">
        <v>103000</v>
      </c>
      <c r="H3035" s="965">
        <v>103000</v>
      </c>
      <c r="I3035" s="965">
        <v>101000</v>
      </c>
      <c r="J3035" s="965">
        <v>1224000</v>
      </c>
      <c r="K3035" s="965">
        <v>12000000</v>
      </c>
    </row>
    <row r="3036" spans="2:11" s="1258" customFormat="1" ht="16" hidden="1" outlineLevel="1">
      <c r="B3036" s="966" t="s">
        <v>2365</v>
      </c>
      <c r="C3036" s="965">
        <v>102500</v>
      </c>
      <c r="D3036" s="965" t="s">
        <v>2248</v>
      </c>
      <c r="E3036" s="965">
        <v>33264</v>
      </c>
      <c r="F3036" s="965">
        <v>3411029000</v>
      </c>
      <c r="G3036" s="965">
        <v>103000</v>
      </c>
      <c r="H3036" s="965">
        <v>103500</v>
      </c>
      <c r="I3036" s="965">
        <v>102000</v>
      </c>
      <c r="J3036" s="965">
        <v>1230000</v>
      </c>
      <c r="K3036" s="965">
        <v>12000000</v>
      </c>
    </row>
    <row r="3037" spans="2:11" s="1258" customFormat="1" ht="16" hidden="1" outlineLevel="1">
      <c r="B3037" s="966" t="s">
        <v>2364</v>
      </c>
      <c r="C3037" s="965">
        <v>103500</v>
      </c>
      <c r="D3037" s="965" t="s">
        <v>1826</v>
      </c>
      <c r="E3037" s="965">
        <v>31025</v>
      </c>
      <c r="F3037" s="965">
        <v>3192863000</v>
      </c>
      <c r="G3037" s="965">
        <v>103000</v>
      </c>
      <c r="H3037" s="965">
        <v>104000</v>
      </c>
      <c r="I3037" s="965">
        <v>102000</v>
      </c>
      <c r="J3037" s="965">
        <v>1242000</v>
      </c>
      <c r="K3037" s="965">
        <v>12000000</v>
      </c>
    </row>
    <row r="3038" spans="2:11" s="1258" customFormat="1" ht="16" hidden="1" outlineLevel="1">
      <c r="B3038" s="966" t="s">
        <v>2362</v>
      </c>
      <c r="C3038" s="965">
        <v>103000</v>
      </c>
      <c r="D3038" s="965" t="s">
        <v>2236</v>
      </c>
      <c r="E3038" s="965">
        <v>44981</v>
      </c>
      <c r="F3038" s="965">
        <v>4623548000</v>
      </c>
      <c r="G3038" s="965">
        <v>102000</v>
      </c>
      <c r="H3038" s="965">
        <v>104000</v>
      </c>
      <c r="I3038" s="965">
        <v>101000</v>
      </c>
      <c r="J3038" s="965">
        <v>1236000</v>
      </c>
      <c r="K3038" s="965">
        <v>12000000</v>
      </c>
    </row>
    <row r="3039" spans="2:11" s="1258" customFormat="1" ht="16" hidden="1" outlineLevel="1">
      <c r="B3039" s="966" t="s">
        <v>2360</v>
      </c>
      <c r="C3039" s="965">
        <v>102000</v>
      </c>
      <c r="D3039" s="965" t="s">
        <v>2242</v>
      </c>
      <c r="E3039" s="965">
        <v>64401</v>
      </c>
      <c r="F3039" s="965">
        <v>6561322000</v>
      </c>
      <c r="G3039" s="965">
        <v>104500</v>
      </c>
      <c r="H3039" s="965">
        <v>104500</v>
      </c>
      <c r="I3039" s="965">
        <v>101000</v>
      </c>
      <c r="J3039" s="965">
        <v>1224000</v>
      </c>
      <c r="K3039" s="965">
        <v>12000000</v>
      </c>
    </row>
    <row r="3040" spans="2:11" s="1258" customFormat="1" ht="16" hidden="1" outlineLevel="1">
      <c r="B3040" s="966" t="s">
        <v>2358</v>
      </c>
      <c r="C3040" s="965">
        <v>104000</v>
      </c>
      <c r="D3040" s="965" t="s">
        <v>2248</v>
      </c>
      <c r="E3040" s="965">
        <v>44527</v>
      </c>
      <c r="F3040" s="965">
        <v>4648430500</v>
      </c>
      <c r="G3040" s="965">
        <v>105500</v>
      </c>
      <c r="H3040" s="965">
        <v>105500</v>
      </c>
      <c r="I3040" s="965">
        <v>103500</v>
      </c>
      <c r="J3040" s="965">
        <v>1248000</v>
      </c>
      <c r="K3040" s="965">
        <v>12000000</v>
      </c>
    </row>
    <row r="3041" spans="2:11" s="1258" customFormat="1" ht="16" hidden="1" outlineLevel="1">
      <c r="B3041" s="966" t="s">
        <v>2357</v>
      </c>
      <c r="C3041" s="965">
        <v>105000</v>
      </c>
      <c r="D3041" s="965" t="s">
        <v>2245</v>
      </c>
      <c r="E3041" s="965">
        <v>87804</v>
      </c>
      <c r="F3041" s="965">
        <v>9164949500</v>
      </c>
      <c r="G3041" s="965">
        <v>103500</v>
      </c>
      <c r="H3041" s="965">
        <v>105500</v>
      </c>
      <c r="I3041" s="965">
        <v>102000</v>
      </c>
      <c r="J3041" s="965">
        <v>1260000</v>
      </c>
      <c r="K3041" s="965">
        <v>12000000</v>
      </c>
    </row>
    <row r="3042" spans="2:11" s="1258" customFormat="1" ht="16" hidden="1" outlineLevel="1">
      <c r="B3042" s="966" t="s">
        <v>2656</v>
      </c>
      <c r="C3042" s="965">
        <v>103500</v>
      </c>
      <c r="D3042" s="965" t="s">
        <v>2288</v>
      </c>
      <c r="E3042" s="965">
        <v>87179</v>
      </c>
      <c r="F3042" s="965">
        <v>9001419500</v>
      </c>
      <c r="G3042" s="965">
        <v>103000</v>
      </c>
      <c r="H3042" s="965">
        <v>104000</v>
      </c>
      <c r="I3042" s="965">
        <v>102000</v>
      </c>
      <c r="J3042" s="965">
        <v>1242000</v>
      </c>
      <c r="K3042" s="965">
        <v>12000000</v>
      </c>
    </row>
    <row r="3043" spans="2:11" s="1258" customFormat="1" ht="16" hidden="1" outlineLevel="1">
      <c r="B3043" s="966" t="s">
        <v>2655</v>
      </c>
      <c r="C3043" s="965">
        <v>101500</v>
      </c>
      <c r="D3043" s="965" t="s">
        <v>2221</v>
      </c>
      <c r="E3043" s="965">
        <v>59454</v>
      </c>
      <c r="F3043" s="965">
        <v>6068016000</v>
      </c>
      <c r="G3043" s="965">
        <v>103500</v>
      </c>
      <c r="H3043" s="965">
        <v>103500</v>
      </c>
      <c r="I3043" s="965">
        <v>101000</v>
      </c>
      <c r="J3043" s="965">
        <v>1218000</v>
      </c>
      <c r="K3043" s="965">
        <v>12000000</v>
      </c>
    </row>
    <row r="3044" spans="2:11" s="1258" customFormat="1" ht="16" hidden="1" outlineLevel="1">
      <c r="B3044" s="966" t="s">
        <v>2654</v>
      </c>
      <c r="C3044" s="965">
        <v>101500</v>
      </c>
      <c r="D3044" s="965" t="s">
        <v>1814</v>
      </c>
      <c r="E3044" s="965">
        <v>78665</v>
      </c>
      <c r="F3044" s="965">
        <v>7946031400</v>
      </c>
      <c r="G3044" s="965">
        <v>100000</v>
      </c>
      <c r="H3044" s="965">
        <v>102000</v>
      </c>
      <c r="I3044" s="965">
        <v>99700</v>
      </c>
      <c r="J3044" s="965">
        <v>1218000</v>
      </c>
      <c r="K3044" s="965">
        <v>12000000</v>
      </c>
    </row>
    <row r="3045" spans="2:11" s="1258" customFormat="1" ht="16" hidden="1" outlineLevel="1">
      <c r="B3045" s="966" t="s">
        <v>2653</v>
      </c>
      <c r="C3045" s="965">
        <v>102000</v>
      </c>
      <c r="D3045" s="965" t="s">
        <v>2288</v>
      </c>
      <c r="E3045" s="965">
        <v>134732</v>
      </c>
      <c r="F3045" s="965">
        <v>13741017500</v>
      </c>
      <c r="G3045" s="965">
        <v>101000</v>
      </c>
      <c r="H3045" s="965">
        <v>103000</v>
      </c>
      <c r="I3045" s="965">
        <v>100500</v>
      </c>
      <c r="J3045" s="965">
        <v>1224000</v>
      </c>
      <c r="K3045" s="965">
        <v>12000000</v>
      </c>
    </row>
    <row r="3046" spans="2:11" s="1258" customFormat="1" ht="16" hidden="1" outlineLevel="1">
      <c r="B3046" s="966" t="s">
        <v>2652</v>
      </c>
      <c r="C3046" s="965">
        <v>100000</v>
      </c>
      <c r="D3046" s="965" t="s">
        <v>2288</v>
      </c>
      <c r="E3046" s="965">
        <v>133476</v>
      </c>
      <c r="F3046" s="965">
        <v>13300713600</v>
      </c>
      <c r="G3046" s="965">
        <v>99300</v>
      </c>
      <c r="H3046" s="965">
        <v>101000</v>
      </c>
      <c r="I3046" s="965">
        <v>97900</v>
      </c>
      <c r="J3046" s="965">
        <v>1200000</v>
      </c>
      <c r="K3046" s="965">
        <v>12000000</v>
      </c>
    </row>
    <row r="3047" spans="2:11" s="1258" customFormat="1" ht="16" hidden="1" outlineLevel="1">
      <c r="B3047" s="966" t="s">
        <v>2651</v>
      </c>
      <c r="C3047" s="965">
        <v>98000</v>
      </c>
      <c r="D3047" s="965" t="s">
        <v>2212</v>
      </c>
      <c r="E3047" s="965">
        <v>90742</v>
      </c>
      <c r="F3047" s="965">
        <v>8925219700</v>
      </c>
      <c r="G3047" s="965">
        <v>98800</v>
      </c>
      <c r="H3047" s="965">
        <v>99100</v>
      </c>
      <c r="I3047" s="965">
        <v>98000</v>
      </c>
      <c r="J3047" s="965">
        <v>1176000</v>
      </c>
      <c r="K3047" s="965">
        <v>12000000</v>
      </c>
    </row>
    <row r="3048" spans="2:11" s="1258" customFormat="1" ht="16" hidden="1" outlineLevel="1">
      <c r="B3048" s="966" t="s">
        <v>2650</v>
      </c>
      <c r="C3048" s="965">
        <v>97900</v>
      </c>
      <c r="D3048" s="965" t="s">
        <v>2649</v>
      </c>
      <c r="E3048" s="965">
        <v>126938</v>
      </c>
      <c r="F3048" s="965">
        <v>12372604900</v>
      </c>
      <c r="G3048" s="965">
        <v>96000</v>
      </c>
      <c r="H3048" s="965">
        <v>98700</v>
      </c>
      <c r="I3048" s="965">
        <v>95500</v>
      </c>
      <c r="J3048" s="965">
        <v>1174800</v>
      </c>
      <c r="K3048" s="965">
        <v>12000000</v>
      </c>
    </row>
    <row r="3049" spans="2:11" s="1258" customFormat="1" ht="16" hidden="1" outlineLevel="1">
      <c r="B3049" s="966" t="s">
        <v>2648</v>
      </c>
      <c r="C3049" s="965">
        <v>95000</v>
      </c>
      <c r="D3049" s="965" t="s">
        <v>2247</v>
      </c>
      <c r="E3049" s="965">
        <v>60379</v>
      </c>
      <c r="F3049" s="965">
        <v>5736222400</v>
      </c>
      <c r="G3049" s="965">
        <v>96000</v>
      </c>
      <c r="H3049" s="965">
        <v>96400</v>
      </c>
      <c r="I3049" s="965">
        <v>94400</v>
      </c>
      <c r="J3049" s="965">
        <v>1140000</v>
      </c>
      <c r="K3049" s="965">
        <v>12000000</v>
      </c>
    </row>
    <row r="3050" spans="2:11" s="1258" customFormat="1" ht="16" hidden="1" outlineLevel="1">
      <c r="B3050" s="966" t="s">
        <v>2647</v>
      </c>
      <c r="C3050" s="965">
        <v>96100</v>
      </c>
      <c r="D3050" s="965" t="s">
        <v>2634</v>
      </c>
      <c r="E3050" s="965">
        <v>47643</v>
      </c>
      <c r="F3050" s="965">
        <v>4589470100</v>
      </c>
      <c r="G3050" s="965">
        <v>98000</v>
      </c>
      <c r="H3050" s="965">
        <v>98200</v>
      </c>
      <c r="I3050" s="965">
        <v>95800</v>
      </c>
      <c r="J3050" s="965">
        <v>1153200</v>
      </c>
      <c r="K3050" s="965">
        <v>12000000</v>
      </c>
    </row>
    <row r="3051" spans="2:11" s="1258" customFormat="1" ht="16" hidden="1" outlineLevel="1">
      <c r="B3051" s="966" t="s">
        <v>2646</v>
      </c>
      <c r="C3051" s="965">
        <v>97400</v>
      </c>
      <c r="D3051" s="965" t="s">
        <v>2222</v>
      </c>
      <c r="E3051" s="965">
        <v>114148</v>
      </c>
      <c r="F3051" s="965">
        <v>11198007900</v>
      </c>
      <c r="G3051" s="965">
        <v>98000</v>
      </c>
      <c r="H3051" s="965">
        <v>99400</v>
      </c>
      <c r="I3051" s="965">
        <v>96800</v>
      </c>
      <c r="J3051" s="965">
        <v>1168800</v>
      </c>
      <c r="K3051" s="965">
        <v>12000000</v>
      </c>
    </row>
    <row r="3052" spans="2:11" s="1258" customFormat="1" ht="16" hidden="1" outlineLevel="1">
      <c r="B3052" s="966" t="s">
        <v>2645</v>
      </c>
      <c r="C3052" s="965">
        <v>98000</v>
      </c>
      <c r="D3052" s="965" t="s">
        <v>2644</v>
      </c>
      <c r="E3052" s="965">
        <v>140501</v>
      </c>
      <c r="F3052" s="965">
        <v>13468116400</v>
      </c>
      <c r="G3052" s="965">
        <v>93800</v>
      </c>
      <c r="H3052" s="965">
        <v>98400</v>
      </c>
      <c r="I3052" s="965">
        <v>92600</v>
      </c>
      <c r="J3052" s="965">
        <v>1176000</v>
      </c>
      <c r="K3052" s="965">
        <v>12000000</v>
      </c>
    </row>
    <row r="3053" spans="2:11" s="1258" customFormat="1" ht="16" hidden="1" outlineLevel="1">
      <c r="B3053" s="966" t="s">
        <v>2643</v>
      </c>
      <c r="C3053" s="965">
        <v>93500</v>
      </c>
      <c r="D3053" s="965" t="s">
        <v>2236</v>
      </c>
      <c r="E3053" s="965">
        <v>60003</v>
      </c>
      <c r="F3053" s="965">
        <v>5570165600</v>
      </c>
      <c r="G3053" s="965">
        <v>93000</v>
      </c>
      <c r="H3053" s="965">
        <v>93500</v>
      </c>
      <c r="I3053" s="965">
        <v>92300</v>
      </c>
      <c r="J3053" s="965">
        <v>1122000</v>
      </c>
      <c r="K3053" s="965">
        <v>12000000</v>
      </c>
    </row>
    <row r="3054" spans="2:11" s="1258" customFormat="1" ht="16" hidden="1" outlineLevel="1">
      <c r="B3054" s="966" t="s">
        <v>2642</v>
      </c>
      <c r="C3054" s="965">
        <v>92500</v>
      </c>
      <c r="D3054" s="965" t="s">
        <v>2641</v>
      </c>
      <c r="E3054" s="965">
        <v>91714</v>
      </c>
      <c r="F3054" s="965">
        <v>8578859000</v>
      </c>
      <c r="G3054" s="965">
        <v>94500</v>
      </c>
      <c r="H3054" s="965">
        <v>95300</v>
      </c>
      <c r="I3054" s="965">
        <v>92500</v>
      </c>
      <c r="J3054" s="965">
        <v>1110000</v>
      </c>
      <c r="K3054" s="965">
        <v>12000000</v>
      </c>
    </row>
    <row r="3055" spans="2:11" s="1258" customFormat="1" ht="16" hidden="1" outlineLevel="1">
      <c r="B3055" s="966" t="s">
        <v>2640</v>
      </c>
      <c r="C3055" s="965">
        <v>94400</v>
      </c>
      <c r="D3055" s="965" t="s">
        <v>2304</v>
      </c>
      <c r="E3055" s="965">
        <v>83536</v>
      </c>
      <c r="F3055" s="965">
        <v>7938193300</v>
      </c>
      <c r="G3055" s="965">
        <v>96500</v>
      </c>
      <c r="H3055" s="965">
        <v>96700</v>
      </c>
      <c r="I3055" s="965">
        <v>94300</v>
      </c>
      <c r="J3055" s="965">
        <v>1132800</v>
      </c>
      <c r="K3055" s="965">
        <v>12000000</v>
      </c>
    </row>
    <row r="3056" spans="2:11" s="1258" customFormat="1" ht="16" hidden="1" outlineLevel="1">
      <c r="B3056" s="966" t="s">
        <v>2639</v>
      </c>
      <c r="C3056" s="965">
        <v>96100</v>
      </c>
      <c r="D3056" s="965" t="s">
        <v>2638</v>
      </c>
      <c r="E3056" s="965">
        <v>69891</v>
      </c>
      <c r="F3056" s="965">
        <v>6685102300</v>
      </c>
      <c r="G3056" s="965">
        <v>96000</v>
      </c>
      <c r="H3056" s="965">
        <v>96700</v>
      </c>
      <c r="I3056" s="965">
        <v>94800</v>
      </c>
      <c r="J3056" s="965">
        <v>1153200</v>
      </c>
      <c r="K3056" s="965">
        <v>12000000</v>
      </c>
    </row>
    <row r="3057" spans="2:11" s="1258" customFormat="1" ht="16" hidden="1" outlineLevel="1">
      <c r="B3057" s="966" t="s">
        <v>2637</v>
      </c>
      <c r="C3057" s="965">
        <v>95300</v>
      </c>
      <c r="D3057" s="965" t="s">
        <v>2304</v>
      </c>
      <c r="E3057" s="965">
        <v>89518</v>
      </c>
      <c r="F3057" s="965">
        <v>8559024900</v>
      </c>
      <c r="G3057" s="965">
        <v>97300</v>
      </c>
      <c r="H3057" s="965">
        <v>98300</v>
      </c>
      <c r="I3057" s="965">
        <v>94900</v>
      </c>
      <c r="J3057" s="965">
        <v>1143600</v>
      </c>
      <c r="K3057" s="965">
        <v>12000000</v>
      </c>
    </row>
    <row r="3058" spans="2:11" s="1258" customFormat="1" ht="16" hidden="1" outlineLevel="1">
      <c r="B3058" s="966" t="s">
        <v>2636</v>
      </c>
      <c r="C3058" s="965">
        <v>97000</v>
      </c>
      <c r="D3058" s="965" t="s">
        <v>2222</v>
      </c>
      <c r="E3058" s="965">
        <v>33582</v>
      </c>
      <c r="F3058" s="965">
        <v>3262515300</v>
      </c>
      <c r="G3058" s="965">
        <v>97800</v>
      </c>
      <c r="H3058" s="965">
        <v>98900</v>
      </c>
      <c r="I3058" s="965">
        <v>96200</v>
      </c>
      <c r="J3058" s="965">
        <v>1164000</v>
      </c>
      <c r="K3058" s="965">
        <v>12000000</v>
      </c>
    </row>
    <row r="3059" spans="2:11" s="1258" customFormat="1" ht="16" hidden="1" outlineLevel="1">
      <c r="B3059" s="966" t="s">
        <v>2635</v>
      </c>
      <c r="C3059" s="965">
        <v>97600</v>
      </c>
      <c r="D3059" s="965" t="s">
        <v>2634</v>
      </c>
      <c r="E3059" s="965">
        <v>29317</v>
      </c>
      <c r="F3059" s="965">
        <v>2873942100</v>
      </c>
      <c r="G3059" s="965">
        <v>98900</v>
      </c>
      <c r="H3059" s="965">
        <v>98900</v>
      </c>
      <c r="I3059" s="965">
        <v>97500</v>
      </c>
      <c r="J3059" s="965">
        <v>1171200</v>
      </c>
      <c r="K3059" s="965">
        <v>12000000</v>
      </c>
    </row>
    <row r="3060" spans="2:11" s="1258" customFormat="1" ht="16" hidden="1" outlineLevel="1">
      <c r="B3060" s="966" t="s">
        <v>2633</v>
      </c>
      <c r="C3060" s="965">
        <v>98900</v>
      </c>
      <c r="D3060" s="965" t="s">
        <v>2305</v>
      </c>
      <c r="E3060" s="965">
        <v>40626</v>
      </c>
      <c r="F3060" s="965">
        <v>4041049200</v>
      </c>
      <c r="G3060" s="965">
        <v>100500</v>
      </c>
      <c r="H3060" s="965">
        <v>101000</v>
      </c>
      <c r="I3060" s="965">
        <v>98700</v>
      </c>
      <c r="J3060" s="965">
        <v>1186800</v>
      </c>
      <c r="K3060" s="965">
        <v>12000000</v>
      </c>
    </row>
    <row r="3061" spans="2:11" s="1258" customFormat="1" ht="16" hidden="1" outlineLevel="1">
      <c r="B3061" s="966" t="s">
        <v>2632</v>
      </c>
      <c r="C3061" s="965">
        <v>100500</v>
      </c>
      <c r="D3061" s="965" t="s">
        <v>2246</v>
      </c>
      <c r="E3061" s="965">
        <v>43794</v>
      </c>
      <c r="F3061" s="965">
        <v>4391546400</v>
      </c>
      <c r="G3061" s="965">
        <v>100500</v>
      </c>
      <c r="H3061" s="965">
        <v>102500</v>
      </c>
      <c r="I3061" s="965">
        <v>98800</v>
      </c>
      <c r="J3061" s="965">
        <v>1206000</v>
      </c>
      <c r="K3061" s="965">
        <v>12000000</v>
      </c>
    </row>
    <row r="3062" spans="2:11" s="1258" customFormat="1" ht="16" hidden="1" outlineLevel="1">
      <c r="B3062" s="966" t="s">
        <v>2631</v>
      </c>
      <c r="C3062" s="965">
        <v>99600</v>
      </c>
      <c r="D3062" s="965" t="s">
        <v>2241</v>
      </c>
      <c r="E3062" s="965">
        <v>86205</v>
      </c>
      <c r="F3062" s="965">
        <v>8538312200</v>
      </c>
      <c r="G3062" s="965">
        <v>97200</v>
      </c>
      <c r="H3062" s="965">
        <v>100000</v>
      </c>
      <c r="I3062" s="965">
        <v>97100</v>
      </c>
      <c r="J3062" s="965">
        <v>1195200</v>
      </c>
      <c r="K3062" s="965">
        <v>12000000</v>
      </c>
    </row>
    <row r="3063" spans="2:11" s="1258" customFormat="1" ht="16" hidden="1" outlineLevel="1">
      <c r="B3063" s="966" t="s">
        <v>2630</v>
      </c>
      <c r="C3063" s="965">
        <v>100500</v>
      </c>
      <c r="D3063" s="965" t="s">
        <v>2242</v>
      </c>
      <c r="E3063" s="965">
        <v>71507</v>
      </c>
      <c r="F3063" s="965">
        <v>7172432700</v>
      </c>
      <c r="G3063" s="965">
        <v>103000</v>
      </c>
      <c r="H3063" s="965">
        <v>103000</v>
      </c>
      <c r="I3063" s="965">
        <v>99800</v>
      </c>
      <c r="J3063" s="965">
        <v>1206000</v>
      </c>
      <c r="K3063" s="965">
        <v>12000000</v>
      </c>
    </row>
    <row r="3064" spans="2:11" s="1258" customFormat="1" ht="16" hidden="1" outlineLevel="1">
      <c r="B3064" s="966" t="s">
        <v>2629</v>
      </c>
      <c r="C3064" s="965">
        <v>102500</v>
      </c>
      <c r="D3064" s="965" t="s">
        <v>2236</v>
      </c>
      <c r="E3064" s="965">
        <v>104394</v>
      </c>
      <c r="F3064" s="965">
        <v>10769326500</v>
      </c>
      <c r="G3064" s="965">
        <v>102000</v>
      </c>
      <c r="H3064" s="965">
        <v>104500</v>
      </c>
      <c r="I3064" s="965">
        <v>101500</v>
      </c>
      <c r="J3064" s="965">
        <v>1230000</v>
      </c>
      <c r="K3064" s="965">
        <v>12000000</v>
      </c>
    </row>
    <row r="3065" spans="2:11" s="1258" customFormat="1" ht="16" hidden="1" outlineLevel="1">
      <c r="B3065" s="966" t="s">
        <v>2628</v>
      </c>
      <c r="C3065" s="965">
        <v>101500</v>
      </c>
      <c r="D3065" s="965" t="s">
        <v>2627</v>
      </c>
      <c r="E3065" s="965">
        <v>147605</v>
      </c>
      <c r="F3065" s="965">
        <v>14781417700</v>
      </c>
      <c r="G3065" s="965">
        <v>97900</v>
      </c>
      <c r="H3065" s="965">
        <v>101500</v>
      </c>
      <c r="I3065" s="965">
        <v>97300</v>
      </c>
      <c r="J3065" s="965">
        <v>1218000</v>
      </c>
      <c r="K3065" s="965">
        <v>12000000</v>
      </c>
    </row>
    <row r="3066" spans="2:11" s="1258" customFormat="1" ht="16" hidden="1" outlineLevel="1">
      <c r="B3066" s="966" t="s">
        <v>2626</v>
      </c>
      <c r="C3066" s="965">
        <v>97400</v>
      </c>
      <c r="D3066" s="965" t="s">
        <v>2625</v>
      </c>
      <c r="E3066" s="965">
        <v>60563</v>
      </c>
      <c r="F3066" s="965">
        <v>5848408300</v>
      </c>
      <c r="G3066" s="965">
        <v>95100</v>
      </c>
      <c r="H3066" s="965">
        <v>97400</v>
      </c>
      <c r="I3066" s="965">
        <v>95100</v>
      </c>
      <c r="J3066" s="965">
        <v>1168800</v>
      </c>
      <c r="K3066" s="965">
        <v>12000000</v>
      </c>
    </row>
    <row r="3067" spans="2:11" s="1258" customFormat="1" ht="16" hidden="1" outlineLevel="1">
      <c r="B3067" s="966" t="s">
        <v>2624</v>
      </c>
      <c r="C3067" s="965">
        <v>95300</v>
      </c>
      <c r="D3067" s="965" t="s">
        <v>2243</v>
      </c>
      <c r="E3067" s="965">
        <v>61222</v>
      </c>
      <c r="F3067" s="965">
        <v>5836942800</v>
      </c>
      <c r="G3067" s="965">
        <v>93800</v>
      </c>
      <c r="H3067" s="965">
        <v>96800</v>
      </c>
      <c r="I3067" s="965">
        <v>93500</v>
      </c>
      <c r="J3067" s="965">
        <v>1143600</v>
      </c>
      <c r="K3067" s="965">
        <v>12000000</v>
      </c>
    </row>
    <row r="3068" spans="2:11" s="1258" customFormat="1" ht="16" hidden="1" outlineLevel="1">
      <c r="B3068" s="966" t="s">
        <v>2623</v>
      </c>
      <c r="C3068" s="965">
        <v>95000</v>
      </c>
      <c r="D3068" s="965" t="s">
        <v>2622</v>
      </c>
      <c r="E3068" s="965">
        <v>116673</v>
      </c>
      <c r="F3068" s="965">
        <v>11002653600</v>
      </c>
      <c r="G3068" s="965">
        <v>96600</v>
      </c>
      <c r="H3068" s="965">
        <v>96800</v>
      </c>
      <c r="I3068" s="965">
        <v>93200</v>
      </c>
      <c r="J3068" s="965">
        <v>1140000</v>
      </c>
      <c r="K3068" s="965">
        <v>12000000</v>
      </c>
    </row>
    <row r="3069" spans="2:11" s="1258" customFormat="1" ht="16" hidden="1" outlineLevel="1">
      <c r="B3069" s="966" t="s">
        <v>2621</v>
      </c>
      <c r="C3069" s="965">
        <v>97300</v>
      </c>
      <c r="D3069" s="965" t="s">
        <v>2620</v>
      </c>
      <c r="E3069" s="965">
        <v>147296</v>
      </c>
      <c r="F3069" s="965">
        <v>14507631200</v>
      </c>
      <c r="G3069" s="965">
        <v>101000</v>
      </c>
      <c r="H3069" s="965">
        <v>102000</v>
      </c>
      <c r="I3069" s="965">
        <v>97100</v>
      </c>
      <c r="J3069" s="965">
        <v>1167600</v>
      </c>
      <c r="K3069" s="965">
        <v>12000000</v>
      </c>
    </row>
    <row r="3070" spans="2:11" s="1258" customFormat="1" ht="16" hidden="1" outlineLevel="1">
      <c r="B3070" s="966" t="s">
        <v>2619</v>
      </c>
      <c r="C3070" s="965">
        <v>101500</v>
      </c>
      <c r="D3070" s="965" t="s">
        <v>2244</v>
      </c>
      <c r="E3070" s="965">
        <v>116046</v>
      </c>
      <c r="F3070" s="965">
        <v>11761300800</v>
      </c>
      <c r="G3070" s="965">
        <v>102500</v>
      </c>
      <c r="H3070" s="965">
        <v>103000</v>
      </c>
      <c r="I3070" s="965">
        <v>99900</v>
      </c>
      <c r="J3070" s="965">
        <v>1218000</v>
      </c>
      <c r="K3070" s="965">
        <v>12000000</v>
      </c>
    </row>
    <row r="3071" spans="2:11" s="1258" customFormat="1" ht="16" hidden="1" outlineLevel="1">
      <c r="B3071" s="966" t="s">
        <v>2618</v>
      </c>
      <c r="C3071" s="965">
        <v>103000</v>
      </c>
      <c r="D3071" s="965" t="s">
        <v>1814</v>
      </c>
      <c r="E3071" s="965">
        <v>65831</v>
      </c>
      <c r="F3071" s="965">
        <v>6780908000</v>
      </c>
      <c r="G3071" s="965">
        <v>103000</v>
      </c>
      <c r="H3071" s="965">
        <v>104000</v>
      </c>
      <c r="I3071" s="965">
        <v>102000</v>
      </c>
      <c r="J3071" s="965">
        <v>1236000</v>
      </c>
      <c r="K3071" s="965">
        <v>12000000</v>
      </c>
    </row>
    <row r="3072" spans="2:11" s="1258" customFormat="1" ht="16" hidden="1" outlineLevel="1">
      <c r="B3072" s="966" t="s">
        <v>2617</v>
      </c>
      <c r="C3072" s="965">
        <v>103500</v>
      </c>
      <c r="D3072" s="965" t="s">
        <v>2235</v>
      </c>
      <c r="E3072" s="965">
        <v>64289</v>
      </c>
      <c r="F3072" s="965">
        <v>6701107500</v>
      </c>
      <c r="G3072" s="965">
        <v>106000</v>
      </c>
      <c r="H3072" s="965">
        <v>106000</v>
      </c>
      <c r="I3072" s="965">
        <v>103000</v>
      </c>
      <c r="J3072" s="965">
        <v>1242000</v>
      </c>
      <c r="K3072" s="965">
        <v>12000000</v>
      </c>
    </row>
    <row r="3073" spans="2:11" s="1258" customFormat="1" ht="16" hidden="1" outlineLevel="1">
      <c r="B3073" s="966" t="s">
        <v>2616</v>
      </c>
      <c r="C3073" s="965">
        <v>106000</v>
      </c>
      <c r="D3073" s="965" t="s">
        <v>2245</v>
      </c>
      <c r="E3073" s="965">
        <v>76800</v>
      </c>
      <c r="F3073" s="965">
        <v>8083281500</v>
      </c>
      <c r="G3073" s="965">
        <v>105000</v>
      </c>
      <c r="H3073" s="965">
        <v>106000</v>
      </c>
      <c r="I3073" s="965">
        <v>104000</v>
      </c>
      <c r="J3073" s="965">
        <v>1272000</v>
      </c>
      <c r="K3073" s="965">
        <v>12000000</v>
      </c>
    </row>
    <row r="3074" spans="2:11" s="1258" customFormat="1" ht="16" hidden="1" outlineLevel="1">
      <c r="B3074" s="966" t="s">
        <v>2615</v>
      </c>
      <c r="C3074" s="965">
        <v>104500</v>
      </c>
      <c r="D3074" s="965" t="s">
        <v>2244</v>
      </c>
      <c r="E3074" s="965">
        <v>66812</v>
      </c>
      <c r="F3074" s="965">
        <v>7035284000</v>
      </c>
      <c r="G3074" s="965">
        <v>106000</v>
      </c>
      <c r="H3074" s="965">
        <v>107500</v>
      </c>
      <c r="I3074" s="965">
        <v>104000</v>
      </c>
      <c r="J3074" s="965">
        <v>1254000</v>
      </c>
      <c r="K3074" s="965">
        <v>12000000</v>
      </c>
    </row>
    <row r="3075" spans="2:11" s="1258" customFormat="1" ht="16" hidden="1" outlineLevel="1">
      <c r="B3075" s="966" t="s">
        <v>2614</v>
      </c>
      <c r="C3075" s="965">
        <v>106000</v>
      </c>
      <c r="D3075" s="965" t="s">
        <v>2220</v>
      </c>
      <c r="E3075" s="965">
        <v>148871</v>
      </c>
      <c r="F3075" s="965">
        <v>15675151500</v>
      </c>
      <c r="G3075" s="965">
        <v>104500</v>
      </c>
      <c r="H3075" s="965">
        <v>107500</v>
      </c>
      <c r="I3075" s="965">
        <v>102000</v>
      </c>
      <c r="J3075" s="965">
        <v>1272000</v>
      </c>
      <c r="K3075" s="965">
        <v>12000000</v>
      </c>
    </row>
    <row r="3076" spans="2:11" s="1258" customFormat="1" ht="16" hidden="1" outlineLevel="1">
      <c r="B3076" s="966" t="s">
        <v>2613</v>
      </c>
      <c r="C3076" s="965">
        <v>103500</v>
      </c>
      <c r="D3076" s="965" t="s">
        <v>2221</v>
      </c>
      <c r="E3076" s="965">
        <v>152064</v>
      </c>
      <c r="F3076" s="965">
        <v>15649480500</v>
      </c>
      <c r="G3076" s="965">
        <v>103500</v>
      </c>
      <c r="H3076" s="965">
        <v>105000</v>
      </c>
      <c r="I3076" s="965">
        <v>100000</v>
      </c>
      <c r="J3076" s="965">
        <v>1242000</v>
      </c>
      <c r="K3076" s="965">
        <v>12000000</v>
      </c>
    </row>
    <row r="3077" spans="2:11" s="1258" customFormat="1" ht="16" hidden="1" outlineLevel="1">
      <c r="B3077" s="966" t="s">
        <v>2612</v>
      </c>
      <c r="C3077" s="965">
        <v>103500</v>
      </c>
      <c r="D3077" s="965" t="s">
        <v>2235</v>
      </c>
      <c r="E3077" s="965">
        <v>128315</v>
      </c>
      <c r="F3077" s="965">
        <v>13374993000</v>
      </c>
      <c r="G3077" s="965">
        <v>107000</v>
      </c>
      <c r="H3077" s="965">
        <v>107500</v>
      </c>
      <c r="I3077" s="965">
        <v>103000</v>
      </c>
      <c r="J3077" s="965">
        <v>1242000</v>
      </c>
      <c r="K3077" s="965">
        <v>12000000</v>
      </c>
    </row>
    <row r="3078" spans="2:11" s="1258" customFormat="1" ht="16" hidden="1" outlineLevel="1">
      <c r="B3078" s="966" t="s">
        <v>2611</v>
      </c>
      <c r="C3078" s="965">
        <v>106000</v>
      </c>
      <c r="D3078" s="965" t="s">
        <v>2244</v>
      </c>
      <c r="E3078" s="965">
        <v>75699</v>
      </c>
      <c r="F3078" s="965">
        <v>8112975500</v>
      </c>
      <c r="G3078" s="965">
        <v>107500</v>
      </c>
      <c r="H3078" s="965">
        <v>109500</v>
      </c>
      <c r="I3078" s="965">
        <v>106000</v>
      </c>
      <c r="J3078" s="965">
        <v>1272000</v>
      </c>
      <c r="K3078" s="965">
        <v>12000000</v>
      </c>
    </row>
    <row r="3079" spans="2:11" s="1258" customFormat="1" ht="16" hidden="1" outlineLevel="1">
      <c r="B3079" s="966" t="s">
        <v>2610</v>
      </c>
      <c r="C3079" s="965">
        <v>107500</v>
      </c>
      <c r="D3079" s="965" t="s">
        <v>1814</v>
      </c>
      <c r="E3079" s="965">
        <v>62733</v>
      </c>
      <c r="F3079" s="965">
        <v>6765388000</v>
      </c>
      <c r="G3079" s="965">
        <v>108000</v>
      </c>
      <c r="H3079" s="965">
        <v>109500</v>
      </c>
      <c r="I3079" s="965">
        <v>107000</v>
      </c>
      <c r="J3079" s="965">
        <v>1290000</v>
      </c>
      <c r="K3079" s="965">
        <v>12000000</v>
      </c>
    </row>
    <row r="3080" spans="2:11" ht="15" collapsed="1" thickBot="1">
      <c r="B3080" s="960" t="s">
        <v>2609</v>
      </c>
      <c r="C3080" s="959"/>
      <c r="D3080" s="961"/>
      <c r="E3080" s="959"/>
      <c r="F3080" s="959"/>
      <c r="G3080" s="959"/>
      <c r="H3080" s="959"/>
      <c r="I3080" s="959"/>
      <c r="J3080" s="960">
        <f>AVERAGE(J2832:J2954)</f>
        <v>1623414.6341463414</v>
      </c>
      <c r="K3080" s="959"/>
    </row>
    <row r="3082" spans="2:11">
      <c r="B3082" s="971" t="s">
        <v>2608</v>
      </c>
    </row>
    <row r="3083" spans="2:11" hidden="1" outlineLevel="1"/>
    <row r="3084" spans="2:11" ht="16" hidden="1" outlineLevel="1">
      <c r="B3084" s="969" t="s">
        <v>1839</v>
      </c>
      <c r="C3084" s="969" t="s">
        <v>1838</v>
      </c>
      <c r="D3084" s="970" t="s">
        <v>1837</v>
      </c>
      <c r="E3084" s="969" t="s">
        <v>1836</v>
      </c>
      <c r="F3084" s="969" t="s">
        <v>1835</v>
      </c>
      <c r="G3084" s="969" t="s">
        <v>1834</v>
      </c>
      <c r="H3084" s="969" t="s">
        <v>1833</v>
      </c>
      <c r="I3084" s="969" t="s">
        <v>1832</v>
      </c>
      <c r="J3084" s="969" t="s">
        <v>1785</v>
      </c>
      <c r="K3084" s="969" t="s">
        <v>1831</v>
      </c>
    </row>
    <row r="3085" spans="2:11" ht="16" hidden="1" outlineLevel="1">
      <c r="B3085" s="968" t="s">
        <v>1830</v>
      </c>
      <c r="C3085" s="967">
        <v>2995</v>
      </c>
      <c r="D3085" s="967" t="s">
        <v>2271</v>
      </c>
      <c r="E3085" s="967">
        <v>741598</v>
      </c>
      <c r="F3085" s="967">
        <v>2278921870</v>
      </c>
      <c r="G3085" s="967">
        <v>3135</v>
      </c>
      <c r="H3085" s="967">
        <v>3180</v>
      </c>
      <c r="I3085" s="967">
        <v>2965</v>
      </c>
      <c r="J3085" s="967">
        <v>253758</v>
      </c>
      <c r="K3085" s="967">
        <v>84727220</v>
      </c>
    </row>
    <row r="3086" spans="2:11" ht="16" hidden="1" outlineLevel="1">
      <c r="B3086" s="968" t="s">
        <v>1828</v>
      </c>
      <c r="C3086" s="967">
        <v>3085</v>
      </c>
      <c r="D3086" s="967" t="s">
        <v>2260</v>
      </c>
      <c r="E3086" s="967">
        <v>458649</v>
      </c>
      <c r="F3086" s="967">
        <v>1425111965</v>
      </c>
      <c r="G3086" s="967">
        <v>3075</v>
      </c>
      <c r="H3086" s="967">
        <v>3160</v>
      </c>
      <c r="I3086" s="967">
        <v>3050</v>
      </c>
      <c r="J3086" s="967">
        <v>261383</v>
      </c>
      <c r="K3086" s="967">
        <v>84727220</v>
      </c>
    </row>
    <row r="3087" spans="2:11" ht="16" hidden="1" outlineLevel="1">
      <c r="B3087" s="968" t="s">
        <v>1827</v>
      </c>
      <c r="C3087" s="967">
        <v>3050</v>
      </c>
      <c r="D3087" s="967" t="s">
        <v>2270</v>
      </c>
      <c r="E3087" s="967">
        <v>673015</v>
      </c>
      <c r="F3087" s="967">
        <v>2102018205</v>
      </c>
      <c r="G3087" s="967">
        <v>3045</v>
      </c>
      <c r="H3087" s="967">
        <v>3200</v>
      </c>
      <c r="I3087" s="967">
        <v>3030</v>
      </c>
      <c r="J3087" s="967">
        <v>258418</v>
      </c>
      <c r="K3087" s="967">
        <v>84727220</v>
      </c>
    </row>
    <row r="3088" spans="2:11" ht="16" hidden="1" outlineLevel="1">
      <c r="B3088" s="968" t="s">
        <v>1825</v>
      </c>
      <c r="C3088" s="967">
        <v>3075</v>
      </c>
      <c r="D3088" s="967" t="s">
        <v>2269</v>
      </c>
      <c r="E3088" s="967">
        <v>375459</v>
      </c>
      <c r="F3088" s="967">
        <v>1166125095</v>
      </c>
      <c r="G3088" s="967">
        <v>3095</v>
      </c>
      <c r="H3088" s="967">
        <v>3165</v>
      </c>
      <c r="I3088" s="967">
        <v>3040</v>
      </c>
      <c r="J3088" s="967">
        <v>260536</v>
      </c>
      <c r="K3088" s="967">
        <v>84727220</v>
      </c>
    </row>
    <row r="3089" spans="2:11" ht="16" hidden="1" outlineLevel="1">
      <c r="B3089" s="968" t="s">
        <v>1823</v>
      </c>
      <c r="C3089" s="967">
        <v>3055</v>
      </c>
      <c r="D3089" s="967" t="s">
        <v>2268</v>
      </c>
      <c r="E3089" s="967">
        <v>614958</v>
      </c>
      <c r="F3089" s="967">
        <v>1902351800</v>
      </c>
      <c r="G3089" s="967">
        <v>3045</v>
      </c>
      <c r="H3089" s="967">
        <v>3145</v>
      </c>
      <c r="I3089" s="967">
        <v>3020</v>
      </c>
      <c r="J3089" s="967">
        <v>258842</v>
      </c>
      <c r="K3089" s="967">
        <v>84727220</v>
      </c>
    </row>
    <row r="3090" spans="2:11" ht="16" hidden="1" outlineLevel="1">
      <c r="B3090" s="968" t="s">
        <v>1821</v>
      </c>
      <c r="C3090" s="967">
        <v>3015</v>
      </c>
      <c r="D3090" s="967" t="s">
        <v>2265</v>
      </c>
      <c r="E3090" s="967">
        <v>501187</v>
      </c>
      <c r="F3090" s="967">
        <v>1497192670</v>
      </c>
      <c r="G3090" s="967">
        <v>3000</v>
      </c>
      <c r="H3090" s="967">
        <v>3045</v>
      </c>
      <c r="I3090" s="967">
        <v>2940</v>
      </c>
      <c r="J3090" s="967">
        <v>255453</v>
      </c>
      <c r="K3090" s="967">
        <v>84727220</v>
      </c>
    </row>
    <row r="3091" spans="2:11" ht="16" hidden="1" outlineLevel="1">
      <c r="B3091" s="968" t="s">
        <v>1819</v>
      </c>
      <c r="C3091" s="967">
        <v>2970</v>
      </c>
      <c r="D3091" s="967" t="s">
        <v>2267</v>
      </c>
      <c r="E3091" s="967">
        <v>588563</v>
      </c>
      <c r="F3091" s="967">
        <v>1798699910</v>
      </c>
      <c r="G3091" s="967">
        <v>3080</v>
      </c>
      <c r="H3091" s="967">
        <v>3160</v>
      </c>
      <c r="I3091" s="967">
        <v>2935</v>
      </c>
      <c r="J3091" s="967">
        <v>251640</v>
      </c>
      <c r="K3091" s="967">
        <v>84727220</v>
      </c>
    </row>
    <row r="3092" spans="2:11" ht="16" hidden="1" outlineLevel="1">
      <c r="B3092" s="968" t="s">
        <v>1817</v>
      </c>
      <c r="C3092" s="967">
        <v>3125</v>
      </c>
      <c r="D3092" s="967" t="s">
        <v>2258</v>
      </c>
      <c r="E3092" s="967">
        <v>817010</v>
      </c>
      <c r="F3092" s="967">
        <v>2573930550</v>
      </c>
      <c r="G3092" s="967">
        <v>3175</v>
      </c>
      <c r="H3092" s="967">
        <v>3235</v>
      </c>
      <c r="I3092" s="967">
        <v>3070</v>
      </c>
      <c r="J3092" s="967">
        <v>264773</v>
      </c>
      <c r="K3092" s="967">
        <v>84727220</v>
      </c>
    </row>
    <row r="3093" spans="2:11" ht="16" hidden="1" outlineLevel="1">
      <c r="B3093" s="968" t="s">
        <v>1815</v>
      </c>
      <c r="C3093" s="967">
        <v>3120</v>
      </c>
      <c r="D3093" s="967" t="s">
        <v>2266</v>
      </c>
      <c r="E3093" s="967">
        <v>512771</v>
      </c>
      <c r="F3093" s="967">
        <v>1584787630</v>
      </c>
      <c r="G3093" s="967">
        <v>3010</v>
      </c>
      <c r="H3093" s="967">
        <v>3165</v>
      </c>
      <c r="I3093" s="967">
        <v>3010</v>
      </c>
      <c r="J3093" s="967">
        <v>264349</v>
      </c>
      <c r="K3093" s="967">
        <v>84727220</v>
      </c>
    </row>
    <row r="3094" spans="2:11" ht="16" hidden="1" outlineLevel="1">
      <c r="B3094" s="968" t="s">
        <v>1813</v>
      </c>
      <c r="C3094" s="967">
        <v>3110</v>
      </c>
      <c r="D3094" s="967" t="s">
        <v>2265</v>
      </c>
      <c r="E3094" s="967">
        <v>574155</v>
      </c>
      <c r="F3094" s="967">
        <v>1780821950</v>
      </c>
      <c r="G3094" s="967">
        <v>3100</v>
      </c>
      <c r="H3094" s="967">
        <v>3145</v>
      </c>
      <c r="I3094" s="967">
        <v>3040</v>
      </c>
      <c r="J3094" s="967">
        <v>263502</v>
      </c>
      <c r="K3094" s="967">
        <v>84727220</v>
      </c>
    </row>
    <row r="3095" spans="2:11" ht="16" hidden="1" outlineLevel="1">
      <c r="B3095" s="968" t="s">
        <v>1812</v>
      </c>
      <c r="C3095" s="967">
        <v>3065</v>
      </c>
      <c r="D3095" s="967" t="s">
        <v>2228</v>
      </c>
      <c r="E3095" s="967">
        <v>820867</v>
      </c>
      <c r="F3095" s="967">
        <v>2530582205</v>
      </c>
      <c r="G3095" s="967">
        <v>3190</v>
      </c>
      <c r="H3095" s="967">
        <v>3190</v>
      </c>
      <c r="I3095" s="967">
        <v>2995</v>
      </c>
      <c r="J3095" s="967">
        <v>259689</v>
      </c>
      <c r="K3095" s="967">
        <v>84727220</v>
      </c>
    </row>
    <row r="3096" spans="2:11" ht="16" hidden="1" outlineLevel="1">
      <c r="B3096" s="968" t="s">
        <v>1810</v>
      </c>
      <c r="C3096" s="967">
        <v>3165</v>
      </c>
      <c r="D3096" s="967" t="s">
        <v>2264</v>
      </c>
      <c r="E3096" s="967">
        <v>1392429</v>
      </c>
      <c r="F3096" s="967">
        <v>4199130565</v>
      </c>
      <c r="G3096" s="967">
        <v>2795</v>
      </c>
      <c r="H3096" s="967">
        <v>3165</v>
      </c>
      <c r="I3096" s="967">
        <v>2790</v>
      </c>
      <c r="J3096" s="967">
        <v>268162</v>
      </c>
      <c r="K3096" s="967">
        <v>84727220</v>
      </c>
    </row>
    <row r="3097" spans="2:11" ht="16" hidden="1" outlineLevel="1">
      <c r="B3097" s="968" t="s">
        <v>1809</v>
      </c>
      <c r="C3097" s="967">
        <v>2755</v>
      </c>
      <c r="D3097" s="967" t="s">
        <v>2263</v>
      </c>
      <c r="E3097" s="967">
        <v>345299</v>
      </c>
      <c r="F3097" s="967">
        <v>964392895</v>
      </c>
      <c r="G3097" s="967">
        <v>2815</v>
      </c>
      <c r="H3097" s="967">
        <v>2860</v>
      </c>
      <c r="I3097" s="967">
        <v>2750</v>
      </c>
      <c r="J3097" s="967">
        <v>233423</v>
      </c>
      <c r="K3097" s="967">
        <v>84727220</v>
      </c>
    </row>
    <row r="3098" spans="2:11" ht="16" hidden="1" outlineLevel="1">
      <c r="B3098" s="968" t="s">
        <v>1807</v>
      </c>
      <c r="C3098" s="967">
        <v>2825</v>
      </c>
      <c r="D3098" s="967" t="s">
        <v>2262</v>
      </c>
      <c r="E3098" s="967">
        <v>325134</v>
      </c>
      <c r="F3098" s="967">
        <v>935877500</v>
      </c>
      <c r="G3098" s="967">
        <v>2960</v>
      </c>
      <c r="H3098" s="967">
        <v>2960</v>
      </c>
      <c r="I3098" s="967">
        <v>2820</v>
      </c>
      <c r="J3098" s="967">
        <v>239354</v>
      </c>
      <c r="K3098" s="967">
        <v>84727220</v>
      </c>
    </row>
    <row r="3099" spans="2:11" ht="16" hidden="1" outlineLevel="1">
      <c r="B3099" s="968" t="s">
        <v>1805</v>
      </c>
      <c r="C3099" s="967">
        <v>2870</v>
      </c>
      <c r="D3099" s="967" t="s">
        <v>2261</v>
      </c>
      <c r="E3099" s="967">
        <v>318364</v>
      </c>
      <c r="F3099" s="967">
        <v>908224730</v>
      </c>
      <c r="G3099" s="967">
        <v>2835</v>
      </c>
      <c r="H3099" s="967">
        <v>2885</v>
      </c>
      <c r="I3099" s="967">
        <v>2790</v>
      </c>
      <c r="J3099" s="967">
        <v>243167</v>
      </c>
      <c r="K3099" s="967">
        <v>84727220</v>
      </c>
    </row>
    <row r="3100" spans="2:11" ht="16" hidden="1" outlineLevel="1">
      <c r="B3100" s="968" t="s">
        <v>1803</v>
      </c>
      <c r="C3100" s="967">
        <v>2855</v>
      </c>
      <c r="D3100" s="967" t="s">
        <v>2260</v>
      </c>
      <c r="E3100" s="967">
        <v>341021</v>
      </c>
      <c r="F3100" s="967">
        <v>974445730</v>
      </c>
      <c r="G3100" s="967">
        <v>2905</v>
      </c>
      <c r="H3100" s="967">
        <v>2915</v>
      </c>
      <c r="I3100" s="967">
        <v>2830</v>
      </c>
      <c r="J3100" s="967">
        <v>241896</v>
      </c>
      <c r="K3100" s="967">
        <v>84727220</v>
      </c>
    </row>
    <row r="3101" spans="2:11" ht="16" hidden="1" outlineLevel="1">
      <c r="B3101" s="968" t="s">
        <v>1801</v>
      </c>
      <c r="C3101" s="967">
        <v>2820</v>
      </c>
      <c r="D3101" s="967" t="s">
        <v>2259</v>
      </c>
      <c r="E3101" s="967">
        <v>446467</v>
      </c>
      <c r="F3101" s="967">
        <v>1252711730</v>
      </c>
      <c r="G3101" s="967">
        <v>2750</v>
      </c>
      <c r="H3101" s="967">
        <v>2860</v>
      </c>
      <c r="I3101" s="967">
        <v>2750</v>
      </c>
      <c r="J3101" s="967">
        <v>238931</v>
      </c>
      <c r="K3101" s="967">
        <v>84727220</v>
      </c>
    </row>
    <row r="3102" spans="2:11" ht="16" hidden="1" outlineLevel="1">
      <c r="B3102" s="968" t="s">
        <v>1799</v>
      </c>
      <c r="C3102" s="967">
        <v>2705</v>
      </c>
      <c r="D3102" s="967" t="s">
        <v>2258</v>
      </c>
      <c r="E3102" s="967">
        <v>355916</v>
      </c>
      <c r="F3102" s="967">
        <v>972714955</v>
      </c>
      <c r="G3102" s="967">
        <v>2810</v>
      </c>
      <c r="H3102" s="967">
        <v>2810</v>
      </c>
      <c r="I3102" s="967">
        <v>2665</v>
      </c>
      <c r="J3102" s="967">
        <v>229187</v>
      </c>
      <c r="K3102" s="967">
        <v>84727220</v>
      </c>
    </row>
    <row r="3103" spans="2:11" ht="16" hidden="1" outlineLevel="1">
      <c r="B3103" s="968" t="s">
        <v>1797</v>
      </c>
      <c r="C3103" s="967">
        <v>2700</v>
      </c>
      <c r="D3103" s="967" t="s">
        <v>2257</v>
      </c>
      <c r="E3103" s="967">
        <v>288456</v>
      </c>
      <c r="F3103" s="967">
        <v>779372000</v>
      </c>
      <c r="G3103" s="967">
        <v>2690</v>
      </c>
      <c r="H3103" s="967">
        <v>2780</v>
      </c>
      <c r="I3103" s="967">
        <v>2650</v>
      </c>
      <c r="J3103" s="967">
        <v>228763</v>
      </c>
      <c r="K3103" s="967">
        <v>84727220</v>
      </c>
    </row>
    <row r="3104" spans="2:11" ht="16" hidden="1" outlineLevel="1">
      <c r="B3104" s="968" t="s">
        <v>1795</v>
      </c>
      <c r="C3104" s="967">
        <v>2870</v>
      </c>
      <c r="D3104" s="967" t="s">
        <v>2256</v>
      </c>
      <c r="E3104" s="967">
        <v>404183</v>
      </c>
      <c r="F3104" s="967">
        <v>1155946680</v>
      </c>
      <c r="G3104" s="967">
        <v>2845</v>
      </c>
      <c r="H3104" s="967">
        <v>2935</v>
      </c>
      <c r="I3104" s="967">
        <v>2790</v>
      </c>
      <c r="J3104" s="967">
        <v>243167</v>
      </c>
      <c r="K3104" s="967">
        <v>84727220</v>
      </c>
    </row>
    <row r="3105" spans="2:11" ht="16" hidden="1" outlineLevel="1">
      <c r="B3105" s="968" t="s">
        <v>1793</v>
      </c>
      <c r="C3105" s="967">
        <v>2815</v>
      </c>
      <c r="D3105" s="967" t="s">
        <v>2255</v>
      </c>
      <c r="E3105" s="967">
        <v>304558</v>
      </c>
      <c r="F3105" s="967">
        <v>840955425</v>
      </c>
      <c r="G3105" s="967">
        <v>2700</v>
      </c>
      <c r="H3105" s="967">
        <v>2845</v>
      </c>
      <c r="I3105" s="967">
        <v>2660</v>
      </c>
      <c r="J3105" s="967">
        <v>238507</v>
      </c>
      <c r="K3105" s="967">
        <v>84727220</v>
      </c>
    </row>
    <row r="3106" spans="2:11" ht="16" hidden="1" outlineLevel="1">
      <c r="B3106" s="968" t="s">
        <v>1791</v>
      </c>
      <c r="C3106" s="967">
        <v>2750</v>
      </c>
      <c r="D3106" s="967" t="s">
        <v>2221</v>
      </c>
      <c r="E3106" s="967">
        <v>416447</v>
      </c>
      <c r="F3106" s="967">
        <v>1152526050</v>
      </c>
      <c r="G3106" s="967">
        <v>2790</v>
      </c>
      <c r="H3106" s="967">
        <v>2840</v>
      </c>
      <c r="I3106" s="967">
        <v>2710</v>
      </c>
      <c r="J3106" s="967">
        <v>233000</v>
      </c>
      <c r="K3106" s="967">
        <v>84727220</v>
      </c>
    </row>
    <row r="3107" spans="2:11" s="1258" customFormat="1" ht="16" hidden="1" outlineLevel="1">
      <c r="B3107" s="968" t="s">
        <v>2607</v>
      </c>
      <c r="C3107" s="967">
        <v>2750</v>
      </c>
      <c r="D3107" s="967" t="s">
        <v>2606</v>
      </c>
      <c r="E3107" s="967">
        <v>705234</v>
      </c>
      <c r="F3107" s="967">
        <v>1935981205</v>
      </c>
      <c r="G3107" s="967">
        <v>2650</v>
      </c>
      <c r="H3107" s="967">
        <v>2815</v>
      </c>
      <c r="I3107" s="967">
        <v>2650</v>
      </c>
      <c r="J3107" s="967">
        <v>233000</v>
      </c>
      <c r="K3107" s="967">
        <v>84727220</v>
      </c>
    </row>
    <row r="3108" spans="2:11" s="1258" customFormat="1" ht="16" hidden="1" outlineLevel="1">
      <c r="B3108" s="968" t="s">
        <v>2605</v>
      </c>
      <c r="C3108" s="967">
        <v>2585</v>
      </c>
      <c r="D3108" s="967" t="s">
        <v>2604</v>
      </c>
      <c r="E3108" s="967">
        <v>946505</v>
      </c>
      <c r="F3108" s="967">
        <v>2630829125</v>
      </c>
      <c r="G3108" s="967">
        <v>3100</v>
      </c>
      <c r="H3108" s="967">
        <v>3125</v>
      </c>
      <c r="I3108" s="967">
        <v>2585</v>
      </c>
      <c r="J3108" s="967">
        <v>219020</v>
      </c>
      <c r="K3108" s="967">
        <v>84727220</v>
      </c>
    </row>
    <row r="3109" spans="2:11" s="1258" customFormat="1" ht="16" hidden="1" outlineLevel="1">
      <c r="B3109" s="968" t="s">
        <v>2603</v>
      </c>
      <c r="C3109" s="967">
        <v>3040</v>
      </c>
      <c r="D3109" s="967" t="s">
        <v>2602</v>
      </c>
      <c r="E3109" s="967">
        <v>583942</v>
      </c>
      <c r="F3109" s="967">
        <v>1788561380</v>
      </c>
      <c r="G3109" s="967">
        <v>3060</v>
      </c>
      <c r="H3109" s="967">
        <v>3130</v>
      </c>
      <c r="I3109" s="967">
        <v>2995</v>
      </c>
      <c r="J3109" s="967">
        <v>257571</v>
      </c>
      <c r="K3109" s="967">
        <v>84727220</v>
      </c>
    </row>
    <row r="3110" spans="2:11" s="1258" customFormat="1" ht="16" hidden="1" outlineLevel="1">
      <c r="B3110" s="968" t="s">
        <v>2601</v>
      </c>
      <c r="C3110" s="967">
        <v>3225</v>
      </c>
      <c r="D3110" s="967" t="s">
        <v>2600</v>
      </c>
      <c r="E3110" s="967">
        <v>416928</v>
      </c>
      <c r="F3110" s="967">
        <v>1358141225</v>
      </c>
      <c r="G3110" s="967">
        <v>3330</v>
      </c>
      <c r="H3110" s="967">
        <v>3340</v>
      </c>
      <c r="I3110" s="967">
        <v>3220</v>
      </c>
      <c r="J3110" s="967">
        <v>273245</v>
      </c>
      <c r="K3110" s="967">
        <v>84727220</v>
      </c>
    </row>
    <row r="3111" spans="2:11" s="1258" customFormat="1" ht="16" hidden="1" outlineLevel="1">
      <c r="B3111" s="968" t="s">
        <v>2599</v>
      </c>
      <c r="C3111" s="967">
        <v>3390</v>
      </c>
      <c r="D3111" s="967" t="s">
        <v>2542</v>
      </c>
      <c r="E3111" s="967">
        <v>661234</v>
      </c>
      <c r="F3111" s="967">
        <v>2192780810</v>
      </c>
      <c r="G3111" s="967">
        <v>3270</v>
      </c>
      <c r="H3111" s="967">
        <v>3390</v>
      </c>
      <c r="I3111" s="967">
        <v>3210</v>
      </c>
      <c r="J3111" s="967">
        <v>287225</v>
      </c>
      <c r="K3111" s="967">
        <v>84727220</v>
      </c>
    </row>
    <row r="3112" spans="2:11" s="1258" customFormat="1" ht="16" hidden="1" outlineLevel="1">
      <c r="B3112" s="968" t="s">
        <v>2598</v>
      </c>
      <c r="C3112" s="967">
        <v>3245</v>
      </c>
      <c r="D3112" s="967" t="s">
        <v>2261</v>
      </c>
      <c r="E3112" s="967">
        <v>412123</v>
      </c>
      <c r="F3112" s="967">
        <v>1318258860</v>
      </c>
      <c r="G3112" s="967">
        <v>3200</v>
      </c>
      <c r="H3112" s="967">
        <v>3275</v>
      </c>
      <c r="I3112" s="967">
        <v>3130</v>
      </c>
      <c r="J3112" s="967">
        <v>274940</v>
      </c>
      <c r="K3112" s="967">
        <v>84727220</v>
      </c>
    </row>
    <row r="3113" spans="2:11" s="1258" customFormat="1" ht="16" hidden="1" outlineLevel="1">
      <c r="B3113" s="968" t="s">
        <v>2597</v>
      </c>
      <c r="C3113" s="967">
        <v>3230</v>
      </c>
      <c r="D3113" s="967" t="s">
        <v>2480</v>
      </c>
      <c r="E3113" s="967">
        <v>460079</v>
      </c>
      <c r="F3113" s="967">
        <v>1515592390</v>
      </c>
      <c r="G3113" s="967">
        <v>3370</v>
      </c>
      <c r="H3113" s="967">
        <v>3440</v>
      </c>
      <c r="I3113" s="967">
        <v>3225</v>
      </c>
      <c r="J3113" s="967">
        <v>273669</v>
      </c>
      <c r="K3113" s="967">
        <v>84727220</v>
      </c>
    </row>
    <row r="3114" spans="2:11" s="1258" customFormat="1" ht="16" hidden="1" outlineLevel="1">
      <c r="B3114" s="968" t="s">
        <v>2596</v>
      </c>
      <c r="C3114" s="967">
        <v>3370</v>
      </c>
      <c r="D3114" s="967" t="s">
        <v>2213</v>
      </c>
      <c r="E3114" s="967">
        <v>862122</v>
      </c>
      <c r="F3114" s="967">
        <v>2869435840</v>
      </c>
      <c r="G3114" s="967">
        <v>3195</v>
      </c>
      <c r="H3114" s="967">
        <v>3430</v>
      </c>
      <c r="I3114" s="967">
        <v>3195</v>
      </c>
      <c r="J3114" s="967">
        <v>285531</v>
      </c>
      <c r="K3114" s="967">
        <v>84727220</v>
      </c>
    </row>
    <row r="3115" spans="2:11" s="1258" customFormat="1" ht="16" hidden="1" outlineLevel="1">
      <c r="B3115" s="968" t="s">
        <v>2595</v>
      </c>
      <c r="C3115" s="967">
        <v>3120</v>
      </c>
      <c r="D3115" s="967" t="s">
        <v>2547</v>
      </c>
      <c r="E3115" s="967">
        <v>776930</v>
      </c>
      <c r="F3115" s="967">
        <v>2459745200</v>
      </c>
      <c r="G3115" s="967">
        <v>3150</v>
      </c>
      <c r="H3115" s="967">
        <v>3250</v>
      </c>
      <c r="I3115" s="967">
        <v>3050</v>
      </c>
      <c r="J3115" s="967">
        <v>264349</v>
      </c>
      <c r="K3115" s="967">
        <v>84727220</v>
      </c>
    </row>
    <row r="3116" spans="2:11" s="1258" customFormat="1" ht="16" hidden="1" outlineLevel="1">
      <c r="B3116" s="968" t="s">
        <v>2594</v>
      </c>
      <c r="C3116" s="967">
        <v>3025</v>
      </c>
      <c r="D3116" s="967" t="s">
        <v>2593</v>
      </c>
      <c r="E3116" s="967">
        <v>434896</v>
      </c>
      <c r="F3116" s="967">
        <v>1361317000</v>
      </c>
      <c r="G3116" s="967">
        <v>3260</v>
      </c>
      <c r="H3116" s="967">
        <v>3260</v>
      </c>
      <c r="I3116" s="967">
        <v>3025</v>
      </c>
      <c r="J3116" s="967">
        <v>256300</v>
      </c>
      <c r="K3116" s="967">
        <v>84727220</v>
      </c>
    </row>
    <row r="3117" spans="2:11" s="1258" customFormat="1" ht="16" hidden="1" outlineLevel="1">
      <c r="B3117" s="968" t="s">
        <v>2592</v>
      </c>
      <c r="C3117" s="967">
        <v>3255</v>
      </c>
      <c r="D3117" s="967" t="s">
        <v>2387</v>
      </c>
      <c r="E3117" s="967">
        <v>221623</v>
      </c>
      <c r="F3117" s="967">
        <v>729231790</v>
      </c>
      <c r="G3117" s="967">
        <v>3260</v>
      </c>
      <c r="H3117" s="967">
        <v>3345</v>
      </c>
      <c r="I3117" s="967">
        <v>3255</v>
      </c>
      <c r="J3117" s="967">
        <v>275787</v>
      </c>
      <c r="K3117" s="967">
        <v>84727220</v>
      </c>
    </row>
    <row r="3118" spans="2:11" s="1258" customFormat="1" ht="16" hidden="1" outlineLevel="1">
      <c r="B3118" s="968" t="s">
        <v>2591</v>
      </c>
      <c r="C3118" s="967">
        <v>3335</v>
      </c>
      <c r="D3118" s="967" t="s">
        <v>2258</v>
      </c>
      <c r="E3118" s="967">
        <v>626030</v>
      </c>
      <c r="F3118" s="967">
        <v>2035547600</v>
      </c>
      <c r="G3118" s="967">
        <v>3350</v>
      </c>
      <c r="H3118" s="967">
        <v>3365</v>
      </c>
      <c r="I3118" s="967">
        <v>3150</v>
      </c>
      <c r="J3118" s="967">
        <v>282565</v>
      </c>
      <c r="K3118" s="967">
        <v>84727220</v>
      </c>
    </row>
    <row r="3119" spans="2:11" s="1258" customFormat="1" ht="16" hidden="1" outlineLevel="1">
      <c r="B3119" s="968" t="s">
        <v>2590</v>
      </c>
      <c r="C3119" s="967">
        <v>3330</v>
      </c>
      <c r="D3119" s="967" t="s">
        <v>2444</v>
      </c>
      <c r="E3119" s="967">
        <v>439157</v>
      </c>
      <c r="F3119" s="967">
        <v>1441983460</v>
      </c>
      <c r="G3119" s="967">
        <v>3280</v>
      </c>
      <c r="H3119" s="967">
        <v>3370</v>
      </c>
      <c r="I3119" s="967">
        <v>3200</v>
      </c>
      <c r="J3119" s="967">
        <v>282142</v>
      </c>
      <c r="K3119" s="967">
        <v>84727220</v>
      </c>
    </row>
    <row r="3120" spans="2:11" s="1258" customFormat="1" ht="16" hidden="1" outlineLevel="1">
      <c r="B3120" s="968" t="s">
        <v>2589</v>
      </c>
      <c r="C3120" s="967">
        <v>3160</v>
      </c>
      <c r="D3120" s="967" t="s">
        <v>2257</v>
      </c>
      <c r="E3120" s="967">
        <v>922804</v>
      </c>
      <c r="F3120" s="967">
        <v>2971989750</v>
      </c>
      <c r="G3120" s="967">
        <v>3280</v>
      </c>
      <c r="H3120" s="967">
        <v>3375</v>
      </c>
      <c r="I3120" s="967">
        <v>3090</v>
      </c>
      <c r="J3120" s="967">
        <v>267738</v>
      </c>
      <c r="K3120" s="967">
        <v>84727220</v>
      </c>
    </row>
    <row r="3121" spans="2:11" s="1258" customFormat="1" ht="16" hidden="1" outlineLevel="1">
      <c r="B3121" s="968" t="s">
        <v>2588</v>
      </c>
      <c r="C3121" s="967">
        <v>3330</v>
      </c>
      <c r="D3121" s="967" t="s">
        <v>2257</v>
      </c>
      <c r="E3121" s="967">
        <v>770197</v>
      </c>
      <c r="F3121" s="967">
        <v>2624232445</v>
      </c>
      <c r="G3121" s="967">
        <v>3395</v>
      </c>
      <c r="H3121" s="967">
        <v>3480</v>
      </c>
      <c r="I3121" s="967">
        <v>3320</v>
      </c>
      <c r="J3121" s="967">
        <v>282142</v>
      </c>
      <c r="K3121" s="967">
        <v>84727220</v>
      </c>
    </row>
    <row r="3122" spans="2:11" s="1258" customFormat="1" ht="16" hidden="1" outlineLevel="1">
      <c r="B3122" s="968" t="s">
        <v>2587</v>
      </c>
      <c r="C3122" s="967">
        <v>3500</v>
      </c>
      <c r="D3122" s="967" t="s">
        <v>2225</v>
      </c>
      <c r="E3122" s="967">
        <v>1042510</v>
      </c>
      <c r="F3122" s="967">
        <v>3674441380</v>
      </c>
      <c r="G3122" s="967">
        <v>3620</v>
      </c>
      <c r="H3122" s="967">
        <v>3675</v>
      </c>
      <c r="I3122" s="967">
        <v>3450</v>
      </c>
      <c r="J3122" s="967">
        <v>296545</v>
      </c>
      <c r="K3122" s="967">
        <v>84727220</v>
      </c>
    </row>
    <row r="3123" spans="2:11" s="1258" customFormat="1" ht="16" hidden="1" outlineLevel="1">
      <c r="B3123" s="968" t="s">
        <v>2586</v>
      </c>
      <c r="C3123" s="967">
        <v>3650</v>
      </c>
      <c r="D3123" s="967" t="s">
        <v>2585</v>
      </c>
      <c r="E3123" s="967">
        <v>2143565</v>
      </c>
      <c r="F3123" s="967">
        <v>7908652735</v>
      </c>
      <c r="G3123" s="967">
        <v>3560</v>
      </c>
      <c r="H3123" s="967">
        <v>3765</v>
      </c>
      <c r="I3123" s="967">
        <v>3550</v>
      </c>
      <c r="J3123" s="967">
        <v>309254</v>
      </c>
      <c r="K3123" s="967">
        <v>84727220</v>
      </c>
    </row>
    <row r="3124" spans="2:11" s="1258" customFormat="1" ht="16" hidden="1" outlineLevel="1">
      <c r="B3124" s="968" t="s">
        <v>2584</v>
      </c>
      <c r="C3124" s="967">
        <v>3530</v>
      </c>
      <c r="D3124" s="967" t="s">
        <v>2266</v>
      </c>
      <c r="E3124" s="967">
        <v>870274</v>
      </c>
      <c r="F3124" s="967">
        <v>3049834055</v>
      </c>
      <c r="G3124" s="967">
        <v>3560</v>
      </c>
      <c r="H3124" s="967">
        <v>3560</v>
      </c>
      <c r="I3124" s="967">
        <v>3420</v>
      </c>
      <c r="J3124" s="967">
        <v>299087</v>
      </c>
      <c r="K3124" s="967">
        <v>84727220</v>
      </c>
    </row>
    <row r="3125" spans="2:11" s="1258" customFormat="1" ht="16" hidden="1" outlineLevel="1">
      <c r="B3125" s="968" t="s">
        <v>2583</v>
      </c>
      <c r="C3125" s="967">
        <v>3520</v>
      </c>
      <c r="D3125" s="967" t="s">
        <v>2356</v>
      </c>
      <c r="E3125" s="967">
        <v>1467299</v>
      </c>
      <c r="F3125" s="967">
        <v>5047622570</v>
      </c>
      <c r="G3125" s="967">
        <v>3380</v>
      </c>
      <c r="H3125" s="967">
        <v>3540</v>
      </c>
      <c r="I3125" s="967">
        <v>3335</v>
      </c>
      <c r="J3125" s="967">
        <v>298240</v>
      </c>
      <c r="K3125" s="967">
        <v>84727220</v>
      </c>
    </row>
    <row r="3126" spans="2:11" s="1258" customFormat="1" ht="16" hidden="1" outlineLevel="1">
      <c r="B3126" s="968" t="s">
        <v>2582</v>
      </c>
      <c r="C3126" s="967">
        <v>3340</v>
      </c>
      <c r="D3126" s="967" t="s">
        <v>2396</v>
      </c>
      <c r="E3126" s="967">
        <v>2168023</v>
      </c>
      <c r="F3126" s="967">
        <v>7283880525</v>
      </c>
      <c r="G3126" s="967">
        <v>3450</v>
      </c>
      <c r="H3126" s="967">
        <v>3530</v>
      </c>
      <c r="I3126" s="967">
        <v>3270</v>
      </c>
      <c r="J3126" s="967">
        <v>282989</v>
      </c>
      <c r="K3126" s="967">
        <v>84727220</v>
      </c>
    </row>
    <row r="3127" spans="2:11" s="1258" customFormat="1" ht="16" hidden="1" outlineLevel="1">
      <c r="B3127" s="968" t="s">
        <v>2581</v>
      </c>
      <c r="C3127" s="967">
        <v>3380</v>
      </c>
      <c r="D3127" s="967" t="s">
        <v>2411</v>
      </c>
      <c r="E3127" s="967">
        <v>1139333</v>
      </c>
      <c r="F3127" s="967">
        <v>3886250705</v>
      </c>
      <c r="G3127" s="967">
        <v>3395</v>
      </c>
      <c r="H3127" s="967">
        <v>3520</v>
      </c>
      <c r="I3127" s="967">
        <v>3320</v>
      </c>
      <c r="J3127" s="967">
        <v>286378</v>
      </c>
      <c r="K3127" s="967">
        <v>84727220</v>
      </c>
    </row>
    <row r="3128" spans="2:11" s="1258" customFormat="1" ht="16" hidden="1" outlineLevel="1">
      <c r="B3128" s="968" t="s">
        <v>2580</v>
      </c>
      <c r="C3128" s="967">
        <v>3300</v>
      </c>
      <c r="D3128" s="967" t="s">
        <v>2579</v>
      </c>
      <c r="E3128" s="967">
        <v>2978263</v>
      </c>
      <c r="F3128" s="967">
        <v>10075910485</v>
      </c>
      <c r="G3128" s="967">
        <v>3595</v>
      </c>
      <c r="H3128" s="967">
        <v>3620</v>
      </c>
      <c r="I3128" s="967">
        <v>3210</v>
      </c>
      <c r="J3128" s="967">
        <v>279600</v>
      </c>
      <c r="K3128" s="967">
        <v>84727220</v>
      </c>
    </row>
    <row r="3129" spans="2:11" s="1258" customFormat="1" ht="16" hidden="1" outlineLevel="1">
      <c r="B3129" s="968" t="s">
        <v>2578</v>
      </c>
      <c r="C3129" s="967">
        <v>3525</v>
      </c>
      <c r="D3129" s="967" t="s">
        <v>2271</v>
      </c>
      <c r="E3129" s="967">
        <v>1393501</v>
      </c>
      <c r="F3129" s="967">
        <v>5116229485</v>
      </c>
      <c r="G3129" s="967">
        <v>3680</v>
      </c>
      <c r="H3129" s="967">
        <v>3800</v>
      </c>
      <c r="I3129" s="967">
        <v>3525</v>
      </c>
      <c r="J3129" s="967">
        <v>298663</v>
      </c>
      <c r="K3129" s="967">
        <v>84727220</v>
      </c>
    </row>
    <row r="3130" spans="2:11" s="1258" customFormat="1" ht="16" hidden="1" outlineLevel="1">
      <c r="B3130" s="968" t="s">
        <v>2577</v>
      </c>
      <c r="C3130" s="967">
        <v>3615</v>
      </c>
      <c r="D3130" s="967" t="s">
        <v>2255</v>
      </c>
      <c r="E3130" s="967">
        <v>1062657</v>
      </c>
      <c r="F3130" s="967">
        <v>3842940075</v>
      </c>
      <c r="G3130" s="967">
        <v>3570</v>
      </c>
      <c r="H3130" s="967">
        <v>3685</v>
      </c>
      <c r="I3130" s="967">
        <v>3550</v>
      </c>
      <c r="J3130" s="967">
        <v>306289</v>
      </c>
      <c r="K3130" s="967">
        <v>84727220</v>
      </c>
    </row>
    <row r="3131" spans="2:11" s="1258" customFormat="1" ht="16" hidden="1" outlineLevel="1">
      <c r="B3131" s="968" t="s">
        <v>2576</v>
      </c>
      <c r="C3131" s="967">
        <v>3550</v>
      </c>
      <c r="D3131" s="967" t="s">
        <v>2415</v>
      </c>
      <c r="E3131" s="967">
        <v>1840599</v>
      </c>
      <c r="F3131" s="967">
        <v>6803645050</v>
      </c>
      <c r="G3131" s="967">
        <v>3700</v>
      </c>
      <c r="H3131" s="967">
        <v>3835</v>
      </c>
      <c r="I3131" s="967">
        <v>3525</v>
      </c>
      <c r="J3131" s="967">
        <v>300782</v>
      </c>
      <c r="K3131" s="967">
        <v>84727220</v>
      </c>
    </row>
    <row r="3132" spans="2:11" s="1258" customFormat="1" ht="16" hidden="1" outlineLevel="1">
      <c r="B3132" s="968" t="s">
        <v>2575</v>
      </c>
      <c r="C3132" s="967">
        <v>3670</v>
      </c>
      <c r="D3132" s="967" t="s">
        <v>2221</v>
      </c>
      <c r="E3132" s="967">
        <v>2576984</v>
      </c>
      <c r="F3132" s="967">
        <v>9231803845</v>
      </c>
      <c r="G3132" s="967">
        <v>3485</v>
      </c>
      <c r="H3132" s="967">
        <v>3745</v>
      </c>
      <c r="I3132" s="967">
        <v>3380</v>
      </c>
      <c r="J3132" s="967">
        <v>310949</v>
      </c>
      <c r="K3132" s="967">
        <v>84727220</v>
      </c>
    </row>
    <row r="3133" spans="2:11" s="1258" customFormat="1" ht="16" hidden="1" outlineLevel="1">
      <c r="B3133" s="968" t="s">
        <v>2574</v>
      </c>
      <c r="C3133" s="967">
        <v>3670</v>
      </c>
      <c r="D3133" s="967" t="s">
        <v>2573</v>
      </c>
      <c r="E3133" s="967">
        <v>2131432</v>
      </c>
      <c r="F3133" s="967">
        <v>8054568665</v>
      </c>
      <c r="G3133" s="967">
        <v>3840</v>
      </c>
      <c r="H3133" s="967">
        <v>3905</v>
      </c>
      <c r="I3133" s="967">
        <v>3640</v>
      </c>
      <c r="J3133" s="967">
        <v>310949</v>
      </c>
      <c r="K3133" s="967">
        <v>84727220</v>
      </c>
    </row>
    <row r="3134" spans="2:11" s="1258" customFormat="1" ht="16" hidden="1" outlineLevel="1">
      <c r="B3134" s="968" t="s">
        <v>2572</v>
      </c>
      <c r="C3134" s="967">
        <v>3860</v>
      </c>
      <c r="D3134" s="967" t="s">
        <v>2207</v>
      </c>
      <c r="E3134" s="967">
        <v>3438205</v>
      </c>
      <c r="F3134" s="967">
        <v>13203856615</v>
      </c>
      <c r="G3134" s="967">
        <v>3780</v>
      </c>
      <c r="H3134" s="967">
        <v>3970</v>
      </c>
      <c r="I3134" s="967">
        <v>3680</v>
      </c>
      <c r="J3134" s="967">
        <v>327047</v>
      </c>
      <c r="K3134" s="967">
        <v>84727220</v>
      </c>
    </row>
    <row r="3135" spans="2:11" s="1258" customFormat="1" ht="16" hidden="1" outlineLevel="1">
      <c r="B3135" s="968" t="s">
        <v>2571</v>
      </c>
      <c r="C3135" s="967">
        <v>3810</v>
      </c>
      <c r="D3135" s="967" t="s">
        <v>2570</v>
      </c>
      <c r="E3135" s="967">
        <v>4192429</v>
      </c>
      <c r="F3135" s="967">
        <v>15514587095</v>
      </c>
      <c r="G3135" s="967">
        <v>3535</v>
      </c>
      <c r="H3135" s="967">
        <v>3850</v>
      </c>
      <c r="I3135" s="967">
        <v>3530</v>
      </c>
      <c r="J3135" s="967">
        <v>322811</v>
      </c>
      <c r="K3135" s="967">
        <v>84727220</v>
      </c>
    </row>
    <row r="3136" spans="2:11" s="1258" customFormat="1" ht="16" hidden="1" outlineLevel="1">
      <c r="B3136" s="968" t="s">
        <v>2569</v>
      </c>
      <c r="C3136" s="967">
        <v>3390</v>
      </c>
      <c r="D3136" s="967" t="s">
        <v>2568</v>
      </c>
      <c r="E3136" s="967">
        <v>6398017</v>
      </c>
      <c r="F3136" s="967">
        <v>24346869970</v>
      </c>
      <c r="G3136" s="967">
        <v>4050</v>
      </c>
      <c r="H3136" s="967">
        <v>4120</v>
      </c>
      <c r="I3136" s="967">
        <v>3390</v>
      </c>
      <c r="J3136" s="967">
        <v>287225</v>
      </c>
      <c r="K3136" s="967">
        <v>84727220</v>
      </c>
    </row>
    <row r="3137" spans="2:11" s="1258" customFormat="1" ht="16" hidden="1" outlineLevel="1">
      <c r="B3137" s="968" t="s">
        <v>2567</v>
      </c>
      <c r="C3137" s="967">
        <v>3985</v>
      </c>
      <c r="D3137" s="967" t="s">
        <v>2270</v>
      </c>
      <c r="E3137" s="967">
        <v>7221508</v>
      </c>
      <c r="F3137" s="967">
        <v>28651257615</v>
      </c>
      <c r="G3137" s="967">
        <v>3845</v>
      </c>
      <c r="H3137" s="967">
        <v>4075</v>
      </c>
      <c r="I3137" s="967">
        <v>3800</v>
      </c>
      <c r="J3137" s="967">
        <v>337638</v>
      </c>
      <c r="K3137" s="967">
        <v>84727220</v>
      </c>
    </row>
    <row r="3138" spans="2:11" s="1258" customFormat="1" ht="16" hidden="1" outlineLevel="1">
      <c r="B3138" s="968" t="s">
        <v>2566</v>
      </c>
      <c r="C3138" s="967">
        <v>4010</v>
      </c>
      <c r="D3138" s="967" t="s">
        <v>2565</v>
      </c>
      <c r="E3138" s="967">
        <v>8285032</v>
      </c>
      <c r="F3138" s="967">
        <v>32267745100</v>
      </c>
      <c r="G3138" s="967">
        <v>3700</v>
      </c>
      <c r="H3138" s="967">
        <v>4010</v>
      </c>
      <c r="I3138" s="967">
        <v>3650</v>
      </c>
      <c r="J3138" s="967">
        <v>339756</v>
      </c>
      <c r="K3138" s="967">
        <v>84727220</v>
      </c>
    </row>
    <row r="3139" spans="2:11" s="1258" customFormat="1" ht="16" hidden="1" outlineLevel="1">
      <c r="B3139" s="968" t="s">
        <v>2564</v>
      </c>
      <c r="C3139" s="967">
        <v>3490</v>
      </c>
      <c r="D3139" s="967" t="s">
        <v>2390</v>
      </c>
      <c r="E3139" s="967">
        <v>3011873</v>
      </c>
      <c r="F3139" s="967">
        <v>10224549350</v>
      </c>
      <c r="G3139" s="967">
        <v>3510</v>
      </c>
      <c r="H3139" s="967">
        <v>3550</v>
      </c>
      <c r="I3139" s="967">
        <v>3165</v>
      </c>
      <c r="J3139" s="967">
        <v>295698</v>
      </c>
      <c r="K3139" s="967">
        <v>84727220</v>
      </c>
    </row>
    <row r="3140" spans="2:11" s="1258" customFormat="1" ht="16" hidden="1" outlineLevel="1">
      <c r="B3140" s="968" t="s">
        <v>2563</v>
      </c>
      <c r="C3140" s="967">
        <v>3510</v>
      </c>
      <c r="D3140" s="967" t="s">
        <v>2261</v>
      </c>
      <c r="E3140" s="967">
        <v>3606113</v>
      </c>
      <c r="F3140" s="967">
        <v>12548078805</v>
      </c>
      <c r="G3140" s="967">
        <v>3560</v>
      </c>
      <c r="H3140" s="967">
        <v>3635</v>
      </c>
      <c r="I3140" s="967">
        <v>3055</v>
      </c>
      <c r="J3140" s="967">
        <v>297393</v>
      </c>
      <c r="K3140" s="967">
        <v>84727220</v>
      </c>
    </row>
    <row r="3141" spans="2:11" s="1258" customFormat="1" ht="16" hidden="1" outlineLevel="1">
      <c r="B3141" s="968" t="s">
        <v>2562</v>
      </c>
      <c r="C3141" s="967">
        <v>3495</v>
      </c>
      <c r="D3141" s="967" t="s">
        <v>2421</v>
      </c>
      <c r="E3141" s="967">
        <v>2888171</v>
      </c>
      <c r="F3141" s="967">
        <v>9728809965</v>
      </c>
      <c r="G3141" s="967">
        <v>2995</v>
      </c>
      <c r="H3141" s="967">
        <v>3545</v>
      </c>
      <c r="I3141" s="967">
        <v>2995</v>
      </c>
      <c r="J3141" s="967">
        <v>296122</v>
      </c>
      <c r="K3141" s="967">
        <v>84727220</v>
      </c>
    </row>
    <row r="3142" spans="2:11" s="1258" customFormat="1" ht="16" hidden="1" outlineLevel="1">
      <c r="B3142" s="968" t="s">
        <v>2561</v>
      </c>
      <c r="C3142" s="967">
        <v>3500</v>
      </c>
      <c r="D3142" s="967" t="s">
        <v>2415</v>
      </c>
      <c r="E3142" s="967">
        <v>2107059</v>
      </c>
      <c r="F3142" s="967">
        <v>7635842755</v>
      </c>
      <c r="G3142" s="967">
        <v>3695</v>
      </c>
      <c r="H3142" s="967">
        <v>3725</v>
      </c>
      <c r="I3142" s="967">
        <v>3430</v>
      </c>
      <c r="J3142" s="967">
        <v>296545</v>
      </c>
      <c r="K3142" s="967">
        <v>84727220</v>
      </c>
    </row>
    <row r="3143" spans="2:11" s="1258" customFormat="1" ht="16" hidden="1" outlineLevel="1">
      <c r="B3143" s="968" t="s">
        <v>2560</v>
      </c>
      <c r="C3143" s="967">
        <v>3620</v>
      </c>
      <c r="D3143" s="967" t="s">
        <v>2226</v>
      </c>
      <c r="E3143" s="967">
        <v>3572932</v>
      </c>
      <c r="F3143" s="967">
        <v>12824994985</v>
      </c>
      <c r="G3143" s="967">
        <v>3600</v>
      </c>
      <c r="H3143" s="967">
        <v>3750</v>
      </c>
      <c r="I3143" s="967">
        <v>3460</v>
      </c>
      <c r="J3143" s="967">
        <v>306713</v>
      </c>
      <c r="K3143" s="967">
        <v>84727220</v>
      </c>
    </row>
    <row r="3144" spans="2:11" s="1258" customFormat="1" ht="16" hidden="1" outlineLevel="1">
      <c r="B3144" s="968" t="s">
        <v>2559</v>
      </c>
      <c r="C3144" s="967">
        <v>3670</v>
      </c>
      <c r="D3144" s="967" t="s">
        <v>2558</v>
      </c>
      <c r="E3144" s="967">
        <v>3727154</v>
      </c>
      <c r="F3144" s="967">
        <v>13286980450</v>
      </c>
      <c r="G3144" s="967">
        <v>3430</v>
      </c>
      <c r="H3144" s="967">
        <v>3670</v>
      </c>
      <c r="I3144" s="967">
        <v>3410</v>
      </c>
      <c r="J3144" s="967">
        <v>310949</v>
      </c>
      <c r="K3144" s="967">
        <v>84727220</v>
      </c>
    </row>
    <row r="3145" spans="2:11" s="1258" customFormat="1" ht="16" hidden="1" outlineLevel="1">
      <c r="B3145" s="968" t="s">
        <v>2557</v>
      </c>
      <c r="C3145" s="967">
        <v>3400</v>
      </c>
      <c r="D3145" s="967" t="s">
        <v>2556</v>
      </c>
      <c r="E3145" s="967">
        <v>4855726</v>
      </c>
      <c r="F3145" s="967">
        <v>16563868610</v>
      </c>
      <c r="G3145" s="967">
        <v>3360</v>
      </c>
      <c r="H3145" s="967">
        <v>3580</v>
      </c>
      <c r="I3145" s="967">
        <v>3270</v>
      </c>
      <c r="J3145" s="967">
        <v>288073</v>
      </c>
      <c r="K3145" s="967">
        <v>84727220</v>
      </c>
    </row>
    <row r="3146" spans="2:11" s="1258" customFormat="1" ht="16" hidden="1" outlineLevel="1">
      <c r="B3146" s="968" t="s">
        <v>2555</v>
      </c>
      <c r="C3146" s="967">
        <v>3275</v>
      </c>
      <c r="D3146" s="967" t="s">
        <v>2424</v>
      </c>
      <c r="E3146" s="967">
        <v>3980622</v>
      </c>
      <c r="F3146" s="967">
        <v>13069238335</v>
      </c>
      <c r="G3146" s="967">
        <v>3295</v>
      </c>
      <c r="H3146" s="967">
        <v>3370</v>
      </c>
      <c r="I3146" s="967">
        <v>3155</v>
      </c>
      <c r="J3146" s="967">
        <v>277482</v>
      </c>
      <c r="K3146" s="967">
        <v>84727220</v>
      </c>
    </row>
    <row r="3147" spans="2:11" s="1258" customFormat="1" ht="16" hidden="1" outlineLevel="1">
      <c r="B3147" s="968" t="s">
        <v>2554</v>
      </c>
      <c r="C3147" s="967">
        <v>3245</v>
      </c>
      <c r="D3147" s="967" t="s">
        <v>2553</v>
      </c>
      <c r="E3147" s="967">
        <v>6375159</v>
      </c>
      <c r="F3147" s="967">
        <v>19974522525</v>
      </c>
      <c r="G3147" s="967">
        <v>3050</v>
      </c>
      <c r="H3147" s="967">
        <v>3280</v>
      </c>
      <c r="I3147" s="967">
        <v>2980</v>
      </c>
      <c r="J3147" s="967">
        <v>274940</v>
      </c>
      <c r="K3147" s="967">
        <v>84727220</v>
      </c>
    </row>
    <row r="3148" spans="2:11" s="1258" customFormat="1" ht="16" hidden="1" outlineLevel="1">
      <c r="B3148" s="968" t="s">
        <v>2552</v>
      </c>
      <c r="C3148" s="967">
        <v>2900</v>
      </c>
      <c r="D3148" s="967" t="s">
        <v>2551</v>
      </c>
      <c r="E3148" s="967">
        <v>2838750</v>
      </c>
      <c r="F3148" s="967">
        <v>7849123750</v>
      </c>
      <c r="G3148" s="967">
        <v>2505</v>
      </c>
      <c r="H3148" s="967">
        <v>2900</v>
      </c>
      <c r="I3148" s="967">
        <v>2505</v>
      </c>
      <c r="J3148" s="967">
        <v>245709</v>
      </c>
      <c r="K3148" s="967">
        <v>84727220</v>
      </c>
    </row>
    <row r="3149" spans="2:11" s="1258" customFormat="1" ht="16" hidden="1" outlineLevel="1">
      <c r="B3149" s="968" t="s">
        <v>2550</v>
      </c>
      <c r="C3149" s="967">
        <v>2525</v>
      </c>
      <c r="D3149" s="967" t="s">
        <v>2396</v>
      </c>
      <c r="E3149" s="967">
        <v>464895</v>
      </c>
      <c r="F3149" s="967">
        <v>1183612585</v>
      </c>
      <c r="G3149" s="967">
        <v>2595</v>
      </c>
      <c r="H3149" s="967">
        <v>2600</v>
      </c>
      <c r="I3149" s="967">
        <v>2525</v>
      </c>
      <c r="J3149" s="967">
        <v>213936</v>
      </c>
      <c r="K3149" s="967">
        <v>84727220</v>
      </c>
    </row>
    <row r="3150" spans="2:11" s="1258" customFormat="1" ht="16" hidden="1" outlineLevel="1">
      <c r="B3150" s="968" t="s">
        <v>2549</v>
      </c>
      <c r="C3150" s="967">
        <v>2565</v>
      </c>
      <c r="D3150" s="967" t="s">
        <v>2212</v>
      </c>
      <c r="E3150" s="967">
        <v>673231</v>
      </c>
      <c r="F3150" s="967">
        <v>1711112105</v>
      </c>
      <c r="G3150" s="967">
        <v>2460</v>
      </c>
      <c r="H3150" s="967">
        <v>2575</v>
      </c>
      <c r="I3150" s="967">
        <v>2455</v>
      </c>
      <c r="J3150" s="967">
        <v>217325</v>
      </c>
      <c r="K3150" s="967">
        <v>84727220</v>
      </c>
    </row>
    <row r="3151" spans="2:11" s="1258" customFormat="1" ht="16" hidden="1" outlineLevel="1">
      <c r="B3151" s="968" t="s">
        <v>2548</v>
      </c>
      <c r="C3151" s="967">
        <v>2465</v>
      </c>
      <c r="D3151" s="967" t="s">
        <v>2547</v>
      </c>
      <c r="E3151" s="967">
        <v>516266</v>
      </c>
      <c r="F3151" s="967">
        <v>1255904030</v>
      </c>
      <c r="G3151" s="967">
        <v>2400</v>
      </c>
      <c r="H3151" s="967">
        <v>2475</v>
      </c>
      <c r="I3151" s="967">
        <v>2370</v>
      </c>
      <c r="J3151" s="967">
        <v>208853</v>
      </c>
      <c r="K3151" s="967">
        <v>84727220</v>
      </c>
    </row>
    <row r="3152" spans="2:11" s="1258" customFormat="1" ht="16" hidden="1" outlineLevel="1">
      <c r="B3152" s="968" t="s">
        <v>2546</v>
      </c>
      <c r="C3152" s="967">
        <v>2370</v>
      </c>
      <c r="D3152" s="967" t="s">
        <v>2228</v>
      </c>
      <c r="E3152" s="967">
        <v>534268</v>
      </c>
      <c r="F3152" s="967">
        <v>1285896460</v>
      </c>
      <c r="G3152" s="967">
        <v>2460</v>
      </c>
      <c r="H3152" s="967">
        <v>2465</v>
      </c>
      <c r="I3152" s="967">
        <v>2370</v>
      </c>
      <c r="J3152" s="967">
        <v>200804</v>
      </c>
      <c r="K3152" s="967">
        <v>84727220</v>
      </c>
    </row>
    <row r="3153" spans="2:11" s="1258" customFormat="1" ht="16" hidden="1" outlineLevel="1">
      <c r="B3153" s="968" t="s">
        <v>2545</v>
      </c>
      <c r="C3153" s="967">
        <v>2470</v>
      </c>
      <c r="D3153" s="967" t="s">
        <v>2440</v>
      </c>
      <c r="E3153" s="967">
        <v>508768</v>
      </c>
      <c r="F3153" s="967">
        <v>1231274960</v>
      </c>
      <c r="G3153" s="967">
        <v>2430</v>
      </c>
      <c r="H3153" s="967">
        <v>2470</v>
      </c>
      <c r="I3153" s="967">
        <v>2385</v>
      </c>
      <c r="J3153" s="967">
        <v>209276</v>
      </c>
      <c r="K3153" s="967">
        <v>84727220</v>
      </c>
    </row>
    <row r="3154" spans="2:11" s="1258" customFormat="1" ht="16" hidden="1" outlineLevel="1">
      <c r="B3154" s="968" t="s">
        <v>2544</v>
      </c>
      <c r="C3154" s="967">
        <v>2410</v>
      </c>
      <c r="D3154" s="967" t="s">
        <v>2413</v>
      </c>
      <c r="E3154" s="967">
        <v>429001</v>
      </c>
      <c r="F3154" s="967">
        <v>1034257710</v>
      </c>
      <c r="G3154" s="967">
        <v>2460</v>
      </c>
      <c r="H3154" s="967">
        <v>2460</v>
      </c>
      <c r="I3154" s="967">
        <v>2380</v>
      </c>
      <c r="J3154" s="967">
        <v>204193</v>
      </c>
      <c r="K3154" s="967">
        <v>84727220</v>
      </c>
    </row>
    <row r="3155" spans="2:11" s="1258" customFormat="1" ht="16" hidden="1" outlineLevel="1">
      <c r="B3155" s="968" t="s">
        <v>2543</v>
      </c>
      <c r="C3155" s="967">
        <v>2445</v>
      </c>
      <c r="D3155" s="967" t="s">
        <v>2542</v>
      </c>
      <c r="E3155" s="967">
        <v>686709</v>
      </c>
      <c r="F3155" s="967">
        <v>1653156015</v>
      </c>
      <c r="G3155" s="967">
        <v>2310</v>
      </c>
      <c r="H3155" s="967">
        <v>2505</v>
      </c>
      <c r="I3155" s="967">
        <v>2310</v>
      </c>
      <c r="J3155" s="967">
        <v>207158</v>
      </c>
      <c r="K3155" s="967">
        <v>84727220</v>
      </c>
    </row>
    <row r="3156" spans="2:11" s="1258" customFormat="1" ht="16" hidden="1" outlineLevel="1">
      <c r="B3156" s="968" t="s">
        <v>2541</v>
      </c>
      <c r="C3156" s="967">
        <v>2300</v>
      </c>
      <c r="D3156" s="967" t="s">
        <v>2221</v>
      </c>
      <c r="E3156" s="967">
        <v>227310</v>
      </c>
      <c r="F3156" s="967">
        <v>529271850</v>
      </c>
      <c r="G3156" s="967">
        <v>2300</v>
      </c>
      <c r="H3156" s="967">
        <v>2375</v>
      </c>
      <c r="I3156" s="967">
        <v>2285</v>
      </c>
      <c r="J3156" s="967">
        <v>194873</v>
      </c>
      <c r="K3156" s="967">
        <v>84727220</v>
      </c>
    </row>
    <row r="3157" spans="2:11" s="1258" customFormat="1" ht="16" hidden="1" outlineLevel="1">
      <c r="B3157" s="968" t="s">
        <v>2540</v>
      </c>
      <c r="C3157" s="967">
        <v>2300</v>
      </c>
      <c r="D3157" s="967" t="s">
        <v>2421</v>
      </c>
      <c r="E3157" s="967">
        <v>200029</v>
      </c>
      <c r="F3157" s="967">
        <v>458229900</v>
      </c>
      <c r="G3157" s="967">
        <v>2290</v>
      </c>
      <c r="H3157" s="967">
        <v>2335</v>
      </c>
      <c r="I3157" s="967">
        <v>2275</v>
      </c>
      <c r="J3157" s="967">
        <v>194873</v>
      </c>
      <c r="K3157" s="967">
        <v>84727220</v>
      </c>
    </row>
    <row r="3158" spans="2:11" s="1258" customFormat="1" ht="16" hidden="1" outlineLevel="1">
      <c r="B3158" s="968" t="s">
        <v>2539</v>
      </c>
      <c r="C3158" s="967">
        <v>2305</v>
      </c>
      <c r="D3158" s="967" t="s">
        <v>2260</v>
      </c>
      <c r="E3158" s="967">
        <v>321649</v>
      </c>
      <c r="F3158" s="967">
        <v>732742795</v>
      </c>
      <c r="G3158" s="967">
        <v>2255</v>
      </c>
      <c r="H3158" s="967">
        <v>2305</v>
      </c>
      <c r="I3158" s="967">
        <v>2250</v>
      </c>
      <c r="J3158" s="967">
        <v>195296</v>
      </c>
      <c r="K3158" s="967">
        <v>84727220</v>
      </c>
    </row>
    <row r="3159" spans="2:11" s="1258" customFormat="1" ht="16" hidden="1" outlineLevel="1">
      <c r="B3159" s="968" t="s">
        <v>2538</v>
      </c>
      <c r="C3159" s="967">
        <v>2270</v>
      </c>
      <c r="D3159" s="967" t="s">
        <v>2263</v>
      </c>
      <c r="E3159" s="967">
        <v>432256</v>
      </c>
      <c r="F3159" s="967">
        <v>987165245</v>
      </c>
      <c r="G3159" s="967">
        <v>2320</v>
      </c>
      <c r="H3159" s="967">
        <v>2340</v>
      </c>
      <c r="I3159" s="967">
        <v>2260</v>
      </c>
      <c r="J3159" s="967">
        <v>192331</v>
      </c>
      <c r="K3159" s="967">
        <v>84727220</v>
      </c>
    </row>
    <row r="3160" spans="2:11" s="1258" customFormat="1" ht="16" hidden="1" outlineLevel="1">
      <c r="B3160" s="968" t="s">
        <v>2537</v>
      </c>
      <c r="C3160" s="967">
        <v>2340</v>
      </c>
      <c r="D3160" s="967" t="s">
        <v>2396</v>
      </c>
      <c r="E3160" s="967">
        <v>237467</v>
      </c>
      <c r="F3160" s="967">
        <v>559474730</v>
      </c>
      <c r="G3160" s="967">
        <v>2405</v>
      </c>
      <c r="H3160" s="967">
        <v>2405</v>
      </c>
      <c r="I3160" s="967">
        <v>2340</v>
      </c>
      <c r="J3160" s="967">
        <v>198262</v>
      </c>
      <c r="K3160" s="967">
        <v>84727220</v>
      </c>
    </row>
    <row r="3161" spans="2:11" s="1258" customFormat="1" ht="16" hidden="1" outlineLevel="1">
      <c r="B3161" s="968" t="s">
        <v>2536</v>
      </c>
      <c r="C3161" s="967">
        <v>2380</v>
      </c>
      <c r="D3161" s="967" t="s">
        <v>2262</v>
      </c>
      <c r="E3161" s="967">
        <v>343910</v>
      </c>
      <c r="F3161" s="967">
        <v>820375050</v>
      </c>
      <c r="G3161" s="967">
        <v>2420</v>
      </c>
      <c r="H3161" s="967">
        <v>2430</v>
      </c>
      <c r="I3161" s="967">
        <v>2355</v>
      </c>
      <c r="J3161" s="967">
        <v>201651</v>
      </c>
      <c r="K3161" s="967">
        <v>84727220</v>
      </c>
    </row>
    <row r="3162" spans="2:11" s="1258" customFormat="1" ht="16" hidden="1" outlineLevel="1">
      <c r="B3162" s="968" t="s">
        <v>2535</v>
      </c>
      <c r="C3162" s="967">
        <v>2425</v>
      </c>
      <c r="D3162" s="967" t="s">
        <v>2411</v>
      </c>
      <c r="E3162" s="967">
        <v>529941</v>
      </c>
      <c r="F3162" s="967">
        <v>1269603625</v>
      </c>
      <c r="G3162" s="967">
        <v>2360</v>
      </c>
      <c r="H3162" s="967">
        <v>2425</v>
      </c>
      <c r="I3162" s="967">
        <v>2335</v>
      </c>
      <c r="J3162" s="967">
        <v>205464</v>
      </c>
      <c r="K3162" s="967">
        <v>84727220</v>
      </c>
    </row>
    <row r="3163" spans="2:11" s="1258" customFormat="1" ht="16" hidden="1" outlineLevel="1">
      <c r="B3163" s="968" t="s">
        <v>2534</v>
      </c>
      <c r="C3163" s="967">
        <v>2345</v>
      </c>
      <c r="D3163" s="967" t="s">
        <v>2366</v>
      </c>
      <c r="E3163" s="967">
        <v>261529</v>
      </c>
      <c r="F3163" s="967">
        <v>611805760</v>
      </c>
      <c r="G3163" s="967">
        <v>2340</v>
      </c>
      <c r="H3163" s="967">
        <v>2360</v>
      </c>
      <c r="I3163" s="967">
        <v>2325</v>
      </c>
      <c r="J3163" s="967">
        <v>198685</v>
      </c>
      <c r="K3163" s="967">
        <v>84727220</v>
      </c>
    </row>
    <row r="3164" spans="2:11" s="1258" customFormat="1" ht="16" hidden="1" outlineLevel="1">
      <c r="B3164" s="968" t="s">
        <v>2533</v>
      </c>
      <c r="C3164" s="967">
        <v>2355</v>
      </c>
      <c r="D3164" s="967" t="s">
        <v>2486</v>
      </c>
      <c r="E3164" s="967">
        <v>320195</v>
      </c>
      <c r="F3164" s="967">
        <v>751320505</v>
      </c>
      <c r="G3164" s="967">
        <v>2375</v>
      </c>
      <c r="H3164" s="967">
        <v>2375</v>
      </c>
      <c r="I3164" s="967">
        <v>2335</v>
      </c>
      <c r="J3164" s="967">
        <v>199533</v>
      </c>
      <c r="K3164" s="967">
        <v>84727220</v>
      </c>
    </row>
    <row r="3165" spans="2:11" s="1258" customFormat="1" ht="16" hidden="1" outlineLevel="1">
      <c r="B3165" s="968" t="s">
        <v>2532</v>
      </c>
      <c r="C3165" s="967">
        <v>2370</v>
      </c>
      <c r="D3165" s="967" t="s">
        <v>2413</v>
      </c>
      <c r="E3165" s="967">
        <v>314192</v>
      </c>
      <c r="F3165" s="967">
        <v>753460140</v>
      </c>
      <c r="G3165" s="967">
        <v>2415</v>
      </c>
      <c r="H3165" s="967">
        <v>2455</v>
      </c>
      <c r="I3165" s="967">
        <v>2365</v>
      </c>
      <c r="J3165" s="967">
        <v>200804</v>
      </c>
      <c r="K3165" s="967">
        <v>84727220</v>
      </c>
    </row>
    <row r="3166" spans="2:11" s="1258" customFormat="1" ht="16" hidden="1" outlineLevel="1">
      <c r="B3166" s="968" t="s">
        <v>2531</v>
      </c>
      <c r="C3166" s="967">
        <v>2405</v>
      </c>
      <c r="D3166" s="967" t="s">
        <v>2424</v>
      </c>
      <c r="E3166" s="967">
        <v>264820</v>
      </c>
      <c r="F3166" s="967">
        <v>640460280</v>
      </c>
      <c r="G3166" s="967">
        <v>2380</v>
      </c>
      <c r="H3166" s="967">
        <v>2460</v>
      </c>
      <c r="I3166" s="967">
        <v>2375</v>
      </c>
      <c r="J3166" s="967">
        <v>203769</v>
      </c>
      <c r="K3166" s="967">
        <v>84727220</v>
      </c>
    </row>
    <row r="3167" spans="2:11" s="1258" customFormat="1" ht="16" hidden="1" outlineLevel="1">
      <c r="B3167" s="968" t="s">
        <v>2530</v>
      </c>
      <c r="C3167" s="967">
        <v>2375</v>
      </c>
      <c r="D3167" s="967" t="s">
        <v>2529</v>
      </c>
      <c r="E3167" s="967">
        <v>195828</v>
      </c>
      <c r="F3167" s="967">
        <v>467556725</v>
      </c>
      <c r="G3167" s="967">
        <v>2425</v>
      </c>
      <c r="H3167" s="967">
        <v>2430</v>
      </c>
      <c r="I3167" s="967">
        <v>2370</v>
      </c>
      <c r="J3167" s="967">
        <v>201227</v>
      </c>
      <c r="K3167" s="967">
        <v>84727220</v>
      </c>
    </row>
    <row r="3168" spans="2:11" s="1258" customFormat="1" ht="16" hidden="1" outlineLevel="1">
      <c r="B3168" s="968" t="s">
        <v>2528</v>
      </c>
      <c r="C3168" s="967">
        <v>2430</v>
      </c>
      <c r="D3168" s="967" t="s">
        <v>2366</v>
      </c>
      <c r="E3168" s="967">
        <v>192262</v>
      </c>
      <c r="F3168" s="967">
        <v>465280370</v>
      </c>
      <c r="G3168" s="967">
        <v>2440</v>
      </c>
      <c r="H3168" s="967">
        <v>2465</v>
      </c>
      <c r="I3168" s="967">
        <v>2405</v>
      </c>
      <c r="J3168" s="967">
        <v>205887</v>
      </c>
      <c r="K3168" s="967">
        <v>84727220</v>
      </c>
    </row>
    <row r="3169" spans="2:11" s="1258" customFormat="1" ht="16" hidden="1" outlineLevel="1">
      <c r="B3169" s="968" t="s">
        <v>2527</v>
      </c>
      <c r="C3169" s="967">
        <v>2440</v>
      </c>
      <c r="D3169" s="967" t="s">
        <v>2526</v>
      </c>
      <c r="E3169" s="967">
        <v>239890</v>
      </c>
      <c r="F3169" s="967">
        <v>574493750</v>
      </c>
      <c r="G3169" s="967">
        <v>2355</v>
      </c>
      <c r="H3169" s="967">
        <v>2450</v>
      </c>
      <c r="I3169" s="967">
        <v>2330</v>
      </c>
      <c r="J3169" s="967">
        <v>206734</v>
      </c>
      <c r="K3169" s="967">
        <v>84727220</v>
      </c>
    </row>
    <row r="3170" spans="2:11" s="1258" customFormat="1" ht="16" hidden="1" outlineLevel="1">
      <c r="B3170" s="968" t="s">
        <v>2525</v>
      </c>
      <c r="C3170" s="967">
        <v>2300</v>
      </c>
      <c r="D3170" s="967" t="s">
        <v>2460</v>
      </c>
      <c r="E3170" s="967">
        <v>193269</v>
      </c>
      <c r="F3170" s="967">
        <v>449358450</v>
      </c>
      <c r="G3170" s="967">
        <v>2355</v>
      </c>
      <c r="H3170" s="967">
        <v>2395</v>
      </c>
      <c r="I3170" s="967">
        <v>2300</v>
      </c>
      <c r="J3170" s="967">
        <v>194873</v>
      </c>
      <c r="K3170" s="967">
        <v>84727220</v>
      </c>
    </row>
    <row r="3171" spans="2:11" s="1258" customFormat="1" ht="16" hidden="1" outlineLevel="1">
      <c r="B3171" s="968" t="s">
        <v>2524</v>
      </c>
      <c r="C3171" s="967">
        <v>2360</v>
      </c>
      <c r="D3171" s="967" t="s">
        <v>2266</v>
      </c>
      <c r="E3171" s="967">
        <v>165130</v>
      </c>
      <c r="F3171" s="967">
        <v>387280300</v>
      </c>
      <c r="G3171" s="967">
        <v>2315</v>
      </c>
      <c r="H3171" s="967">
        <v>2395</v>
      </c>
      <c r="I3171" s="967">
        <v>2315</v>
      </c>
      <c r="J3171" s="967">
        <v>199956</v>
      </c>
      <c r="K3171" s="967">
        <v>84727220</v>
      </c>
    </row>
    <row r="3172" spans="2:11" s="1258" customFormat="1" ht="16" hidden="1" outlineLevel="1">
      <c r="B3172" s="968" t="s">
        <v>2523</v>
      </c>
      <c r="C3172" s="967">
        <v>2350</v>
      </c>
      <c r="D3172" s="967" t="s">
        <v>2366</v>
      </c>
      <c r="E3172" s="967">
        <v>257906</v>
      </c>
      <c r="F3172" s="967">
        <v>614157130</v>
      </c>
      <c r="G3172" s="967">
        <v>2405</v>
      </c>
      <c r="H3172" s="967">
        <v>2450</v>
      </c>
      <c r="I3172" s="967">
        <v>2335</v>
      </c>
      <c r="J3172" s="967">
        <v>199109</v>
      </c>
      <c r="K3172" s="967">
        <v>84727220</v>
      </c>
    </row>
    <row r="3173" spans="2:11" s="1258" customFormat="1" ht="16" hidden="1" outlineLevel="1">
      <c r="B3173" s="968" t="s">
        <v>2522</v>
      </c>
      <c r="C3173" s="967">
        <v>2360</v>
      </c>
      <c r="D3173" s="967" t="s">
        <v>2368</v>
      </c>
      <c r="E3173" s="967">
        <v>481368</v>
      </c>
      <c r="F3173" s="967">
        <v>1143029630</v>
      </c>
      <c r="G3173" s="967">
        <v>2230</v>
      </c>
      <c r="H3173" s="967">
        <v>2450</v>
      </c>
      <c r="I3173" s="967">
        <v>2230</v>
      </c>
      <c r="J3173" s="967">
        <v>199956</v>
      </c>
      <c r="K3173" s="967">
        <v>84727220</v>
      </c>
    </row>
    <row r="3174" spans="2:11" s="1258" customFormat="1" ht="16" hidden="1" outlineLevel="1">
      <c r="B3174" s="968" t="s">
        <v>2521</v>
      </c>
      <c r="C3174" s="967">
        <v>2200</v>
      </c>
      <c r="D3174" s="967" t="s">
        <v>2207</v>
      </c>
      <c r="E3174" s="967">
        <v>281714</v>
      </c>
      <c r="F3174" s="967">
        <v>617053300</v>
      </c>
      <c r="G3174" s="967">
        <v>2160</v>
      </c>
      <c r="H3174" s="967">
        <v>2255</v>
      </c>
      <c r="I3174" s="967">
        <v>2145</v>
      </c>
      <c r="J3174" s="967">
        <v>186400</v>
      </c>
      <c r="K3174" s="967">
        <v>84727220</v>
      </c>
    </row>
    <row r="3175" spans="2:11" s="1258" customFormat="1" ht="16" hidden="1" outlineLevel="1">
      <c r="B3175" s="968" t="s">
        <v>2520</v>
      </c>
      <c r="C3175" s="967">
        <v>2150</v>
      </c>
      <c r="D3175" s="967" t="s">
        <v>2396</v>
      </c>
      <c r="E3175" s="967">
        <v>208367</v>
      </c>
      <c r="F3175" s="967">
        <v>454486690</v>
      </c>
      <c r="G3175" s="967">
        <v>2170</v>
      </c>
      <c r="H3175" s="967">
        <v>2230</v>
      </c>
      <c r="I3175" s="967">
        <v>2145</v>
      </c>
      <c r="J3175" s="967">
        <v>182164</v>
      </c>
      <c r="K3175" s="967">
        <v>84727220</v>
      </c>
    </row>
    <row r="3176" spans="2:11" s="1258" customFormat="1" ht="16" hidden="1" outlineLevel="1">
      <c r="B3176" s="968" t="s">
        <v>2519</v>
      </c>
      <c r="C3176" s="967">
        <v>2190</v>
      </c>
      <c r="D3176" s="967" t="s">
        <v>2518</v>
      </c>
      <c r="E3176" s="967">
        <v>340809</v>
      </c>
      <c r="F3176" s="967">
        <v>766957360</v>
      </c>
      <c r="G3176" s="967">
        <v>2285</v>
      </c>
      <c r="H3176" s="967">
        <v>2350</v>
      </c>
      <c r="I3176" s="967">
        <v>2170</v>
      </c>
      <c r="J3176" s="967">
        <v>185553</v>
      </c>
      <c r="K3176" s="967">
        <v>84727220</v>
      </c>
    </row>
    <row r="3177" spans="2:11" s="1258" customFormat="1" ht="16" hidden="1" outlineLevel="1">
      <c r="B3177" s="968" t="s">
        <v>2517</v>
      </c>
      <c r="C3177" s="967">
        <v>2275</v>
      </c>
      <c r="D3177" s="967" t="s">
        <v>2363</v>
      </c>
      <c r="E3177" s="967">
        <v>239129</v>
      </c>
      <c r="F3177" s="967">
        <v>547686105</v>
      </c>
      <c r="G3177" s="967">
        <v>2310</v>
      </c>
      <c r="H3177" s="967">
        <v>2340</v>
      </c>
      <c r="I3177" s="967">
        <v>2270</v>
      </c>
      <c r="J3177" s="967">
        <v>192754</v>
      </c>
      <c r="K3177" s="967">
        <v>84727220</v>
      </c>
    </row>
    <row r="3178" spans="2:11" s="1258" customFormat="1" ht="16" hidden="1" outlineLevel="1">
      <c r="B3178" s="968" t="s">
        <v>2516</v>
      </c>
      <c r="C3178" s="967">
        <v>2340</v>
      </c>
      <c r="D3178" s="967" t="s">
        <v>2226</v>
      </c>
      <c r="E3178" s="967">
        <v>376660</v>
      </c>
      <c r="F3178" s="967">
        <v>880392800</v>
      </c>
      <c r="G3178" s="967">
        <v>2370</v>
      </c>
      <c r="H3178" s="967">
        <v>2405</v>
      </c>
      <c r="I3178" s="967">
        <v>2285</v>
      </c>
      <c r="J3178" s="967">
        <v>198262</v>
      </c>
      <c r="K3178" s="967">
        <v>84727220</v>
      </c>
    </row>
    <row r="3179" spans="2:11" s="1258" customFormat="1" ht="16" hidden="1" outlineLevel="1">
      <c r="B3179" s="968" t="s">
        <v>2515</v>
      </c>
      <c r="C3179" s="967">
        <v>2390</v>
      </c>
      <c r="D3179" s="967" t="s">
        <v>2221</v>
      </c>
      <c r="E3179" s="967">
        <v>203382</v>
      </c>
      <c r="F3179" s="967">
        <v>486322215</v>
      </c>
      <c r="G3179" s="967">
        <v>2350</v>
      </c>
      <c r="H3179" s="967">
        <v>2410</v>
      </c>
      <c r="I3179" s="967">
        <v>2350</v>
      </c>
      <c r="J3179" s="967">
        <v>202498</v>
      </c>
      <c r="K3179" s="967">
        <v>84727220</v>
      </c>
    </row>
    <row r="3180" spans="2:11" s="1258" customFormat="1" ht="16" hidden="1" outlineLevel="1">
      <c r="B3180" s="968" t="s">
        <v>2514</v>
      </c>
      <c r="C3180" s="967">
        <v>2390</v>
      </c>
      <c r="D3180" s="967" t="s">
        <v>2226</v>
      </c>
      <c r="E3180" s="967">
        <v>271793</v>
      </c>
      <c r="F3180" s="967">
        <v>650026230</v>
      </c>
      <c r="G3180" s="967">
        <v>2400</v>
      </c>
      <c r="H3180" s="967">
        <v>2460</v>
      </c>
      <c r="I3180" s="967">
        <v>2315</v>
      </c>
      <c r="J3180" s="967">
        <v>202498</v>
      </c>
      <c r="K3180" s="967">
        <v>84727220</v>
      </c>
    </row>
    <row r="3181" spans="2:11" s="1258" customFormat="1" ht="16" hidden="1" outlineLevel="1">
      <c r="B3181" s="968" t="s">
        <v>2513</v>
      </c>
      <c r="C3181" s="967">
        <v>2440</v>
      </c>
      <c r="D3181" s="967" t="s">
        <v>2226</v>
      </c>
      <c r="E3181" s="967">
        <v>216840</v>
      </c>
      <c r="F3181" s="967">
        <v>536901250</v>
      </c>
      <c r="G3181" s="967">
        <v>2540</v>
      </c>
      <c r="H3181" s="967">
        <v>2540</v>
      </c>
      <c r="I3181" s="967">
        <v>2430</v>
      </c>
      <c r="J3181" s="967">
        <v>206734</v>
      </c>
      <c r="K3181" s="967">
        <v>84727220</v>
      </c>
    </row>
    <row r="3182" spans="2:11" s="1258" customFormat="1" ht="16" hidden="1" outlineLevel="1">
      <c r="B3182" s="968" t="s">
        <v>2512</v>
      </c>
      <c r="C3182" s="967">
        <v>2490</v>
      </c>
      <c r="D3182" s="967" t="s">
        <v>2266</v>
      </c>
      <c r="E3182" s="967">
        <v>135675</v>
      </c>
      <c r="F3182" s="967">
        <v>337580280</v>
      </c>
      <c r="G3182" s="967">
        <v>2475</v>
      </c>
      <c r="H3182" s="967">
        <v>2510</v>
      </c>
      <c r="I3182" s="967">
        <v>2465</v>
      </c>
      <c r="J3182" s="967">
        <v>210971</v>
      </c>
      <c r="K3182" s="967">
        <v>84727220</v>
      </c>
    </row>
    <row r="3183" spans="2:11" s="1258" customFormat="1" ht="16" hidden="1" outlineLevel="1">
      <c r="B3183" s="968" t="s">
        <v>2511</v>
      </c>
      <c r="C3183" s="967">
        <v>2480</v>
      </c>
      <c r="D3183" s="967" t="s">
        <v>2413</v>
      </c>
      <c r="E3183" s="967">
        <v>275730</v>
      </c>
      <c r="F3183" s="967">
        <v>692048040</v>
      </c>
      <c r="G3183" s="967">
        <v>2500</v>
      </c>
      <c r="H3183" s="967">
        <v>2565</v>
      </c>
      <c r="I3183" s="967">
        <v>2475</v>
      </c>
      <c r="J3183" s="967">
        <v>210124</v>
      </c>
      <c r="K3183" s="967">
        <v>84727220</v>
      </c>
    </row>
    <row r="3184" spans="2:11" s="1258" customFormat="1" ht="16" hidden="1" outlineLevel="1">
      <c r="B3184" s="968" t="s">
        <v>2510</v>
      </c>
      <c r="C3184" s="967">
        <v>2515</v>
      </c>
      <c r="D3184" s="967" t="s">
        <v>2266</v>
      </c>
      <c r="E3184" s="967">
        <v>294020</v>
      </c>
      <c r="F3184" s="967">
        <v>740035555</v>
      </c>
      <c r="G3184" s="967">
        <v>2515</v>
      </c>
      <c r="H3184" s="967">
        <v>2550</v>
      </c>
      <c r="I3184" s="967">
        <v>2495</v>
      </c>
      <c r="J3184" s="967">
        <v>213089</v>
      </c>
      <c r="K3184" s="967">
        <v>84727220</v>
      </c>
    </row>
    <row r="3185" spans="2:11" s="1258" customFormat="1" ht="16" hidden="1" outlineLevel="1">
      <c r="B3185" s="968" t="s">
        <v>2509</v>
      </c>
      <c r="C3185" s="967">
        <v>2505</v>
      </c>
      <c r="D3185" s="967" t="s">
        <v>2460</v>
      </c>
      <c r="E3185" s="967">
        <v>299745</v>
      </c>
      <c r="F3185" s="967">
        <v>758582025</v>
      </c>
      <c r="G3185" s="967">
        <v>2600</v>
      </c>
      <c r="H3185" s="967">
        <v>2600</v>
      </c>
      <c r="I3185" s="967">
        <v>2505</v>
      </c>
      <c r="J3185" s="967">
        <v>212242</v>
      </c>
      <c r="K3185" s="967">
        <v>84727220</v>
      </c>
    </row>
    <row r="3186" spans="2:11" s="1258" customFormat="1" ht="16" hidden="1" outlineLevel="1">
      <c r="B3186" s="968" t="s">
        <v>2508</v>
      </c>
      <c r="C3186" s="967">
        <v>2565</v>
      </c>
      <c r="D3186" s="967" t="s">
        <v>2375</v>
      </c>
      <c r="E3186" s="967">
        <v>247304</v>
      </c>
      <c r="F3186" s="967">
        <v>641398735</v>
      </c>
      <c r="G3186" s="967">
        <v>2600</v>
      </c>
      <c r="H3186" s="967">
        <v>2635</v>
      </c>
      <c r="I3186" s="967">
        <v>2560</v>
      </c>
      <c r="J3186" s="967">
        <v>217325</v>
      </c>
      <c r="K3186" s="967">
        <v>84727220</v>
      </c>
    </row>
    <row r="3187" spans="2:11" s="1258" customFormat="1" ht="16" hidden="1" outlineLevel="1">
      <c r="B3187" s="968" t="s">
        <v>2507</v>
      </c>
      <c r="C3187" s="967">
        <v>2680</v>
      </c>
      <c r="D3187" s="967" t="s">
        <v>2396</v>
      </c>
      <c r="E3187" s="967">
        <v>238866</v>
      </c>
      <c r="F3187" s="967">
        <v>644840450</v>
      </c>
      <c r="G3187" s="967">
        <v>2740</v>
      </c>
      <c r="H3187" s="967">
        <v>2740</v>
      </c>
      <c r="I3187" s="967">
        <v>2665</v>
      </c>
      <c r="J3187" s="967">
        <v>227069</v>
      </c>
      <c r="K3187" s="967">
        <v>84727220</v>
      </c>
    </row>
    <row r="3188" spans="2:11" s="1258" customFormat="1" ht="16" hidden="1" outlineLevel="1">
      <c r="B3188" s="968" t="s">
        <v>2506</v>
      </c>
      <c r="C3188" s="967">
        <v>2720</v>
      </c>
      <c r="D3188" s="967" t="s">
        <v>2505</v>
      </c>
      <c r="E3188" s="967">
        <v>381796</v>
      </c>
      <c r="F3188" s="967">
        <v>1012432375</v>
      </c>
      <c r="G3188" s="967">
        <v>2615</v>
      </c>
      <c r="H3188" s="967">
        <v>2720</v>
      </c>
      <c r="I3188" s="967">
        <v>2590</v>
      </c>
      <c r="J3188" s="967">
        <v>230458</v>
      </c>
      <c r="K3188" s="967">
        <v>84727220</v>
      </c>
    </row>
    <row r="3189" spans="2:11" s="1258" customFormat="1" ht="16" hidden="1" outlineLevel="1">
      <c r="B3189" s="968" t="s">
        <v>2504</v>
      </c>
      <c r="C3189" s="967">
        <v>2590</v>
      </c>
      <c r="D3189" s="967" t="s">
        <v>2221</v>
      </c>
      <c r="E3189" s="967">
        <v>140099</v>
      </c>
      <c r="F3189" s="967">
        <v>366285645</v>
      </c>
      <c r="G3189" s="967">
        <v>2620</v>
      </c>
      <c r="H3189" s="967">
        <v>2660</v>
      </c>
      <c r="I3189" s="967">
        <v>2580</v>
      </c>
      <c r="J3189" s="967">
        <v>219443</v>
      </c>
      <c r="K3189" s="967">
        <v>84727220</v>
      </c>
    </row>
    <row r="3190" spans="2:11" s="1258" customFormat="1" ht="16" hidden="1" outlineLevel="1">
      <c r="B3190" s="968" t="s">
        <v>2503</v>
      </c>
      <c r="C3190" s="967">
        <v>2590</v>
      </c>
      <c r="D3190" s="967" t="s">
        <v>2405</v>
      </c>
      <c r="E3190" s="967">
        <v>414805</v>
      </c>
      <c r="F3190" s="967">
        <v>1082801650</v>
      </c>
      <c r="G3190" s="967">
        <v>2570</v>
      </c>
      <c r="H3190" s="967">
        <v>2665</v>
      </c>
      <c r="I3190" s="967">
        <v>2530</v>
      </c>
      <c r="J3190" s="967">
        <v>219443</v>
      </c>
      <c r="K3190" s="967">
        <v>84727220</v>
      </c>
    </row>
    <row r="3191" spans="2:11" s="1258" customFormat="1" ht="16" hidden="1" outlineLevel="1">
      <c r="B3191" s="968" t="s">
        <v>2502</v>
      </c>
      <c r="C3191" s="967">
        <v>2515</v>
      </c>
      <c r="D3191" s="967" t="s">
        <v>2424</v>
      </c>
      <c r="E3191" s="967">
        <v>259413</v>
      </c>
      <c r="F3191" s="967">
        <v>654580945</v>
      </c>
      <c r="G3191" s="967">
        <v>2490</v>
      </c>
      <c r="H3191" s="967">
        <v>2555</v>
      </c>
      <c r="I3191" s="967">
        <v>2490</v>
      </c>
      <c r="J3191" s="967">
        <v>213089</v>
      </c>
      <c r="K3191" s="967">
        <v>84727220</v>
      </c>
    </row>
    <row r="3192" spans="2:11" s="1258" customFormat="1" ht="16" hidden="1" outlineLevel="1">
      <c r="B3192" s="968" t="s">
        <v>2501</v>
      </c>
      <c r="C3192" s="967">
        <v>2485</v>
      </c>
      <c r="D3192" s="967" t="s">
        <v>2390</v>
      </c>
      <c r="E3192" s="967">
        <v>238654</v>
      </c>
      <c r="F3192" s="967">
        <v>596732790</v>
      </c>
      <c r="G3192" s="967">
        <v>2520</v>
      </c>
      <c r="H3192" s="967">
        <v>2550</v>
      </c>
      <c r="I3192" s="967">
        <v>2485</v>
      </c>
      <c r="J3192" s="967">
        <v>210547</v>
      </c>
      <c r="K3192" s="967">
        <v>84727220</v>
      </c>
    </row>
    <row r="3193" spans="2:11" s="1258" customFormat="1" ht="16" hidden="1" outlineLevel="1">
      <c r="B3193" s="968" t="s">
        <v>2500</v>
      </c>
      <c r="C3193" s="967">
        <v>2505</v>
      </c>
      <c r="D3193" s="967" t="s">
        <v>2413</v>
      </c>
      <c r="E3193" s="967">
        <v>222914</v>
      </c>
      <c r="F3193" s="967">
        <v>561701620</v>
      </c>
      <c r="G3193" s="967">
        <v>2505</v>
      </c>
      <c r="H3193" s="967">
        <v>2560</v>
      </c>
      <c r="I3193" s="967">
        <v>2505</v>
      </c>
      <c r="J3193" s="967">
        <v>212242</v>
      </c>
      <c r="K3193" s="967">
        <v>84727220</v>
      </c>
    </row>
    <row r="3194" spans="2:11" s="1258" customFormat="1" ht="16" hidden="1" outlineLevel="1">
      <c r="B3194" s="968" t="s">
        <v>2499</v>
      </c>
      <c r="C3194" s="967">
        <v>2540</v>
      </c>
      <c r="D3194" s="967" t="s">
        <v>2413</v>
      </c>
      <c r="E3194" s="967">
        <v>189524</v>
      </c>
      <c r="F3194" s="967">
        <v>487897760</v>
      </c>
      <c r="G3194" s="967">
        <v>2590</v>
      </c>
      <c r="H3194" s="967">
        <v>2620</v>
      </c>
      <c r="I3194" s="967">
        <v>2530</v>
      </c>
      <c r="J3194" s="967">
        <v>215207</v>
      </c>
      <c r="K3194" s="967">
        <v>84727220</v>
      </c>
    </row>
    <row r="3195" spans="2:11" s="1258" customFormat="1" ht="16" hidden="1" outlineLevel="1">
      <c r="B3195" s="968" t="s">
        <v>2498</v>
      </c>
      <c r="C3195" s="967">
        <v>2575</v>
      </c>
      <c r="D3195" s="967" t="s">
        <v>2432</v>
      </c>
      <c r="E3195" s="967">
        <v>230909</v>
      </c>
      <c r="F3195" s="967">
        <v>595856575</v>
      </c>
      <c r="G3195" s="967">
        <v>2550</v>
      </c>
      <c r="H3195" s="967">
        <v>2625</v>
      </c>
      <c r="I3195" s="967">
        <v>2535</v>
      </c>
      <c r="J3195" s="967">
        <v>218173</v>
      </c>
      <c r="K3195" s="967">
        <v>84727220</v>
      </c>
    </row>
    <row r="3196" spans="2:11" s="1258" customFormat="1" ht="16" hidden="1" outlineLevel="1">
      <c r="B3196" s="968" t="s">
        <v>2497</v>
      </c>
      <c r="C3196" s="967">
        <v>2550</v>
      </c>
      <c r="D3196" s="967" t="s">
        <v>2456</v>
      </c>
      <c r="E3196" s="967">
        <v>288735</v>
      </c>
      <c r="F3196" s="967">
        <v>748011545</v>
      </c>
      <c r="G3196" s="967">
        <v>2640</v>
      </c>
      <c r="H3196" s="967">
        <v>2670</v>
      </c>
      <c r="I3196" s="967">
        <v>2550</v>
      </c>
      <c r="J3196" s="967">
        <v>216054</v>
      </c>
      <c r="K3196" s="967">
        <v>84727220</v>
      </c>
    </row>
    <row r="3197" spans="2:11" s="1258" customFormat="1" ht="16" hidden="1" outlineLevel="1">
      <c r="B3197" s="968" t="s">
        <v>2496</v>
      </c>
      <c r="C3197" s="967">
        <v>2625</v>
      </c>
      <c r="D3197" s="967" t="s">
        <v>2366</v>
      </c>
      <c r="E3197" s="967">
        <v>217049</v>
      </c>
      <c r="F3197" s="967">
        <v>577722335</v>
      </c>
      <c r="G3197" s="967">
        <v>2635</v>
      </c>
      <c r="H3197" s="967">
        <v>2690</v>
      </c>
      <c r="I3197" s="967">
        <v>2625</v>
      </c>
      <c r="J3197" s="967">
        <v>222409</v>
      </c>
      <c r="K3197" s="967">
        <v>84727220</v>
      </c>
    </row>
    <row r="3198" spans="2:11" s="1258" customFormat="1" ht="16" hidden="1" outlineLevel="1">
      <c r="B3198" s="968" t="s">
        <v>2495</v>
      </c>
      <c r="C3198" s="967">
        <v>2635</v>
      </c>
      <c r="D3198" s="967" t="s">
        <v>2262</v>
      </c>
      <c r="E3198" s="967">
        <v>276907</v>
      </c>
      <c r="F3198" s="967">
        <v>736834045</v>
      </c>
      <c r="G3198" s="967">
        <v>2660</v>
      </c>
      <c r="H3198" s="967">
        <v>2710</v>
      </c>
      <c r="I3198" s="967">
        <v>2630</v>
      </c>
      <c r="J3198" s="967">
        <v>223256</v>
      </c>
      <c r="K3198" s="967">
        <v>84727220</v>
      </c>
    </row>
    <row r="3199" spans="2:11" s="1258" customFormat="1" ht="16" hidden="1" outlineLevel="1">
      <c r="B3199" s="968" t="s">
        <v>2494</v>
      </c>
      <c r="C3199" s="967">
        <v>2680</v>
      </c>
      <c r="D3199" s="967" t="s">
        <v>2396</v>
      </c>
      <c r="E3199" s="967">
        <v>362200</v>
      </c>
      <c r="F3199" s="967">
        <v>976039200</v>
      </c>
      <c r="G3199" s="967">
        <v>2705</v>
      </c>
      <c r="H3199" s="967">
        <v>2750</v>
      </c>
      <c r="I3199" s="967">
        <v>2670</v>
      </c>
      <c r="J3199" s="967">
        <v>227069</v>
      </c>
      <c r="K3199" s="967">
        <v>84727220</v>
      </c>
    </row>
    <row r="3200" spans="2:11" s="1258" customFormat="1" ht="16" hidden="1" outlineLevel="1">
      <c r="B3200" s="968" t="s">
        <v>2493</v>
      </c>
      <c r="C3200" s="967">
        <v>2720</v>
      </c>
      <c r="D3200" s="967" t="s">
        <v>2421</v>
      </c>
      <c r="E3200" s="967">
        <v>249878</v>
      </c>
      <c r="F3200" s="967">
        <v>683952750</v>
      </c>
      <c r="G3200" s="967">
        <v>2750</v>
      </c>
      <c r="H3200" s="967">
        <v>2775</v>
      </c>
      <c r="I3200" s="967">
        <v>2705</v>
      </c>
      <c r="J3200" s="967">
        <v>230458</v>
      </c>
      <c r="K3200" s="967">
        <v>84727220</v>
      </c>
    </row>
    <row r="3201" spans="2:11" s="1258" customFormat="1" ht="16" hidden="1" outlineLevel="1">
      <c r="B3201" s="968" t="s">
        <v>2492</v>
      </c>
      <c r="C3201" s="967">
        <v>2725</v>
      </c>
      <c r="D3201" s="967" t="s">
        <v>2258</v>
      </c>
      <c r="E3201" s="967">
        <v>275866</v>
      </c>
      <c r="F3201" s="967">
        <v>752102350</v>
      </c>
      <c r="G3201" s="967">
        <v>2675</v>
      </c>
      <c r="H3201" s="967">
        <v>2780</v>
      </c>
      <c r="I3201" s="967">
        <v>2675</v>
      </c>
      <c r="J3201" s="967">
        <v>230882</v>
      </c>
      <c r="K3201" s="967">
        <v>84727220</v>
      </c>
    </row>
    <row r="3202" spans="2:11" s="1258" customFormat="1" ht="16" hidden="1" outlineLevel="1">
      <c r="B3202" s="968" t="s">
        <v>2491</v>
      </c>
      <c r="C3202" s="967">
        <v>2720</v>
      </c>
      <c r="D3202" s="967" t="s">
        <v>2366</v>
      </c>
      <c r="E3202" s="967">
        <v>205836</v>
      </c>
      <c r="F3202" s="967">
        <v>562399770</v>
      </c>
      <c r="G3202" s="967">
        <v>2790</v>
      </c>
      <c r="H3202" s="967">
        <v>2790</v>
      </c>
      <c r="I3202" s="967">
        <v>2715</v>
      </c>
      <c r="J3202" s="967">
        <v>230458</v>
      </c>
      <c r="K3202" s="967">
        <v>84727220</v>
      </c>
    </row>
    <row r="3203" spans="2:11" s="1258" customFormat="1" ht="16" hidden="1" outlineLevel="1">
      <c r="B3203" s="968" t="s">
        <v>2490</v>
      </c>
      <c r="C3203" s="967">
        <v>2730</v>
      </c>
      <c r="D3203" s="967" t="s">
        <v>2226</v>
      </c>
      <c r="E3203" s="967">
        <v>363915</v>
      </c>
      <c r="F3203" s="967">
        <v>999426530</v>
      </c>
      <c r="G3203" s="967">
        <v>2795</v>
      </c>
      <c r="H3203" s="967">
        <v>2845</v>
      </c>
      <c r="I3203" s="967">
        <v>2715</v>
      </c>
      <c r="J3203" s="967">
        <v>231305</v>
      </c>
      <c r="K3203" s="967">
        <v>84727220</v>
      </c>
    </row>
    <row r="3204" spans="2:11" s="1258" customFormat="1" ht="16" hidden="1" outlineLevel="1">
      <c r="B3204" s="968" t="s">
        <v>2489</v>
      </c>
      <c r="C3204" s="967">
        <v>2780</v>
      </c>
      <c r="D3204" s="967" t="s">
        <v>2263</v>
      </c>
      <c r="E3204" s="967">
        <v>266307</v>
      </c>
      <c r="F3204" s="967">
        <v>743244570</v>
      </c>
      <c r="G3204" s="967">
        <v>2820</v>
      </c>
      <c r="H3204" s="967">
        <v>2830</v>
      </c>
      <c r="I3204" s="967">
        <v>2775</v>
      </c>
      <c r="J3204" s="967">
        <v>235542</v>
      </c>
      <c r="K3204" s="967">
        <v>84727220</v>
      </c>
    </row>
    <row r="3205" spans="2:11" s="1258" customFormat="1" ht="16" hidden="1" outlineLevel="1">
      <c r="B3205" s="968" t="s">
        <v>2488</v>
      </c>
      <c r="C3205" s="967">
        <v>2850</v>
      </c>
      <c r="D3205" s="967" t="s">
        <v>2258</v>
      </c>
      <c r="E3205" s="967">
        <v>252727</v>
      </c>
      <c r="F3205" s="967">
        <v>715178380</v>
      </c>
      <c r="G3205" s="967">
        <v>2875</v>
      </c>
      <c r="H3205" s="967">
        <v>2875</v>
      </c>
      <c r="I3205" s="967">
        <v>2785</v>
      </c>
      <c r="J3205" s="967">
        <v>241473</v>
      </c>
      <c r="K3205" s="967">
        <v>84727220</v>
      </c>
    </row>
    <row r="3206" spans="2:11" s="1258" customFormat="1" ht="16" hidden="1" outlineLevel="1">
      <c r="B3206" s="968" t="s">
        <v>2487</v>
      </c>
      <c r="C3206" s="967">
        <v>2845</v>
      </c>
      <c r="D3206" s="967" t="s">
        <v>2486</v>
      </c>
      <c r="E3206" s="967">
        <v>400576</v>
      </c>
      <c r="F3206" s="967">
        <v>1152506040</v>
      </c>
      <c r="G3206" s="967">
        <v>2895</v>
      </c>
      <c r="H3206" s="967">
        <v>2915</v>
      </c>
      <c r="I3206" s="967">
        <v>2840</v>
      </c>
      <c r="J3206" s="967">
        <v>241049</v>
      </c>
      <c r="K3206" s="967">
        <v>84727220</v>
      </c>
    </row>
    <row r="3207" spans="2:11" s="1258" customFormat="1" ht="16" hidden="1" outlineLevel="1">
      <c r="B3207" s="968" t="s">
        <v>2485</v>
      </c>
      <c r="C3207" s="967">
        <v>2860</v>
      </c>
      <c r="D3207" s="967" t="s">
        <v>2444</v>
      </c>
      <c r="E3207" s="967">
        <v>625885</v>
      </c>
      <c r="F3207" s="967">
        <v>1758397150</v>
      </c>
      <c r="G3207" s="967">
        <v>2695</v>
      </c>
      <c r="H3207" s="967">
        <v>2880</v>
      </c>
      <c r="I3207" s="967">
        <v>2695</v>
      </c>
      <c r="J3207" s="967">
        <v>242320</v>
      </c>
      <c r="K3207" s="967">
        <v>84727220</v>
      </c>
    </row>
    <row r="3208" spans="2:11" s="1258" customFormat="1" ht="16" hidden="1" outlineLevel="1">
      <c r="B3208" s="966" t="s">
        <v>2484</v>
      </c>
      <c r="C3208" s="965">
        <v>2690</v>
      </c>
      <c r="D3208" s="965" t="s">
        <v>2375</v>
      </c>
      <c r="E3208" s="965">
        <v>676012</v>
      </c>
      <c r="F3208" s="965">
        <v>1853140410</v>
      </c>
      <c r="G3208" s="965">
        <v>2805</v>
      </c>
      <c r="H3208" s="965">
        <v>2845</v>
      </c>
      <c r="I3208" s="965">
        <v>2690</v>
      </c>
      <c r="J3208" s="965">
        <v>227916</v>
      </c>
      <c r="K3208" s="965">
        <v>84727220</v>
      </c>
    </row>
    <row r="3209" spans="2:11" s="1258" customFormat="1" ht="16" hidden="1" outlineLevel="1">
      <c r="B3209" s="966" t="s">
        <v>2483</v>
      </c>
      <c r="C3209" s="965">
        <v>2805</v>
      </c>
      <c r="D3209" s="965" t="s">
        <v>2424</v>
      </c>
      <c r="E3209" s="965">
        <v>398173</v>
      </c>
      <c r="F3209" s="965">
        <v>1123793620</v>
      </c>
      <c r="G3209" s="965">
        <v>2750</v>
      </c>
      <c r="H3209" s="965">
        <v>2865</v>
      </c>
      <c r="I3209" s="965">
        <v>2750</v>
      </c>
      <c r="J3209" s="965">
        <v>237660</v>
      </c>
      <c r="K3209" s="965">
        <v>84727220</v>
      </c>
    </row>
    <row r="3210" spans="2:11" s="1258" customFormat="1" ht="16" hidden="1" outlineLevel="1">
      <c r="B3210" s="966" t="s">
        <v>2482</v>
      </c>
      <c r="C3210" s="965">
        <v>2775</v>
      </c>
      <c r="D3210" s="965" t="s">
        <v>2442</v>
      </c>
      <c r="E3210" s="965">
        <v>907596</v>
      </c>
      <c r="F3210" s="965">
        <v>2567146970</v>
      </c>
      <c r="G3210" s="965">
        <v>2860</v>
      </c>
      <c r="H3210" s="965">
        <v>2910</v>
      </c>
      <c r="I3210" s="965">
        <v>2775</v>
      </c>
      <c r="J3210" s="965">
        <v>235118</v>
      </c>
      <c r="K3210" s="965">
        <v>84727220</v>
      </c>
    </row>
    <row r="3211" spans="2:11" s="1258" customFormat="1" ht="16" hidden="1" outlineLevel="1">
      <c r="B3211" s="966" t="s">
        <v>2481</v>
      </c>
      <c r="C3211" s="965">
        <v>2885</v>
      </c>
      <c r="D3211" s="965" t="s">
        <v>2480</v>
      </c>
      <c r="E3211" s="965">
        <v>880575</v>
      </c>
      <c r="F3211" s="965">
        <v>2575005125</v>
      </c>
      <c r="G3211" s="965">
        <v>3005</v>
      </c>
      <c r="H3211" s="965">
        <v>3025</v>
      </c>
      <c r="I3211" s="965">
        <v>2875</v>
      </c>
      <c r="J3211" s="965">
        <v>244438</v>
      </c>
      <c r="K3211" s="965">
        <v>84727220</v>
      </c>
    </row>
    <row r="3212" spans="2:11" s="1258" customFormat="1" ht="16" hidden="1" outlineLevel="1">
      <c r="B3212" s="966" t="s">
        <v>2479</v>
      </c>
      <c r="C3212" s="965">
        <v>3025</v>
      </c>
      <c r="D3212" s="965" t="s">
        <v>2363</v>
      </c>
      <c r="E3212" s="965">
        <v>617995</v>
      </c>
      <c r="F3212" s="965">
        <v>1892494325</v>
      </c>
      <c r="G3212" s="965">
        <v>3065</v>
      </c>
      <c r="H3212" s="965">
        <v>3115</v>
      </c>
      <c r="I3212" s="965">
        <v>3000</v>
      </c>
      <c r="J3212" s="965">
        <v>256300</v>
      </c>
      <c r="K3212" s="965">
        <v>84727220</v>
      </c>
    </row>
    <row r="3213" spans="2:11" s="1258" customFormat="1" ht="16" hidden="1" outlineLevel="1">
      <c r="B3213" s="966" t="s">
        <v>2478</v>
      </c>
      <c r="C3213" s="965">
        <v>3090</v>
      </c>
      <c r="D3213" s="965" t="s">
        <v>2268</v>
      </c>
      <c r="E3213" s="965">
        <v>972024</v>
      </c>
      <c r="F3213" s="965">
        <v>2944706300</v>
      </c>
      <c r="G3213" s="965">
        <v>3100</v>
      </c>
      <c r="H3213" s="965">
        <v>3110</v>
      </c>
      <c r="I3213" s="965">
        <v>2955</v>
      </c>
      <c r="J3213" s="965">
        <v>261807</v>
      </c>
      <c r="K3213" s="965">
        <v>84727220</v>
      </c>
    </row>
    <row r="3214" spans="2:11" s="1258" customFormat="1" ht="16" hidden="1" outlineLevel="1">
      <c r="B3214" s="966" t="s">
        <v>2477</v>
      </c>
      <c r="C3214" s="965">
        <v>3050</v>
      </c>
      <c r="D3214" s="965" t="s">
        <v>2263</v>
      </c>
      <c r="E3214" s="965">
        <v>829154</v>
      </c>
      <c r="F3214" s="965">
        <v>2596213600</v>
      </c>
      <c r="G3214" s="965">
        <v>3135</v>
      </c>
      <c r="H3214" s="965">
        <v>3205</v>
      </c>
      <c r="I3214" s="965">
        <v>3050</v>
      </c>
      <c r="J3214" s="965">
        <v>258418</v>
      </c>
      <c r="K3214" s="965">
        <v>84727220</v>
      </c>
    </row>
    <row r="3215" spans="2:11" s="1258" customFormat="1" ht="16" hidden="1" outlineLevel="1">
      <c r="B3215" s="966" t="s">
        <v>2476</v>
      </c>
      <c r="C3215" s="965">
        <v>3120</v>
      </c>
      <c r="D3215" s="965" t="s">
        <v>2390</v>
      </c>
      <c r="E3215" s="965">
        <v>453694</v>
      </c>
      <c r="F3215" s="965">
        <v>1424250425</v>
      </c>
      <c r="G3215" s="965">
        <v>3140</v>
      </c>
      <c r="H3215" s="965">
        <v>3180</v>
      </c>
      <c r="I3215" s="965">
        <v>3110</v>
      </c>
      <c r="J3215" s="965">
        <v>264349</v>
      </c>
      <c r="K3215" s="965">
        <v>84727220</v>
      </c>
    </row>
    <row r="3216" spans="2:11" s="1258" customFormat="1" ht="16" hidden="1" outlineLevel="1">
      <c r="B3216" s="966" t="s">
        <v>2475</v>
      </c>
      <c r="C3216" s="965">
        <v>3140</v>
      </c>
      <c r="D3216" s="965" t="s">
        <v>2390</v>
      </c>
      <c r="E3216" s="965">
        <v>443081</v>
      </c>
      <c r="F3216" s="965">
        <v>1381930195</v>
      </c>
      <c r="G3216" s="965">
        <v>3110</v>
      </c>
      <c r="H3216" s="965">
        <v>3150</v>
      </c>
      <c r="I3216" s="965">
        <v>3095</v>
      </c>
      <c r="J3216" s="965">
        <v>266043</v>
      </c>
      <c r="K3216" s="965">
        <v>84727220</v>
      </c>
    </row>
    <row r="3217" spans="2:11" s="1258" customFormat="1" ht="16" hidden="1" outlineLevel="1">
      <c r="B3217" s="966" t="s">
        <v>2474</v>
      </c>
      <c r="C3217" s="965">
        <v>3160</v>
      </c>
      <c r="D3217" s="965" t="s">
        <v>2366</v>
      </c>
      <c r="E3217" s="965">
        <v>717211</v>
      </c>
      <c r="F3217" s="965">
        <v>2275991560</v>
      </c>
      <c r="G3217" s="965">
        <v>3200</v>
      </c>
      <c r="H3217" s="965">
        <v>3255</v>
      </c>
      <c r="I3217" s="965">
        <v>3100</v>
      </c>
      <c r="J3217" s="965">
        <v>267738</v>
      </c>
      <c r="K3217" s="965">
        <v>84727220</v>
      </c>
    </row>
    <row r="3218" spans="2:11" s="1258" customFormat="1" ht="16" hidden="1" outlineLevel="1">
      <c r="B3218" s="966" t="s">
        <v>2473</v>
      </c>
      <c r="C3218" s="965">
        <v>3170</v>
      </c>
      <c r="D3218" s="965" t="s">
        <v>2378</v>
      </c>
      <c r="E3218" s="965">
        <v>867799</v>
      </c>
      <c r="F3218" s="965">
        <v>2797068485</v>
      </c>
      <c r="G3218" s="965">
        <v>3290</v>
      </c>
      <c r="H3218" s="965">
        <v>3340</v>
      </c>
      <c r="I3218" s="965">
        <v>3150</v>
      </c>
      <c r="J3218" s="965">
        <v>268585</v>
      </c>
      <c r="K3218" s="965">
        <v>84727220</v>
      </c>
    </row>
    <row r="3219" spans="2:11" s="1258" customFormat="1" ht="16" hidden="1" outlineLevel="1">
      <c r="B3219" s="966" t="s">
        <v>2472</v>
      </c>
      <c r="C3219" s="965">
        <v>3300</v>
      </c>
      <c r="D3219" s="965" t="s">
        <v>2219</v>
      </c>
      <c r="E3219" s="965">
        <v>1608161</v>
      </c>
      <c r="F3219" s="965">
        <v>5208642000</v>
      </c>
      <c r="G3219" s="965">
        <v>3170</v>
      </c>
      <c r="H3219" s="965">
        <v>3325</v>
      </c>
      <c r="I3219" s="965">
        <v>3100</v>
      </c>
      <c r="J3219" s="965">
        <v>279600</v>
      </c>
      <c r="K3219" s="965">
        <v>84727220</v>
      </c>
    </row>
    <row r="3220" spans="2:11" s="1258" customFormat="1" ht="16" hidden="1" outlineLevel="1">
      <c r="B3220" s="966" t="s">
        <v>2471</v>
      </c>
      <c r="C3220" s="965">
        <v>3150</v>
      </c>
      <c r="D3220" s="965" t="s">
        <v>2440</v>
      </c>
      <c r="E3220" s="965">
        <v>605989</v>
      </c>
      <c r="F3220" s="965">
        <v>1882420650</v>
      </c>
      <c r="G3220" s="965">
        <v>3105</v>
      </c>
      <c r="H3220" s="965">
        <v>3150</v>
      </c>
      <c r="I3220" s="965">
        <v>3060</v>
      </c>
      <c r="J3220" s="965">
        <v>266891</v>
      </c>
      <c r="K3220" s="965">
        <v>84727220</v>
      </c>
    </row>
    <row r="3221" spans="2:11" s="1258" customFormat="1" ht="16" hidden="1" outlineLevel="1">
      <c r="B3221" s="966" t="s">
        <v>2470</v>
      </c>
      <c r="C3221" s="965">
        <v>3090</v>
      </c>
      <c r="D3221" s="965" t="s">
        <v>2469</v>
      </c>
      <c r="E3221" s="965">
        <v>1153655</v>
      </c>
      <c r="F3221" s="965">
        <v>3648629000</v>
      </c>
      <c r="G3221" s="965">
        <v>3250</v>
      </c>
      <c r="H3221" s="965">
        <v>3300</v>
      </c>
      <c r="I3221" s="965">
        <v>3080</v>
      </c>
      <c r="J3221" s="965">
        <v>261807</v>
      </c>
      <c r="K3221" s="965">
        <v>84727220</v>
      </c>
    </row>
    <row r="3222" spans="2:11" s="1258" customFormat="1" ht="16" hidden="1" outlineLevel="1">
      <c r="B3222" s="966" t="s">
        <v>2468</v>
      </c>
      <c r="C3222" s="965">
        <v>3250</v>
      </c>
      <c r="D3222" s="965" t="s">
        <v>2366</v>
      </c>
      <c r="E3222" s="965">
        <v>541607</v>
      </c>
      <c r="F3222" s="965">
        <v>1782533950</v>
      </c>
      <c r="G3222" s="965">
        <v>3295</v>
      </c>
      <c r="H3222" s="965">
        <v>3350</v>
      </c>
      <c r="I3222" s="965">
        <v>3250</v>
      </c>
      <c r="J3222" s="965">
        <v>275363</v>
      </c>
      <c r="K3222" s="965">
        <v>84727220</v>
      </c>
    </row>
    <row r="3223" spans="2:11" s="1258" customFormat="1" ht="16" hidden="1" outlineLevel="1">
      <c r="B3223" s="966" t="s">
        <v>2467</v>
      </c>
      <c r="C3223" s="965">
        <v>3260</v>
      </c>
      <c r="D3223" s="965" t="s">
        <v>2226</v>
      </c>
      <c r="E3223" s="965">
        <v>953330</v>
      </c>
      <c r="F3223" s="965">
        <v>3148981880</v>
      </c>
      <c r="G3223" s="965">
        <v>3340</v>
      </c>
      <c r="H3223" s="965">
        <v>3355</v>
      </c>
      <c r="I3223" s="965">
        <v>3260</v>
      </c>
      <c r="J3223" s="965">
        <v>276211</v>
      </c>
      <c r="K3223" s="965">
        <v>84727220</v>
      </c>
    </row>
    <row r="3224" spans="2:11" s="1258" customFormat="1" ht="16" hidden="1" outlineLevel="1">
      <c r="B3224" s="966" t="s">
        <v>2466</v>
      </c>
      <c r="C3224" s="965">
        <v>3310</v>
      </c>
      <c r="D3224" s="965" t="s">
        <v>2271</v>
      </c>
      <c r="E3224" s="965">
        <v>1210243</v>
      </c>
      <c r="F3224" s="965">
        <v>4093341840</v>
      </c>
      <c r="G3224" s="965">
        <v>3420</v>
      </c>
      <c r="H3224" s="965">
        <v>3485</v>
      </c>
      <c r="I3224" s="965">
        <v>3310</v>
      </c>
      <c r="J3224" s="965">
        <v>280447</v>
      </c>
      <c r="K3224" s="965">
        <v>84727220</v>
      </c>
    </row>
    <row r="3225" spans="2:11" s="1258" customFormat="1" ht="16" hidden="1" outlineLevel="1">
      <c r="B3225" s="966" t="s">
        <v>2465</v>
      </c>
      <c r="C3225" s="965">
        <v>3400</v>
      </c>
      <c r="D3225" s="965" t="s">
        <v>2268</v>
      </c>
      <c r="E3225" s="965">
        <v>1429841</v>
      </c>
      <c r="F3225" s="965">
        <v>4764352120</v>
      </c>
      <c r="G3225" s="965">
        <v>3380</v>
      </c>
      <c r="H3225" s="965">
        <v>3400</v>
      </c>
      <c r="I3225" s="965">
        <v>3260</v>
      </c>
      <c r="J3225" s="965">
        <v>288073</v>
      </c>
      <c r="K3225" s="965">
        <v>84727220</v>
      </c>
    </row>
    <row r="3226" spans="2:11" s="1258" customFormat="1" ht="16" hidden="1" outlineLevel="1">
      <c r="B3226" s="966" t="s">
        <v>2464</v>
      </c>
      <c r="C3226" s="965">
        <v>3360</v>
      </c>
      <c r="D3226" s="965" t="s">
        <v>2413</v>
      </c>
      <c r="E3226" s="965">
        <v>1177252</v>
      </c>
      <c r="F3226" s="965">
        <v>3944253945</v>
      </c>
      <c r="G3226" s="965">
        <v>3415</v>
      </c>
      <c r="H3226" s="965">
        <v>3420</v>
      </c>
      <c r="I3226" s="965">
        <v>3305</v>
      </c>
      <c r="J3226" s="965">
        <v>284683</v>
      </c>
      <c r="K3226" s="965">
        <v>84727220</v>
      </c>
    </row>
    <row r="3227" spans="2:11" s="1258" customFormat="1" ht="16" hidden="1" outlineLevel="1">
      <c r="B3227" s="966" t="s">
        <v>2463</v>
      </c>
      <c r="C3227" s="965">
        <v>3395</v>
      </c>
      <c r="D3227" s="965" t="s">
        <v>2462</v>
      </c>
      <c r="E3227" s="965">
        <v>2443350</v>
      </c>
      <c r="F3227" s="965">
        <v>8103417350</v>
      </c>
      <c r="G3227" s="965">
        <v>3200</v>
      </c>
      <c r="H3227" s="965">
        <v>3400</v>
      </c>
      <c r="I3227" s="965">
        <v>3200</v>
      </c>
      <c r="J3227" s="965">
        <v>287649</v>
      </c>
      <c r="K3227" s="965">
        <v>84727220</v>
      </c>
    </row>
    <row r="3228" spans="2:11" s="1258" customFormat="1" ht="16" hidden="1" outlineLevel="1">
      <c r="B3228" s="966" t="s">
        <v>2461</v>
      </c>
      <c r="C3228" s="965">
        <v>3130</v>
      </c>
      <c r="D3228" s="965" t="s">
        <v>2460</v>
      </c>
      <c r="E3228" s="965">
        <v>617905</v>
      </c>
      <c r="F3228" s="965">
        <v>1958034410</v>
      </c>
      <c r="G3228" s="965">
        <v>3175</v>
      </c>
      <c r="H3228" s="965">
        <v>3235</v>
      </c>
      <c r="I3228" s="965">
        <v>3130</v>
      </c>
      <c r="J3228" s="965">
        <v>265196</v>
      </c>
      <c r="K3228" s="965">
        <v>84727220</v>
      </c>
    </row>
    <row r="3229" spans="2:11" s="1258" customFormat="1" ht="16" hidden="1" outlineLevel="1">
      <c r="B3229" s="966" t="s">
        <v>2459</v>
      </c>
      <c r="C3229" s="965">
        <v>3190</v>
      </c>
      <c r="D3229" s="965" t="s">
        <v>2458</v>
      </c>
      <c r="E3229" s="965">
        <v>1114335</v>
      </c>
      <c r="F3229" s="965">
        <v>3561716380</v>
      </c>
      <c r="G3229" s="965">
        <v>3105</v>
      </c>
      <c r="H3229" s="965">
        <v>3265</v>
      </c>
      <c r="I3229" s="965">
        <v>3105</v>
      </c>
      <c r="J3229" s="965">
        <v>270280</v>
      </c>
      <c r="K3229" s="965">
        <v>84727220</v>
      </c>
    </row>
    <row r="3230" spans="2:11" s="1258" customFormat="1" ht="16" hidden="1" outlineLevel="1">
      <c r="B3230" s="966" t="s">
        <v>2457</v>
      </c>
      <c r="C3230" s="965">
        <v>3105</v>
      </c>
      <c r="D3230" s="965" t="s">
        <v>2456</v>
      </c>
      <c r="E3230" s="965">
        <v>1044083</v>
      </c>
      <c r="F3230" s="965">
        <v>3282940205</v>
      </c>
      <c r="G3230" s="965">
        <v>3215</v>
      </c>
      <c r="H3230" s="965">
        <v>3265</v>
      </c>
      <c r="I3230" s="965">
        <v>3065</v>
      </c>
      <c r="J3230" s="965">
        <v>263078</v>
      </c>
      <c r="K3230" s="965">
        <v>84727220</v>
      </c>
    </row>
    <row r="3231" spans="2:11" s="1258" customFormat="1" ht="16" hidden="1" outlineLevel="1">
      <c r="B3231" s="966" t="s">
        <v>2455</v>
      </c>
      <c r="C3231" s="965">
        <v>3180</v>
      </c>
      <c r="D3231" s="965" t="s">
        <v>2228</v>
      </c>
      <c r="E3231" s="965">
        <v>1150239</v>
      </c>
      <c r="F3231" s="965">
        <v>3744055500</v>
      </c>
      <c r="G3231" s="965">
        <v>3280</v>
      </c>
      <c r="H3231" s="965">
        <v>3330</v>
      </c>
      <c r="I3231" s="965">
        <v>3180</v>
      </c>
      <c r="J3231" s="965">
        <v>269433</v>
      </c>
      <c r="K3231" s="965">
        <v>84727220</v>
      </c>
    </row>
    <row r="3232" spans="2:11" s="1258" customFormat="1" ht="16" hidden="1" outlineLevel="1">
      <c r="B3232" s="966" t="s">
        <v>2454</v>
      </c>
      <c r="C3232" s="965">
        <v>3280</v>
      </c>
      <c r="D3232" s="965" t="s">
        <v>2413</v>
      </c>
      <c r="E3232" s="965">
        <v>1312426</v>
      </c>
      <c r="F3232" s="965">
        <v>4347004245</v>
      </c>
      <c r="G3232" s="965">
        <v>3360</v>
      </c>
      <c r="H3232" s="965">
        <v>3380</v>
      </c>
      <c r="I3232" s="965">
        <v>3260</v>
      </c>
      <c r="J3232" s="965">
        <v>277905</v>
      </c>
      <c r="K3232" s="965">
        <v>84727220</v>
      </c>
    </row>
    <row r="3233" spans="2:11" s="1258" customFormat="1" ht="16" hidden="1" outlineLevel="1">
      <c r="B3233" s="966" t="s">
        <v>2453</v>
      </c>
      <c r="C3233" s="965">
        <v>3315</v>
      </c>
      <c r="D3233" s="965" t="s">
        <v>2452</v>
      </c>
      <c r="E3233" s="965">
        <v>2185872</v>
      </c>
      <c r="F3233" s="965">
        <v>7083774410</v>
      </c>
      <c r="G3233" s="965">
        <v>3190</v>
      </c>
      <c r="H3233" s="965">
        <v>3330</v>
      </c>
      <c r="I3233" s="965">
        <v>3130</v>
      </c>
      <c r="J3233" s="965">
        <v>280871</v>
      </c>
      <c r="K3233" s="965">
        <v>84727220</v>
      </c>
    </row>
    <row r="3234" spans="2:11" s="1258" customFormat="1" ht="16" hidden="1" outlineLevel="1">
      <c r="B3234" s="966" t="s">
        <v>2451</v>
      </c>
      <c r="C3234" s="965">
        <v>3090</v>
      </c>
      <c r="D3234" s="965" t="s">
        <v>2260</v>
      </c>
      <c r="E3234" s="965">
        <v>1045636</v>
      </c>
      <c r="F3234" s="965">
        <v>3251692200</v>
      </c>
      <c r="G3234" s="965">
        <v>3060</v>
      </c>
      <c r="H3234" s="965">
        <v>3160</v>
      </c>
      <c r="I3234" s="965">
        <v>3035</v>
      </c>
      <c r="J3234" s="965">
        <v>261807</v>
      </c>
      <c r="K3234" s="965">
        <v>84727220</v>
      </c>
    </row>
    <row r="3235" spans="2:11" s="1258" customFormat="1" ht="16" hidden="1" outlineLevel="1">
      <c r="B3235" s="966" t="s">
        <v>2450</v>
      </c>
      <c r="C3235" s="965">
        <v>3055</v>
      </c>
      <c r="D3235" s="965" t="s">
        <v>2375</v>
      </c>
      <c r="E3235" s="965">
        <v>1761324</v>
      </c>
      <c r="F3235" s="965">
        <v>5514990645</v>
      </c>
      <c r="G3235" s="965">
        <v>3200</v>
      </c>
      <c r="H3235" s="965">
        <v>3270</v>
      </c>
      <c r="I3235" s="965">
        <v>3050</v>
      </c>
      <c r="J3235" s="965">
        <v>258842</v>
      </c>
      <c r="K3235" s="965">
        <v>84727220</v>
      </c>
    </row>
    <row r="3236" spans="2:11" s="1258" customFormat="1" ht="16" hidden="1" outlineLevel="1">
      <c r="B3236" s="966" t="s">
        <v>2449</v>
      </c>
      <c r="C3236" s="965">
        <v>3170</v>
      </c>
      <c r="D3236" s="965" t="s">
        <v>2378</v>
      </c>
      <c r="E3236" s="965">
        <v>1351028</v>
      </c>
      <c r="F3236" s="965">
        <v>4371620260</v>
      </c>
      <c r="G3236" s="965">
        <v>3320</v>
      </c>
      <c r="H3236" s="965">
        <v>3320</v>
      </c>
      <c r="I3236" s="965">
        <v>3170</v>
      </c>
      <c r="J3236" s="965">
        <v>268585</v>
      </c>
      <c r="K3236" s="965">
        <v>84727220</v>
      </c>
    </row>
    <row r="3237" spans="2:11" s="1258" customFormat="1" ht="16" hidden="1" outlineLevel="1">
      <c r="B3237" s="966" t="s">
        <v>2448</v>
      </c>
      <c r="C3237" s="965">
        <v>3300</v>
      </c>
      <c r="D3237" s="965" t="s">
        <v>2411</v>
      </c>
      <c r="E3237" s="965">
        <v>1754537</v>
      </c>
      <c r="F3237" s="965">
        <v>5658986560</v>
      </c>
      <c r="G3237" s="965">
        <v>3275</v>
      </c>
      <c r="H3237" s="965">
        <v>3350</v>
      </c>
      <c r="I3237" s="965">
        <v>3100</v>
      </c>
      <c r="J3237" s="965">
        <v>279600</v>
      </c>
      <c r="K3237" s="965">
        <v>84727220</v>
      </c>
    </row>
    <row r="3238" spans="2:11" s="1258" customFormat="1" ht="16" hidden="1" outlineLevel="1">
      <c r="B3238" s="966" t="s">
        <v>2447</v>
      </c>
      <c r="C3238" s="965">
        <v>3220</v>
      </c>
      <c r="D3238" s="965" t="s">
        <v>2219</v>
      </c>
      <c r="E3238" s="965">
        <v>3589328</v>
      </c>
      <c r="F3238" s="965">
        <v>11750656800</v>
      </c>
      <c r="G3238" s="965">
        <v>3150</v>
      </c>
      <c r="H3238" s="965">
        <v>3415</v>
      </c>
      <c r="I3238" s="965">
        <v>3135</v>
      </c>
      <c r="J3238" s="965">
        <v>272822</v>
      </c>
      <c r="K3238" s="965">
        <v>84727220</v>
      </c>
    </row>
    <row r="3239" spans="2:11" s="1258" customFormat="1" ht="16" hidden="1" outlineLevel="1">
      <c r="B3239" s="966" t="s">
        <v>2446</v>
      </c>
      <c r="C3239" s="965">
        <v>3070</v>
      </c>
      <c r="D3239" s="965" t="s">
        <v>2219</v>
      </c>
      <c r="E3239" s="965">
        <v>2584759</v>
      </c>
      <c r="F3239" s="965">
        <v>7760316360</v>
      </c>
      <c r="G3239" s="965">
        <v>2850</v>
      </c>
      <c r="H3239" s="965">
        <v>3115</v>
      </c>
      <c r="I3239" s="965">
        <v>2810</v>
      </c>
      <c r="J3239" s="965">
        <v>260113</v>
      </c>
      <c r="K3239" s="965">
        <v>84727220</v>
      </c>
    </row>
    <row r="3240" spans="2:11" s="1258" customFormat="1" ht="16" hidden="1" outlineLevel="1">
      <c r="B3240" s="966" t="s">
        <v>2445</v>
      </c>
      <c r="C3240" s="965">
        <v>2920</v>
      </c>
      <c r="D3240" s="965" t="s">
        <v>2444</v>
      </c>
      <c r="E3240" s="965">
        <v>1811157</v>
      </c>
      <c r="F3240" s="965">
        <v>5167957530</v>
      </c>
      <c r="G3240" s="965">
        <v>2800</v>
      </c>
      <c r="H3240" s="965">
        <v>2945</v>
      </c>
      <c r="I3240" s="965">
        <v>2795</v>
      </c>
      <c r="J3240" s="965">
        <v>247403</v>
      </c>
      <c r="K3240" s="965">
        <v>84727220</v>
      </c>
    </row>
    <row r="3241" spans="2:11" s="1258" customFormat="1" ht="16" hidden="1" outlineLevel="1">
      <c r="B3241" s="966" t="s">
        <v>2443</v>
      </c>
      <c r="C3241" s="965">
        <v>2750</v>
      </c>
      <c r="D3241" s="965" t="s">
        <v>2442</v>
      </c>
      <c r="E3241" s="965">
        <v>2655361</v>
      </c>
      <c r="F3241" s="965">
        <v>7628242500</v>
      </c>
      <c r="G3241" s="965">
        <v>2940</v>
      </c>
      <c r="H3241" s="965">
        <v>2990</v>
      </c>
      <c r="I3241" s="965">
        <v>2540</v>
      </c>
      <c r="J3241" s="965">
        <v>233000</v>
      </c>
      <c r="K3241" s="965">
        <v>84727220</v>
      </c>
    </row>
    <row r="3242" spans="2:11" s="1258" customFormat="1" ht="16" hidden="1" outlineLevel="1">
      <c r="B3242" s="966" t="s">
        <v>2441</v>
      </c>
      <c r="C3242" s="965">
        <v>2860</v>
      </c>
      <c r="D3242" s="965" t="s">
        <v>2440</v>
      </c>
      <c r="E3242" s="965">
        <v>1498515</v>
      </c>
      <c r="F3242" s="965">
        <v>4200798095</v>
      </c>
      <c r="G3242" s="965">
        <v>2755</v>
      </c>
      <c r="H3242" s="965">
        <v>2880</v>
      </c>
      <c r="I3242" s="965">
        <v>2710</v>
      </c>
      <c r="J3242" s="965">
        <v>242320</v>
      </c>
      <c r="K3242" s="965">
        <v>84727220</v>
      </c>
    </row>
    <row r="3243" spans="2:11" s="1258" customFormat="1" ht="16" hidden="1" outlineLevel="1">
      <c r="B3243" s="966" t="s">
        <v>2439</v>
      </c>
      <c r="C3243" s="965">
        <v>2800</v>
      </c>
      <c r="D3243" s="965" t="s">
        <v>2432</v>
      </c>
      <c r="E3243" s="965">
        <v>642642</v>
      </c>
      <c r="F3243" s="965">
        <v>1750144525</v>
      </c>
      <c r="G3243" s="965">
        <v>2720</v>
      </c>
      <c r="H3243" s="965">
        <v>2800</v>
      </c>
      <c r="I3243" s="965">
        <v>2675</v>
      </c>
      <c r="J3243" s="965">
        <v>237236</v>
      </c>
      <c r="K3243" s="965">
        <v>84727220</v>
      </c>
    </row>
    <row r="3244" spans="2:11" s="1258" customFormat="1" ht="16" hidden="1" outlineLevel="1">
      <c r="B3244" s="966" t="s">
        <v>2438</v>
      </c>
      <c r="C3244" s="965">
        <v>2775</v>
      </c>
      <c r="D3244" s="965" t="s">
        <v>2437</v>
      </c>
      <c r="E3244" s="965">
        <v>801746</v>
      </c>
      <c r="F3244" s="965">
        <v>2243873010</v>
      </c>
      <c r="G3244" s="965">
        <v>2820</v>
      </c>
      <c r="H3244" s="965">
        <v>2875</v>
      </c>
      <c r="I3244" s="965">
        <v>2750</v>
      </c>
      <c r="J3244" s="965">
        <v>235118</v>
      </c>
      <c r="K3244" s="965">
        <v>84727220</v>
      </c>
    </row>
    <row r="3245" spans="2:11" s="1258" customFormat="1" ht="16" hidden="1" outlineLevel="1">
      <c r="B3245" s="966" t="s">
        <v>2436</v>
      </c>
      <c r="C3245" s="965">
        <v>2805</v>
      </c>
      <c r="D3245" s="965" t="s">
        <v>2424</v>
      </c>
      <c r="E3245" s="965">
        <v>927264</v>
      </c>
      <c r="F3245" s="965">
        <v>2589580020</v>
      </c>
      <c r="G3245" s="965">
        <v>2820</v>
      </c>
      <c r="H3245" s="965">
        <v>2850</v>
      </c>
      <c r="I3245" s="965">
        <v>2745</v>
      </c>
      <c r="J3245" s="965">
        <v>237660</v>
      </c>
      <c r="K3245" s="965">
        <v>84727220</v>
      </c>
    </row>
    <row r="3246" spans="2:11" s="1258" customFormat="1" ht="16" hidden="1" outlineLevel="1">
      <c r="B3246" s="966" t="s">
        <v>2435</v>
      </c>
      <c r="C3246" s="965">
        <v>2775</v>
      </c>
      <c r="D3246" s="965" t="s">
        <v>2434</v>
      </c>
      <c r="E3246" s="965">
        <v>2465344</v>
      </c>
      <c r="F3246" s="965">
        <v>6968557490</v>
      </c>
      <c r="G3246" s="965">
        <v>2610</v>
      </c>
      <c r="H3246" s="965">
        <v>2925</v>
      </c>
      <c r="I3246" s="965">
        <v>2610</v>
      </c>
      <c r="J3246" s="965">
        <v>235118</v>
      </c>
      <c r="K3246" s="965">
        <v>84727220</v>
      </c>
    </row>
    <row r="3247" spans="2:11" s="1258" customFormat="1" ht="16" hidden="1" outlineLevel="1">
      <c r="B3247" s="966" t="s">
        <v>2433</v>
      </c>
      <c r="C3247" s="965">
        <v>2590</v>
      </c>
      <c r="D3247" s="965" t="s">
        <v>2432</v>
      </c>
      <c r="E3247" s="965">
        <v>318803</v>
      </c>
      <c r="F3247" s="965">
        <v>819664400</v>
      </c>
      <c r="G3247" s="965">
        <v>2560</v>
      </c>
      <c r="H3247" s="965">
        <v>2595</v>
      </c>
      <c r="I3247" s="965">
        <v>2530</v>
      </c>
      <c r="J3247" s="965">
        <v>219443</v>
      </c>
      <c r="K3247" s="965">
        <v>84727220</v>
      </c>
    </row>
    <row r="3248" spans="2:11" s="1258" customFormat="1" ht="16" hidden="1" outlineLevel="1">
      <c r="B3248" s="966" t="s">
        <v>2431</v>
      </c>
      <c r="C3248" s="965">
        <v>2565</v>
      </c>
      <c r="D3248" s="965" t="s">
        <v>2421</v>
      </c>
      <c r="E3248" s="965">
        <v>418773</v>
      </c>
      <c r="F3248" s="965">
        <v>1081718865</v>
      </c>
      <c r="G3248" s="965">
        <v>2575</v>
      </c>
      <c r="H3248" s="965">
        <v>2625</v>
      </c>
      <c r="I3248" s="965">
        <v>2555</v>
      </c>
      <c r="J3248" s="965">
        <v>217325</v>
      </c>
      <c r="K3248" s="965">
        <v>84727220</v>
      </c>
    </row>
    <row r="3249" spans="2:11" s="1258" customFormat="1" ht="16" hidden="1" outlineLevel="1">
      <c r="B3249" s="966" t="s">
        <v>2430</v>
      </c>
      <c r="C3249" s="965">
        <v>2570</v>
      </c>
      <c r="D3249" s="965" t="s">
        <v>2429</v>
      </c>
      <c r="E3249" s="965">
        <v>288200</v>
      </c>
      <c r="F3249" s="965">
        <v>736751075</v>
      </c>
      <c r="G3249" s="965">
        <v>2510</v>
      </c>
      <c r="H3249" s="965">
        <v>2585</v>
      </c>
      <c r="I3249" s="965">
        <v>2500</v>
      </c>
      <c r="J3249" s="965">
        <v>217749</v>
      </c>
      <c r="K3249" s="965">
        <v>84727220</v>
      </c>
    </row>
    <row r="3250" spans="2:11" s="1258" customFormat="1" ht="16" hidden="1" outlineLevel="1">
      <c r="B3250" s="966" t="s">
        <v>2428</v>
      </c>
      <c r="C3250" s="965">
        <v>2500</v>
      </c>
      <c r="D3250" s="965" t="s">
        <v>2396</v>
      </c>
      <c r="E3250" s="965">
        <v>339875</v>
      </c>
      <c r="F3250" s="965">
        <v>850450500</v>
      </c>
      <c r="G3250" s="965">
        <v>2470</v>
      </c>
      <c r="H3250" s="965">
        <v>2550</v>
      </c>
      <c r="I3250" s="965">
        <v>2470</v>
      </c>
      <c r="J3250" s="965">
        <v>211818</v>
      </c>
      <c r="K3250" s="965">
        <v>84727220</v>
      </c>
    </row>
    <row r="3251" spans="2:11" s="1258" customFormat="1" ht="16" hidden="1" outlineLevel="1">
      <c r="B3251" s="966" t="s">
        <v>2427</v>
      </c>
      <c r="C3251" s="965">
        <v>2540</v>
      </c>
      <c r="D3251" s="965" t="s">
        <v>2426</v>
      </c>
      <c r="E3251" s="965">
        <v>464614</v>
      </c>
      <c r="F3251" s="965">
        <v>1210218960</v>
      </c>
      <c r="G3251" s="965">
        <v>2700</v>
      </c>
      <c r="H3251" s="965">
        <v>2700</v>
      </c>
      <c r="I3251" s="965">
        <v>2540</v>
      </c>
      <c r="J3251" s="965">
        <v>215207</v>
      </c>
      <c r="K3251" s="965">
        <v>84727220</v>
      </c>
    </row>
    <row r="3252" spans="2:11" s="1258" customFormat="1" ht="16" hidden="1" outlineLevel="1">
      <c r="B3252" s="966" t="s">
        <v>2425</v>
      </c>
      <c r="C3252" s="965">
        <v>2635</v>
      </c>
      <c r="D3252" s="965" t="s">
        <v>2424</v>
      </c>
      <c r="E3252" s="965">
        <v>338223</v>
      </c>
      <c r="F3252" s="965">
        <v>888147475</v>
      </c>
      <c r="G3252" s="965">
        <v>2605</v>
      </c>
      <c r="H3252" s="965">
        <v>2685</v>
      </c>
      <c r="I3252" s="965">
        <v>2595</v>
      </c>
      <c r="J3252" s="965">
        <v>223256</v>
      </c>
      <c r="K3252" s="965">
        <v>84727220</v>
      </c>
    </row>
    <row r="3253" spans="2:11" s="1258" customFormat="1" ht="16" hidden="1" outlineLevel="1">
      <c r="B3253" s="966" t="s">
        <v>2423</v>
      </c>
      <c r="C3253" s="965">
        <v>2605</v>
      </c>
      <c r="D3253" s="965" t="s">
        <v>2363</v>
      </c>
      <c r="E3253" s="965">
        <v>574687</v>
      </c>
      <c r="F3253" s="965">
        <v>1515238565</v>
      </c>
      <c r="G3253" s="965">
        <v>2610</v>
      </c>
      <c r="H3253" s="965">
        <v>2700</v>
      </c>
      <c r="I3253" s="965">
        <v>2605</v>
      </c>
      <c r="J3253" s="965">
        <v>220714</v>
      </c>
      <c r="K3253" s="965">
        <v>84727220</v>
      </c>
    </row>
    <row r="3254" spans="2:11" s="1258" customFormat="1" ht="16" hidden="1" outlineLevel="1">
      <c r="B3254" s="966" t="s">
        <v>2422</v>
      </c>
      <c r="C3254" s="965">
        <v>2670</v>
      </c>
      <c r="D3254" s="965" t="s">
        <v>2421</v>
      </c>
      <c r="E3254" s="965">
        <v>538873</v>
      </c>
      <c r="F3254" s="965">
        <v>1439472360</v>
      </c>
      <c r="G3254" s="965">
        <v>2635</v>
      </c>
      <c r="H3254" s="965">
        <v>2720</v>
      </c>
      <c r="I3254" s="965">
        <v>2635</v>
      </c>
      <c r="J3254" s="965">
        <v>226222</v>
      </c>
      <c r="K3254" s="965">
        <v>84727220</v>
      </c>
    </row>
    <row r="3255" spans="2:11" s="1258" customFormat="1" ht="16" hidden="1" outlineLevel="1">
      <c r="B3255" s="966" t="s">
        <v>2420</v>
      </c>
      <c r="C3255" s="965">
        <v>2675</v>
      </c>
      <c r="D3255" s="965" t="s">
        <v>2419</v>
      </c>
      <c r="E3255" s="965">
        <v>584908</v>
      </c>
      <c r="F3255" s="965">
        <v>1576828125</v>
      </c>
      <c r="G3255" s="965">
        <v>2800</v>
      </c>
      <c r="H3255" s="965">
        <v>2800</v>
      </c>
      <c r="I3255" s="965">
        <v>2660</v>
      </c>
      <c r="J3255" s="965">
        <v>226645</v>
      </c>
      <c r="K3255" s="965">
        <v>84727220</v>
      </c>
    </row>
    <row r="3256" spans="2:11" s="1258" customFormat="1" ht="16" hidden="1" outlineLevel="1">
      <c r="B3256" s="966" t="s">
        <v>2418</v>
      </c>
      <c r="C3256" s="965">
        <v>2800</v>
      </c>
      <c r="D3256" s="965" t="s">
        <v>2258</v>
      </c>
      <c r="E3256" s="965">
        <v>965450</v>
      </c>
      <c r="F3256" s="965">
        <v>2754296400</v>
      </c>
      <c r="G3256" s="965">
        <v>2855</v>
      </c>
      <c r="H3256" s="965">
        <v>2910</v>
      </c>
      <c r="I3256" s="965">
        <v>2795</v>
      </c>
      <c r="J3256" s="965">
        <v>237236</v>
      </c>
      <c r="K3256" s="965">
        <v>84727220</v>
      </c>
    </row>
    <row r="3257" spans="2:11" s="1258" customFormat="1" ht="16" hidden="1" outlineLevel="1">
      <c r="B3257" s="966" t="s">
        <v>2417</v>
      </c>
      <c r="C3257" s="965">
        <v>2795</v>
      </c>
      <c r="D3257" s="965" t="s">
        <v>2356</v>
      </c>
      <c r="E3257" s="965">
        <v>1317813</v>
      </c>
      <c r="F3257" s="965">
        <v>3625768485</v>
      </c>
      <c r="G3257" s="965">
        <v>2680</v>
      </c>
      <c r="H3257" s="965">
        <v>2845</v>
      </c>
      <c r="I3257" s="965">
        <v>2660</v>
      </c>
      <c r="J3257" s="965">
        <v>236813</v>
      </c>
      <c r="K3257" s="965">
        <v>84727220</v>
      </c>
    </row>
    <row r="3258" spans="2:11" s="1258" customFormat="1" ht="16" hidden="1" outlineLevel="1">
      <c r="B3258" s="966" t="s">
        <v>2416</v>
      </c>
      <c r="C3258" s="965">
        <v>2615</v>
      </c>
      <c r="D3258" s="965" t="s">
        <v>2415</v>
      </c>
      <c r="E3258" s="965">
        <v>738751</v>
      </c>
      <c r="F3258" s="965">
        <v>1962407925</v>
      </c>
      <c r="G3258" s="965">
        <v>2765</v>
      </c>
      <c r="H3258" s="965">
        <v>2785</v>
      </c>
      <c r="I3258" s="965">
        <v>2595</v>
      </c>
      <c r="J3258" s="965">
        <v>221562</v>
      </c>
      <c r="K3258" s="965">
        <v>84727220</v>
      </c>
    </row>
    <row r="3259" spans="2:11" s="1258" customFormat="1" ht="16" hidden="1" outlineLevel="1">
      <c r="B3259" s="966" t="s">
        <v>2414</v>
      </c>
      <c r="C3259" s="965">
        <v>2735</v>
      </c>
      <c r="D3259" s="965" t="s">
        <v>2413</v>
      </c>
      <c r="E3259" s="965">
        <v>781921</v>
      </c>
      <c r="F3259" s="965">
        <v>2166113140</v>
      </c>
      <c r="G3259" s="965">
        <v>2780</v>
      </c>
      <c r="H3259" s="965">
        <v>2840</v>
      </c>
      <c r="I3259" s="965">
        <v>2710</v>
      </c>
      <c r="J3259" s="965">
        <v>231729</v>
      </c>
      <c r="K3259" s="965">
        <v>84727220</v>
      </c>
    </row>
    <row r="3260" spans="2:11" s="1258" customFormat="1" ht="16" hidden="1" outlineLevel="1">
      <c r="B3260" s="966" t="s">
        <v>2412</v>
      </c>
      <c r="C3260" s="965">
        <v>2770</v>
      </c>
      <c r="D3260" s="965" t="s">
        <v>2411</v>
      </c>
      <c r="E3260" s="965">
        <v>2277655</v>
      </c>
      <c r="F3260" s="965">
        <v>6393314325</v>
      </c>
      <c r="G3260" s="965">
        <v>2655</v>
      </c>
      <c r="H3260" s="965">
        <v>2965</v>
      </c>
      <c r="I3260" s="965">
        <v>2595</v>
      </c>
      <c r="J3260" s="965">
        <v>234694</v>
      </c>
      <c r="K3260" s="965">
        <v>84727220</v>
      </c>
    </row>
    <row r="3261" spans="2:11" s="1258" customFormat="1" ht="16" hidden="1" outlineLevel="1">
      <c r="B3261" s="966" t="s">
        <v>2410</v>
      </c>
      <c r="C3261" s="965">
        <v>2690</v>
      </c>
      <c r="D3261" s="965" t="s">
        <v>2261</v>
      </c>
      <c r="E3261" s="965">
        <v>868052</v>
      </c>
      <c r="F3261" s="965">
        <v>2319189540</v>
      </c>
      <c r="G3261" s="965">
        <v>2675</v>
      </c>
      <c r="H3261" s="965">
        <v>2750</v>
      </c>
      <c r="I3261" s="965">
        <v>2630</v>
      </c>
      <c r="J3261" s="965">
        <v>227916</v>
      </c>
      <c r="K3261" s="965">
        <v>84727220</v>
      </c>
    </row>
    <row r="3262" spans="2:11" s="1258" customFormat="1" ht="16" hidden="1" outlineLevel="1">
      <c r="B3262" s="966" t="s">
        <v>2409</v>
      </c>
      <c r="C3262" s="965">
        <v>2675</v>
      </c>
      <c r="D3262" s="965" t="s">
        <v>2408</v>
      </c>
      <c r="E3262" s="965">
        <v>1222137</v>
      </c>
      <c r="F3262" s="965">
        <v>3371356605</v>
      </c>
      <c r="G3262" s="965">
        <v>2810</v>
      </c>
      <c r="H3262" s="965">
        <v>2950</v>
      </c>
      <c r="I3262" s="965">
        <v>2655</v>
      </c>
      <c r="J3262" s="965">
        <v>226645</v>
      </c>
      <c r="K3262" s="965">
        <v>84727220</v>
      </c>
    </row>
    <row r="3263" spans="2:11" s="1258" customFormat="1" ht="16" hidden="1" outlineLevel="1">
      <c r="B3263" s="966" t="s">
        <v>2407</v>
      </c>
      <c r="C3263" s="965">
        <v>2855</v>
      </c>
      <c r="D3263" s="965" t="s">
        <v>2375</v>
      </c>
      <c r="E3263" s="965">
        <v>882086</v>
      </c>
      <c r="F3263" s="965">
        <v>2569504080</v>
      </c>
      <c r="G3263" s="965">
        <v>3005</v>
      </c>
      <c r="H3263" s="965">
        <v>3005</v>
      </c>
      <c r="I3263" s="965">
        <v>2845</v>
      </c>
      <c r="J3263" s="965">
        <v>241896</v>
      </c>
      <c r="K3263" s="965">
        <v>84727220</v>
      </c>
    </row>
    <row r="3264" spans="2:11" s="1258" customFormat="1" ht="16" hidden="1" outlineLevel="1">
      <c r="B3264" s="966" t="s">
        <v>2406</v>
      </c>
      <c r="C3264" s="965">
        <v>2970</v>
      </c>
      <c r="D3264" s="965" t="s">
        <v>2405</v>
      </c>
      <c r="E3264" s="965">
        <v>4152683</v>
      </c>
      <c r="F3264" s="965">
        <v>12054453305</v>
      </c>
      <c r="G3264" s="965">
        <v>2925</v>
      </c>
      <c r="H3264" s="965">
        <v>3150</v>
      </c>
      <c r="I3264" s="965">
        <v>2700</v>
      </c>
      <c r="J3264" s="965">
        <v>251640</v>
      </c>
      <c r="K3264" s="965">
        <v>84727220</v>
      </c>
    </row>
    <row r="3265" spans="2:11" s="1258" customFormat="1" ht="16" hidden="1" outlineLevel="1">
      <c r="B3265" s="966" t="s">
        <v>2404</v>
      </c>
      <c r="C3265" s="965">
        <v>2895</v>
      </c>
      <c r="D3265" s="965" t="s">
        <v>2256</v>
      </c>
      <c r="E3265" s="965">
        <v>6460601</v>
      </c>
      <c r="F3265" s="965">
        <v>19493807150</v>
      </c>
      <c r="G3265" s="965">
        <v>2940</v>
      </c>
      <c r="H3265" s="965">
        <v>3150</v>
      </c>
      <c r="I3265" s="965">
        <v>2890</v>
      </c>
      <c r="J3265" s="965">
        <v>245285</v>
      </c>
      <c r="K3265" s="965">
        <v>84727220</v>
      </c>
    </row>
    <row r="3266" spans="2:11" s="1258" customFormat="1" ht="16" hidden="1" outlineLevel="1">
      <c r="B3266" s="966" t="s">
        <v>2403</v>
      </c>
      <c r="C3266" s="965">
        <v>2840</v>
      </c>
      <c r="D3266" s="965" t="s">
        <v>2402</v>
      </c>
      <c r="E3266" s="965">
        <v>4169677</v>
      </c>
      <c r="F3266" s="965">
        <v>11528523030</v>
      </c>
      <c r="G3266" s="965">
        <v>2500</v>
      </c>
      <c r="H3266" s="965">
        <v>2840</v>
      </c>
      <c r="I3266" s="965">
        <v>2500</v>
      </c>
      <c r="J3266" s="965">
        <v>240625</v>
      </c>
      <c r="K3266" s="965">
        <v>84727220</v>
      </c>
    </row>
    <row r="3267" spans="2:11" s="1258" customFormat="1" ht="16" hidden="1" outlineLevel="1">
      <c r="B3267" s="966" t="s">
        <v>2401</v>
      </c>
      <c r="C3267" s="965">
        <v>2470</v>
      </c>
      <c r="D3267" s="965" t="s">
        <v>2400</v>
      </c>
      <c r="E3267" s="965">
        <v>3573512</v>
      </c>
      <c r="F3267" s="965">
        <v>9140370390</v>
      </c>
      <c r="G3267" s="965">
        <v>2740</v>
      </c>
      <c r="H3267" s="965">
        <v>2770</v>
      </c>
      <c r="I3267" s="965">
        <v>2460</v>
      </c>
      <c r="J3267" s="965">
        <v>209276</v>
      </c>
      <c r="K3267" s="965">
        <v>84727220</v>
      </c>
    </row>
    <row r="3268" spans="2:11" s="1258" customFormat="1" ht="16" hidden="1" outlineLevel="1">
      <c r="B3268" s="966" t="s">
        <v>2399</v>
      </c>
      <c r="C3268" s="965">
        <v>2735</v>
      </c>
      <c r="D3268" s="965" t="s">
        <v>2398</v>
      </c>
      <c r="E3268" s="965">
        <v>2540077</v>
      </c>
      <c r="F3268" s="965">
        <v>7134351500</v>
      </c>
      <c r="G3268" s="965">
        <v>2855</v>
      </c>
      <c r="H3268" s="965">
        <v>2925</v>
      </c>
      <c r="I3268" s="965">
        <v>2690</v>
      </c>
      <c r="J3268" s="965">
        <v>231729</v>
      </c>
      <c r="K3268" s="965">
        <v>84727220</v>
      </c>
    </row>
    <row r="3269" spans="2:11" s="1258" customFormat="1" ht="16" hidden="1" outlineLevel="1">
      <c r="B3269" s="966" t="s">
        <v>2397</v>
      </c>
      <c r="C3269" s="965">
        <v>2990</v>
      </c>
      <c r="D3269" s="965" t="s">
        <v>2396</v>
      </c>
      <c r="E3269" s="965">
        <v>1432070</v>
      </c>
      <c r="F3269" s="965">
        <v>4333268500</v>
      </c>
      <c r="G3269" s="965">
        <v>3020</v>
      </c>
      <c r="H3269" s="965">
        <v>3090</v>
      </c>
      <c r="I3269" s="965">
        <v>2990</v>
      </c>
      <c r="J3269" s="965">
        <v>253334</v>
      </c>
      <c r="K3269" s="965">
        <v>84727220</v>
      </c>
    </row>
    <row r="3270" spans="2:11" s="1258" customFormat="1" ht="16" hidden="1" outlineLevel="1">
      <c r="B3270" s="966" t="s">
        <v>2395</v>
      </c>
      <c r="C3270" s="965">
        <v>3030</v>
      </c>
      <c r="D3270" s="965" t="s">
        <v>2263</v>
      </c>
      <c r="E3270" s="965">
        <v>2007719</v>
      </c>
      <c r="F3270" s="965">
        <v>6069303765</v>
      </c>
      <c r="G3270" s="965">
        <v>3080</v>
      </c>
      <c r="H3270" s="965">
        <v>3090</v>
      </c>
      <c r="I3270" s="965">
        <v>2980</v>
      </c>
      <c r="J3270" s="965">
        <v>256723</v>
      </c>
      <c r="K3270" s="965">
        <v>84727220</v>
      </c>
    </row>
    <row r="3271" spans="2:11" s="1258" customFormat="1" ht="16" hidden="1" outlineLevel="1">
      <c r="B3271" s="966" t="s">
        <v>2394</v>
      </c>
      <c r="C3271" s="965">
        <v>3100</v>
      </c>
      <c r="D3271" s="965" t="s">
        <v>2392</v>
      </c>
      <c r="E3271" s="965">
        <v>2365346</v>
      </c>
      <c r="F3271" s="965">
        <v>7379637930</v>
      </c>
      <c r="G3271" s="965">
        <v>3265</v>
      </c>
      <c r="H3271" s="965">
        <v>3270</v>
      </c>
      <c r="I3271" s="965">
        <v>3030</v>
      </c>
      <c r="J3271" s="965">
        <v>262654</v>
      </c>
      <c r="K3271" s="965">
        <v>84727220</v>
      </c>
    </row>
    <row r="3272" spans="2:11" s="1258" customFormat="1" ht="16" hidden="1" outlineLevel="1">
      <c r="B3272" s="966" t="s">
        <v>2393</v>
      </c>
      <c r="C3272" s="965">
        <v>3275</v>
      </c>
      <c r="D3272" s="965" t="s">
        <v>2392</v>
      </c>
      <c r="E3272" s="965">
        <v>1953055</v>
      </c>
      <c r="F3272" s="965">
        <v>6523621515</v>
      </c>
      <c r="G3272" s="965">
        <v>3450</v>
      </c>
      <c r="H3272" s="965">
        <v>3475</v>
      </c>
      <c r="I3272" s="965">
        <v>3265</v>
      </c>
      <c r="J3272" s="965">
        <v>277482</v>
      </c>
      <c r="K3272" s="965">
        <v>84727220</v>
      </c>
    </row>
    <row r="3273" spans="2:11" s="1258" customFormat="1" ht="16" hidden="1" outlineLevel="1">
      <c r="B3273" s="966" t="s">
        <v>2391</v>
      </c>
      <c r="C3273" s="965">
        <v>3450</v>
      </c>
      <c r="D3273" s="965" t="s">
        <v>2390</v>
      </c>
      <c r="E3273" s="965">
        <v>864828</v>
      </c>
      <c r="F3273" s="965">
        <v>3021000500</v>
      </c>
      <c r="G3273" s="965">
        <v>3525</v>
      </c>
      <c r="H3273" s="965">
        <v>3590</v>
      </c>
      <c r="I3273" s="965">
        <v>3450</v>
      </c>
      <c r="J3273" s="965">
        <v>292309</v>
      </c>
      <c r="K3273" s="965">
        <v>84727220</v>
      </c>
    </row>
    <row r="3274" spans="2:11" s="1258" customFormat="1" ht="16" hidden="1" outlineLevel="1">
      <c r="B3274" s="966" t="s">
        <v>2389</v>
      </c>
      <c r="C3274" s="965">
        <v>3470</v>
      </c>
      <c r="D3274" s="965" t="s">
        <v>2221</v>
      </c>
      <c r="E3274" s="965">
        <v>1415223</v>
      </c>
      <c r="F3274" s="965">
        <v>4976650530</v>
      </c>
      <c r="G3274" s="965">
        <v>3465</v>
      </c>
      <c r="H3274" s="965">
        <v>3600</v>
      </c>
      <c r="I3274" s="965">
        <v>3430</v>
      </c>
      <c r="J3274" s="965">
        <v>294003</v>
      </c>
      <c r="K3274" s="965">
        <v>84727220</v>
      </c>
    </row>
    <row r="3275" spans="2:11" s="1258" customFormat="1" ht="16" hidden="1" outlineLevel="1">
      <c r="B3275" s="966" t="s">
        <v>2388</v>
      </c>
      <c r="C3275" s="965">
        <v>3470</v>
      </c>
      <c r="D3275" s="965" t="s">
        <v>2387</v>
      </c>
      <c r="E3275" s="965">
        <v>966447</v>
      </c>
      <c r="F3275" s="965">
        <v>3376759355</v>
      </c>
      <c r="G3275" s="965">
        <v>3565</v>
      </c>
      <c r="H3275" s="965">
        <v>3565</v>
      </c>
      <c r="I3275" s="965">
        <v>3460</v>
      </c>
      <c r="J3275" s="965">
        <v>294003</v>
      </c>
      <c r="K3275" s="965">
        <v>84727220</v>
      </c>
    </row>
    <row r="3276" spans="2:11" s="1258" customFormat="1" ht="16" hidden="1" outlineLevel="1">
      <c r="B3276" s="966" t="s">
        <v>2386</v>
      </c>
      <c r="C3276" s="965">
        <v>3550</v>
      </c>
      <c r="D3276" s="965" t="s">
        <v>2207</v>
      </c>
      <c r="E3276" s="965">
        <v>1527171</v>
      </c>
      <c r="F3276" s="965">
        <v>5324936400</v>
      </c>
      <c r="G3276" s="965">
        <v>3525</v>
      </c>
      <c r="H3276" s="965">
        <v>3575</v>
      </c>
      <c r="I3276" s="965">
        <v>3430</v>
      </c>
      <c r="J3276" s="965">
        <v>300782</v>
      </c>
      <c r="K3276" s="965">
        <v>84727220</v>
      </c>
    </row>
    <row r="3277" spans="2:11" s="1258" customFormat="1" ht="16" hidden="1" outlineLevel="1">
      <c r="B3277" s="966" t="s">
        <v>2385</v>
      </c>
      <c r="C3277" s="965">
        <v>3500</v>
      </c>
      <c r="D3277" s="965" t="s">
        <v>2384</v>
      </c>
      <c r="E3277" s="965">
        <v>2037623</v>
      </c>
      <c r="F3277" s="965">
        <v>7221460515</v>
      </c>
      <c r="G3277" s="965">
        <v>3600</v>
      </c>
      <c r="H3277" s="965">
        <v>3650</v>
      </c>
      <c r="I3277" s="965">
        <v>3495</v>
      </c>
      <c r="J3277" s="965">
        <v>296545</v>
      </c>
      <c r="K3277" s="965">
        <v>84727220</v>
      </c>
    </row>
    <row r="3278" spans="2:11" s="1258" customFormat="1" ht="16" hidden="1" outlineLevel="1">
      <c r="B3278" s="966" t="s">
        <v>2383</v>
      </c>
      <c r="C3278" s="965">
        <v>3635</v>
      </c>
      <c r="D3278" s="965" t="s">
        <v>2263</v>
      </c>
      <c r="E3278" s="965">
        <v>1524996</v>
      </c>
      <c r="F3278" s="965">
        <v>5557727175</v>
      </c>
      <c r="G3278" s="965">
        <v>3710</v>
      </c>
      <c r="H3278" s="965">
        <v>3740</v>
      </c>
      <c r="I3278" s="965">
        <v>3600</v>
      </c>
      <c r="J3278" s="965">
        <v>307983</v>
      </c>
      <c r="K3278" s="965">
        <v>84727220</v>
      </c>
    </row>
    <row r="3279" spans="2:11" s="1258" customFormat="1" ht="16" hidden="1" outlineLevel="1">
      <c r="B3279" s="966" t="s">
        <v>2382</v>
      </c>
      <c r="C3279" s="965">
        <v>3705</v>
      </c>
      <c r="D3279" s="965" t="s">
        <v>2381</v>
      </c>
      <c r="E3279" s="965">
        <v>2139966</v>
      </c>
      <c r="F3279" s="965">
        <v>8004663110</v>
      </c>
      <c r="G3279" s="965">
        <v>3870</v>
      </c>
      <c r="H3279" s="965">
        <v>3870</v>
      </c>
      <c r="I3279" s="965">
        <v>3675</v>
      </c>
      <c r="J3279" s="965">
        <v>313914</v>
      </c>
      <c r="K3279" s="965">
        <v>84727220</v>
      </c>
    </row>
    <row r="3280" spans="2:11" s="1258" customFormat="1" ht="16" hidden="1" outlineLevel="1">
      <c r="B3280" s="966" t="s">
        <v>2380</v>
      </c>
      <c r="C3280" s="965">
        <v>3850</v>
      </c>
      <c r="D3280" s="965" t="s">
        <v>2207</v>
      </c>
      <c r="E3280" s="965">
        <v>2096952</v>
      </c>
      <c r="F3280" s="965">
        <v>8042703075</v>
      </c>
      <c r="G3280" s="965">
        <v>3820</v>
      </c>
      <c r="H3280" s="965">
        <v>3905</v>
      </c>
      <c r="I3280" s="965">
        <v>3720</v>
      </c>
      <c r="J3280" s="965">
        <v>326200</v>
      </c>
      <c r="K3280" s="965">
        <v>84727220</v>
      </c>
    </row>
    <row r="3281" spans="2:11" s="1258" customFormat="1" ht="16" hidden="1" outlineLevel="1">
      <c r="B3281" s="966" t="s">
        <v>2379</v>
      </c>
      <c r="C3281" s="965">
        <v>3800</v>
      </c>
      <c r="D3281" s="965" t="s">
        <v>2378</v>
      </c>
      <c r="E3281" s="965">
        <v>3316320</v>
      </c>
      <c r="F3281" s="965">
        <v>12950374760</v>
      </c>
      <c r="G3281" s="965">
        <v>3970</v>
      </c>
      <c r="H3281" s="965">
        <v>4070</v>
      </c>
      <c r="I3281" s="965">
        <v>3780</v>
      </c>
      <c r="J3281" s="965">
        <v>321963</v>
      </c>
      <c r="K3281" s="965">
        <v>84727220</v>
      </c>
    </row>
    <row r="3282" spans="2:11" s="1258" customFormat="1" ht="16" hidden="1" outlineLevel="1">
      <c r="B3282" s="966" t="s">
        <v>2377</v>
      </c>
      <c r="C3282" s="965">
        <v>3930</v>
      </c>
      <c r="D3282" s="965" t="s">
        <v>2228</v>
      </c>
      <c r="E3282" s="965">
        <v>3327073</v>
      </c>
      <c r="F3282" s="965">
        <v>13026358500</v>
      </c>
      <c r="G3282" s="965">
        <v>4010</v>
      </c>
      <c r="H3282" s="965">
        <v>4015</v>
      </c>
      <c r="I3282" s="965">
        <v>3840</v>
      </c>
      <c r="J3282" s="965">
        <v>332978</v>
      </c>
      <c r="K3282" s="965">
        <v>84727220</v>
      </c>
    </row>
    <row r="3283" spans="2:11" s="1258" customFormat="1" ht="16" hidden="1" outlineLevel="1">
      <c r="B3283" s="966" t="s">
        <v>2376</v>
      </c>
      <c r="C3283" s="965">
        <v>4030</v>
      </c>
      <c r="D3283" s="965" t="s">
        <v>2375</v>
      </c>
      <c r="E3283" s="965">
        <v>3532507</v>
      </c>
      <c r="F3283" s="965">
        <v>14565862440</v>
      </c>
      <c r="G3283" s="965">
        <v>4225</v>
      </c>
      <c r="H3283" s="965">
        <v>4265</v>
      </c>
      <c r="I3283" s="965">
        <v>4010</v>
      </c>
      <c r="J3283" s="965">
        <v>341451</v>
      </c>
      <c r="K3283" s="965">
        <v>84727220</v>
      </c>
    </row>
    <row r="3284" spans="2:11" s="1258" customFormat="1" ht="16" hidden="1" outlineLevel="1">
      <c r="B3284" s="966" t="s">
        <v>2374</v>
      </c>
      <c r="C3284" s="965">
        <v>4145</v>
      </c>
      <c r="D3284" s="965" t="s">
        <v>2263</v>
      </c>
      <c r="E3284" s="965">
        <v>7847923</v>
      </c>
      <c r="F3284" s="965">
        <v>32317197620</v>
      </c>
      <c r="G3284" s="965">
        <v>4270</v>
      </c>
      <c r="H3284" s="965">
        <v>4330</v>
      </c>
      <c r="I3284" s="965">
        <v>3950</v>
      </c>
      <c r="J3284" s="965">
        <v>351194</v>
      </c>
      <c r="K3284" s="965">
        <v>84727220</v>
      </c>
    </row>
    <row r="3285" spans="2:11" s="1258" customFormat="1" ht="16" hidden="1" outlineLevel="1">
      <c r="B3285" s="966" t="s">
        <v>2373</v>
      </c>
      <c r="C3285" s="965">
        <v>4215</v>
      </c>
      <c r="D3285" s="965" t="s">
        <v>2372</v>
      </c>
      <c r="E3285" s="965">
        <v>21205198</v>
      </c>
      <c r="F3285" s="965">
        <v>90943145610</v>
      </c>
      <c r="G3285" s="965">
        <v>4080</v>
      </c>
      <c r="H3285" s="965">
        <v>4495</v>
      </c>
      <c r="I3285" s="965">
        <v>4080</v>
      </c>
      <c r="J3285" s="965">
        <v>357125</v>
      </c>
      <c r="K3285" s="965">
        <v>84727220</v>
      </c>
    </row>
    <row r="3286" spans="2:11" s="1258" customFormat="1" ht="16" hidden="1" outlineLevel="1">
      <c r="B3286" s="966" t="s">
        <v>2371</v>
      </c>
      <c r="C3286" s="965">
        <v>3910</v>
      </c>
      <c r="D3286" s="965" t="s">
        <v>2370</v>
      </c>
      <c r="E3286" s="965">
        <v>14360383</v>
      </c>
      <c r="F3286" s="965">
        <v>55898027650</v>
      </c>
      <c r="G3286" s="965">
        <v>3640</v>
      </c>
      <c r="H3286" s="965">
        <v>4195</v>
      </c>
      <c r="I3286" s="965">
        <v>3530</v>
      </c>
      <c r="J3286" s="965">
        <v>331283</v>
      </c>
      <c r="K3286" s="965">
        <v>84727220</v>
      </c>
    </row>
    <row r="3287" spans="2:11" s="1258" customFormat="1" ht="16" hidden="1" outlineLevel="1">
      <c r="B3287" s="966" t="s">
        <v>2369</v>
      </c>
      <c r="C3287" s="965">
        <v>3650</v>
      </c>
      <c r="D3287" s="965" t="s">
        <v>2368</v>
      </c>
      <c r="E3287" s="965">
        <v>10512296</v>
      </c>
      <c r="F3287" s="965">
        <v>39509447710</v>
      </c>
      <c r="G3287" s="965">
        <v>3530</v>
      </c>
      <c r="H3287" s="965">
        <v>3975</v>
      </c>
      <c r="I3287" s="965">
        <v>3490</v>
      </c>
      <c r="J3287" s="965">
        <v>309254</v>
      </c>
      <c r="K3287" s="965">
        <v>84727220</v>
      </c>
    </row>
    <row r="3288" spans="2:11" s="1258" customFormat="1" ht="16" hidden="1" outlineLevel="1">
      <c r="B3288" s="966" t="s">
        <v>2367</v>
      </c>
      <c r="C3288" s="965">
        <v>3490</v>
      </c>
      <c r="D3288" s="965" t="s">
        <v>2366</v>
      </c>
      <c r="E3288" s="965">
        <v>2865462</v>
      </c>
      <c r="F3288" s="965">
        <v>9810714170</v>
      </c>
      <c r="G3288" s="965">
        <v>3515</v>
      </c>
      <c r="H3288" s="965">
        <v>3540</v>
      </c>
      <c r="I3288" s="965">
        <v>3370</v>
      </c>
      <c r="J3288" s="965">
        <v>295698</v>
      </c>
      <c r="K3288" s="965">
        <v>84727220</v>
      </c>
    </row>
    <row r="3289" spans="2:11" s="1258" customFormat="1" ht="16" hidden="1" outlineLevel="1">
      <c r="B3289" s="966" t="s">
        <v>2365</v>
      </c>
      <c r="C3289" s="965">
        <v>3500</v>
      </c>
      <c r="D3289" s="965" t="s">
        <v>2262</v>
      </c>
      <c r="E3289" s="965">
        <v>3395497</v>
      </c>
      <c r="F3289" s="965">
        <v>12010455560</v>
      </c>
      <c r="G3289" s="965">
        <v>3670</v>
      </c>
      <c r="H3289" s="965">
        <v>3715</v>
      </c>
      <c r="I3289" s="965">
        <v>3415</v>
      </c>
      <c r="J3289" s="965">
        <v>296545</v>
      </c>
      <c r="K3289" s="965">
        <v>84727220</v>
      </c>
    </row>
    <row r="3290" spans="2:11" s="1258" customFormat="1" ht="16" hidden="1" outlineLevel="1">
      <c r="B3290" s="966" t="s">
        <v>2364</v>
      </c>
      <c r="C3290" s="965">
        <v>3545</v>
      </c>
      <c r="D3290" s="965" t="s">
        <v>2363</v>
      </c>
      <c r="E3290" s="965">
        <v>4019293</v>
      </c>
      <c r="F3290" s="965">
        <v>14578916660</v>
      </c>
      <c r="G3290" s="965">
        <v>3610</v>
      </c>
      <c r="H3290" s="965">
        <v>3785</v>
      </c>
      <c r="I3290" s="965">
        <v>3535</v>
      </c>
      <c r="J3290" s="965">
        <v>300358</v>
      </c>
      <c r="K3290" s="965">
        <v>84727220</v>
      </c>
    </row>
    <row r="3291" spans="2:11" s="1258" customFormat="1" ht="16" hidden="1" outlineLevel="1">
      <c r="B3291" s="966" t="s">
        <v>2362</v>
      </c>
      <c r="C3291" s="965">
        <v>3610</v>
      </c>
      <c r="D3291" s="965" t="s">
        <v>2361</v>
      </c>
      <c r="E3291" s="965">
        <v>6606837</v>
      </c>
      <c r="F3291" s="965">
        <v>23746801350</v>
      </c>
      <c r="G3291" s="965">
        <v>3510</v>
      </c>
      <c r="H3291" s="965">
        <v>3750</v>
      </c>
      <c r="I3291" s="965">
        <v>3380</v>
      </c>
      <c r="J3291" s="965">
        <v>305865</v>
      </c>
      <c r="K3291" s="965">
        <v>84727220</v>
      </c>
    </row>
    <row r="3292" spans="2:11" s="1258" customFormat="1" ht="16" hidden="1" outlineLevel="1">
      <c r="B3292" s="966" t="s">
        <v>2360</v>
      </c>
      <c r="C3292" s="965">
        <v>3400</v>
      </c>
      <c r="D3292" s="965" t="s">
        <v>2359</v>
      </c>
      <c r="E3292" s="965">
        <v>7346906</v>
      </c>
      <c r="F3292" s="965">
        <v>26842597545</v>
      </c>
      <c r="G3292" s="965">
        <v>3800</v>
      </c>
      <c r="H3292" s="965">
        <v>3845</v>
      </c>
      <c r="I3292" s="965">
        <v>3400</v>
      </c>
      <c r="J3292" s="965">
        <v>288073</v>
      </c>
      <c r="K3292" s="965">
        <v>84727220</v>
      </c>
    </row>
    <row r="3293" spans="2:11" s="1258" customFormat="1" ht="16" hidden="1" outlineLevel="1">
      <c r="B3293" s="966" t="s">
        <v>2358</v>
      </c>
      <c r="C3293" s="965">
        <v>3780</v>
      </c>
      <c r="D3293" s="965" t="s">
        <v>2356</v>
      </c>
      <c r="E3293" s="965">
        <v>18451996</v>
      </c>
      <c r="F3293" s="965">
        <v>71827633405</v>
      </c>
      <c r="G3293" s="965">
        <v>3735</v>
      </c>
      <c r="H3293" s="965">
        <v>4090</v>
      </c>
      <c r="I3293" s="965">
        <v>3690</v>
      </c>
      <c r="J3293" s="965">
        <v>320269</v>
      </c>
      <c r="K3293" s="965">
        <v>84727220</v>
      </c>
    </row>
    <row r="3294" spans="2:11" s="1258" customFormat="1" ht="16" hidden="1" outlineLevel="1">
      <c r="B3294" s="966" t="s">
        <v>2357</v>
      </c>
      <c r="C3294" s="965">
        <v>3600</v>
      </c>
      <c r="D3294" s="965" t="s">
        <v>2356</v>
      </c>
      <c r="E3294" s="965">
        <v>26642145</v>
      </c>
      <c r="F3294" s="965">
        <v>93874881750</v>
      </c>
      <c r="G3294" s="965">
        <v>3420</v>
      </c>
      <c r="H3294" s="965">
        <v>3830</v>
      </c>
      <c r="I3294" s="965">
        <v>2960</v>
      </c>
      <c r="J3294" s="965">
        <v>305018</v>
      </c>
      <c r="K3294" s="965">
        <v>84727220</v>
      </c>
    </row>
    <row r="3295" spans="2:11" ht="15" collapsed="1" thickBot="1">
      <c r="B3295" s="960" t="s">
        <v>2355</v>
      </c>
      <c r="C3295" s="959"/>
      <c r="D3295" s="961"/>
      <c r="E3295" s="959"/>
      <c r="F3295" s="959"/>
      <c r="G3295" s="959"/>
      <c r="H3295" s="959"/>
      <c r="I3295" s="959"/>
      <c r="J3295" s="960">
        <f>AVERAGE(J3085:J3207)</f>
        <v>243921.44715447153</v>
      </c>
      <c r="K3295" s="959"/>
    </row>
    <row r="3299" spans="2:10">
      <c r="B3299" s="980" t="s">
        <v>2051</v>
      </c>
    </row>
    <row r="3301" spans="2:10">
      <c r="B3301" s="977" t="s">
        <v>17</v>
      </c>
      <c r="C3301" s="977"/>
      <c r="D3301" s="976"/>
      <c r="E3301" s="977" t="s">
        <v>2048</v>
      </c>
      <c r="F3301" s="977" t="s">
        <v>2049</v>
      </c>
      <c r="G3301" s="977" t="s">
        <v>17</v>
      </c>
    </row>
    <row r="3302" spans="2:10">
      <c r="B3302" s="957" t="s">
        <v>1864</v>
      </c>
      <c r="C3302" s="957" t="s">
        <v>2050</v>
      </c>
      <c r="E3302" s="957">
        <v>1421513</v>
      </c>
      <c r="F3302" s="957">
        <f>SUMIF(C3312:C3315,"비영업",J3312:J3315)</f>
        <v>1328719.0476190478</v>
      </c>
    </row>
    <row r="3303" spans="2:10">
      <c r="C3303" s="957" t="s">
        <v>1863</v>
      </c>
      <c r="E3303" s="957">
        <v>631771.23936999997</v>
      </c>
      <c r="F3303" s="957">
        <f>SUMIF(C3350:C3365,"비영업",I3350:I3365)</f>
        <v>265507.25142857141</v>
      </c>
    </row>
    <row r="3304" spans="2:10">
      <c r="C3304" s="957" t="s">
        <v>1209</v>
      </c>
      <c r="E3304" s="957">
        <v>197021</v>
      </c>
      <c r="F3304" s="957">
        <f>E3304</f>
        <v>197021</v>
      </c>
    </row>
    <row r="3305" spans="2:10">
      <c r="B3305" s="979"/>
      <c r="C3305" s="979" t="s">
        <v>192</v>
      </c>
      <c r="E3305" s="957">
        <v>39823</v>
      </c>
      <c r="F3305" s="957">
        <f>E3305</f>
        <v>39823</v>
      </c>
    </row>
    <row r="3306" spans="2:10">
      <c r="B3306" s="977"/>
      <c r="C3306" s="977" t="s">
        <v>22</v>
      </c>
      <c r="D3306" s="976"/>
      <c r="E3306" s="977">
        <f>SUM(E3302:E3305)</f>
        <v>2290128.2393700001</v>
      </c>
      <c r="F3306" s="977">
        <f>SUM(F3302:F3305)</f>
        <v>1831070.2990476191</v>
      </c>
      <c r="G3306" s="977"/>
    </row>
    <row r="3309" spans="2:10">
      <c r="B3309" s="980" t="s">
        <v>1873</v>
      </c>
    </row>
    <row r="3310" spans="2:10">
      <c r="F3310" s="958"/>
    </row>
    <row r="3311" spans="2:10">
      <c r="B3311" s="978" t="s">
        <v>1917</v>
      </c>
      <c r="C3311" s="1049" t="s">
        <v>2019</v>
      </c>
      <c r="D3311" s="1049" t="s">
        <v>2020</v>
      </c>
      <c r="E3311" s="978" t="s">
        <v>2052</v>
      </c>
      <c r="F3311" s="981" t="s">
        <v>1919</v>
      </c>
      <c r="G3311" s="978" t="s">
        <v>1920</v>
      </c>
      <c r="H3311" s="978" t="s">
        <v>1921</v>
      </c>
      <c r="I3311" s="978" t="s">
        <v>1440</v>
      </c>
      <c r="J3311" s="978" t="s">
        <v>1925</v>
      </c>
    </row>
    <row r="3312" spans="2:10">
      <c r="B3312" s="957" t="s">
        <v>1924</v>
      </c>
      <c r="C3312" s="1046" t="s">
        <v>1929</v>
      </c>
      <c r="D3312" s="957" t="s">
        <v>1927</v>
      </c>
      <c r="E3312" s="957">
        <v>14762667</v>
      </c>
      <c r="F3312" s="958">
        <v>7.4</v>
      </c>
      <c r="G3312" s="957">
        <v>2887</v>
      </c>
      <c r="H3312" s="957">
        <v>1402453</v>
      </c>
      <c r="I3312" s="957">
        <v>1402453</v>
      </c>
      <c r="J3312" s="1051">
        <f>J3344*F3312%</f>
        <v>1309659.0476190478</v>
      </c>
    </row>
    <row r="3313" spans="2:11">
      <c r="B3313" s="957" t="s">
        <v>2055</v>
      </c>
      <c r="C3313" s="957" t="s">
        <v>1929</v>
      </c>
      <c r="D3313" s="957" t="s">
        <v>1934</v>
      </c>
      <c r="E3313" s="957">
        <v>86187</v>
      </c>
      <c r="F3313" s="957">
        <v>3.3</v>
      </c>
      <c r="G3313" s="957">
        <v>8619</v>
      </c>
      <c r="H3313" s="957">
        <v>17855</v>
      </c>
      <c r="I3313" s="957">
        <v>17855</v>
      </c>
      <c r="J3313" s="957">
        <f>I3313</f>
        <v>17855</v>
      </c>
    </row>
    <row r="3314" spans="2:11">
      <c r="B3314" s="957" t="s">
        <v>2053</v>
      </c>
      <c r="C3314" s="957" t="s">
        <v>1929</v>
      </c>
      <c r="D3314" s="957" t="s">
        <v>1934</v>
      </c>
      <c r="E3314" s="957">
        <v>1000</v>
      </c>
      <c r="F3314" s="957">
        <v>0.1</v>
      </c>
      <c r="G3314" s="957">
        <v>5</v>
      </c>
      <c r="H3314" s="957">
        <v>1</v>
      </c>
      <c r="I3314" s="957">
        <v>5</v>
      </c>
      <c r="J3314" s="957">
        <f>I3314</f>
        <v>5</v>
      </c>
    </row>
    <row r="3315" spans="2:11">
      <c r="B3315" s="957" t="s">
        <v>2054</v>
      </c>
      <c r="C3315" s="957" t="s">
        <v>1929</v>
      </c>
      <c r="D3315" s="957" t="s">
        <v>1934</v>
      </c>
      <c r="E3315" s="957">
        <v>120000</v>
      </c>
      <c r="F3315" s="957">
        <v>3</v>
      </c>
      <c r="G3315" s="957">
        <v>1200</v>
      </c>
      <c r="H3315" s="957">
        <v>0</v>
      </c>
      <c r="I3315" s="957">
        <v>1200</v>
      </c>
      <c r="J3315" s="957">
        <f>I3315</f>
        <v>1200</v>
      </c>
    </row>
    <row r="3316" spans="2:11">
      <c r="B3316" s="977" t="s">
        <v>22</v>
      </c>
      <c r="C3316" s="977"/>
      <c r="D3316" s="976"/>
      <c r="E3316" s="977"/>
      <c r="F3316" s="977"/>
      <c r="G3316" s="977"/>
      <c r="H3316" s="977"/>
      <c r="I3316" s="977">
        <f>SUM(I3312:I3315)</f>
        <v>1421513</v>
      </c>
      <c r="J3316" s="977">
        <f>SUM(J3312:J3315)</f>
        <v>1328719.0476190478</v>
      </c>
    </row>
    <row r="3319" spans="2:11" hidden="1" outlineLevel="1">
      <c r="B3319" s="971" t="s">
        <v>2254</v>
      </c>
    </row>
    <row r="3320" spans="2:11" hidden="1" outlineLevel="1"/>
    <row r="3321" spans="2:11" ht="16" hidden="1" outlineLevel="1">
      <c r="B3321" s="969" t="s">
        <v>1839</v>
      </c>
      <c r="C3321" s="969" t="s">
        <v>1838</v>
      </c>
      <c r="D3321" s="970" t="s">
        <v>1837</v>
      </c>
      <c r="E3321" s="969" t="s">
        <v>1836</v>
      </c>
      <c r="F3321" s="969" t="s">
        <v>1835</v>
      </c>
      <c r="G3321" s="969" t="s">
        <v>1834</v>
      </c>
      <c r="H3321" s="969" t="s">
        <v>1833</v>
      </c>
      <c r="I3321" s="969" t="s">
        <v>1832</v>
      </c>
      <c r="J3321" s="969" t="s">
        <v>1785</v>
      </c>
      <c r="K3321" s="969" t="s">
        <v>1831</v>
      </c>
    </row>
    <row r="3322" spans="2:11" ht="16" hidden="1" outlineLevel="1">
      <c r="B3322" s="968" t="s">
        <v>1830</v>
      </c>
      <c r="C3322" s="967">
        <v>86900</v>
      </c>
      <c r="D3322" s="967" t="s">
        <v>2221</v>
      </c>
      <c r="E3322" s="974">
        <v>385808</v>
      </c>
      <c r="F3322" s="974">
        <v>33762349400</v>
      </c>
      <c r="G3322" s="974">
        <v>87900</v>
      </c>
      <c r="H3322" s="974">
        <v>88200</v>
      </c>
      <c r="I3322" s="974">
        <v>86800</v>
      </c>
      <c r="J3322" s="974">
        <v>17380000</v>
      </c>
      <c r="K3322" s="974">
        <v>200000000</v>
      </c>
    </row>
    <row r="3323" spans="2:11" ht="16" hidden="1" outlineLevel="1">
      <c r="B3323" s="968" t="s">
        <v>1828</v>
      </c>
      <c r="C3323" s="967">
        <v>86900</v>
      </c>
      <c r="D3323" s="967" t="s">
        <v>2240</v>
      </c>
      <c r="E3323" s="974">
        <v>471085</v>
      </c>
      <c r="F3323" s="974">
        <v>40769103752</v>
      </c>
      <c r="G3323" s="974">
        <v>86000</v>
      </c>
      <c r="H3323" s="974">
        <v>87200</v>
      </c>
      <c r="I3323" s="974">
        <v>85600</v>
      </c>
      <c r="J3323" s="974">
        <v>17380000</v>
      </c>
      <c r="K3323" s="974">
        <v>200000000</v>
      </c>
    </row>
    <row r="3324" spans="2:11" ht="16" hidden="1" outlineLevel="1">
      <c r="B3324" s="968" t="s">
        <v>1827</v>
      </c>
      <c r="C3324" s="967">
        <v>85000</v>
      </c>
      <c r="D3324" s="967" t="s">
        <v>2253</v>
      </c>
      <c r="E3324" s="974">
        <v>281577</v>
      </c>
      <c r="F3324" s="974">
        <v>23863680300</v>
      </c>
      <c r="G3324" s="974">
        <v>85400</v>
      </c>
      <c r="H3324" s="974">
        <v>85400</v>
      </c>
      <c r="I3324" s="974">
        <v>84600</v>
      </c>
      <c r="J3324" s="974">
        <v>17000000</v>
      </c>
      <c r="K3324" s="974">
        <v>200000000</v>
      </c>
    </row>
    <row r="3325" spans="2:11" ht="16" hidden="1" outlineLevel="1">
      <c r="B3325" s="968" t="s">
        <v>1825</v>
      </c>
      <c r="C3325" s="967">
        <v>85800</v>
      </c>
      <c r="D3325" s="967" t="s">
        <v>2228</v>
      </c>
      <c r="E3325" s="974">
        <v>261862</v>
      </c>
      <c r="F3325" s="974">
        <v>22469799400</v>
      </c>
      <c r="G3325" s="974">
        <v>86500</v>
      </c>
      <c r="H3325" s="974">
        <v>86600</v>
      </c>
      <c r="I3325" s="974">
        <v>85300</v>
      </c>
      <c r="J3325" s="974">
        <v>17160000</v>
      </c>
      <c r="K3325" s="974">
        <v>200000000</v>
      </c>
    </row>
    <row r="3326" spans="2:11" ht="16" hidden="1" outlineLevel="1">
      <c r="B3326" s="968" t="s">
        <v>1823</v>
      </c>
      <c r="C3326" s="967">
        <v>85900</v>
      </c>
      <c r="D3326" s="967" t="s">
        <v>2252</v>
      </c>
      <c r="E3326" s="974">
        <v>383055</v>
      </c>
      <c r="F3326" s="974">
        <v>32776295900</v>
      </c>
      <c r="G3326" s="974">
        <v>85500</v>
      </c>
      <c r="H3326" s="974">
        <v>85900</v>
      </c>
      <c r="I3326" s="974">
        <v>85000</v>
      </c>
      <c r="J3326" s="974">
        <v>17180000</v>
      </c>
      <c r="K3326" s="974">
        <v>200000000</v>
      </c>
    </row>
    <row r="3327" spans="2:11" ht="16" hidden="1" outlineLevel="1">
      <c r="B3327" s="966" t="s">
        <v>1821</v>
      </c>
      <c r="C3327" s="965">
        <v>84800</v>
      </c>
      <c r="D3327" s="965" t="s">
        <v>2251</v>
      </c>
      <c r="E3327" s="973">
        <v>335445</v>
      </c>
      <c r="F3327" s="973">
        <v>28407429700</v>
      </c>
      <c r="G3327" s="973">
        <v>84700</v>
      </c>
      <c r="H3327" s="973">
        <v>85100</v>
      </c>
      <c r="I3327" s="973">
        <v>84300</v>
      </c>
      <c r="J3327" s="973">
        <v>16960000</v>
      </c>
      <c r="K3327" s="973">
        <v>200000000</v>
      </c>
    </row>
    <row r="3328" spans="2:11" ht="16" hidden="1" outlineLevel="1">
      <c r="B3328" s="966" t="s">
        <v>1819</v>
      </c>
      <c r="C3328" s="965">
        <v>84200</v>
      </c>
      <c r="D3328" s="965" t="s">
        <v>2248</v>
      </c>
      <c r="E3328" s="973">
        <v>400284</v>
      </c>
      <c r="F3328" s="973">
        <v>34018243400</v>
      </c>
      <c r="G3328" s="973">
        <v>85400</v>
      </c>
      <c r="H3328" s="973">
        <v>85800</v>
      </c>
      <c r="I3328" s="973">
        <v>84100</v>
      </c>
      <c r="J3328" s="973">
        <v>16840000</v>
      </c>
      <c r="K3328" s="973">
        <v>200000000</v>
      </c>
    </row>
    <row r="3329" spans="2:11" ht="16" hidden="1" outlineLevel="1">
      <c r="B3329" s="966" t="s">
        <v>1817</v>
      </c>
      <c r="C3329" s="965">
        <v>85200</v>
      </c>
      <c r="D3329" s="965" t="s">
        <v>2250</v>
      </c>
      <c r="E3329" s="973">
        <v>965139</v>
      </c>
      <c r="F3329" s="973">
        <v>81017390100</v>
      </c>
      <c r="G3329" s="973">
        <v>85000</v>
      </c>
      <c r="H3329" s="973">
        <v>85500</v>
      </c>
      <c r="I3329" s="973">
        <v>84500</v>
      </c>
      <c r="J3329" s="973">
        <v>17040000</v>
      </c>
      <c r="K3329" s="973">
        <v>200000000</v>
      </c>
    </row>
    <row r="3330" spans="2:11" ht="16" hidden="1" outlineLevel="1">
      <c r="B3330" s="966" t="s">
        <v>1815</v>
      </c>
      <c r="C3330" s="965">
        <v>84000</v>
      </c>
      <c r="D3330" s="965" t="s">
        <v>2249</v>
      </c>
      <c r="E3330" s="973">
        <v>5850872</v>
      </c>
      <c r="F3330" s="973">
        <v>498370111000</v>
      </c>
      <c r="G3330" s="973">
        <v>85400</v>
      </c>
      <c r="H3330" s="973">
        <v>85800</v>
      </c>
      <c r="I3330" s="973">
        <v>83800</v>
      </c>
      <c r="J3330" s="973">
        <v>16800000</v>
      </c>
      <c r="K3330" s="973">
        <v>200000000</v>
      </c>
    </row>
    <row r="3331" spans="2:11" ht="16" hidden="1" outlineLevel="1">
      <c r="B3331" s="966" t="s">
        <v>1813</v>
      </c>
      <c r="C3331" s="965">
        <v>90000</v>
      </c>
      <c r="D3331" s="965" t="s">
        <v>2248</v>
      </c>
      <c r="E3331" s="973">
        <v>304763</v>
      </c>
      <c r="F3331" s="973">
        <v>27609564300</v>
      </c>
      <c r="G3331" s="973">
        <v>91600</v>
      </c>
      <c r="H3331" s="973">
        <v>91900</v>
      </c>
      <c r="I3331" s="973">
        <v>89700</v>
      </c>
      <c r="J3331" s="973">
        <v>18000000</v>
      </c>
      <c r="K3331" s="973">
        <v>200000000</v>
      </c>
    </row>
    <row r="3332" spans="2:11" ht="16" hidden="1" outlineLevel="1">
      <c r="B3332" s="966" t="s">
        <v>1812</v>
      </c>
      <c r="C3332" s="965">
        <v>91000</v>
      </c>
      <c r="D3332" s="965" t="s">
        <v>2228</v>
      </c>
      <c r="E3332" s="973">
        <v>160070</v>
      </c>
      <c r="F3332" s="973">
        <v>14643434300</v>
      </c>
      <c r="G3332" s="973">
        <v>91500</v>
      </c>
      <c r="H3332" s="973">
        <v>92800</v>
      </c>
      <c r="I3332" s="973">
        <v>90900</v>
      </c>
      <c r="J3332" s="973">
        <v>18200000</v>
      </c>
      <c r="K3332" s="973">
        <v>200000000</v>
      </c>
    </row>
    <row r="3333" spans="2:11" ht="16" hidden="1" outlineLevel="1">
      <c r="B3333" s="966" t="s">
        <v>1810</v>
      </c>
      <c r="C3333" s="965">
        <v>91100</v>
      </c>
      <c r="D3333" s="965" t="s">
        <v>2212</v>
      </c>
      <c r="E3333" s="973">
        <v>338554</v>
      </c>
      <c r="F3333" s="973">
        <v>31115716100</v>
      </c>
      <c r="G3333" s="973">
        <v>91000</v>
      </c>
      <c r="H3333" s="973">
        <v>92900</v>
      </c>
      <c r="I3333" s="973">
        <v>90600</v>
      </c>
      <c r="J3333" s="973">
        <v>18220000</v>
      </c>
      <c r="K3333" s="973">
        <v>200000000</v>
      </c>
    </row>
    <row r="3334" spans="2:11" ht="16" hidden="1" outlineLevel="1">
      <c r="B3334" s="966" t="s">
        <v>1809</v>
      </c>
      <c r="C3334" s="965">
        <v>91000</v>
      </c>
      <c r="D3334" s="965" t="s">
        <v>2212</v>
      </c>
      <c r="E3334" s="973">
        <v>194845</v>
      </c>
      <c r="F3334" s="973">
        <v>17506173600</v>
      </c>
      <c r="G3334" s="973">
        <v>90300</v>
      </c>
      <c r="H3334" s="973">
        <v>91600</v>
      </c>
      <c r="I3334" s="973">
        <v>90200</v>
      </c>
      <c r="J3334" s="973">
        <v>18200000</v>
      </c>
      <c r="K3334" s="973">
        <v>200000000</v>
      </c>
    </row>
    <row r="3335" spans="2:11" ht="16" hidden="1" outlineLevel="1">
      <c r="B3335" s="966" t="s">
        <v>1807</v>
      </c>
      <c r="C3335" s="965">
        <v>90900</v>
      </c>
      <c r="D3335" s="965" t="s">
        <v>2232</v>
      </c>
      <c r="E3335" s="973">
        <v>347722</v>
      </c>
      <c r="F3335" s="973">
        <v>31689928900</v>
      </c>
      <c r="G3335" s="973">
        <v>91400</v>
      </c>
      <c r="H3335" s="973">
        <v>92400</v>
      </c>
      <c r="I3335" s="973">
        <v>90200</v>
      </c>
      <c r="J3335" s="973">
        <v>18180000</v>
      </c>
      <c r="K3335" s="973">
        <v>200000000</v>
      </c>
    </row>
    <row r="3336" spans="2:11" ht="16" hidden="1" outlineLevel="1">
      <c r="B3336" s="966" t="s">
        <v>1805</v>
      </c>
      <c r="C3336" s="965">
        <v>90700</v>
      </c>
      <c r="D3336" s="965" t="s">
        <v>2247</v>
      </c>
      <c r="E3336" s="973">
        <v>181201</v>
      </c>
      <c r="F3336" s="973">
        <v>16595099800</v>
      </c>
      <c r="G3336" s="973">
        <v>91100</v>
      </c>
      <c r="H3336" s="973">
        <v>92800</v>
      </c>
      <c r="I3336" s="973">
        <v>90700</v>
      </c>
      <c r="J3336" s="973">
        <v>18140000</v>
      </c>
      <c r="K3336" s="973">
        <v>200000000</v>
      </c>
    </row>
    <row r="3337" spans="2:11" ht="16" hidden="1" outlineLevel="1">
      <c r="B3337" s="966" t="s">
        <v>1803</v>
      </c>
      <c r="C3337" s="965">
        <v>91800</v>
      </c>
      <c r="D3337" s="965" t="s">
        <v>2212</v>
      </c>
      <c r="E3337" s="973">
        <v>253942</v>
      </c>
      <c r="F3337" s="973">
        <v>23451114200</v>
      </c>
      <c r="G3337" s="973">
        <v>91700</v>
      </c>
      <c r="H3337" s="973">
        <v>93000</v>
      </c>
      <c r="I3337" s="973">
        <v>91400</v>
      </c>
      <c r="J3337" s="973">
        <v>18360000</v>
      </c>
      <c r="K3337" s="973">
        <v>200000000</v>
      </c>
    </row>
    <row r="3338" spans="2:11" ht="16" hidden="1" outlineLevel="1">
      <c r="B3338" s="966" t="s">
        <v>1801</v>
      </c>
      <c r="C3338" s="965">
        <v>91700</v>
      </c>
      <c r="D3338" s="965" t="s">
        <v>2246</v>
      </c>
      <c r="E3338" s="973">
        <v>288345</v>
      </c>
      <c r="F3338" s="973">
        <v>26588350400</v>
      </c>
      <c r="G3338" s="973">
        <v>91400</v>
      </c>
      <c r="H3338" s="973">
        <v>92900</v>
      </c>
      <c r="I3338" s="973">
        <v>90100</v>
      </c>
      <c r="J3338" s="973">
        <v>18340000</v>
      </c>
      <c r="K3338" s="973">
        <v>200000000</v>
      </c>
    </row>
    <row r="3339" spans="2:11" ht="16" hidden="1" outlineLevel="1">
      <c r="B3339" s="966" t="s">
        <v>1799</v>
      </c>
      <c r="C3339" s="965">
        <v>90800</v>
      </c>
      <c r="D3339" s="965" t="s">
        <v>2245</v>
      </c>
      <c r="E3339" s="973">
        <v>413730</v>
      </c>
      <c r="F3339" s="973">
        <v>36933758900</v>
      </c>
      <c r="G3339" s="973">
        <v>88900</v>
      </c>
      <c r="H3339" s="973">
        <v>91300</v>
      </c>
      <c r="I3339" s="973">
        <v>87300</v>
      </c>
      <c r="J3339" s="973">
        <v>18160000</v>
      </c>
      <c r="K3339" s="973">
        <v>200000000</v>
      </c>
    </row>
    <row r="3340" spans="2:11" ht="16" hidden="1" outlineLevel="1">
      <c r="B3340" s="966" t="s">
        <v>1797</v>
      </c>
      <c r="C3340" s="965">
        <v>89300</v>
      </c>
      <c r="D3340" s="965" t="s">
        <v>2244</v>
      </c>
      <c r="E3340" s="973">
        <v>341486</v>
      </c>
      <c r="F3340" s="973">
        <v>29966236700</v>
      </c>
      <c r="G3340" s="973">
        <v>88400</v>
      </c>
      <c r="H3340" s="973">
        <v>89900</v>
      </c>
      <c r="I3340" s="973">
        <v>86500</v>
      </c>
      <c r="J3340" s="973">
        <v>17860000</v>
      </c>
      <c r="K3340" s="973">
        <v>200000000</v>
      </c>
    </row>
    <row r="3341" spans="2:11" ht="16" hidden="1" outlineLevel="1">
      <c r="B3341" s="966" t="s">
        <v>1795</v>
      </c>
      <c r="C3341" s="965">
        <v>90800</v>
      </c>
      <c r="D3341" s="965" t="s">
        <v>2243</v>
      </c>
      <c r="E3341" s="973">
        <v>294430</v>
      </c>
      <c r="F3341" s="973">
        <v>26534373700</v>
      </c>
      <c r="G3341" s="973">
        <v>89700</v>
      </c>
      <c r="H3341" s="973">
        <v>91800</v>
      </c>
      <c r="I3341" s="973">
        <v>88900</v>
      </c>
      <c r="J3341" s="973">
        <v>18160000</v>
      </c>
      <c r="K3341" s="973">
        <v>200000000</v>
      </c>
    </row>
    <row r="3342" spans="2:11" ht="16" hidden="1" outlineLevel="1">
      <c r="B3342" s="966" t="s">
        <v>1793</v>
      </c>
      <c r="C3342" s="965">
        <v>90500</v>
      </c>
      <c r="D3342" s="965" t="s">
        <v>2215</v>
      </c>
      <c r="E3342" s="973">
        <v>490260</v>
      </c>
      <c r="F3342" s="973">
        <v>43867781600</v>
      </c>
      <c r="G3342" s="973">
        <v>91400</v>
      </c>
      <c r="H3342" s="973">
        <v>91400</v>
      </c>
      <c r="I3342" s="973">
        <v>88100</v>
      </c>
      <c r="J3342" s="973">
        <v>18100000</v>
      </c>
      <c r="K3342" s="973">
        <v>200000000</v>
      </c>
    </row>
    <row r="3343" spans="2:11" ht="16" hidden="1" outlineLevel="1">
      <c r="B3343" s="966" t="s">
        <v>1791</v>
      </c>
      <c r="C3343" s="965">
        <v>90800</v>
      </c>
      <c r="D3343" s="965" t="s">
        <v>2242</v>
      </c>
      <c r="E3343" s="973">
        <v>319685</v>
      </c>
      <c r="F3343" s="973">
        <v>29167098500</v>
      </c>
      <c r="G3343" s="973">
        <v>92500</v>
      </c>
      <c r="H3343" s="973">
        <v>92800</v>
      </c>
      <c r="I3343" s="973">
        <v>90200</v>
      </c>
      <c r="J3343" s="973">
        <v>18160000</v>
      </c>
      <c r="K3343" s="973">
        <v>200000000</v>
      </c>
    </row>
    <row r="3344" spans="2:11" ht="15" hidden="1" outlineLevel="1" thickBot="1">
      <c r="B3344" s="960" t="s">
        <v>1789</v>
      </c>
      <c r="C3344" s="959"/>
      <c r="D3344" s="961"/>
      <c r="E3344" s="959"/>
      <c r="F3344" s="959"/>
      <c r="G3344" s="959"/>
      <c r="H3344" s="959"/>
      <c r="I3344" s="959"/>
      <c r="J3344" s="960">
        <f>AVERAGE(J3322:J3342)</f>
        <v>17698095.238095239</v>
      </c>
      <c r="K3344" s="959"/>
    </row>
    <row r="3345" spans="2:9" hidden="1" outlineLevel="1"/>
    <row r="3346" spans="2:9" collapsed="1"/>
    <row r="3347" spans="2:9">
      <c r="B3347" s="980" t="s">
        <v>2073</v>
      </c>
    </row>
    <row r="3349" spans="2:9">
      <c r="B3349" s="977" t="s">
        <v>1917</v>
      </c>
      <c r="C3349" s="977" t="s">
        <v>2019</v>
      </c>
      <c r="D3349" s="977" t="s">
        <v>2020</v>
      </c>
      <c r="E3349" s="977" t="s">
        <v>1935</v>
      </c>
      <c r="F3349" s="977" t="s">
        <v>1936</v>
      </c>
      <c r="G3349" s="977" t="s">
        <v>1919</v>
      </c>
      <c r="H3349" s="977" t="s">
        <v>1440</v>
      </c>
      <c r="I3349" s="977" t="s">
        <v>1925</v>
      </c>
    </row>
    <row r="3350" spans="2:9">
      <c r="B3350" s="957" t="s">
        <v>2056</v>
      </c>
      <c r="C3350" s="957" t="s">
        <v>1929</v>
      </c>
      <c r="D3350" s="957" t="s">
        <v>1934</v>
      </c>
      <c r="E3350" s="957" t="s">
        <v>1938</v>
      </c>
      <c r="F3350" s="957" t="s">
        <v>2057</v>
      </c>
      <c r="G3350" s="957">
        <v>98.8</v>
      </c>
      <c r="H3350" s="957">
        <v>223442</v>
      </c>
      <c r="I3350" s="957">
        <f>H3350</f>
        <v>223442</v>
      </c>
    </row>
    <row r="3351" spans="2:9">
      <c r="B3351" s="957" t="s">
        <v>2058</v>
      </c>
      <c r="C3351" s="957" t="s">
        <v>1928</v>
      </c>
      <c r="D3351" s="957" t="s">
        <v>1927</v>
      </c>
      <c r="E3351" s="957" t="s">
        <v>1938</v>
      </c>
      <c r="F3351" s="957" t="s">
        <v>2059</v>
      </c>
      <c r="G3351" s="957">
        <v>52.1</v>
      </c>
      <c r="H3351" s="957">
        <v>66793</v>
      </c>
      <c r="I3351" s="1051">
        <f>J3394*G3351%</f>
        <v>147334.111</v>
      </c>
    </row>
    <row r="3352" spans="2:9">
      <c r="B3352" s="957" t="s">
        <v>2060</v>
      </c>
      <c r="C3352" s="957" t="s">
        <v>1928</v>
      </c>
      <c r="D3352" s="957" t="s">
        <v>1934</v>
      </c>
      <c r="E3352" s="957" t="s">
        <v>1938</v>
      </c>
      <c r="F3352" s="957" t="s">
        <v>2061</v>
      </c>
      <c r="G3352" s="957">
        <v>100</v>
      </c>
      <c r="H3352" s="957">
        <v>4462</v>
      </c>
      <c r="I3352" s="957">
        <f t="shared" ref="I3352:I3363" si="6">H3352</f>
        <v>4462</v>
      </c>
    </row>
    <row r="3353" spans="2:9">
      <c r="B3353" s="957" t="s">
        <v>2062</v>
      </c>
      <c r="C3353" s="957" t="s">
        <v>1928</v>
      </c>
      <c r="D3353" s="957" t="s">
        <v>1934</v>
      </c>
      <c r="E3353" s="957" t="s">
        <v>1967</v>
      </c>
      <c r="F3353" s="957" t="s">
        <v>2063</v>
      </c>
      <c r="G3353" s="957">
        <v>98.9</v>
      </c>
      <c r="H3353" s="957">
        <v>104309</v>
      </c>
      <c r="I3353" s="957">
        <f t="shared" si="6"/>
        <v>104309</v>
      </c>
    </row>
    <row r="3354" spans="2:9">
      <c r="B3354" s="957" t="s">
        <v>2064</v>
      </c>
      <c r="C3354" s="957" t="s">
        <v>1221</v>
      </c>
      <c r="D3354" s="957" t="s">
        <v>1934</v>
      </c>
      <c r="E3354" s="957" t="s">
        <v>1967</v>
      </c>
      <c r="F3354" s="957" t="s">
        <v>2063</v>
      </c>
      <c r="G3354" s="957">
        <v>83.3</v>
      </c>
      <c r="H3354" s="957">
        <v>23200</v>
      </c>
      <c r="I3354" s="957">
        <f t="shared" si="6"/>
        <v>23200</v>
      </c>
    </row>
    <row r="3355" spans="2:9">
      <c r="B3355" s="957" t="s">
        <v>2065</v>
      </c>
      <c r="C3355" s="957" t="s">
        <v>1221</v>
      </c>
      <c r="D3355" s="957" t="s">
        <v>1934</v>
      </c>
      <c r="E3355" s="957" t="s">
        <v>1967</v>
      </c>
      <c r="F3355" s="957" t="s">
        <v>2063</v>
      </c>
      <c r="G3355" s="957">
        <v>100</v>
      </c>
      <c r="H3355" s="957">
        <v>10269</v>
      </c>
      <c r="I3355" s="957">
        <f t="shared" si="6"/>
        <v>10269</v>
      </c>
    </row>
    <row r="3356" spans="2:9">
      <c r="B3356" s="957" t="s">
        <v>2066</v>
      </c>
      <c r="C3356" s="957" t="s">
        <v>1221</v>
      </c>
      <c r="D3356" s="957" t="s">
        <v>1934</v>
      </c>
      <c r="E3356" s="957" t="s">
        <v>1967</v>
      </c>
      <c r="F3356" s="957" t="s">
        <v>2063</v>
      </c>
      <c r="G3356" s="957">
        <v>100</v>
      </c>
      <c r="H3356" s="957">
        <v>34246</v>
      </c>
      <c r="I3356" s="957">
        <f t="shared" si="6"/>
        <v>34246</v>
      </c>
    </row>
    <row r="3357" spans="2:9">
      <c r="B3357" s="957" t="s">
        <v>2067</v>
      </c>
      <c r="C3357" s="957" t="s">
        <v>1221</v>
      </c>
      <c r="D3357" s="957" t="s">
        <v>1934</v>
      </c>
      <c r="E3357" s="957" t="s">
        <v>1967</v>
      </c>
      <c r="F3357" s="957" t="s">
        <v>2063</v>
      </c>
      <c r="G3357" s="957">
        <v>100</v>
      </c>
      <c r="H3357" s="957">
        <v>12216</v>
      </c>
      <c r="I3357" s="957">
        <f t="shared" si="6"/>
        <v>12216</v>
      </c>
    </row>
    <row r="3358" spans="2:9">
      <c r="B3358" s="957" t="s">
        <v>2068</v>
      </c>
      <c r="C3358" s="957" t="s">
        <v>1221</v>
      </c>
      <c r="D3358" s="957" t="s">
        <v>1934</v>
      </c>
      <c r="E3358" s="957" t="s">
        <v>1967</v>
      </c>
      <c r="F3358" s="957" t="s">
        <v>2063</v>
      </c>
      <c r="G3358" s="957">
        <v>100</v>
      </c>
      <c r="H3358" s="957">
        <v>11832</v>
      </c>
      <c r="I3358" s="957">
        <f t="shared" si="6"/>
        <v>11832</v>
      </c>
    </row>
    <row r="3359" spans="2:9">
      <c r="B3359" s="957" t="s">
        <v>2069</v>
      </c>
      <c r="C3359" s="957" t="s">
        <v>1221</v>
      </c>
      <c r="D3359" s="957" t="s">
        <v>1934</v>
      </c>
      <c r="E3359" s="957" t="s">
        <v>1967</v>
      </c>
      <c r="F3359" s="957" t="s">
        <v>2063</v>
      </c>
      <c r="G3359" s="957">
        <v>100</v>
      </c>
      <c r="H3359" s="957">
        <v>16924</v>
      </c>
      <c r="I3359" s="957">
        <f t="shared" si="6"/>
        <v>16924</v>
      </c>
    </row>
    <row r="3360" spans="2:9">
      <c r="B3360" s="957" t="s">
        <v>2070</v>
      </c>
      <c r="C3360" s="957" t="s">
        <v>1221</v>
      </c>
      <c r="D3360" s="957" t="s">
        <v>1934</v>
      </c>
      <c r="E3360" s="957" t="s">
        <v>1967</v>
      </c>
      <c r="F3360" s="957" t="s">
        <v>2063</v>
      </c>
      <c r="G3360" s="957">
        <v>100</v>
      </c>
      <c r="H3360" s="957">
        <v>22072</v>
      </c>
      <c r="I3360" s="957">
        <f t="shared" si="6"/>
        <v>22072</v>
      </c>
    </row>
    <row r="3361" spans="2:11">
      <c r="B3361" s="957" t="s">
        <v>2071</v>
      </c>
      <c r="C3361" s="957" t="s">
        <v>1221</v>
      </c>
      <c r="D3361" s="957" t="s">
        <v>1934</v>
      </c>
      <c r="E3361" s="957" t="s">
        <v>1967</v>
      </c>
      <c r="F3361" s="957" t="s">
        <v>2063</v>
      </c>
      <c r="G3361" s="957">
        <v>100</v>
      </c>
      <c r="H3361" s="957">
        <v>23615</v>
      </c>
      <c r="I3361" s="957">
        <f t="shared" si="6"/>
        <v>23615</v>
      </c>
    </row>
    <row r="3362" spans="2:11">
      <c r="B3362" s="957" t="s">
        <v>2072</v>
      </c>
      <c r="C3362" s="957" t="s">
        <v>1221</v>
      </c>
      <c r="D3362" s="957" t="s">
        <v>1934</v>
      </c>
      <c r="E3362" s="957" t="s">
        <v>1967</v>
      </c>
      <c r="F3362" s="957" t="s">
        <v>2063</v>
      </c>
      <c r="G3362" s="957">
        <v>100</v>
      </c>
      <c r="H3362" s="957">
        <v>11542</v>
      </c>
      <c r="I3362" s="957">
        <f t="shared" si="6"/>
        <v>11542</v>
      </c>
    </row>
    <row r="3363" spans="2:11">
      <c r="B3363" s="957" t="s">
        <v>2354</v>
      </c>
      <c r="C3363" s="957" t="s">
        <v>1928</v>
      </c>
      <c r="D3363" s="957" t="s">
        <v>1934</v>
      </c>
      <c r="E3363" s="957" t="s">
        <v>2349</v>
      </c>
      <c r="F3363" s="957" t="s">
        <v>2353</v>
      </c>
      <c r="G3363" s="957">
        <v>50</v>
      </c>
      <c r="H3363" s="957">
        <v>39828</v>
      </c>
      <c r="I3363" s="957">
        <f t="shared" si="6"/>
        <v>39828</v>
      </c>
    </row>
    <row r="3364" spans="2:11">
      <c r="B3364" s="957" t="s">
        <v>2352</v>
      </c>
      <c r="C3364" s="957" t="s">
        <v>1929</v>
      </c>
      <c r="D3364" s="957" t="s">
        <v>1927</v>
      </c>
      <c r="E3364" s="957" t="s">
        <v>2349</v>
      </c>
      <c r="F3364" s="957" t="s">
        <v>2351</v>
      </c>
      <c r="G3364" s="957">
        <v>32.4</v>
      </c>
      <c r="H3364" s="957">
        <v>0</v>
      </c>
      <c r="I3364" s="1051">
        <f>J3421*G3364%</f>
        <v>18856.8</v>
      </c>
    </row>
    <row r="3365" spans="2:11">
      <c r="B3365" s="957" t="s">
        <v>2350</v>
      </c>
      <c r="C3365" s="957" t="s">
        <v>1929</v>
      </c>
      <c r="D3365" s="957" t="s">
        <v>1927</v>
      </c>
      <c r="E3365" s="957" t="s">
        <v>2349</v>
      </c>
      <c r="F3365" s="957" t="s">
        <v>2348</v>
      </c>
      <c r="G3365" s="957">
        <v>29</v>
      </c>
      <c r="H3365" s="957">
        <v>27021</v>
      </c>
      <c r="I3365" s="1051">
        <f>J3448*G3365%</f>
        <v>23208.451428571425</v>
      </c>
    </row>
    <row r="3366" spans="2:11">
      <c r="B3366" s="977" t="s">
        <v>22</v>
      </c>
      <c r="C3366" s="977"/>
      <c r="D3366" s="976"/>
      <c r="E3366" s="977"/>
      <c r="F3366" s="977"/>
      <c r="G3366" s="977"/>
      <c r="H3366" s="977">
        <v>631771</v>
      </c>
      <c r="I3366" s="977">
        <f>SUM(I3350:I3365)</f>
        <v>727356.36242857156</v>
      </c>
    </row>
    <row r="3369" spans="2:11" hidden="1" outlineLevel="1">
      <c r="B3369" s="971" t="s">
        <v>2347</v>
      </c>
    </row>
    <row r="3370" spans="2:11" hidden="1" outlineLevel="1"/>
    <row r="3371" spans="2:11" ht="16" hidden="1" outlineLevel="1">
      <c r="B3371" s="969" t="s">
        <v>1839</v>
      </c>
      <c r="C3371" s="969" t="s">
        <v>1838</v>
      </c>
      <c r="D3371" s="970" t="s">
        <v>1837</v>
      </c>
      <c r="E3371" s="969" t="s">
        <v>1836</v>
      </c>
      <c r="F3371" s="969" t="s">
        <v>1835</v>
      </c>
      <c r="G3371" s="969" t="s">
        <v>1834</v>
      </c>
      <c r="H3371" s="969" t="s">
        <v>1833</v>
      </c>
      <c r="I3371" s="969" t="s">
        <v>1832</v>
      </c>
      <c r="J3371" s="969" t="s">
        <v>1785</v>
      </c>
      <c r="K3371" s="969" t="s">
        <v>1831</v>
      </c>
    </row>
    <row r="3372" spans="2:11" ht="16" hidden="1" outlineLevel="1">
      <c r="B3372" s="968" t="s">
        <v>1830</v>
      </c>
      <c r="C3372" s="967">
        <v>82700</v>
      </c>
      <c r="D3372" s="967" t="s">
        <v>2221</v>
      </c>
      <c r="E3372" s="974">
        <v>3914</v>
      </c>
      <c r="F3372" s="974">
        <v>322342300</v>
      </c>
      <c r="G3372" s="974">
        <v>84500</v>
      </c>
      <c r="H3372" s="974">
        <v>84500</v>
      </c>
      <c r="I3372" s="974">
        <v>82000</v>
      </c>
      <c r="J3372" s="974">
        <v>283545</v>
      </c>
      <c r="K3372" s="974">
        <v>3428600</v>
      </c>
    </row>
    <row r="3373" spans="2:11" ht="16" hidden="1" outlineLevel="1">
      <c r="B3373" s="968" t="s">
        <v>1828</v>
      </c>
      <c r="C3373" s="967">
        <v>82700</v>
      </c>
      <c r="D3373" s="967" t="s">
        <v>2232</v>
      </c>
      <c r="E3373" s="974">
        <v>3978</v>
      </c>
      <c r="F3373" s="974">
        <v>329183400</v>
      </c>
      <c r="G3373" s="974">
        <v>83000</v>
      </c>
      <c r="H3373" s="974">
        <v>83000</v>
      </c>
      <c r="I3373" s="974">
        <v>82500</v>
      </c>
      <c r="J3373" s="974">
        <v>283545</v>
      </c>
      <c r="K3373" s="974">
        <v>3428600</v>
      </c>
    </row>
    <row r="3374" spans="2:11" ht="16" hidden="1" outlineLevel="1">
      <c r="B3374" s="968" t="s">
        <v>1827</v>
      </c>
      <c r="C3374" s="967">
        <v>82500</v>
      </c>
      <c r="D3374" s="967" t="s">
        <v>2221</v>
      </c>
      <c r="E3374" s="974">
        <v>4457</v>
      </c>
      <c r="F3374" s="974">
        <v>367960600</v>
      </c>
      <c r="G3374" s="974">
        <v>82400</v>
      </c>
      <c r="H3374" s="974">
        <v>83000</v>
      </c>
      <c r="I3374" s="974">
        <v>82400</v>
      </c>
      <c r="J3374" s="974">
        <v>282860</v>
      </c>
      <c r="K3374" s="974">
        <v>3428600</v>
      </c>
    </row>
    <row r="3375" spans="2:11" ht="16" hidden="1" outlineLevel="1">
      <c r="B3375" s="968" t="s">
        <v>1825</v>
      </c>
      <c r="C3375" s="967">
        <v>82500</v>
      </c>
      <c r="D3375" s="967" t="s">
        <v>1826</v>
      </c>
      <c r="E3375" s="974">
        <v>1426</v>
      </c>
      <c r="F3375" s="974">
        <v>117440500</v>
      </c>
      <c r="G3375" s="974">
        <v>82000</v>
      </c>
      <c r="H3375" s="974">
        <v>83000</v>
      </c>
      <c r="I3375" s="974">
        <v>81000</v>
      </c>
      <c r="J3375" s="974">
        <v>282860</v>
      </c>
      <c r="K3375" s="974">
        <v>3428600</v>
      </c>
    </row>
    <row r="3376" spans="2:11" ht="16" hidden="1" outlineLevel="1">
      <c r="B3376" s="968" t="s">
        <v>1823</v>
      </c>
      <c r="C3376" s="967">
        <v>82000</v>
      </c>
      <c r="D3376" s="967" t="s">
        <v>2241</v>
      </c>
      <c r="E3376" s="974">
        <v>4123</v>
      </c>
      <c r="F3376" s="974">
        <v>341612500</v>
      </c>
      <c r="G3376" s="974">
        <v>83000</v>
      </c>
      <c r="H3376" s="974">
        <v>83100</v>
      </c>
      <c r="I3376" s="974">
        <v>81500</v>
      </c>
      <c r="J3376" s="974">
        <v>281145</v>
      </c>
      <c r="K3376" s="974">
        <v>3428600</v>
      </c>
    </row>
    <row r="3377" spans="2:11" ht="16" hidden="1" outlineLevel="1">
      <c r="B3377" s="966" t="s">
        <v>1821</v>
      </c>
      <c r="C3377" s="965">
        <v>82900</v>
      </c>
      <c r="D3377" s="965" t="s">
        <v>2240</v>
      </c>
      <c r="E3377" s="973">
        <v>12302</v>
      </c>
      <c r="F3377" s="973">
        <v>1007303000</v>
      </c>
      <c r="G3377" s="973">
        <v>81000</v>
      </c>
      <c r="H3377" s="973">
        <v>87100</v>
      </c>
      <c r="I3377" s="973">
        <v>80300</v>
      </c>
      <c r="J3377" s="973">
        <v>284231</v>
      </c>
      <c r="K3377" s="973">
        <v>3428600</v>
      </c>
    </row>
    <row r="3378" spans="2:11" ht="16" hidden="1" outlineLevel="1">
      <c r="B3378" s="966" t="s">
        <v>1819</v>
      </c>
      <c r="C3378" s="965">
        <v>81000</v>
      </c>
      <c r="D3378" s="965" t="s">
        <v>1814</v>
      </c>
      <c r="E3378" s="973">
        <v>6147</v>
      </c>
      <c r="F3378" s="973">
        <v>500011600</v>
      </c>
      <c r="G3378" s="973">
        <v>81500</v>
      </c>
      <c r="H3378" s="973">
        <v>81600</v>
      </c>
      <c r="I3378" s="973">
        <v>80500</v>
      </c>
      <c r="J3378" s="973">
        <v>277717</v>
      </c>
      <c r="K3378" s="973">
        <v>3428600</v>
      </c>
    </row>
    <row r="3379" spans="2:11" ht="16" hidden="1" outlineLevel="1">
      <c r="B3379" s="966" t="s">
        <v>1817</v>
      </c>
      <c r="C3379" s="965">
        <v>81500</v>
      </c>
      <c r="D3379" s="965" t="s">
        <v>2239</v>
      </c>
      <c r="E3379" s="973">
        <v>2439</v>
      </c>
      <c r="F3379" s="973">
        <v>194513800</v>
      </c>
      <c r="G3379" s="973">
        <v>79300</v>
      </c>
      <c r="H3379" s="973">
        <v>82400</v>
      </c>
      <c r="I3379" s="973">
        <v>78000</v>
      </c>
      <c r="J3379" s="973">
        <v>279431</v>
      </c>
      <c r="K3379" s="973">
        <v>3428600</v>
      </c>
    </row>
    <row r="3380" spans="2:11" ht="16" hidden="1" outlineLevel="1">
      <c r="B3380" s="966" t="s">
        <v>1815</v>
      </c>
      <c r="C3380" s="965">
        <v>79300</v>
      </c>
      <c r="D3380" s="965" t="s">
        <v>2234</v>
      </c>
      <c r="E3380" s="973">
        <v>1240</v>
      </c>
      <c r="F3380" s="973">
        <v>97419200</v>
      </c>
      <c r="G3380" s="973">
        <v>77600</v>
      </c>
      <c r="H3380" s="973">
        <v>79700</v>
      </c>
      <c r="I3380" s="973">
        <v>77600</v>
      </c>
      <c r="J3380" s="973">
        <v>271888</v>
      </c>
      <c r="K3380" s="973">
        <v>3428600</v>
      </c>
    </row>
    <row r="3381" spans="2:11" ht="16" hidden="1" outlineLevel="1">
      <c r="B3381" s="966" t="s">
        <v>1813</v>
      </c>
      <c r="C3381" s="965">
        <v>80000</v>
      </c>
      <c r="D3381" s="965" t="s">
        <v>2238</v>
      </c>
      <c r="E3381" s="973">
        <v>6427</v>
      </c>
      <c r="F3381" s="973">
        <v>503404700</v>
      </c>
      <c r="G3381" s="973">
        <v>78000</v>
      </c>
      <c r="H3381" s="973">
        <v>80000</v>
      </c>
      <c r="I3381" s="973">
        <v>77800</v>
      </c>
      <c r="J3381" s="973">
        <v>274288</v>
      </c>
      <c r="K3381" s="973">
        <v>3428600</v>
      </c>
    </row>
    <row r="3382" spans="2:11" ht="16" hidden="1" outlineLevel="1">
      <c r="B3382" s="966" t="s">
        <v>1812</v>
      </c>
      <c r="C3382" s="965">
        <v>76900</v>
      </c>
      <c r="D3382" s="965" t="s">
        <v>2237</v>
      </c>
      <c r="E3382" s="973">
        <v>2043</v>
      </c>
      <c r="F3382" s="973">
        <v>155500400</v>
      </c>
      <c r="G3382" s="973">
        <v>75400</v>
      </c>
      <c r="H3382" s="973">
        <v>77000</v>
      </c>
      <c r="I3382" s="973">
        <v>74900</v>
      </c>
      <c r="J3382" s="973">
        <v>263659</v>
      </c>
      <c r="K3382" s="973">
        <v>3428600</v>
      </c>
    </row>
    <row r="3383" spans="2:11" ht="16" hidden="1" outlineLevel="1">
      <c r="B3383" s="966" t="s">
        <v>1810</v>
      </c>
      <c r="C3383" s="965">
        <v>75500</v>
      </c>
      <c r="D3383" s="965" t="s">
        <v>2236</v>
      </c>
      <c r="E3383" s="973">
        <v>7250</v>
      </c>
      <c r="F3383" s="973">
        <v>550723600</v>
      </c>
      <c r="G3383" s="973">
        <v>76000</v>
      </c>
      <c r="H3383" s="973">
        <v>76600</v>
      </c>
      <c r="I3383" s="973">
        <v>75200</v>
      </c>
      <c r="J3383" s="973">
        <v>258859</v>
      </c>
      <c r="K3383" s="973">
        <v>3428600</v>
      </c>
    </row>
    <row r="3384" spans="2:11" ht="16" hidden="1" outlineLevel="1">
      <c r="B3384" s="966" t="s">
        <v>1809</v>
      </c>
      <c r="C3384" s="965">
        <v>74500</v>
      </c>
      <c r="D3384" s="965" t="s">
        <v>2232</v>
      </c>
      <c r="E3384" s="973">
        <v>3271</v>
      </c>
      <c r="F3384" s="973">
        <v>242502500</v>
      </c>
      <c r="G3384" s="973">
        <v>75000</v>
      </c>
      <c r="H3384" s="973">
        <v>75000</v>
      </c>
      <c r="I3384" s="973">
        <v>73700</v>
      </c>
      <c r="J3384" s="973">
        <v>255431</v>
      </c>
      <c r="K3384" s="973">
        <v>3428600</v>
      </c>
    </row>
    <row r="3385" spans="2:11" ht="16" hidden="1" outlineLevel="1">
      <c r="B3385" s="966" t="s">
        <v>1807</v>
      </c>
      <c r="C3385" s="965">
        <v>74300</v>
      </c>
      <c r="D3385" s="965" t="s">
        <v>2235</v>
      </c>
      <c r="E3385" s="973">
        <v>7805</v>
      </c>
      <c r="F3385" s="973">
        <v>590326900</v>
      </c>
      <c r="G3385" s="973">
        <v>76800</v>
      </c>
      <c r="H3385" s="973">
        <v>77500</v>
      </c>
      <c r="I3385" s="973">
        <v>74300</v>
      </c>
      <c r="J3385" s="973">
        <v>254745</v>
      </c>
      <c r="K3385" s="973">
        <v>3428600</v>
      </c>
    </row>
    <row r="3386" spans="2:11" ht="16" hidden="1" outlineLevel="1">
      <c r="B3386" s="966" t="s">
        <v>1805</v>
      </c>
      <c r="C3386" s="965">
        <v>76800</v>
      </c>
      <c r="D3386" s="965" t="s">
        <v>2221</v>
      </c>
      <c r="E3386" s="973">
        <v>2519</v>
      </c>
      <c r="F3386" s="973">
        <v>191005100</v>
      </c>
      <c r="G3386" s="973">
        <v>76000</v>
      </c>
      <c r="H3386" s="973">
        <v>76900</v>
      </c>
      <c r="I3386" s="973">
        <v>75400</v>
      </c>
      <c r="J3386" s="973">
        <v>263316</v>
      </c>
      <c r="K3386" s="973">
        <v>3428600</v>
      </c>
    </row>
    <row r="3387" spans="2:11" ht="16" hidden="1" outlineLevel="1">
      <c r="B3387" s="966" t="s">
        <v>1803</v>
      </c>
      <c r="C3387" s="965">
        <v>76800</v>
      </c>
      <c r="D3387" s="965" t="s">
        <v>2221</v>
      </c>
      <c r="E3387" s="973">
        <v>4355</v>
      </c>
      <c r="F3387" s="973">
        <v>332547500</v>
      </c>
      <c r="G3387" s="973">
        <v>76900</v>
      </c>
      <c r="H3387" s="973">
        <v>76900</v>
      </c>
      <c r="I3387" s="973">
        <v>75100</v>
      </c>
      <c r="J3387" s="973">
        <v>263316</v>
      </c>
      <c r="K3387" s="973">
        <v>3428600</v>
      </c>
    </row>
    <row r="3388" spans="2:11" ht="16" hidden="1" outlineLevel="1">
      <c r="B3388" s="966" t="s">
        <v>1801</v>
      </c>
      <c r="C3388" s="965">
        <v>76800</v>
      </c>
      <c r="D3388" s="965" t="s">
        <v>2234</v>
      </c>
      <c r="E3388" s="973">
        <v>1425</v>
      </c>
      <c r="F3388" s="973">
        <v>109466600</v>
      </c>
      <c r="G3388" s="973">
        <v>77500</v>
      </c>
      <c r="H3388" s="973">
        <v>77600</v>
      </c>
      <c r="I3388" s="973">
        <v>75500</v>
      </c>
      <c r="J3388" s="973">
        <v>263316</v>
      </c>
      <c r="K3388" s="973">
        <v>3428600</v>
      </c>
    </row>
    <row r="3389" spans="2:11" ht="16" hidden="1" outlineLevel="1">
      <c r="B3389" s="966" t="s">
        <v>1799</v>
      </c>
      <c r="C3389" s="965">
        <v>77500</v>
      </c>
      <c r="D3389" s="965" t="s">
        <v>2221</v>
      </c>
      <c r="E3389" s="973">
        <v>11371</v>
      </c>
      <c r="F3389" s="973">
        <v>877464800</v>
      </c>
      <c r="G3389" s="973">
        <v>77000</v>
      </c>
      <c r="H3389" s="973">
        <v>77700</v>
      </c>
      <c r="I3389" s="973">
        <v>74400</v>
      </c>
      <c r="J3389" s="973">
        <v>265716</v>
      </c>
      <c r="K3389" s="973">
        <v>3428600</v>
      </c>
    </row>
    <row r="3390" spans="2:11" ht="16" hidden="1" outlineLevel="1">
      <c r="B3390" s="966" t="s">
        <v>1797</v>
      </c>
      <c r="C3390" s="965">
        <v>77500</v>
      </c>
      <c r="D3390" s="965" t="s">
        <v>2224</v>
      </c>
      <c r="E3390" s="973">
        <v>4239</v>
      </c>
      <c r="F3390" s="973">
        <v>318896300</v>
      </c>
      <c r="G3390" s="973">
        <v>77200</v>
      </c>
      <c r="H3390" s="973">
        <v>77700</v>
      </c>
      <c r="I3390" s="973">
        <v>74000</v>
      </c>
      <c r="J3390" s="973">
        <v>265716</v>
      </c>
      <c r="K3390" s="973">
        <v>3428600</v>
      </c>
    </row>
    <row r="3391" spans="2:11" ht="16" hidden="1" outlineLevel="1">
      <c r="B3391" s="966" t="s">
        <v>1795</v>
      </c>
      <c r="C3391" s="965">
        <v>77700</v>
      </c>
      <c r="D3391" s="965" t="s">
        <v>2215</v>
      </c>
      <c r="E3391" s="973">
        <v>3110</v>
      </c>
      <c r="F3391" s="973">
        <v>238240500</v>
      </c>
      <c r="G3391" s="973">
        <v>78000</v>
      </c>
      <c r="H3391" s="973">
        <v>78000</v>
      </c>
      <c r="I3391" s="973">
        <v>76200</v>
      </c>
      <c r="J3391" s="973">
        <v>266402</v>
      </c>
      <c r="K3391" s="973">
        <v>3428600</v>
      </c>
    </row>
    <row r="3392" spans="2:11" ht="16" hidden="1" outlineLevel="1">
      <c r="B3392" s="966" t="s">
        <v>1793</v>
      </c>
      <c r="C3392" s="965">
        <v>78000</v>
      </c>
      <c r="D3392" s="965" t="s">
        <v>2221</v>
      </c>
      <c r="E3392" s="973">
        <v>3501</v>
      </c>
      <c r="F3392" s="973">
        <v>273034500</v>
      </c>
      <c r="G3392" s="973">
        <v>76100</v>
      </c>
      <c r="H3392" s="973">
        <v>78300</v>
      </c>
      <c r="I3392" s="973">
        <v>76000</v>
      </c>
      <c r="J3392" s="973">
        <v>267431</v>
      </c>
      <c r="K3392" s="973">
        <v>3428600</v>
      </c>
    </row>
    <row r="3393" spans="2:11" ht="16" hidden="1" outlineLevel="1">
      <c r="B3393" s="966" t="s">
        <v>1791</v>
      </c>
      <c r="C3393" s="965">
        <v>78000</v>
      </c>
      <c r="D3393" s="965" t="s">
        <v>2221</v>
      </c>
      <c r="E3393" s="973">
        <v>1428</v>
      </c>
      <c r="F3393" s="973">
        <v>110612400</v>
      </c>
      <c r="G3393" s="973">
        <v>78900</v>
      </c>
      <c r="H3393" s="973">
        <v>78900</v>
      </c>
      <c r="I3393" s="973">
        <v>75300</v>
      </c>
      <c r="J3393" s="973">
        <v>267431</v>
      </c>
      <c r="K3393" s="973">
        <v>3428600</v>
      </c>
    </row>
    <row r="3394" spans="2:11" ht="15" hidden="1" outlineLevel="1" thickBot="1">
      <c r="B3394" s="960" t="s">
        <v>1789</v>
      </c>
      <c r="C3394" s="959"/>
      <c r="D3394" s="961"/>
      <c r="E3394" s="959"/>
      <c r="F3394" s="959"/>
      <c r="G3394" s="959"/>
      <c r="H3394" s="959"/>
      <c r="I3394" s="959"/>
      <c r="J3394" s="960">
        <f>AVERAGE(J3372:J3376)</f>
        <v>282791</v>
      </c>
      <c r="K3394" s="959"/>
    </row>
    <row r="3395" spans="2:11" hidden="1" outlineLevel="1"/>
    <row r="3396" spans="2:11" hidden="1" outlineLevel="1">
      <c r="B3396" s="971" t="s">
        <v>2233</v>
      </c>
    </row>
    <row r="3397" spans="2:11" hidden="1" outlineLevel="1"/>
    <row r="3398" spans="2:11" ht="16" hidden="1" outlineLevel="1">
      <c r="B3398" s="969" t="s">
        <v>1839</v>
      </c>
      <c r="C3398" s="969" t="s">
        <v>1838</v>
      </c>
      <c r="D3398" s="970" t="s">
        <v>1837</v>
      </c>
      <c r="E3398" s="969" t="s">
        <v>1836</v>
      </c>
      <c r="F3398" s="969" t="s">
        <v>1835</v>
      </c>
      <c r="G3398" s="969" t="s">
        <v>1834</v>
      </c>
      <c r="H3398" s="969" t="s">
        <v>1833</v>
      </c>
      <c r="I3398" s="969" t="s">
        <v>1832</v>
      </c>
      <c r="J3398" s="969" t="s">
        <v>1785</v>
      </c>
      <c r="K3398" s="969" t="s">
        <v>1831</v>
      </c>
    </row>
    <row r="3399" spans="2:11" ht="16" hidden="1" outlineLevel="1">
      <c r="B3399" s="968" t="s">
        <v>1830</v>
      </c>
      <c r="C3399" s="967">
        <v>14500</v>
      </c>
      <c r="D3399" s="967" t="s">
        <v>2215</v>
      </c>
      <c r="E3399" s="967">
        <v>9422</v>
      </c>
      <c r="F3399" s="967">
        <v>137500000</v>
      </c>
      <c r="G3399" s="967">
        <v>14950</v>
      </c>
      <c r="H3399" s="967">
        <v>14950</v>
      </c>
      <c r="I3399" s="967">
        <v>14350</v>
      </c>
      <c r="J3399" s="967">
        <v>58000</v>
      </c>
      <c r="K3399" s="967">
        <v>4000000</v>
      </c>
    </row>
    <row r="3400" spans="2:11" ht="16" hidden="1" outlineLevel="1">
      <c r="B3400" s="968" t="s">
        <v>1828</v>
      </c>
      <c r="C3400" s="967">
        <v>14800</v>
      </c>
      <c r="D3400" s="967" t="s">
        <v>2232</v>
      </c>
      <c r="E3400" s="967">
        <v>4530</v>
      </c>
      <c r="F3400" s="967">
        <v>66472000</v>
      </c>
      <c r="G3400" s="967">
        <v>14600</v>
      </c>
      <c r="H3400" s="967">
        <v>14900</v>
      </c>
      <c r="I3400" s="967">
        <v>14450</v>
      </c>
      <c r="J3400" s="967">
        <v>59200</v>
      </c>
      <c r="K3400" s="967">
        <v>4000000</v>
      </c>
    </row>
    <row r="3401" spans="2:11" ht="16" hidden="1" outlineLevel="1">
      <c r="B3401" s="968" t="s">
        <v>1827</v>
      </c>
      <c r="C3401" s="967">
        <v>14600</v>
      </c>
      <c r="D3401" s="967" t="s">
        <v>2224</v>
      </c>
      <c r="E3401" s="967">
        <v>17762</v>
      </c>
      <c r="F3401" s="967">
        <v>259870200</v>
      </c>
      <c r="G3401" s="967">
        <v>14700</v>
      </c>
      <c r="H3401" s="967">
        <v>14750</v>
      </c>
      <c r="I3401" s="967">
        <v>14400</v>
      </c>
      <c r="J3401" s="967">
        <v>58400</v>
      </c>
      <c r="K3401" s="967">
        <v>4000000</v>
      </c>
    </row>
    <row r="3402" spans="2:11" ht="16" hidden="1" outlineLevel="1">
      <c r="B3402" s="968" t="s">
        <v>1825</v>
      </c>
      <c r="C3402" s="967">
        <v>14800</v>
      </c>
      <c r="D3402" s="967" t="s">
        <v>2231</v>
      </c>
      <c r="E3402" s="967">
        <v>42392</v>
      </c>
      <c r="F3402" s="967">
        <v>613314600</v>
      </c>
      <c r="G3402" s="967">
        <v>14050</v>
      </c>
      <c r="H3402" s="967">
        <v>14800</v>
      </c>
      <c r="I3402" s="967">
        <v>13900</v>
      </c>
      <c r="J3402" s="967">
        <v>59200</v>
      </c>
      <c r="K3402" s="967">
        <v>4000000</v>
      </c>
    </row>
    <row r="3403" spans="2:11" ht="16" hidden="1" outlineLevel="1">
      <c r="B3403" s="968" t="s">
        <v>1823</v>
      </c>
      <c r="C3403" s="967">
        <v>14050</v>
      </c>
      <c r="D3403" s="967" t="s">
        <v>2230</v>
      </c>
      <c r="E3403" s="967">
        <v>14730</v>
      </c>
      <c r="F3403" s="967">
        <v>203716500</v>
      </c>
      <c r="G3403" s="967">
        <v>13800</v>
      </c>
      <c r="H3403" s="967">
        <v>14050</v>
      </c>
      <c r="I3403" s="967">
        <v>13600</v>
      </c>
      <c r="J3403" s="967">
        <v>56200</v>
      </c>
      <c r="K3403" s="967">
        <v>4000000</v>
      </c>
    </row>
    <row r="3404" spans="2:11" ht="16" hidden="1" outlineLevel="1">
      <c r="B3404" s="966" t="s">
        <v>1821</v>
      </c>
      <c r="C3404" s="965">
        <v>13700</v>
      </c>
      <c r="D3404" s="965" t="s">
        <v>2230</v>
      </c>
      <c r="E3404" s="965">
        <v>2640</v>
      </c>
      <c r="F3404" s="965">
        <v>35372500</v>
      </c>
      <c r="G3404" s="965">
        <v>13450</v>
      </c>
      <c r="H3404" s="965">
        <v>13700</v>
      </c>
      <c r="I3404" s="965">
        <v>13300</v>
      </c>
      <c r="J3404" s="965">
        <v>54800</v>
      </c>
      <c r="K3404" s="965">
        <v>4000000</v>
      </c>
    </row>
    <row r="3405" spans="2:11" ht="16" hidden="1" outlineLevel="1">
      <c r="B3405" s="966" t="s">
        <v>1819</v>
      </c>
      <c r="C3405" s="965">
        <v>13350</v>
      </c>
      <c r="D3405" s="965" t="s">
        <v>2224</v>
      </c>
      <c r="E3405" s="965">
        <v>4980</v>
      </c>
      <c r="F3405" s="965">
        <v>66991500</v>
      </c>
      <c r="G3405" s="965">
        <v>13650</v>
      </c>
      <c r="H3405" s="965">
        <v>13650</v>
      </c>
      <c r="I3405" s="965">
        <v>13350</v>
      </c>
      <c r="J3405" s="965">
        <v>53400</v>
      </c>
      <c r="K3405" s="965">
        <v>4000000</v>
      </c>
    </row>
    <row r="3406" spans="2:11" ht="16" hidden="1" outlineLevel="1">
      <c r="B3406" s="966" t="s">
        <v>1817</v>
      </c>
      <c r="C3406" s="965">
        <v>13550</v>
      </c>
      <c r="D3406" s="965" t="s">
        <v>2229</v>
      </c>
      <c r="E3406" s="965">
        <v>9632</v>
      </c>
      <c r="F3406" s="965">
        <v>131025600</v>
      </c>
      <c r="G3406" s="965">
        <v>13800</v>
      </c>
      <c r="H3406" s="965">
        <v>13950</v>
      </c>
      <c r="I3406" s="965">
        <v>13400</v>
      </c>
      <c r="J3406" s="965">
        <v>54200</v>
      </c>
      <c r="K3406" s="965">
        <v>4000000</v>
      </c>
    </row>
    <row r="3407" spans="2:11" ht="16" hidden="1" outlineLevel="1">
      <c r="B3407" s="966" t="s">
        <v>1815</v>
      </c>
      <c r="C3407" s="965">
        <v>13900</v>
      </c>
      <c r="D3407" s="965" t="s">
        <v>2228</v>
      </c>
      <c r="E3407" s="965">
        <v>7470</v>
      </c>
      <c r="F3407" s="965">
        <v>102524500</v>
      </c>
      <c r="G3407" s="965">
        <v>13800</v>
      </c>
      <c r="H3407" s="965">
        <v>14000</v>
      </c>
      <c r="I3407" s="965">
        <v>13600</v>
      </c>
      <c r="J3407" s="965">
        <v>55600</v>
      </c>
      <c r="K3407" s="965">
        <v>4000000</v>
      </c>
    </row>
    <row r="3408" spans="2:11" ht="16" hidden="1" outlineLevel="1">
      <c r="B3408" s="966" t="s">
        <v>1813</v>
      </c>
      <c r="C3408" s="965">
        <v>14000</v>
      </c>
      <c r="D3408" s="965" t="s">
        <v>2207</v>
      </c>
      <c r="E3408" s="965" t="s">
        <v>2227</v>
      </c>
      <c r="F3408" s="965">
        <v>10244000</v>
      </c>
      <c r="G3408" s="965">
        <v>13950</v>
      </c>
      <c r="H3408" s="965">
        <v>14000</v>
      </c>
      <c r="I3408" s="965">
        <v>13750</v>
      </c>
      <c r="J3408" s="965">
        <v>56000</v>
      </c>
      <c r="K3408" s="965">
        <v>4000000</v>
      </c>
    </row>
    <row r="3409" spans="2:11" ht="16" hidden="1" outlineLevel="1">
      <c r="B3409" s="966" t="s">
        <v>1812</v>
      </c>
      <c r="C3409" s="965">
        <v>13950</v>
      </c>
      <c r="D3409" s="965" t="s">
        <v>2226</v>
      </c>
      <c r="E3409" s="965">
        <v>2500</v>
      </c>
      <c r="F3409" s="965">
        <v>34589000</v>
      </c>
      <c r="G3409" s="965">
        <v>13750</v>
      </c>
      <c r="H3409" s="965">
        <v>14050</v>
      </c>
      <c r="I3409" s="965">
        <v>13700</v>
      </c>
      <c r="J3409" s="965">
        <v>55800</v>
      </c>
      <c r="K3409" s="965">
        <v>4000000</v>
      </c>
    </row>
    <row r="3410" spans="2:11" ht="16" hidden="1" outlineLevel="1">
      <c r="B3410" s="966" t="s">
        <v>1810</v>
      </c>
      <c r="C3410" s="965">
        <v>14000</v>
      </c>
      <c r="D3410" s="965" t="s">
        <v>2212</v>
      </c>
      <c r="E3410" s="965">
        <v>1600</v>
      </c>
      <c r="F3410" s="965">
        <v>22396500</v>
      </c>
      <c r="G3410" s="965">
        <v>14000</v>
      </c>
      <c r="H3410" s="965">
        <v>14000</v>
      </c>
      <c r="I3410" s="965">
        <v>13900</v>
      </c>
      <c r="J3410" s="965">
        <v>56000</v>
      </c>
      <c r="K3410" s="965">
        <v>4000000</v>
      </c>
    </row>
    <row r="3411" spans="2:11" ht="16" hidden="1" outlineLevel="1">
      <c r="B3411" s="966" t="s">
        <v>1809</v>
      </c>
      <c r="C3411" s="965">
        <v>13900</v>
      </c>
      <c r="D3411" s="965" t="s">
        <v>2207</v>
      </c>
      <c r="E3411" s="965">
        <v>1560</v>
      </c>
      <c r="F3411" s="965">
        <v>21586500</v>
      </c>
      <c r="G3411" s="965">
        <v>13900</v>
      </c>
      <c r="H3411" s="965">
        <v>14050</v>
      </c>
      <c r="I3411" s="965">
        <v>13600</v>
      </c>
      <c r="J3411" s="965">
        <v>55600</v>
      </c>
      <c r="K3411" s="965">
        <v>4000000</v>
      </c>
    </row>
    <row r="3412" spans="2:11" ht="16" hidden="1" outlineLevel="1">
      <c r="B3412" s="966" t="s">
        <v>1807</v>
      </c>
      <c r="C3412" s="965">
        <v>13850</v>
      </c>
      <c r="D3412" s="965" t="s">
        <v>2225</v>
      </c>
      <c r="E3412" s="965">
        <v>1720</v>
      </c>
      <c r="F3412" s="965">
        <v>24051500</v>
      </c>
      <c r="G3412" s="965">
        <v>14050</v>
      </c>
      <c r="H3412" s="965">
        <v>14100</v>
      </c>
      <c r="I3412" s="965">
        <v>13850</v>
      </c>
      <c r="J3412" s="965">
        <v>55400</v>
      </c>
      <c r="K3412" s="965">
        <v>4000000</v>
      </c>
    </row>
    <row r="3413" spans="2:11" ht="16" hidden="1" outlineLevel="1">
      <c r="B3413" s="966" t="s">
        <v>1805</v>
      </c>
      <c r="C3413" s="965">
        <v>14000</v>
      </c>
      <c r="D3413" s="965" t="s">
        <v>2219</v>
      </c>
      <c r="E3413" s="965">
        <v>1020</v>
      </c>
      <c r="F3413" s="965">
        <v>14184000</v>
      </c>
      <c r="G3413" s="965">
        <v>13900</v>
      </c>
      <c r="H3413" s="965">
        <v>14000</v>
      </c>
      <c r="I3413" s="965">
        <v>13800</v>
      </c>
      <c r="J3413" s="965">
        <v>56000</v>
      </c>
      <c r="K3413" s="965">
        <v>4000000</v>
      </c>
    </row>
    <row r="3414" spans="2:11" ht="16" hidden="1" outlineLevel="1">
      <c r="B3414" s="966" t="s">
        <v>1803</v>
      </c>
      <c r="C3414" s="965">
        <v>13850</v>
      </c>
      <c r="D3414" s="965" t="s">
        <v>1826</v>
      </c>
      <c r="E3414" s="965">
        <v>2333</v>
      </c>
      <c r="F3414" s="965">
        <v>31458050</v>
      </c>
      <c r="G3414" s="965">
        <v>13400</v>
      </c>
      <c r="H3414" s="965">
        <v>13900</v>
      </c>
      <c r="I3414" s="965">
        <v>13350</v>
      </c>
      <c r="J3414" s="965">
        <v>55400</v>
      </c>
      <c r="K3414" s="965">
        <v>4000000</v>
      </c>
    </row>
    <row r="3415" spans="2:11" ht="16" hidden="1" outlineLevel="1">
      <c r="B3415" s="966" t="s">
        <v>1801</v>
      </c>
      <c r="C3415" s="965">
        <v>13350</v>
      </c>
      <c r="D3415" s="965" t="s">
        <v>2225</v>
      </c>
      <c r="E3415" s="965">
        <v>1020</v>
      </c>
      <c r="F3415" s="965">
        <v>13723500</v>
      </c>
      <c r="G3415" s="965">
        <v>13700</v>
      </c>
      <c r="H3415" s="965">
        <v>13850</v>
      </c>
      <c r="I3415" s="965">
        <v>13350</v>
      </c>
      <c r="J3415" s="965">
        <v>53400</v>
      </c>
      <c r="K3415" s="965">
        <v>4000000</v>
      </c>
    </row>
    <row r="3416" spans="2:11" ht="16" hidden="1" outlineLevel="1">
      <c r="B3416" s="966" t="s">
        <v>1799</v>
      </c>
      <c r="C3416" s="965">
        <v>13500</v>
      </c>
      <c r="D3416" s="965" t="s">
        <v>2224</v>
      </c>
      <c r="E3416" s="965">
        <v>10720</v>
      </c>
      <c r="F3416" s="965">
        <v>143689000</v>
      </c>
      <c r="G3416" s="965">
        <v>14150</v>
      </c>
      <c r="H3416" s="965">
        <v>14150</v>
      </c>
      <c r="I3416" s="965">
        <v>13000</v>
      </c>
      <c r="J3416" s="965">
        <v>54000</v>
      </c>
      <c r="K3416" s="965">
        <v>4000000</v>
      </c>
    </row>
    <row r="3417" spans="2:11" ht="16" hidden="1" outlineLevel="1">
      <c r="B3417" s="966" t="s">
        <v>1797</v>
      </c>
      <c r="C3417" s="965">
        <v>13700</v>
      </c>
      <c r="D3417" s="965" t="s">
        <v>2215</v>
      </c>
      <c r="E3417" s="965">
        <v>2180</v>
      </c>
      <c r="F3417" s="965">
        <v>29444500</v>
      </c>
      <c r="G3417" s="965">
        <v>13800</v>
      </c>
      <c r="H3417" s="965">
        <v>13950</v>
      </c>
      <c r="I3417" s="965">
        <v>13400</v>
      </c>
      <c r="J3417" s="965">
        <v>54800</v>
      </c>
      <c r="K3417" s="965">
        <v>4000000</v>
      </c>
    </row>
    <row r="3418" spans="2:11" ht="16" hidden="1" outlineLevel="1">
      <c r="B3418" s="966" t="s">
        <v>1795</v>
      </c>
      <c r="C3418" s="965">
        <v>14000</v>
      </c>
      <c r="D3418" s="965" t="s">
        <v>2207</v>
      </c>
      <c r="E3418" s="965">
        <v>2000</v>
      </c>
      <c r="F3418" s="965">
        <v>27874000</v>
      </c>
      <c r="G3418" s="965">
        <v>14050</v>
      </c>
      <c r="H3418" s="965">
        <v>14150</v>
      </c>
      <c r="I3418" s="965">
        <v>13800</v>
      </c>
      <c r="J3418" s="965">
        <v>56000</v>
      </c>
      <c r="K3418" s="965">
        <v>4000000</v>
      </c>
    </row>
    <row r="3419" spans="2:11" ht="16" hidden="1" outlineLevel="1">
      <c r="B3419" s="966" t="s">
        <v>1793</v>
      </c>
      <c r="C3419" s="965">
        <v>13950</v>
      </c>
      <c r="D3419" s="965" t="s">
        <v>2207</v>
      </c>
      <c r="E3419" s="965">
        <v>3672</v>
      </c>
      <c r="F3419" s="965">
        <v>50408900</v>
      </c>
      <c r="G3419" s="965">
        <v>13850</v>
      </c>
      <c r="H3419" s="965">
        <v>13950</v>
      </c>
      <c r="I3419" s="965">
        <v>13600</v>
      </c>
      <c r="J3419" s="965">
        <v>55800</v>
      </c>
      <c r="K3419" s="965">
        <v>4000000</v>
      </c>
    </row>
    <row r="3420" spans="2:11" ht="16" hidden="1" outlineLevel="1">
      <c r="B3420" s="966" t="s">
        <v>1791</v>
      </c>
      <c r="C3420" s="965">
        <v>13900</v>
      </c>
      <c r="D3420" s="965" t="s">
        <v>2212</v>
      </c>
      <c r="E3420" s="965">
        <v>1410</v>
      </c>
      <c r="F3420" s="965">
        <v>19484000</v>
      </c>
      <c r="G3420" s="965">
        <v>13650</v>
      </c>
      <c r="H3420" s="965">
        <v>13950</v>
      </c>
      <c r="I3420" s="965">
        <v>13650</v>
      </c>
      <c r="J3420" s="965">
        <v>55600</v>
      </c>
      <c r="K3420" s="965">
        <v>4000000</v>
      </c>
    </row>
    <row r="3421" spans="2:11" ht="15" hidden="1" outlineLevel="1" thickBot="1">
      <c r="B3421" s="960" t="s">
        <v>1789</v>
      </c>
      <c r="C3421" s="959"/>
      <c r="D3421" s="961"/>
      <c r="E3421" s="959"/>
      <c r="F3421" s="959"/>
      <c r="G3421" s="959"/>
      <c r="H3421" s="959"/>
      <c r="I3421" s="959"/>
      <c r="J3421" s="960">
        <f>AVERAGE(J3399:J3403)</f>
        <v>58200</v>
      </c>
      <c r="K3421" s="959"/>
    </row>
    <row r="3422" spans="2:11" hidden="1" outlineLevel="1"/>
    <row r="3423" spans="2:11" hidden="1" outlineLevel="1">
      <c r="B3423" s="971" t="s">
        <v>2223</v>
      </c>
    </row>
    <row r="3424" spans="2:11" hidden="1" outlineLevel="1"/>
    <row r="3425" spans="2:11" ht="16" hidden="1" outlineLevel="1">
      <c r="B3425" s="969" t="s">
        <v>1839</v>
      </c>
      <c r="C3425" s="969" t="s">
        <v>1838</v>
      </c>
      <c r="D3425" s="970" t="s">
        <v>1837</v>
      </c>
      <c r="E3425" s="969" t="s">
        <v>1836</v>
      </c>
      <c r="F3425" s="969" t="s">
        <v>1835</v>
      </c>
      <c r="G3425" s="969" t="s">
        <v>1834</v>
      </c>
      <c r="H3425" s="969" t="s">
        <v>1833</v>
      </c>
      <c r="I3425" s="969" t="s">
        <v>1832</v>
      </c>
      <c r="J3425" s="969" t="s">
        <v>1785</v>
      </c>
      <c r="K3425" s="969" t="s">
        <v>1831</v>
      </c>
    </row>
    <row r="3426" spans="2:11" ht="16" hidden="1" outlineLevel="1">
      <c r="B3426" s="968" t="s">
        <v>1830</v>
      </c>
      <c r="C3426" s="967">
        <v>47200</v>
      </c>
      <c r="D3426" s="967" t="s">
        <v>2222</v>
      </c>
      <c r="E3426" s="967">
        <v>6739</v>
      </c>
      <c r="F3426" s="967">
        <v>319973800</v>
      </c>
      <c r="G3426" s="967">
        <v>47850</v>
      </c>
      <c r="H3426" s="967">
        <v>48500</v>
      </c>
      <c r="I3426" s="967">
        <v>47000</v>
      </c>
      <c r="J3426" s="967">
        <v>81184</v>
      </c>
      <c r="K3426" s="967">
        <v>1720000</v>
      </c>
    </row>
    <row r="3427" spans="2:11" ht="16" hidden="1" outlineLevel="1">
      <c r="B3427" s="968" t="s">
        <v>1828</v>
      </c>
      <c r="C3427" s="967">
        <v>47800</v>
      </c>
      <c r="D3427" s="967" t="s">
        <v>2221</v>
      </c>
      <c r="E3427" s="967">
        <v>2361</v>
      </c>
      <c r="F3427" s="967">
        <v>112755800</v>
      </c>
      <c r="G3427" s="967">
        <v>47350</v>
      </c>
      <c r="H3427" s="967">
        <v>48000</v>
      </c>
      <c r="I3427" s="967">
        <v>47350</v>
      </c>
      <c r="J3427" s="967">
        <v>82216</v>
      </c>
      <c r="K3427" s="967">
        <v>1720000</v>
      </c>
    </row>
    <row r="3428" spans="2:11" ht="16" hidden="1" outlineLevel="1">
      <c r="B3428" s="968" t="s">
        <v>1827</v>
      </c>
      <c r="C3428" s="967">
        <v>47800</v>
      </c>
      <c r="D3428" s="967" t="s">
        <v>1814</v>
      </c>
      <c r="E3428" s="967">
        <v>2729</v>
      </c>
      <c r="F3428" s="967">
        <v>130404200</v>
      </c>
      <c r="G3428" s="967">
        <v>47450</v>
      </c>
      <c r="H3428" s="967">
        <v>48900</v>
      </c>
      <c r="I3428" s="967">
        <v>47350</v>
      </c>
      <c r="J3428" s="967">
        <v>82216</v>
      </c>
      <c r="K3428" s="967">
        <v>1720000</v>
      </c>
    </row>
    <row r="3429" spans="2:11" ht="16" hidden="1" outlineLevel="1">
      <c r="B3429" s="968" t="s">
        <v>1825</v>
      </c>
      <c r="C3429" s="967">
        <v>48300</v>
      </c>
      <c r="D3429" s="967" t="s">
        <v>2221</v>
      </c>
      <c r="E3429" s="967">
        <v>4170</v>
      </c>
      <c r="F3429" s="967">
        <v>202037500</v>
      </c>
      <c r="G3429" s="967">
        <v>49700</v>
      </c>
      <c r="H3429" s="967">
        <v>49700</v>
      </c>
      <c r="I3429" s="967">
        <v>47550</v>
      </c>
      <c r="J3429" s="967">
        <v>83076</v>
      </c>
      <c r="K3429" s="967">
        <v>1720000</v>
      </c>
    </row>
    <row r="3430" spans="2:11" ht="16" hidden="1" outlineLevel="1">
      <c r="B3430" s="968" t="s">
        <v>1823</v>
      </c>
      <c r="C3430" s="967">
        <v>48300</v>
      </c>
      <c r="D3430" s="967" t="s">
        <v>2220</v>
      </c>
      <c r="E3430" s="967">
        <v>8338</v>
      </c>
      <c r="F3430" s="967">
        <v>397909400</v>
      </c>
      <c r="G3430" s="967">
        <v>46700</v>
      </c>
      <c r="H3430" s="967">
        <v>49850</v>
      </c>
      <c r="I3430" s="967">
        <v>46200</v>
      </c>
      <c r="J3430" s="967">
        <v>83076</v>
      </c>
      <c r="K3430" s="967">
        <v>1720000</v>
      </c>
    </row>
    <row r="3431" spans="2:11" ht="16" hidden="1" outlineLevel="1">
      <c r="B3431" s="966" t="s">
        <v>1821</v>
      </c>
      <c r="C3431" s="965">
        <v>45800</v>
      </c>
      <c r="D3431" s="965" t="s">
        <v>2219</v>
      </c>
      <c r="E3431" s="965">
        <v>2800</v>
      </c>
      <c r="F3431" s="965">
        <v>128228500</v>
      </c>
      <c r="G3431" s="965">
        <v>46100</v>
      </c>
      <c r="H3431" s="965">
        <v>46200</v>
      </c>
      <c r="I3431" s="965">
        <v>45600</v>
      </c>
      <c r="J3431" s="965">
        <v>78776</v>
      </c>
      <c r="K3431" s="965">
        <v>1720000</v>
      </c>
    </row>
    <row r="3432" spans="2:11" ht="16" hidden="1" outlineLevel="1">
      <c r="B3432" s="966" t="s">
        <v>1819</v>
      </c>
      <c r="C3432" s="965">
        <v>45650</v>
      </c>
      <c r="D3432" s="965" t="s">
        <v>2218</v>
      </c>
      <c r="E3432" s="965">
        <v>3614</v>
      </c>
      <c r="F3432" s="965">
        <v>166616050</v>
      </c>
      <c r="G3432" s="965">
        <v>46800</v>
      </c>
      <c r="H3432" s="965">
        <v>46800</v>
      </c>
      <c r="I3432" s="965">
        <v>45300</v>
      </c>
      <c r="J3432" s="965">
        <v>78518</v>
      </c>
      <c r="K3432" s="965">
        <v>1720000</v>
      </c>
    </row>
    <row r="3433" spans="2:11" ht="16" hidden="1" outlineLevel="1">
      <c r="B3433" s="966" t="s">
        <v>1817</v>
      </c>
      <c r="C3433" s="965">
        <v>46800</v>
      </c>
      <c r="D3433" s="965" t="s">
        <v>1826</v>
      </c>
      <c r="E3433" s="965">
        <v>2823</v>
      </c>
      <c r="F3433" s="965">
        <v>130937400</v>
      </c>
      <c r="G3433" s="965">
        <v>46300</v>
      </c>
      <c r="H3433" s="965">
        <v>46800</v>
      </c>
      <c r="I3433" s="965">
        <v>46000</v>
      </c>
      <c r="J3433" s="965">
        <v>80496</v>
      </c>
      <c r="K3433" s="965">
        <v>1720000</v>
      </c>
    </row>
    <row r="3434" spans="2:11" ht="16" hidden="1" outlineLevel="1">
      <c r="B3434" s="966" t="s">
        <v>1815</v>
      </c>
      <c r="C3434" s="965">
        <v>46300</v>
      </c>
      <c r="D3434" s="965" t="s">
        <v>2217</v>
      </c>
      <c r="E3434" s="965">
        <v>1205</v>
      </c>
      <c r="F3434" s="965">
        <v>55545500</v>
      </c>
      <c r="G3434" s="965">
        <v>46150</v>
      </c>
      <c r="H3434" s="965">
        <v>46500</v>
      </c>
      <c r="I3434" s="965">
        <v>45900</v>
      </c>
      <c r="J3434" s="965">
        <v>79636</v>
      </c>
      <c r="K3434" s="965">
        <v>1720000</v>
      </c>
    </row>
    <row r="3435" spans="2:11" ht="16" hidden="1" outlineLevel="1">
      <c r="B3435" s="966" t="s">
        <v>1813</v>
      </c>
      <c r="C3435" s="965">
        <v>46950</v>
      </c>
      <c r="D3435" s="965" t="s">
        <v>2216</v>
      </c>
      <c r="E3435" s="965">
        <v>2481</v>
      </c>
      <c r="F3435" s="965">
        <v>114959450</v>
      </c>
      <c r="G3435" s="965">
        <v>46100</v>
      </c>
      <c r="H3435" s="965">
        <v>47450</v>
      </c>
      <c r="I3435" s="965">
        <v>45850</v>
      </c>
      <c r="J3435" s="965">
        <v>80754</v>
      </c>
      <c r="K3435" s="965">
        <v>1720000</v>
      </c>
    </row>
    <row r="3436" spans="2:11" ht="16" hidden="1" outlineLevel="1">
      <c r="B3436" s="966" t="s">
        <v>1812</v>
      </c>
      <c r="C3436" s="965">
        <v>46100</v>
      </c>
      <c r="D3436" s="965" t="s">
        <v>2215</v>
      </c>
      <c r="E3436" s="965">
        <v>6640</v>
      </c>
      <c r="F3436" s="965">
        <v>302726500</v>
      </c>
      <c r="G3436" s="965">
        <v>46000</v>
      </c>
      <c r="H3436" s="965">
        <v>46350</v>
      </c>
      <c r="I3436" s="965">
        <v>45000</v>
      </c>
      <c r="J3436" s="965">
        <v>79292</v>
      </c>
      <c r="K3436" s="965">
        <v>1720000</v>
      </c>
    </row>
    <row r="3437" spans="2:11" ht="16" hidden="1" outlineLevel="1">
      <c r="B3437" s="966" t="s">
        <v>1810</v>
      </c>
      <c r="C3437" s="965">
        <v>46400</v>
      </c>
      <c r="D3437" s="965" t="s">
        <v>2214</v>
      </c>
      <c r="E3437" s="965">
        <v>14930</v>
      </c>
      <c r="F3437" s="965">
        <v>678668500</v>
      </c>
      <c r="G3437" s="965">
        <v>46000</v>
      </c>
      <c r="H3437" s="965">
        <v>46400</v>
      </c>
      <c r="I3437" s="965">
        <v>45000</v>
      </c>
      <c r="J3437" s="965">
        <v>79808</v>
      </c>
      <c r="K3437" s="965">
        <v>1720000</v>
      </c>
    </row>
    <row r="3438" spans="2:11" ht="16" hidden="1" outlineLevel="1">
      <c r="B3438" s="966" t="s">
        <v>1809</v>
      </c>
      <c r="C3438" s="965">
        <v>46000</v>
      </c>
      <c r="D3438" s="965" t="s">
        <v>2207</v>
      </c>
      <c r="E3438" s="965">
        <v>4591</v>
      </c>
      <c r="F3438" s="965">
        <v>210839000</v>
      </c>
      <c r="G3438" s="965">
        <v>46000</v>
      </c>
      <c r="H3438" s="965">
        <v>46250</v>
      </c>
      <c r="I3438" s="965">
        <v>45600</v>
      </c>
      <c r="J3438" s="965">
        <v>79120</v>
      </c>
      <c r="K3438" s="965">
        <v>1720000</v>
      </c>
    </row>
    <row r="3439" spans="2:11" ht="16" hidden="1" outlineLevel="1">
      <c r="B3439" s="966" t="s">
        <v>1807</v>
      </c>
      <c r="C3439" s="965">
        <v>45950</v>
      </c>
      <c r="D3439" s="965" t="s">
        <v>2213</v>
      </c>
      <c r="E3439" s="965">
        <v>5840</v>
      </c>
      <c r="F3439" s="965">
        <v>266007000</v>
      </c>
      <c r="G3439" s="965">
        <v>46200</v>
      </c>
      <c r="H3439" s="965">
        <v>46200</v>
      </c>
      <c r="I3439" s="965">
        <v>45000</v>
      </c>
      <c r="J3439" s="965">
        <v>79034</v>
      </c>
      <c r="K3439" s="965">
        <v>1720000</v>
      </c>
    </row>
    <row r="3440" spans="2:11" ht="16" hidden="1" outlineLevel="1">
      <c r="B3440" s="966" t="s">
        <v>1805</v>
      </c>
      <c r="C3440" s="965">
        <v>45700</v>
      </c>
      <c r="D3440" s="965" t="s">
        <v>1826</v>
      </c>
      <c r="E3440" s="965">
        <v>1260</v>
      </c>
      <c r="F3440" s="965">
        <v>57264000</v>
      </c>
      <c r="G3440" s="965">
        <v>45500</v>
      </c>
      <c r="H3440" s="965">
        <v>46000</v>
      </c>
      <c r="I3440" s="965">
        <v>45300</v>
      </c>
      <c r="J3440" s="965">
        <v>78604</v>
      </c>
      <c r="K3440" s="965">
        <v>1720000</v>
      </c>
    </row>
    <row r="3441" spans="2:11" ht="16" hidden="1" outlineLevel="1">
      <c r="B3441" s="966" t="s">
        <v>1803</v>
      </c>
      <c r="C3441" s="965">
        <v>45200</v>
      </c>
      <c r="D3441" s="965" t="s">
        <v>2212</v>
      </c>
      <c r="E3441" s="965">
        <v>4862</v>
      </c>
      <c r="F3441" s="965">
        <v>219653400</v>
      </c>
      <c r="G3441" s="965">
        <v>46400</v>
      </c>
      <c r="H3441" s="965">
        <v>46400</v>
      </c>
      <c r="I3441" s="965">
        <v>44800</v>
      </c>
      <c r="J3441" s="965">
        <v>77744</v>
      </c>
      <c r="K3441" s="965">
        <v>1720000</v>
      </c>
    </row>
    <row r="3442" spans="2:11" ht="16" hidden="1" outlineLevel="1">
      <c r="B3442" s="966" t="s">
        <v>1801</v>
      </c>
      <c r="C3442" s="965">
        <v>45100</v>
      </c>
      <c r="D3442" s="965" t="s">
        <v>2211</v>
      </c>
      <c r="E3442" s="965">
        <v>2315</v>
      </c>
      <c r="F3442" s="965">
        <v>105191000</v>
      </c>
      <c r="G3442" s="965">
        <v>45700</v>
      </c>
      <c r="H3442" s="965">
        <v>46000</v>
      </c>
      <c r="I3442" s="965">
        <v>45050</v>
      </c>
      <c r="J3442" s="965">
        <v>77572</v>
      </c>
      <c r="K3442" s="965">
        <v>1720000</v>
      </c>
    </row>
    <row r="3443" spans="2:11" ht="16" hidden="1" outlineLevel="1">
      <c r="B3443" s="966" t="s">
        <v>1799</v>
      </c>
      <c r="C3443" s="965">
        <v>45500</v>
      </c>
      <c r="D3443" s="965" t="s">
        <v>2210</v>
      </c>
      <c r="E3443" s="965">
        <v>1040</v>
      </c>
      <c r="F3443" s="965">
        <v>47293000</v>
      </c>
      <c r="G3443" s="965">
        <v>45950</v>
      </c>
      <c r="H3443" s="965">
        <v>46800</v>
      </c>
      <c r="I3443" s="965">
        <v>45000</v>
      </c>
      <c r="J3443" s="965">
        <v>78260</v>
      </c>
      <c r="K3443" s="965">
        <v>1720000</v>
      </c>
    </row>
    <row r="3444" spans="2:11" ht="16" hidden="1" outlineLevel="1">
      <c r="B3444" s="966" t="s">
        <v>1797</v>
      </c>
      <c r="C3444" s="965">
        <v>45950</v>
      </c>
      <c r="D3444" s="965" t="s">
        <v>2209</v>
      </c>
      <c r="E3444" s="965">
        <v>2782</v>
      </c>
      <c r="F3444" s="965">
        <v>125228900</v>
      </c>
      <c r="G3444" s="965">
        <v>45150</v>
      </c>
      <c r="H3444" s="965">
        <v>46300</v>
      </c>
      <c r="I3444" s="965">
        <v>44500</v>
      </c>
      <c r="J3444" s="965">
        <v>79034</v>
      </c>
      <c r="K3444" s="965">
        <v>1720000</v>
      </c>
    </row>
    <row r="3445" spans="2:11" ht="16" hidden="1" outlineLevel="1">
      <c r="B3445" s="966" t="s">
        <v>1795</v>
      </c>
      <c r="C3445" s="965">
        <v>47500</v>
      </c>
      <c r="D3445" s="965" t="s">
        <v>2208</v>
      </c>
      <c r="E3445" s="965">
        <v>1960</v>
      </c>
      <c r="F3445" s="965">
        <v>92273500</v>
      </c>
      <c r="G3445" s="965">
        <v>46800</v>
      </c>
      <c r="H3445" s="965">
        <v>47800</v>
      </c>
      <c r="I3445" s="965">
        <v>46500</v>
      </c>
      <c r="J3445" s="965">
        <v>81700</v>
      </c>
      <c r="K3445" s="965">
        <v>1720000</v>
      </c>
    </row>
    <row r="3446" spans="2:11" ht="16" hidden="1" outlineLevel="1">
      <c r="B3446" s="966" t="s">
        <v>1793</v>
      </c>
      <c r="C3446" s="965">
        <v>46800</v>
      </c>
      <c r="D3446" s="965" t="s">
        <v>2207</v>
      </c>
      <c r="E3446" s="965">
        <v>1113</v>
      </c>
      <c r="F3446" s="965">
        <v>51521400</v>
      </c>
      <c r="G3446" s="965">
        <v>46750</v>
      </c>
      <c r="H3446" s="965">
        <v>46800</v>
      </c>
      <c r="I3446" s="965">
        <v>45100</v>
      </c>
      <c r="J3446" s="965">
        <v>80496</v>
      </c>
      <c r="K3446" s="965">
        <v>1720000</v>
      </c>
    </row>
    <row r="3447" spans="2:11" ht="16" hidden="1" outlineLevel="1">
      <c r="B3447" s="966" t="s">
        <v>1791</v>
      </c>
      <c r="C3447" s="965">
        <v>46750</v>
      </c>
      <c r="D3447" s="965" t="s">
        <v>2206</v>
      </c>
      <c r="E3447" s="965" t="s">
        <v>2205</v>
      </c>
      <c r="F3447" s="965">
        <v>36949500</v>
      </c>
      <c r="G3447" s="965">
        <v>48200</v>
      </c>
      <c r="H3447" s="965">
        <v>48200</v>
      </c>
      <c r="I3447" s="965">
        <v>46000</v>
      </c>
      <c r="J3447" s="965">
        <v>80410</v>
      </c>
      <c r="K3447" s="965">
        <v>1720000</v>
      </c>
    </row>
    <row r="3448" spans="2:11" ht="15" hidden="1" outlineLevel="1" thickBot="1">
      <c r="B3448" s="960" t="s">
        <v>1789</v>
      </c>
      <c r="C3448" s="959"/>
      <c r="D3448" s="961"/>
      <c r="E3448" s="959"/>
      <c r="F3448" s="959"/>
      <c r="G3448" s="959"/>
      <c r="H3448" s="959"/>
      <c r="I3448" s="959"/>
      <c r="J3448" s="960">
        <f>AVERAGE(J3426:J3446)</f>
        <v>80029.142857142855</v>
      </c>
      <c r="K3448" s="959"/>
    </row>
    <row r="3449" spans="2:11" hidden="1" outlineLevel="1"/>
    <row r="3450" spans="2:11" collapsed="1"/>
  </sheetData>
  <phoneticPr fontId="2" type="noConversion"/>
  <pageMargins left="0.6" right="0.6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O37"/>
  <sheetViews>
    <sheetView showGridLines="0" workbookViewId="0">
      <selection activeCell="K139" sqref="K139"/>
    </sheetView>
  </sheetViews>
  <sheetFormatPr defaultColWidth="9" defaultRowHeight="14.5"/>
  <cols>
    <col min="1" max="2" width="1.6640625" style="2" customWidth="1"/>
    <col min="3" max="3" width="15" style="2" customWidth="1"/>
    <col min="4" max="4" width="9" style="2"/>
    <col min="5" max="5" width="10" style="2" bestFit="1" customWidth="1"/>
    <col min="6" max="6" width="9" style="2"/>
    <col min="7" max="8" width="9.08203125" style="2" bestFit="1" customWidth="1"/>
    <col min="9" max="9" width="10.08203125" style="2" bestFit="1" customWidth="1"/>
    <col min="10" max="10" width="9.08203125" style="2" bestFit="1" customWidth="1"/>
    <col min="11" max="11" width="10" style="2" bestFit="1" customWidth="1"/>
    <col min="12" max="12" width="9.08203125" style="2" bestFit="1" customWidth="1"/>
    <col min="13" max="17" width="9" style="2"/>
    <col min="18" max="18" width="12.6640625" style="2" customWidth="1"/>
    <col min="19" max="16384" width="9" style="2"/>
  </cols>
  <sheetData>
    <row r="1" spans="2:15" ht="17">
      <c r="C1" s="1024" t="s">
        <v>1889</v>
      </c>
    </row>
    <row r="6" spans="2:15">
      <c r="B6" s="230" t="s">
        <v>1888</v>
      </c>
    </row>
    <row r="7" spans="2:15">
      <c r="C7" s="2" t="s">
        <v>1880</v>
      </c>
    </row>
    <row r="8" spans="2:15">
      <c r="C8" s="2" t="s">
        <v>1879</v>
      </c>
    </row>
    <row r="9" spans="2:15">
      <c r="C9" s="2" t="s">
        <v>1878</v>
      </c>
    </row>
    <row r="10" spans="2:15">
      <c r="C10" s="2" t="s">
        <v>1877</v>
      </c>
    </row>
    <row r="13" spans="2:15">
      <c r="B13" s="230" t="s">
        <v>1887</v>
      </c>
    </row>
    <row r="14" spans="2:15">
      <c r="B14" s="230"/>
      <c r="E14" s="2" t="s">
        <v>1880</v>
      </c>
      <c r="H14" s="2" t="s">
        <v>1879</v>
      </c>
      <c r="K14" s="2" t="s">
        <v>1878</v>
      </c>
      <c r="N14" s="2" t="s">
        <v>1877</v>
      </c>
    </row>
    <row r="16" spans="2:15">
      <c r="D16" s="1360" t="s">
        <v>769</v>
      </c>
      <c r="E16" s="1361"/>
      <c r="F16" s="252" t="s">
        <v>1264</v>
      </c>
      <c r="G16" s="1360" t="s">
        <v>769</v>
      </c>
      <c r="H16" s="1361"/>
      <c r="I16" s="252" t="s">
        <v>1264</v>
      </c>
      <c r="J16" s="1360" t="s">
        <v>769</v>
      </c>
      <c r="K16" s="1361"/>
      <c r="L16" s="252" t="s">
        <v>1264</v>
      </c>
      <c r="M16" s="1362" t="s">
        <v>769</v>
      </c>
      <c r="N16" s="1362"/>
      <c r="O16" s="2" t="s">
        <v>1264</v>
      </c>
    </row>
    <row r="17" spans="2:15">
      <c r="C17" s="8" t="s">
        <v>17</v>
      </c>
      <c r="D17" s="1023" t="s">
        <v>1603</v>
      </c>
      <c r="E17" s="1021" t="s">
        <v>1886</v>
      </c>
      <c r="F17" s="1022" t="s">
        <v>1885</v>
      </c>
      <c r="G17" s="1023" t="s">
        <v>1603</v>
      </c>
      <c r="H17" s="1021" t="s">
        <v>1886</v>
      </c>
      <c r="I17" s="1022" t="s">
        <v>1885</v>
      </c>
      <c r="J17" s="1023" t="s">
        <v>1603</v>
      </c>
      <c r="K17" s="1021" t="s">
        <v>1886</v>
      </c>
      <c r="L17" s="1022" t="s">
        <v>1885</v>
      </c>
      <c r="M17" s="1021" t="s">
        <v>1603</v>
      </c>
      <c r="N17" s="1021" t="s">
        <v>1886</v>
      </c>
      <c r="O17" s="1021" t="s">
        <v>1885</v>
      </c>
    </row>
    <row r="18" spans="2:15">
      <c r="C18" s="2" t="s">
        <v>27</v>
      </c>
      <c r="D18" s="1020">
        <v>654953889000</v>
      </c>
      <c r="E18" s="1019">
        <v>1370583603000</v>
      </c>
      <c r="F18" s="1018">
        <v>732983688124</v>
      </c>
      <c r="G18" s="1015">
        <v>4725704014000</v>
      </c>
      <c r="H18" s="1015">
        <v>9654565114000</v>
      </c>
      <c r="I18" s="1015">
        <f>1725285394502+3460621000000</f>
        <v>5185906394502</v>
      </c>
      <c r="J18" s="1020">
        <v>6336791700529</v>
      </c>
      <c r="K18" s="1019">
        <v>13516927712960</v>
      </c>
      <c r="L18" s="1018">
        <v>7464433509035</v>
      </c>
      <c r="M18" s="1015">
        <v>418320200000</v>
      </c>
      <c r="N18" s="1015">
        <v>865957680000</v>
      </c>
      <c r="O18" s="1015">
        <v>435243531000</v>
      </c>
    </row>
    <row r="19" spans="2:15">
      <c r="C19" s="2" t="s">
        <v>125</v>
      </c>
      <c r="D19" s="1017"/>
      <c r="E19" s="1016"/>
      <c r="F19" s="1011">
        <v>181567127838</v>
      </c>
      <c r="G19" s="1015"/>
      <c r="H19" s="1015"/>
      <c r="I19" s="1015">
        <f>1234216365769+2514893000000</f>
        <v>3749109365769</v>
      </c>
      <c r="J19" s="1017">
        <v>4378587352244</v>
      </c>
      <c r="K19" s="1016">
        <v>9335014838051</v>
      </c>
      <c r="L19" s="1011">
        <v>5248853478152</v>
      </c>
      <c r="M19" s="1015">
        <v>93736620000</v>
      </c>
      <c r="N19" s="1015">
        <v>189883508000</v>
      </c>
      <c r="O19" s="1015">
        <v>88105524000</v>
      </c>
    </row>
    <row r="20" spans="2:15">
      <c r="C20" s="2" t="s">
        <v>1411</v>
      </c>
      <c r="D20" s="1017"/>
      <c r="E20" s="1016"/>
      <c r="F20" s="1011">
        <v>442178589033</v>
      </c>
      <c r="G20" s="1015"/>
      <c r="H20" s="1015"/>
      <c r="I20" s="1015">
        <f>339147195063+684413000000</f>
        <v>1023560195063</v>
      </c>
      <c r="J20" s="1017">
        <v>1367926133546</v>
      </c>
      <c r="K20" s="1016">
        <v>3033530474716</v>
      </c>
      <c r="L20" s="1011">
        <v>1569442579401</v>
      </c>
      <c r="M20" s="1015">
        <v>203885788000</v>
      </c>
      <c r="N20" s="1015">
        <v>458609127000</v>
      </c>
      <c r="O20" s="1015">
        <v>207026509000</v>
      </c>
    </row>
    <row r="21" spans="2:15">
      <c r="C21" s="2" t="s">
        <v>1884</v>
      </c>
      <c r="D21" s="1017">
        <v>96391029000</v>
      </c>
      <c r="E21" s="1016">
        <v>202554340000</v>
      </c>
      <c r="F21" s="1011">
        <v>111828211863</v>
      </c>
      <c r="G21" s="1015">
        <v>402063603000</v>
      </c>
      <c r="H21" s="1015">
        <v>791554692000</v>
      </c>
      <c r="I21" s="1015">
        <f>155299199448+259817000000</f>
        <v>415116199448</v>
      </c>
      <c r="J21" s="1017">
        <v>590278214739</v>
      </c>
      <c r="K21" s="1016">
        <v>1148382400193</v>
      </c>
      <c r="L21" s="1011">
        <v>629094383588</v>
      </c>
      <c r="M21" s="1015">
        <v>120697792000</v>
      </c>
      <c r="N21" s="1015">
        <v>217465045000</v>
      </c>
      <c r="O21" s="1015">
        <v>145315408000</v>
      </c>
    </row>
    <row r="22" spans="2:15">
      <c r="C22" s="2" t="s">
        <v>750</v>
      </c>
      <c r="D22" s="1017">
        <v>50559062000</v>
      </c>
      <c r="E22" s="1016">
        <v>101538503000</v>
      </c>
      <c r="F22" s="1011">
        <v>53426000000</v>
      </c>
      <c r="G22" s="1015">
        <v>108722291000</v>
      </c>
      <c r="H22" s="1015">
        <v>222601303000</v>
      </c>
      <c r="I22" s="1015">
        <f>41545000000+79942000000</f>
        <v>121487000000</v>
      </c>
      <c r="J22" s="1017">
        <v>124442397977</v>
      </c>
      <c r="K22" s="1016">
        <v>296065992658</v>
      </c>
      <c r="L22" s="1011">
        <v>148158616000</v>
      </c>
      <c r="M22" s="1015">
        <v>16509936000</v>
      </c>
      <c r="N22" s="1015">
        <v>34502242000</v>
      </c>
      <c r="O22" s="1015">
        <v>17562827000</v>
      </c>
    </row>
    <row r="23" spans="2:15">
      <c r="C23" s="2" t="s">
        <v>823</v>
      </c>
      <c r="D23" s="1017"/>
      <c r="E23" s="1016"/>
      <c r="F23" s="1011">
        <f>2590000000-1740000000</f>
        <v>850000000</v>
      </c>
      <c r="G23" s="1015"/>
      <c r="H23" s="1015"/>
      <c r="I23" s="1015">
        <f>877000000+1740000000</f>
        <v>2617000000</v>
      </c>
      <c r="J23" s="1017">
        <v>21694723121</v>
      </c>
      <c r="K23" s="1016">
        <v>62171041500</v>
      </c>
      <c r="L23" s="1011">
        <v>28170339835</v>
      </c>
      <c r="M23" s="1015">
        <v>191721000</v>
      </c>
      <c r="N23" s="1015">
        <v>329399000</v>
      </c>
      <c r="O23" s="1015">
        <v>14796000</v>
      </c>
    </row>
    <row r="24" spans="2:15">
      <c r="C24" s="231" t="s">
        <v>1299</v>
      </c>
      <c r="D24" s="1014">
        <f t="shared" ref="D24:O24" si="0">D21+D22+D23</f>
        <v>146950091000</v>
      </c>
      <c r="E24" s="1013">
        <f t="shared" si="0"/>
        <v>304092843000</v>
      </c>
      <c r="F24" s="1013">
        <f t="shared" si="0"/>
        <v>166104211863</v>
      </c>
      <c r="G24" s="1014">
        <f t="shared" si="0"/>
        <v>510785894000</v>
      </c>
      <c r="H24" s="1013">
        <f t="shared" si="0"/>
        <v>1014155995000</v>
      </c>
      <c r="I24" s="1013">
        <f t="shared" si="0"/>
        <v>539220199448</v>
      </c>
      <c r="J24" s="1014">
        <f t="shared" si="0"/>
        <v>736415335837</v>
      </c>
      <c r="K24" s="1013">
        <f t="shared" si="0"/>
        <v>1506619434351</v>
      </c>
      <c r="L24" s="1012">
        <f t="shared" si="0"/>
        <v>805423339423</v>
      </c>
      <c r="M24" s="1013">
        <f t="shared" si="0"/>
        <v>137399449000</v>
      </c>
      <c r="N24" s="1013">
        <f t="shared" si="0"/>
        <v>252296686000</v>
      </c>
      <c r="O24" s="1013">
        <f t="shared" si="0"/>
        <v>162893031000</v>
      </c>
    </row>
    <row r="25" spans="2:15">
      <c r="C25" s="2" t="s">
        <v>1883</v>
      </c>
    </row>
    <row r="26" spans="2:15">
      <c r="C26" s="2" t="s">
        <v>1882</v>
      </c>
    </row>
    <row r="29" spans="2:15">
      <c r="B29" s="230" t="s">
        <v>1881</v>
      </c>
    </row>
    <row r="30" spans="2:15">
      <c r="E30" s="2" t="s">
        <v>1880</v>
      </c>
      <c r="H30" s="2" t="s">
        <v>1879</v>
      </c>
      <c r="K30" s="2" t="s">
        <v>1878</v>
      </c>
      <c r="N30" s="2" t="s">
        <v>1877</v>
      </c>
    </row>
    <row r="32" spans="2:15">
      <c r="C32" s="8" t="s">
        <v>17</v>
      </c>
      <c r="D32" s="253"/>
      <c r="E32" s="8" t="s">
        <v>1876</v>
      </c>
      <c r="F32" s="254"/>
      <c r="G32" s="253"/>
      <c r="H32" s="8" t="s">
        <v>1876</v>
      </c>
      <c r="I32" s="254"/>
      <c r="J32" s="253"/>
      <c r="K32" s="8" t="s">
        <v>1876</v>
      </c>
      <c r="L32" s="254"/>
      <c r="M32" s="253"/>
      <c r="N32" s="8" t="s">
        <v>1876</v>
      </c>
      <c r="O32" s="254"/>
    </row>
    <row r="33" spans="3:15">
      <c r="C33" s="231" t="s">
        <v>1875</v>
      </c>
      <c r="D33" s="476" t="s">
        <v>1875</v>
      </c>
      <c r="E33" s="231"/>
      <c r="F33" s="1012">
        <v>654421000000</v>
      </c>
      <c r="G33" s="476" t="s">
        <v>1875</v>
      </c>
      <c r="H33" s="231"/>
      <c r="I33" s="1012">
        <v>2740489000000</v>
      </c>
      <c r="J33" s="476" t="s">
        <v>1875</v>
      </c>
      <c r="K33" s="231"/>
      <c r="L33" s="1012">
        <f>1367950365535+1996853224247</f>
        <v>3364803589782</v>
      </c>
      <c r="M33" s="476" t="s">
        <v>1875</v>
      </c>
      <c r="N33" s="231"/>
      <c r="O33" s="1012">
        <f>56500000000+32343000000+249022624000</f>
        <v>337865624000</v>
      </c>
    </row>
    <row r="34" spans="3:15">
      <c r="C34" s="2" t="s">
        <v>1874</v>
      </c>
      <c r="D34" s="251" t="s">
        <v>1873</v>
      </c>
      <c r="E34" s="197"/>
      <c r="F34" s="1011">
        <v>750289000000</v>
      </c>
      <c r="G34" s="251" t="s">
        <v>1873</v>
      </c>
      <c r="H34" s="197"/>
      <c r="I34" s="1011">
        <v>1421513000000</v>
      </c>
      <c r="J34" s="251" t="s">
        <v>1873</v>
      </c>
      <c r="K34" s="197"/>
      <c r="L34" s="1011">
        <v>321728338000</v>
      </c>
      <c r="M34" s="2" t="s">
        <v>1873</v>
      </c>
      <c r="O34" s="1011">
        <v>6414315000</v>
      </c>
    </row>
    <row r="35" spans="3:15">
      <c r="D35" s="251" t="s">
        <v>1872</v>
      </c>
      <c r="E35" s="197"/>
      <c r="F35" s="1011">
        <v>154040000000</v>
      </c>
      <c r="G35" s="251" t="s">
        <v>1872</v>
      </c>
      <c r="H35" s="197"/>
      <c r="I35" s="1011">
        <v>631771239370</v>
      </c>
      <c r="J35" s="251" t="s">
        <v>1872</v>
      </c>
      <c r="K35" s="197"/>
      <c r="L35" s="1011">
        <v>4860750678549</v>
      </c>
      <c r="M35" s="2" t="s">
        <v>1872</v>
      </c>
      <c r="O35" s="1011">
        <v>869069120000</v>
      </c>
    </row>
    <row r="36" spans="3:15">
      <c r="D36" s="251" t="s">
        <v>1871</v>
      </c>
      <c r="E36" s="197"/>
      <c r="F36" s="1011">
        <v>65475000000</v>
      </c>
      <c r="G36" s="251" t="s">
        <v>1871</v>
      </c>
      <c r="H36" s="197"/>
      <c r="I36" s="1011">
        <v>197021000000</v>
      </c>
      <c r="J36" s="251" t="s">
        <v>1871</v>
      </c>
      <c r="K36" s="197"/>
      <c r="L36" s="1011">
        <v>450810867254</v>
      </c>
      <c r="M36" s="2" t="s">
        <v>1871</v>
      </c>
      <c r="O36" s="1011">
        <v>13264455000</v>
      </c>
    </row>
    <row r="37" spans="3:15">
      <c r="C37" s="8"/>
      <c r="D37" s="253" t="s">
        <v>13</v>
      </c>
      <c r="E37" s="8"/>
      <c r="F37" s="1010">
        <v>0</v>
      </c>
      <c r="G37" s="253" t="s">
        <v>1870</v>
      </c>
      <c r="H37" s="8"/>
      <c r="I37" s="1010">
        <v>39823000000</v>
      </c>
      <c r="J37" s="253" t="s">
        <v>1869</v>
      </c>
      <c r="K37" s="8"/>
      <c r="L37" s="1010">
        <v>254873764000</v>
      </c>
      <c r="M37" s="8" t="s">
        <v>13</v>
      </c>
      <c r="N37" s="8"/>
      <c r="O37" s="1010">
        <v>0</v>
      </c>
    </row>
  </sheetData>
  <mergeCells count="4">
    <mergeCell ref="D16:E16"/>
    <mergeCell ref="G16:H16"/>
    <mergeCell ref="J16:K16"/>
    <mergeCell ref="M16:N16"/>
  </mergeCells>
  <phoneticPr fontId="2" type="noConversion"/>
  <pageMargins left="0.6" right="0.6" top="1" bottom="1" header="0.5" footer="0.5"/>
  <pageSetup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M77"/>
  <sheetViews>
    <sheetView showGridLines="0" zoomScaleNormal="100" workbookViewId="0">
      <selection activeCell="K139" sqref="K139"/>
    </sheetView>
  </sheetViews>
  <sheetFormatPr defaultColWidth="9" defaultRowHeight="12.5"/>
  <cols>
    <col min="1" max="1" width="1.6640625" style="18" customWidth="1"/>
    <col min="2" max="2" width="27.08203125" style="18" customWidth="1"/>
    <col min="3" max="4" width="11.58203125" style="18" customWidth="1"/>
    <col min="5" max="5" width="10.58203125" style="18" customWidth="1"/>
    <col min="6" max="12" width="11.58203125" style="18" customWidth="1"/>
    <col min="13" max="13" width="24.6640625" style="18" customWidth="1"/>
    <col min="14" max="16384" width="9" style="18"/>
  </cols>
  <sheetData>
    <row r="1" spans="2:13" ht="24" customHeight="1">
      <c r="B1" s="51" t="s">
        <v>958</v>
      </c>
    </row>
    <row r="2" spans="2:13">
      <c r="E2" s="37">
        <f>E6-E8</f>
        <v>308558775091</v>
      </c>
    </row>
    <row r="3" spans="2:13" ht="25.5" customHeight="1" thickBot="1">
      <c r="B3" s="49" t="s">
        <v>157</v>
      </c>
      <c r="C3" s="49" t="s">
        <v>957</v>
      </c>
      <c r="D3" s="49" t="s">
        <v>956</v>
      </c>
      <c r="E3" s="49" t="s">
        <v>955</v>
      </c>
      <c r="F3" s="49" t="s">
        <v>954</v>
      </c>
      <c r="G3" s="49" t="s">
        <v>953</v>
      </c>
      <c r="H3" s="49" t="s">
        <v>952</v>
      </c>
      <c r="I3" s="49" t="s">
        <v>951</v>
      </c>
      <c r="J3" s="49" t="s">
        <v>950</v>
      </c>
      <c r="K3" s="49" t="s">
        <v>949</v>
      </c>
      <c r="L3" s="50" t="s">
        <v>948</v>
      </c>
      <c r="M3" s="49" t="s">
        <v>947</v>
      </c>
    </row>
    <row r="4" spans="2:13" ht="14.5">
      <c r="B4" s="29" t="s">
        <v>946</v>
      </c>
      <c r="C4" s="28">
        <v>1491976221140</v>
      </c>
      <c r="D4" s="28">
        <v>2663947866364</v>
      </c>
      <c r="E4" s="27">
        <v>3046678675797</v>
      </c>
      <c r="F4" s="27">
        <v>1606909618359</v>
      </c>
      <c r="G4" s="303">
        <f t="shared" ref="G4:G35" si="0">C4/$C$4</f>
        <v>1</v>
      </c>
      <c r="H4" s="303">
        <f t="shared" ref="H4:H35" si="1">D4/$D$4</f>
        <v>1</v>
      </c>
      <c r="I4" s="303">
        <f t="shared" ref="I4:I35" si="2">E4/$E$4</f>
        <v>1</v>
      </c>
      <c r="J4" s="303">
        <f t="shared" ref="J4:J35" si="3">F4/$F$4</f>
        <v>1</v>
      </c>
      <c r="K4" s="316"/>
      <c r="L4" s="316"/>
      <c r="M4" s="48"/>
    </row>
    <row r="5" spans="2:13" ht="14.5">
      <c r="B5" s="29" t="s">
        <v>945</v>
      </c>
      <c r="C5" s="28">
        <v>1113092579931</v>
      </c>
      <c r="D5" s="28">
        <v>2005984310535</v>
      </c>
      <c r="E5" s="27">
        <v>2286620442706</v>
      </c>
      <c r="F5" s="27">
        <v>1195964884535</v>
      </c>
      <c r="G5" s="303">
        <f t="shared" si="0"/>
        <v>0.74605249343752955</v>
      </c>
      <c r="H5" s="303">
        <f t="shared" si="1"/>
        <v>0.75301184976752233</v>
      </c>
      <c r="I5" s="303">
        <f t="shared" si="2"/>
        <v>0.75052891559292134</v>
      </c>
      <c r="J5" s="303">
        <f t="shared" si="3"/>
        <v>0.74426394046750255</v>
      </c>
      <c r="K5" s="312"/>
      <c r="L5" s="302"/>
      <c r="M5" s="26"/>
    </row>
    <row r="6" spans="2:13" ht="14.5">
      <c r="B6" s="29" t="s">
        <v>156</v>
      </c>
      <c r="C6" s="28">
        <v>378883641209</v>
      </c>
      <c r="D6" s="28">
        <v>657963555829</v>
      </c>
      <c r="E6" s="27">
        <v>760058233091</v>
      </c>
      <c r="F6" s="27">
        <v>410944733824</v>
      </c>
      <c r="G6" s="303">
        <f t="shared" si="0"/>
        <v>0.25394750656247045</v>
      </c>
      <c r="H6" s="303">
        <f t="shared" si="1"/>
        <v>0.24698815023247767</v>
      </c>
      <c r="I6" s="303">
        <f t="shared" si="2"/>
        <v>0.24947108440707866</v>
      </c>
      <c r="J6" s="303">
        <f t="shared" si="3"/>
        <v>0.25573605953249745</v>
      </c>
      <c r="K6" s="312"/>
      <c r="L6" s="304"/>
      <c r="M6" s="26"/>
    </row>
    <row r="7" spans="2:13" ht="14.5">
      <c r="B7" s="29" t="s">
        <v>944</v>
      </c>
      <c r="C7" s="28">
        <v>330026208097</v>
      </c>
      <c r="D7" s="28">
        <v>474895311851</v>
      </c>
      <c r="E7" s="27">
        <v>545196423750</v>
      </c>
      <c r="F7" s="27">
        <v>282729181495</v>
      </c>
      <c r="G7" s="303">
        <f t="shared" si="0"/>
        <v>0.22120071581625556</v>
      </c>
      <c r="H7" s="303">
        <f t="shared" si="1"/>
        <v>0.17826749458846602</v>
      </c>
      <c r="I7" s="303">
        <f t="shared" si="2"/>
        <v>0.17894779258511029</v>
      </c>
      <c r="J7" s="303">
        <f t="shared" si="3"/>
        <v>0.17594591398595724</v>
      </c>
      <c r="K7" s="312"/>
      <c r="L7" s="304"/>
      <c r="M7" s="26"/>
    </row>
    <row r="8" spans="2:13" s="46" customFormat="1" ht="14.5">
      <c r="B8" s="35" t="s">
        <v>943</v>
      </c>
      <c r="C8" s="34"/>
      <c r="D8" s="34">
        <v>394285972000</v>
      </c>
      <c r="E8" s="39">
        <v>451499458000</v>
      </c>
      <c r="F8" s="39">
        <v>234927304708</v>
      </c>
      <c r="G8" s="311">
        <f t="shared" si="0"/>
        <v>0</v>
      </c>
      <c r="H8" s="311">
        <f t="shared" si="1"/>
        <v>0.1480081412171769</v>
      </c>
      <c r="I8" s="311">
        <f t="shared" si="2"/>
        <v>0.14819398631918063</v>
      </c>
      <c r="J8" s="311">
        <f t="shared" si="3"/>
        <v>0.14619820680886286</v>
      </c>
      <c r="K8" s="310"/>
      <c r="L8" s="310">
        <f t="shared" ref="L8:L53" si="4">F8/$F$7</f>
        <v>0.83092697918822589</v>
      </c>
      <c r="M8" s="47"/>
    </row>
    <row r="9" spans="2:13" ht="14.5">
      <c r="B9" s="45" t="s">
        <v>942</v>
      </c>
      <c r="C9" s="33">
        <v>54912277470</v>
      </c>
      <c r="D9" s="38">
        <v>100593190000</v>
      </c>
      <c r="E9" s="37">
        <v>114125773000</v>
      </c>
      <c r="F9" s="33">
        <v>56124112000</v>
      </c>
      <c r="G9" s="309">
        <f t="shared" si="0"/>
        <v>3.680506209947651E-2</v>
      </c>
      <c r="H9" s="309">
        <f t="shared" si="1"/>
        <v>3.7760945426195146E-2</v>
      </c>
      <c r="I9" s="309">
        <f t="shared" si="2"/>
        <v>3.7459077620039832E-2</v>
      </c>
      <c r="J9" s="309">
        <f t="shared" si="3"/>
        <v>3.4926738479115448E-2</v>
      </c>
      <c r="K9" s="308"/>
      <c r="L9" s="308">
        <f t="shared" si="4"/>
        <v>0.19850838071694607</v>
      </c>
      <c r="M9" s="26" t="s">
        <v>878</v>
      </c>
    </row>
    <row r="10" spans="2:13" ht="14.5">
      <c r="B10" s="36" t="s">
        <v>941</v>
      </c>
      <c r="C10" s="33">
        <v>5640032625</v>
      </c>
      <c r="D10" s="33">
        <v>7924515000</v>
      </c>
      <c r="E10" s="30">
        <v>8787278000</v>
      </c>
      <c r="F10" s="33">
        <v>4879175000</v>
      </c>
      <c r="G10" s="305">
        <f t="shared" si="0"/>
        <v>3.7802429724319085E-3</v>
      </c>
      <c r="H10" s="305">
        <f t="shared" si="1"/>
        <v>2.9747260072383111E-3</v>
      </c>
      <c r="I10" s="305">
        <f t="shared" si="2"/>
        <v>2.8842155458685776E-3</v>
      </c>
      <c r="J10" s="305">
        <f t="shared" si="3"/>
        <v>3.0363717686765022E-3</v>
      </c>
      <c r="K10" s="304"/>
      <c r="L10" s="304">
        <f t="shared" si="4"/>
        <v>1.7257415644894396E-2</v>
      </c>
      <c r="M10" s="26" t="s">
        <v>878</v>
      </c>
    </row>
    <row r="11" spans="2:13" ht="14.5">
      <c r="B11" s="40" t="s">
        <v>940</v>
      </c>
      <c r="C11" s="33">
        <v>15084842895</v>
      </c>
      <c r="D11" s="33">
        <v>27223743000</v>
      </c>
      <c r="E11" s="30">
        <v>29431178000</v>
      </c>
      <c r="F11" s="33">
        <v>15517392000</v>
      </c>
      <c r="G11" s="305">
        <f t="shared" si="0"/>
        <v>1.0110645653235589E-2</v>
      </c>
      <c r="H11" s="305">
        <f t="shared" si="1"/>
        <v>1.0219322736656052E-2</v>
      </c>
      <c r="I11" s="305">
        <f t="shared" si="2"/>
        <v>9.6600859925935288E-3</v>
      </c>
      <c r="J11" s="305">
        <f t="shared" si="3"/>
        <v>9.6566675702934625E-3</v>
      </c>
      <c r="K11" s="304"/>
      <c r="L11" s="304">
        <f t="shared" si="4"/>
        <v>5.4884295699326041E-2</v>
      </c>
      <c r="M11" s="26" t="s">
        <v>878</v>
      </c>
    </row>
    <row r="12" spans="2:13" ht="14.5">
      <c r="B12" s="36" t="s">
        <v>873</v>
      </c>
      <c r="C12" s="33">
        <v>50418894717</v>
      </c>
      <c r="D12" s="38">
        <v>38412051000</v>
      </c>
      <c r="E12" s="37">
        <v>37613578000</v>
      </c>
      <c r="F12" s="33">
        <v>18808381000</v>
      </c>
      <c r="G12" s="309">
        <f t="shared" si="0"/>
        <v>3.3793363461567479E-2</v>
      </c>
      <c r="H12" s="309">
        <f t="shared" si="1"/>
        <v>1.4419220242634961E-2</v>
      </c>
      <c r="I12" s="309">
        <f t="shared" si="2"/>
        <v>1.2345764684278832E-2</v>
      </c>
      <c r="J12" s="309">
        <f t="shared" si="3"/>
        <v>1.1704691281397268E-2</v>
      </c>
      <c r="K12" s="308"/>
      <c r="L12" s="308">
        <f t="shared" si="4"/>
        <v>6.6524371133344154E-2</v>
      </c>
      <c r="M12" s="44" t="s">
        <v>874</v>
      </c>
    </row>
    <row r="13" spans="2:13" ht="14.5">
      <c r="B13" s="36" t="s">
        <v>876</v>
      </c>
      <c r="C13" s="33"/>
      <c r="D13" s="33">
        <v>40084772000</v>
      </c>
      <c r="E13" s="43">
        <v>56520802000</v>
      </c>
      <c r="F13" s="33">
        <v>34959809000</v>
      </c>
      <c r="G13" s="315">
        <f t="shared" si="0"/>
        <v>0</v>
      </c>
      <c r="H13" s="315">
        <f t="shared" si="1"/>
        <v>1.5047130803918986E-2</v>
      </c>
      <c r="I13" s="315">
        <f t="shared" si="2"/>
        <v>1.8551612432582628E-2</v>
      </c>
      <c r="J13" s="315">
        <f t="shared" si="3"/>
        <v>2.1755927402875016E-2</v>
      </c>
      <c r="K13" s="314"/>
      <c r="L13" s="314">
        <f t="shared" si="4"/>
        <v>0.12365122275366633</v>
      </c>
      <c r="M13" s="26" t="s">
        <v>877</v>
      </c>
    </row>
    <row r="14" spans="2:13" ht="14.5">
      <c r="B14" s="36" t="s">
        <v>875</v>
      </c>
      <c r="C14" s="33">
        <v>57932843664</v>
      </c>
      <c r="D14" s="38">
        <v>71646224000</v>
      </c>
      <c r="E14" s="37">
        <v>84048649000</v>
      </c>
      <c r="F14" s="33">
        <v>41974209000</v>
      </c>
      <c r="G14" s="309">
        <f t="shared" si="0"/>
        <v>3.8829602538661273E-2</v>
      </c>
      <c r="H14" s="309">
        <f t="shared" si="1"/>
        <v>2.6894754550054061E-2</v>
      </c>
      <c r="I14" s="309">
        <f t="shared" si="2"/>
        <v>2.7586975176505341E-2</v>
      </c>
      <c r="J14" s="309">
        <f t="shared" si="3"/>
        <v>2.6121076456599151E-2</v>
      </c>
      <c r="K14" s="308"/>
      <c r="L14" s="308">
        <f t="shared" si="4"/>
        <v>0.14846083017695966</v>
      </c>
      <c r="M14" s="26" t="s">
        <v>939</v>
      </c>
    </row>
    <row r="15" spans="2:13" ht="14.5">
      <c r="B15" s="36" t="s">
        <v>872</v>
      </c>
      <c r="C15" s="33">
        <v>24462190892</v>
      </c>
      <c r="D15" s="33">
        <v>45413231000</v>
      </c>
      <c r="E15" s="43">
        <v>53038998000</v>
      </c>
      <c r="F15" s="33">
        <v>27737871000</v>
      </c>
      <c r="G15" s="315">
        <f t="shared" si="0"/>
        <v>1.6395831612724197E-2</v>
      </c>
      <c r="H15" s="315">
        <f t="shared" si="1"/>
        <v>1.7047342244720477E-2</v>
      </c>
      <c r="I15" s="315">
        <f t="shared" si="2"/>
        <v>1.7408792867244258E-2</v>
      </c>
      <c r="J15" s="315">
        <f t="shared" si="3"/>
        <v>1.7261624850018836E-2</v>
      </c>
      <c r="K15" s="314"/>
      <c r="L15" s="314">
        <f t="shared" si="4"/>
        <v>9.8107563051430327E-2</v>
      </c>
      <c r="M15" s="26" t="s">
        <v>874</v>
      </c>
    </row>
    <row r="16" spans="2:13" ht="14.5">
      <c r="B16" s="36" t="s">
        <v>938</v>
      </c>
      <c r="C16" s="33">
        <v>19307619867</v>
      </c>
      <c r="D16" s="38">
        <v>35250284000</v>
      </c>
      <c r="E16" s="37">
        <v>36189728000</v>
      </c>
      <c r="F16" s="33">
        <v>19527250000</v>
      </c>
      <c r="G16" s="309">
        <f t="shared" si="0"/>
        <v>1.2940970233592124E-2</v>
      </c>
      <c r="H16" s="309">
        <f t="shared" si="1"/>
        <v>1.3232347541437744E-2</v>
      </c>
      <c r="I16" s="309">
        <f t="shared" si="2"/>
        <v>1.1878419699292016E-2</v>
      </c>
      <c r="J16" s="309">
        <f t="shared" si="3"/>
        <v>1.2152052471962622E-2</v>
      </c>
      <c r="K16" s="308"/>
      <c r="L16" s="308">
        <f t="shared" si="4"/>
        <v>6.9066977440195132E-2</v>
      </c>
      <c r="M16" s="26" t="s">
        <v>871</v>
      </c>
    </row>
    <row r="17" spans="2:13" ht="14.5">
      <c r="B17" s="36" t="s">
        <v>937</v>
      </c>
      <c r="C17" s="42">
        <v>52332283058</v>
      </c>
      <c r="D17" s="33">
        <v>320399000</v>
      </c>
      <c r="E17" s="30">
        <v>407868000</v>
      </c>
      <c r="F17" s="33">
        <v>229184000</v>
      </c>
      <c r="G17" s="305">
        <f t="shared" si="0"/>
        <v>3.507581576468663E-2</v>
      </c>
      <c r="H17" s="305">
        <f t="shared" si="1"/>
        <v>1.2027224858469542E-4</v>
      </c>
      <c r="I17" s="305">
        <f t="shared" si="2"/>
        <v>1.3387299528503879E-4</v>
      </c>
      <c r="J17" s="305">
        <f t="shared" si="3"/>
        <v>1.4262407629001941E-4</v>
      </c>
      <c r="K17" s="304"/>
      <c r="L17" s="304">
        <f t="shared" si="4"/>
        <v>8.1061317685048745E-4</v>
      </c>
      <c r="M17" s="26" t="s">
        <v>871</v>
      </c>
    </row>
    <row r="18" spans="2:13" ht="14.5">
      <c r="B18" s="40" t="s">
        <v>936</v>
      </c>
      <c r="C18" s="33">
        <v>5302192336</v>
      </c>
      <c r="D18" s="33">
        <v>10083249000</v>
      </c>
      <c r="E18" s="30">
        <v>11030370000</v>
      </c>
      <c r="F18" s="33">
        <v>5895208000</v>
      </c>
      <c r="G18" s="312">
        <f t="shared" si="0"/>
        <v>3.5538048535040741E-3</v>
      </c>
      <c r="H18" s="312">
        <f t="shared" si="1"/>
        <v>3.7850774511449213E-3</v>
      </c>
      <c r="I18" s="312">
        <f t="shared" si="2"/>
        <v>3.6204572827538157E-3</v>
      </c>
      <c r="J18" s="312">
        <f t="shared" si="3"/>
        <v>3.6686618417408404E-3</v>
      </c>
      <c r="K18" s="304"/>
      <c r="L18" s="304">
        <f t="shared" si="4"/>
        <v>2.0851077235210173E-2</v>
      </c>
      <c r="M18" s="26" t="s">
        <v>874</v>
      </c>
    </row>
    <row r="19" spans="2:13" ht="14.5">
      <c r="B19" s="36" t="s">
        <v>935</v>
      </c>
      <c r="C19" s="33">
        <v>4428873774</v>
      </c>
      <c r="D19" s="33">
        <v>2809111000</v>
      </c>
      <c r="E19" s="30">
        <v>3180943000</v>
      </c>
      <c r="F19" s="33">
        <v>806946000</v>
      </c>
      <c r="G19" s="312">
        <f t="shared" si="0"/>
        <v>2.9684613677126528E-3</v>
      </c>
      <c r="H19" s="312">
        <f t="shared" si="1"/>
        <v>1.0544917321652139E-3</v>
      </c>
      <c r="I19" s="312">
        <f t="shared" si="2"/>
        <v>1.0440690793123686E-3</v>
      </c>
      <c r="J19" s="312">
        <f t="shared" si="3"/>
        <v>5.021726118137654E-4</v>
      </c>
      <c r="K19" s="304"/>
      <c r="L19" s="304">
        <f t="shared" si="4"/>
        <v>2.8541305702265143E-3</v>
      </c>
      <c r="M19" s="26" t="s">
        <v>874</v>
      </c>
    </row>
    <row r="20" spans="2:13" ht="14.5">
      <c r="B20" s="36" t="s">
        <v>934</v>
      </c>
      <c r="C20" s="33">
        <v>1301576639</v>
      </c>
      <c r="D20" s="33">
        <v>2054177000</v>
      </c>
      <c r="E20" s="30">
        <v>2692756000</v>
      </c>
      <c r="F20" s="33">
        <v>1533015000</v>
      </c>
      <c r="G20" s="312">
        <f t="shared" si="0"/>
        <v>8.7238430516371225E-4</v>
      </c>
      <c r="H20" s="312">
        <f t="shared" si="1"/>
        <v>7.7110255269512043E-4</v>
      </c>
      <c r="I20" s="312">
        <f t="shared" si="2"/>
        <v>8.8383327765786945E-4</v>
      </c>
      <c r="J20" s="312">
        <f t="shared" si="3"/>
        <v>9.5401445263955647E-4</v>
      </c>
      <c r="K20" s="304"/>
      <c r="L20" s="304">
        <f t="shared" si="4"/>
        <v>5.4222029430913594E-3</v>
      </c>
      <c r="M20" s="26" t="s">
        <v>874</v>
      </c>
    </row>
    <row r="21" spans="2:13" ht="14.5">
      <c r="B21" s="36" t="s">
        <v>933</v>
      </c>
      <c r="C21" s="33">
        <v>906045293</v>
      </c>
      <c r="D21" s="33">
        <v>1592467000</v>
      </c>
      <c r="E21" s="30">
        <v>1675418000</v>
      </c>
      <c r="F21" s="33">
        <v>810961000</v>
      </c>
      <c r="G21" s="312">
        <f t="shared" si="0"/>
        <v>6.0727864168485363E-4</v>
      </c>
      <c r="H21" s="312">
        <f t="shared" si="1"/>
        <v>5.9778459635306033E-4</v>
      </c>
      <c r="I21" s="312">
        <f t="shared" si="2"/>
        <v>5.4991621312402322E-4</v>
      </c>
      <c r="J21" s="312">
        <f t="shared" si="3"/>
        <v>5.0467119664649558E-4</v>
      </c>
      <c r="K21" s="304"/>
      <c r="L21" s="304">
        <f t="shared" si="4"/>
        <v>2.8683314389828618E-3</v>
      </c>
      <c r="M21" s="26" t="s">
        <v>874</v>
      </c>
    </row>
    <row r="22" spans="2:13" ht="14.5">
      <c r="B22" s="36" t="s">
        <v>932</v>
      </c>
      <c r="C22" s="33">
        <v>535488362</v>
      </c>
      <c r="D22" s="33">
        <v>1589393000</v>
      </c>
      <c r="E22" s="30">
        <v>1616406000</v>
      </c>
      <c r="F22" s="33">
        <v>621261000</v>
      </c>
      <c r="G22" s="312">
        <f t="shared" si="0"/>
        <v>3.5891212903570283E-4</v>
      </c>
      <c r="H22" s="312">
        <f t="shared" si="1"/>
        <v>5.9663066986718062E-4</v>
      </c>
      <c r="I22" s="312">
        <f t="shared" si="2"/>
        <v>5.3054692404579031E-4</v>
      </c>
      <c r="J22" s="312">
        <f t="shared" si="3"/>
        <v>3.8661850853468721E-4</v>
      </c>
      <c r="K22" s="304"/>
      <c r="L22" s="304">
        <f t="shared" si="4"/>
        <v>2.1973713385895644E-3</v>
      </c>
      <c r="M22" s="26" t="s">
        <v>874</v>
      </c>
    </row>
    <row r="23" spans="2:13" ht="14.5">
      <c r="B23" s="40" t="s">
        <v>931</v>
      </c>
      <c r="C23" s="33">
        <v>1583124441</v>
      </c>
      <c r="D23" s="33">
        <v>3290791000</v>
      </c>
      <c r="E23" s="30">
        <v>4054120000</v>
      </c>
      <c r="F23" s="33">
        <v>2055020000</v>
      </c>
      <c r="G23" s="312">
        <f t="shared" si="0"/>
        <v>1.0610922738368811E-3</v>
      </c>
      <c r="H23" s="312">
        <f t="shared" si="1"/>
        <v>1.2353060814555552E-3</v>
      </c>
      <c r="I23" s="312">
        <f t="shared" si="2"/>
        <v>1.330668715478982E-3</v>
      </c>
      <c r="J23" s="312">
        <f t="shared" si="3"/>
        <v>1.2788647080839662E-3</v>
      </c>
      <c r="K23" s="304"/>
      <c r="L23" s="304">
        <f t="shared" si="4"/>
        <v>7.2685104138652291E-3</v>
      </c>
      <c r="M23" s="26" t="s">
        <v>874</v>
      </c>
    </row>
    <row r="24" spans="2:13" ht="14.5">
      <c r="B24" s="40" t="s">
        <v>930</v>
      </c>
      <c r="C24" s="33">
        <v>361533410</v>
      </c>
      <c r="D24" s="33">
        <v>927633000</v>
      </c>
      <c r="E24" s="30">
        <v>687244000</v>
      </c>
      <c r="F24" s="33">
        <v>291174000</v>
      </c>
      <c r="G24" s="312">
        <f t="shared" si="0"/>
        <v>2.423184799311057E-4</v>
      </c>
      <c r="H24" s="312">
        <f t="shared" si="1"/>
        <v>3.4821740008978422E-4</v>
      </c>
      <c r="I24" s="312">
        <f t="shared" si="2"/>
        <v>2.2557153974244411E-4</v>
      </c>
      <c r="J24" s="312">
        <f t="shared" si="3"/>
        <v>1.8120123040731514E-4</v>
      </c>
      <c r="K24" s="304"/>
      <c r="L24" s="304">
        <f t="shared" si="4"/>
        <v>1.0298689313227095E-3</v>
      </c>
      <c r="M24" s="26" t="s">
        <v>874</v>
      </c>
    </row>
    <row r="25" spans="2:13" ht="14.5">
      <c r="B25" s="40" t="s">
        <v>929</v>
      </c>
      <c r="C25" s="33">
        <v>900000923</v>
      </c>
      <c r="D25" s="33">
        <v>1587202000</v>
      </c>
      <c r="E25" s="30">
        <v>1756877000</v>
      </c>
      <c r="F25" s="33">
        <v>915127000</v>
      </c>
      <c r="G25" s="312">
        <f t="shared" si="0"/>
        <v>6.0322739079066612E-4</v>
      </c>
      <c r="H25" s="312">
        <f t="shared" si="1"/>
        <v>5.9580820632438225E-4</v>
      </c>
      <c r="I25" s="312">
        <f t="shared" si="2"/>
        <v>5.766531974496481E-4</v>
      </c>
      <c r="J25" s="312">
        <f t="shared" si="3"/>
        <v>5.6949500428937706E-4</v>
      </c>
      <c r="K25" s="304"/>
      <c r="L25" s="304">
        <f t="shared" si="4"/>
        <v>3.2367617490385719E-3</v>
      </c>
      <c r="M25" s="26" t="s">
        <v>878</v>
      </c>
    </row>
    <row r="26" spans="2:13" ht="14.5">
      <c r="B26" s="40" t="s">
        <v>928</v>
      </c>
      <c r="C26" s="33">
        <v>806107754</v>
      </c>
      <c r="D26" s="33">
        <v>1392467000</v>
      </c>
      <c r="E26" s="30">
        <v>1437507000</v>
      </c>
      <c r="F26" s="33">
        <v>739795000</v>
      </c>
      <c r="G26" s="312">
        <f t="shared" si="0"/>
        <v>5.4029530938774837E-4</v>
      </c>
      <c r="H26" s="312">
        <f t="shared" si="1"/>
        <v>5.2270805205379886E-4</v>
      </c>
      <c r="I26" s="312">
        <f t="shared" si="2"/>
        <v>4.7182757125641199E-4</v>
      </c>
      <c r="J26" s="312">
        <f t="shared" si="3"/>
        <v>4.6038370269728651E-4</v>
      </c>
      <c r="K26" s="304"/>
      <c r="L26" s="304">
        <f t="shared" si="4"/>
        <v>2.6166205981574034E-3</v>
      </c>
      <c r="M26" s="26" t="s">
        <v>874</v>
      </c>
    </row>
    <row r="27" spans="2:13" ht="14.5">
      <c r="B27" s="41" t="s">
        <v>927</v>
      </c>
      <c r="C27" s="33">
        <v>262373891</v>
      </c>
      <c r="D27" s="38">
        <v>366274000</v>
      </c>
      <c r="E27" s="37">
        <v>366977000</v>
      </c>
      <c r="F27" s="33">
        <v>150423000</v>
      </c>
      <c r="G27" s="313">
        <f t="shared" si="0"/>
        <v>1.758566170709634E-4</v>
      </c>
      <c r="H27" s="313">
        <f t="shared" si="1"/>
        <v>1.3749293093333855E-4</v>
      </c>
      <c r="I27" s="313">
        <f t="shared" si="2"/>
        <v>1.2045149457843635E-4</v>
      </c>
      <c r="J27" s="313">
        <f t="shared" si="3"/>
        <v>9.3610118628584854E-5</v>
      </c>
      <c r="K27" s="308"/>
      <c r="L27" s="308">
        <f t="shared" si="4"/>
        <v>5.3203917333400621E-4</v>
      </c>
      <c r="M27" s="26" t="s">
        <v>874</v>
      </c>
    </row>
    <row r="28" spans="2:13" ht="14.5">
      <c r="B28" s="40" t="s">
        <v>926</v>
      </c>
      <c r="C28" s="33">
        <v>226288523</v>
      </c>
      <c r="D28" s="33">
        <v>314564000</v>
      </c>
      <c r="E28" s="30">
        <v>439229000</v>
      </c>
      <c r="F28" s="33">
        <v>177657000</v>
      </c>
      <c r="G28" s="312">
        <f t="shared" si="0"/>
        <v>1.5167032811494531E-4</v>
      </c>
      <c r="H28" s="312">
        <f t="shared" si="1"/>
        <v>1.1808189040476447E-4</v>
      </c>
      <c r="I28" s="312">
        <f t="shared" si="2"/>
        <v>1.4416649956861606E-4</v>
      </c>
      <c r="J28" s="312">
        <f t="shared" si="3"/>
        <v>1.1055817823869023E-4</v>
      </c>
      <c r="K28" s="304"/>
      <c r="L28" s="304">
        <f t="shared" si="4"/>
        <v>6.2836456803148151E-4</v>
      </c>
      <c r="M28" s="26" t="s">
        <v>874</v>
      </c>
    </row>
    <row r="29" spans="2:13" ht="14.5">
      <c r="B29" s="40" t="s">
        <v>925</v>
      </c>
      <c r="C29" s="33">
        <v>633383137</v>
      </c>
      <c r="D29" s="33">
        <v>1410235000</v>
      </c>
      <c r="E29" s="30">
        <v>2397759000</v>
      </c>
      <c r="F29" s="33">
        <v>1173335000</v>
      </c>
      <c r="G29" s="312">
        <f t="shared" si="0"/>
        <v>4.2452629473949658E-4</v>
      </c>
      <c r="H29" s="312">
        <f t="shared" si="1"/>
        <v>5.2937785224934524E-4</v>
      </c>
      <c r="I29" s="312">
        <f t="shared" si="2"/>
        <v>7.870075105221771E-4</v>
      </c>
      <c r="J29" s="312">
        <f t="shared" si="3"/>
        <v>7.3018107962924959E-4</v>
      </c>
      <c r="K29" s="304"/>
      <c r="L29" s="304">
        <f t="shared" si="4"/>
        <v>4.1500314675538726E-3</v>
      </c>
      <c r="M29" s="26" t="s">
        <v>874</v>
      </c>
    </row>
    <row r="30" spans="2:13" ht="14.5">
      <c r="B30" s="35" t="s">
        <v>924</v>
      </c>
      <c r="C30" s="34"/>
      <c r="D30" s="34">
        <v>82506369667</v>
      </c>
      <c r="E30" s="39">
        <v>94297663303</v>
      </c>
      <c r="F30" s="39">
        <v>49717395894</v>
      </c>
      <c r="G30" s="311">
        <f t="shared" si="0"/>
        <v>0</v>
      </c>
      <c r="H30" s="311">
        <f t="shared" si="1"/>
        <v>3.0971465586378855E-2</v>
      </c>
      <c r="I30" s="311">
        <f t="shared" si="2"/>
        <v>3.09509709875565E-2</v>
      </c>
      <c r="J30" s="311">
        <f t="shared" si="3"/>
        <v>3.0939758730657262E-2</v>
      </c>
      <c r="K30" s="310"/>
      <c r="L30" s="310">
        <f t="shared" si="4"/>
        <v>0.175848123038121</v>
      </c>
      <c r="M30" s="26"/>
    </row>
    <row r="31" spans="2:13" ht="14.5">
      <c r="B31" s="40" t="s">
        <v>923</v>
      </c>
      <c r="C31" s="33">
        <v>32688234426</v>
      </c>
      <c r="D31" s="33">
        <v>54566105000</v>
      </c>
      <c r="E31" s="30">
        <v>61330566000</v>
      </c>
      <c r="F31" s="30">
        <v>29252153000</v>
      </c>
      <c r="G31" s="305">
        <f t="shared" si="0"/>
        <v>2.1909353488907039E-2</v>
      </c>
      <c r="H31" s="305">
        <f t="shared" si="1"/>
        <v>2.0483172996353272E-2</v>
      </c>
      <c r="I31" s="305">
        <f t="shared" si="2"/>
        <v>2.0130303365173928E-2</v>
      </c>
      <c r="J31" s="305">
        <f t="shared" si="3"/>
        <v>1.8203981521918284E-2</v>
      </c>
      <c r="K31" s="304"/>
      <c r="L31" s="304">
        <f t="shared" si="4"/>
        <v>0.10346350824248865</v>
      </c>
      <c r="M31" s="26" t="s">
        <v>877</v>
      </c>
    </row>
    <row r="32" spans="2:13" ht="14.5">
      <c r="B32" s="40" t="s">
        <v>922</v>
      </c>
      <c r="C32" s="33"/>
      <c r="D32" s="33">
        <v>27940265000</v>
      </c>
      <c r="E32" s="30">
        <v>32967097000</v>
      </c>
      <c r="F32" s="30">
        <v>20465243000</v>
      </c>
      <c r="G32" s="305">
        <f t="shared" si="0"/>
        <v>0</v>
      </c>
      <c r="H32" s="305">
        <f t="shared" si="1"/>
        <v>1.0488292715028028E-2</v>
      </c>
      <c r="I32" s="305">
        <f t="shared" si="2"/>
        <v>1.0820667522930007E-2</v>
      </c>
      <c r="J32" s="305">
        <f t="shared" si="3"/>
        <v>1.2735777274704105E-2</v>
      </c>
      <c r="K32" s="304"/>
      <c r="L32" s="304">
        <f t="shared" si="4"/>
        <v>7.2384615170549435E-2</v>
      </c>
      <c r="M32" s="26" t="s">
        <v>877</v>
      </c>
    </row>
    <row r="33" spans="2:13" ht="14.5">
      <c r="B33" s="35" t="s">
        <v>921</v>
      </c>
      <c r="C33" s="34"/>
      <c r="D33" s="34">
        <v>-10862635296</v>
      </c>
      <c r="E33" s="39">
        <v>-12610302611</v>
      </c>
      <c r="F33" s="39">
        <v>-6851317837</v>
      </c>
      <c r="G33" s="311">
        <f t="shared" si="0"/>
        <v>0</v>
      </c>
      <c r="H33" s="311">
        <f t="shared" si="1"/>
        <v>-4.0776456000343282E-3</v>
      </c>
      <c r="I33" s="311">
        <f t="shared" si="2"/>
        <v>-4.1390326821062586E-3</v>
      </c>
      <c r="J33" s="311">
        <f t="shared" si="3"/>
        <v>-4.2636609792632068E-3</v>
      </c>
      <c r="K33" s="310"/>
      <c r="L33" s="310">
        <f t="shared" si="4"/>
        <v>-2.4232793377648439E-2</v>
      </c>
      <c r="M33" s="26"/>
    </row>
    <row r="34" spans="2:13" ht="14.5">
      <c r="B34" s="36" t="s">
        <v>920</v>
      </c>
      <c r="C34" s="33"/>
      <c r="D34" s="33">
        <v>-1190283000</v>
      </c>
      <c r="E34" s="30">
        <v>-3065088000</v>
      </c>
      <c r="F34" s="30">
        <v>-1798979000</v>
      </c>
      <c r="G34" s="305">
        <f t="shared" si="0"/>
        <v>0</v>
      </c>
      <c r="H34" s="305">
        <f t="shared" si="1"/>
        <v>-4.468116718907894E-4</v>
      </c>
      <c r="I34" s="305">
        <f t="shared" si="2"/>
        <v>-1.0060424239514475E-3</v>
      </c>
      <c r="J34" s="305">
        <f t="shared" si="3"/>
        <v>-1.1195271840099782E-3</v>
      </c>
      <c r="K34" s="304"/>
      <c r="L34" s="304">
        <f t="shared" si="4"/>
        <v>-6.3629052738293822E-3</v>
      </c>
      <c r="M34" s="26"/>
    </row>
    <row r="35" spans="2:13" ht="14.5">
      <c r="B35" s="36" t="s">
        <v>919</v>
      </c>
      <c r="C35" s="33"/>
      <c r="D35" s="33">
        <v>-803973000</v>
      </c>
      <c r="E35" s="30">
        <v>-83336000</v>
      </c>
      <c r="F35" s="30">
        <v>-141278000</v>
      </c>
      <c r="G35" s="305">
        <f t="shared" si="0"/>
        <v>0</v>
      </c>
      <c r="H35" s="305">
        <f t="shared" si="1"/>
        <v>-3.0179757274955083E-4</v>
      </c>
      <c r="I35" s="305">
        <f t="shared" si="2"/>
        <v>-2.735306504818714E-5</v>
      </c>
      <c r="J35" s="305">
        <f t="shared" si="3"/>
        <v>-8.7919070485292878E-5</v>
      </c>
      <c r="K35" s="304"/>
      <c r="L35" s="304">
        <f t="shared" si="4"/>
        <v>-4.9969373254277422E-4</v>
      </c>
      <c r="M35" s="26"/>
    </row>
    <row r="36" spans="2:13" ht="14.5">
      <c r="B36" s="36" t="s">
        <v>918</v>
      </c>
      <c r="C36" s="33"/>
      <c r="D36" s="33">
        <v>0</v>
      </c>
      <c r="E36" s="30">
        <v>-47778000</v>
      </c>
      <c r="F36" s="30">
        <v>0</v>
      </c>
      <c r="G36" s="305">
        <f t="shared" ref="G36:G67" si="5">C36/$C$4</f>
        <v>0</v>
      </c>
      <c r="H36" s="305">
        <f t="shared" ref="H36:H67" si="6">D36/$D$4</f>
        <v>0</v>
      </c>
      <c r="I36" s="305">
        <f t="shared" ref="I36:I67" si="7">E36/$E$4</f>
        <v>-1.5681995078624905E-5</v>
      </c>
      <c r="J36" s="305">
        <f t="shared" ref="J36:J67" si="8">F36/$F$4</f>
        <v>0</v>
      </c>
      <c r="K36" s="304"/>
      <c r="L36" s="304">
        <f t="shared" si="4"/>
        <v>0</v>
      </c>
      <c r="M36" s="26"/>
    </row>
    <row r="37" spans="2:13" ht="14.5">
      <c r="B37" s="36" t="s">
        <v>917</v>
      </c>
      <c r="C37" s="33"/>
      <c r="D37" s="33">
        <v>0</v>
      </c>
      <c r="E37" s="30">
        <v>0</v>
      </c>
      <c r="F37" s="30">
        <v>-11364000</v>
      </c>
      <c r="G37" s="305">
        <f t="shared" si="5"/>
        <v>0</v>
      </c>
      <c r="H37" s="305">
        <f t="shared" si="6"/>
        <v>0</v>
      </c>
      <c r="I37" s="305">
        <f t="shared" si="7"/>
        <v>0</v>
      </c>
      <c r="J37" s="305">
        <f t="shared" si="8"/>
        <v>-7.0719596610574063E-6</v>
      </c>
      <c r="K37" s="304"/>
      <c r="L37" s="304">
        <f t="shared" si="4"/>
        <v>-4.0193940858563164E-5</v>
      </c>
      <c r="M37" s="26"/>
    </row>
    <row r="38" spans="2:13" ht="14.5">
      <c r="B38" s="36" t="s">
        <v>916</v>
      </c>
      <c r="C38" s="33"/>
      <c r="D38" s="33">
        <v>-4746763000</v>
      </c>
      <c r="E38" s="30">
        <v>-5702341000</v>
      </c>
      <c r="F38" s="30">
        <v>-2963052000</v>
      </c>
      <c r="G38" s="305">
        <f t="shared" si="5"/>
        <v>0</v>
      </c>
      <c r="H38" s="305">
        <f t="shared" si="6"/>
        <v>-1.7818528132379772E-3</v>
      </c>
      <c r="I38" s="305">
        <f t="shared" si="7"/>
        <v>-1.8716581585382609E-3</v>
      </c>
      <c r="J38" s="305">
        <f t="shared" si="8"/>
        <v>-1.8439444049292036E-3</v>
      </c>
      <c r="K38" s="304"/>
      <c r="L38" s="304">
        <f t="shared" si="4"/>
        <v>-1.0480177477019298E-2</v>
      </c>
      <c r="M38" s="26"/>
    </row>
    <row r="39" spans="2:13" ht="14.5">
      <c r="B39" s="36" t="s">
        <v>915</v>
      </c>
      <c r="C39" s="33"/>
      <c r="D39" s="33">
        <v>-1421868000</v>
      </c>
      <c r="E39" s="30">
        <v>-1331011000</v>
      </c>
      <c r="F39" s="30">
        <v>-641245000</v>
      </c>
      <c r="G39" s="305">
        <f t="shared" si="5"/>
        <v>0</v>
      </c>
      <c r="H39" s="305">
        <f t="shared" si="6"/>
        <v>-5.3374467944851173E-4</v>
      </c>
      <c r="I39" s="305">
        <f t="shared" si="7"/>
        <v>-4.3687278562509134E-4</v>
      </c>
      <c r="J39" s="305">
        <f t="shared" si="8"/>
        <v>-3.9905480225754634E-4</v>
      </c>
      <c r="K39" s="304"/>
      <c r="L39" s="304">
        <f t="shared" si="4"/>
        <v>-2.2680538195925144E-3</v>
      </c>
      <c r="M39" s="26"/>
    </row>
    <row r="40" spans="2:13" ht="14.5">
      <c r="B40" s="36" t="s">
        <v>914</v>
      </c>
      <c r="C40" s="33"/>
      <c r="D40" s="33">
        <v>0</v>
      </c>
      <c r="E40" s="30">
        <v>-336898000</v>
      </c>
      <c r="F40" s="30">
        <v>-269000</v>
      </c>
      <c r="G40" s="305">
        <f t="shared" si="5"/>
        <v>0</v>
      </c>
      <c r="H40" s="305">
        <f t="shared" si="6"/>
        <v>0</v>
      </c>
      <c r="I40" s="305">
        <f t="shared" si="7"/>
        <v>-1.1057877638240557E-4</v>
      </c>
      <c r="J40" s="305">
        <f t="shared" si="8"/>
        <v>-1.6740207223023954E-7</v>
      </c>
      <c r="K40" s="304"/>
      <c r="L40" s="304">
        <f t="shared" si="4"/>
        <v>-9.514405219072061E-7</v>
      </c>
      <c r="M40" s="26"/>
    </row>
    <row r="41" spans="2:13" ht="14.5">
      <c r="B41" s="36" t="s">
        <v>913</v>
      </c>
      <c r="C41" s="33"/>
      <c r="D41" s="33">
        <v>0</v>
      </c>
      <c r="E41" s="30">
        <v>0</v>
      </c>
      <c r="F41" s="30">
        <v>-460000</v>
      </c>
      <c r="G41" s="305">
        <f t="shared" si="5"/>
        <v>0</v>
      </c>
      <c r="H41" s="305">
        <f t="shared" si="6"/>
        <v>0</v>
      </c>
      <c r="I41" s="305">
        <f t="shared" si="7"/>
        <v>0</v>
      </c>
      <c r="J41" s="305">
        <f t="shared" si="8"/>
        <v>-2.8626376663907135E-7</v>
      </c>
      <c r="K41" s="304"/>
      <c r="L41" s="304">
        <f t="shared" si="4"/>
        <v>-1.6269986619974528E-6</v>
      </c>
      <c r="M41" s="26"/>
    </row>
    <row r="42" spans="2:13" ht="14.5">
      <c r="B42" s="36" t="s">
        <v>912</v>
      </c>
      <c r="C42" s="38"/>
      <c r="D42" s="38">
        <v>-934000</v>
      </c>
      <c r="E42" s="37">
        <v>-57829000</v>
      </c>
      <c r="F42" s="37">
        <v>-8666000</v>
      </c>
      <c r="G42" s="309">
        <f t="shared" si="5"/>
        <v>0</v>
      </c>
      <c r="H42" s="309">
        <f t="shared" si="6"/>
        <v>-3.5060746187755122E-7</v>
      </c>
      <c r="I42" s="309">
        <f t="shared" si="7"/>
        <v>-1.8980997392142822E-5</v>
      </c>
      <c r="J42" s="309">
        <f t="shared" si="8"/>
        <v>-5.3929604384656357E-6</v>
      </c>
      <c r="K42" s="308"/>
      <c r="L42" s="308">
        <f t="shared" si="4"/>
        <v>-3.0651240010586799E-5</v>
      </c>
      <c r="M42" s="26"/>
    </row>
    <row r="43" spans="2:13" ht="14.5">
      <c r="B43" s="36" t="s">
        <v>911</v>
      </c>
      <c r="C43" s="33"/>
      <c r="D43" s="33">
        <v>-2000000000</v>
      </c>
      <c r="E43" s="30">
        <v>-1000000000</v>
      </c>
      <c r="F43" s="30">
        <v>-500000000</v>
      </c>
      <c r="G43" s="305">
        <f t="shared" si="5"/>
        <v>0</v>
      </c>
      <c r="H43" s="305">
        <f t="shared" si="6"/>
        <v>-7.5076544299261495E-4</v>
      </c>
      <c r="I43" s="305">
        <f t="shared" si="7"/>
        <v>-3.2822627733737088E-4</v>
      </c>
      <c r="J43" s="305">
        <f t="shared" si="8"/>
        <v>-3.1115626808594715E-4</v>
      </c>
      <c r="K43" s="304"/>
      <c r="L43" s="304">
        <f t="shared" si="4"/>
        <v>-1.7684768065189705E-3</v>
      </c>
      <c r="M43" s="26"/>
    </row>
    <row r="44" spans="2:13" ht="14.5">
      <c r="B44" s="36" t="s">
        <v>910</v>
      </c>
      <c r="C44" s="33"/>
      <c r="D44" s="33">
        <v>-698814000</v>
      </c>
      <c r="E44" s="30">
        <v>-986022000</v>
      </c>
      <c r="F44" s="30">
        <v>-786005000</v>
      </c>
      <c r="G44" s="305">
        <f t="shared" si="5"/>
        <v>0</v>
      </c>
      <c r="H44" s="305">
        <f t="shared" si="6"/>
        <v>-2.6232270113972061E-4</v>
      </c>
      <c r="I44" s="305">
        <f t="shared" si="7"/>
        <v>-3.236383304327491E-4</v>
      </c>
      <c r="J44" s="305">
        <f t="shared" si="8"/>
        <v>-4.8914076499378977E-4</v>
      </c>
      <c r="K44" s="304"/>
      <c r="L44" s="304">
        <f t="shared" si="4"/>
        <v>-2.7800632246158868E-3</v>
      </c>
      <c r="M44" s="26"/>
    </row>
    <row r="45" spans="2:13" ht="14.5">
      <c r="B45" s="35" t="s">
        <v>909</v>
      </c>
      <c r="C45" s="34"/>
      <c r="D45" s="34">
        <v>8965605432</v>
      </c>
      <c r="E45" s="39">
        <v>12009605412</v>
      </c>
      <c r="F45" s="39">
        <v>4935798730</v>
      </c>
      <c r="G45" s="311">
        <f t="shared" si="5"/>
        <v>0</v>
      </c>
      <c r="H45" s="311">
        <f t="shared" si="6"/>
        <v>3.3655333669262376E-3</v>
      </c>
      <c r="I45" s="311">
        <f t="shared" si="7"/>
        <v>3.9418680766715028E-3</v>
      </c>
      <c r="J45" s="311">
        <f t="shared" si="8"/>
        <v>3.0716094257003147E-3</v>
      </c>
      <c r="K45" s="310"/>
      <c r="L45" s="310">
        <f t="shared" si="4"/>
        <v>1.745769115130158E-2</v>
      </c>
      <c r="M45" s="26"/>
    </row>
    <row r="46" spans="2:13" ht="14.5">
      <c r="B46" s="36" t="s">
        <v>908</v>
      </c>
      <c r="C46" s="33"/>
      <c r="D46" s="33">
        <v>425530000</v>
      </c>
      <c r="E46" s="30">
        <v>2099566000</v>
      </c>
      <c r="F46" s="30">
        <v>795642000</v>
      </c>
      <c r="G46" s="305">
        <f t="shared" si="5"/>
        <v>0</v>
      </c>
      <c r="H46" s="305">
        <f t="shared" si="6"/>
        <v>1.5973660947832374E-4</v>
      </c>
      <c r="I46" s="305">
        <f t="shared" si="7"/>
        <v>6.8913273220411447E-4</v>
      </c>
      <c r="J46" s="305">
        <f t="shared" si="8"/>
        <v>4.9513799090487832E-4</v>
      </c>
      <c r="K46" s="304"/>
      <c r="L46" s="304">
        <f t="shared" si="4"/>
        <v>2.8141488465847336E-3</v>
      </c>
      <c r="M46" s="26"/>
    </row>
    <row r="47" spans="2:13" ht="14.5">
      <c r="B47" s="36" t="s">
        <v>907</v>
      </c>
      <c r="C47" s="33"/>
      <c r="D47" s="33">
        <v>5439472000</v>
      </c>
      <c r="E47" s="30">
        <v>6215475000</v>
      </c>
      <c r="F47" s="30">
        <v>3116173000</v>
      </c>
      <c r="G47" s="305">
        <f t="shared" si="5"/>
        <v>0</v>
      </c>
      <c r="H47" s="305">
        <f t="shared" si="6"/>
        <v>2.0418838028629627E-3</v>
      </c>
      <c r="I47" s="305">
        <f t="shared" si="7"/>
        <v>2.0400822211334951E-3</v>
      </c>
      <c r="J47" s="305">
        <f t="shared" si="8"/>
        <v>1.9392335227803802E-3</v>
      </c>
      <c r="K47" s="304"/>
      <c r="L47" s="304">
        <f t="shared" si="4"/>
        <v>1.1021759351201279E-2</v>
      </c>
      <c r="M47" s="26"/>
    </row>
    <row r="48" spans="2:13" ht="14.5">
      <c r="B48" s="36" t="s">
        <v>906</v>
      </c>
      <c r="C48" s="33"/>
      <c r="D48" s="33">
        <v>1360099000</v>
      </c>
      <c r="E48" s="30">
        <v>1327607000</v>
      </c>
      <c r="F48" s="30">
        <v>617075000</v>
      </c>
      <c r="G48" s="305">
        <f t="shared" si="5"/>
        <v>0</v>
      </c>
      <c r="H48" s="305">
        <f t="shared" si="6"/>
        <v>5.1055766412440632E-4</v>
      </c>
      <c r="I48" s="305">
        <f t="shared" si="7"/>
        <v>4.3575550337703495E-4</v>
      </c>
      <c r="J48" s="305">
        <f t="shared" si="8"/>
        <v>3.8401350825827168E-4</v>
      </c>
      <c r="K48" s="304"/>
      <c r="L48" s="304">
        <f t="shared" si="4"/>
        <v>2.1825656507653874E-3</v>
      </c>
      <c r="M48" s="26"/>
    </row>
    <row r="49" spans="2:13" ht="14.5">
      <c r="B49" s="36" t="s">
        <v>905</v>
      </c>
      <c r="C49" s="33"/>
      <c r="D49" s="33">
        <v>609315000</v>
      </c>
      <c r="E49" s="30">
        <v>535600000</v>
      </c>
      <c r="F49" s="30">
        <v>256595000</v>
      </c>
      <c r="G49" s="305">
        <f t="shared" si="5"/>
        <v>0</v>
      </c>
      <c r="H49" s="305">
        <f t="shared" si="6"/>
        <v>2.2872632294852261E-4</v>
      </c>
      <c r="I49" s="305">
        <f t="shared" si="7"/>
        <v>1.7579799414189584E-4</v>
      </c>
      <c r="J49" s="305">
        <f t="shared" si="8"/>
        <v>1.5968228521902721E-4</v>
      </c>
      <c r="K49" s="304"/>
      <c r="L49" s="304">
        <f t="shared" si="4"/>
        <v>9.0756461233747047E-4</v>
      </c>
      <c r="M49" s="26"/>
    </row>
    <row r="50" spans="2:13" ht="14.5">
      <c r="B50" s="36" t="s">
        <v>904</v>
      </c>
      <c r="C50" s="33"/>
      <c r="D50" s="33">
        <v>0</v>
      </c>
      <c r="E50" s="30">
        <v>20426000</v>
      </c>
      <c r="F50" s="30">
        <v>0</v>
      </c>
      <c r="G50" s="305">
        <f t="shared" si="5"/>
        <v>0</v>
      </c>
      <c r="H50" s="305">
        <f t="shared" si="6"/>
        <v>0</v>
      </c>
      <c r="I50" s="305">
        <f t="shared" si="7"/>
        <v>6.7043499408931376E-6</v>
      </c>
      <c r="J50" s="305">
        <f t="shared" si="8"/>
        <v>0</v>
      </c>
      <c r="K50" s="304"/>
      <c r="L50" s="304">
        <f t="shared" si="4"/>
        <v>0</v>
      </c>
      <c r="M50" s="26"/>
    </row>
    <row r="51" spans="2:13" ht="14.5">
      <c r="B51" s="36" t="s">
        <v>903</v>
      </c>
      <c r="C51" s="33"/>
      <c r="D51" s="33">
        <v>0</v>
      </c>
      <c r="E51" s="30">
        <v>795576000</v>
      </c>
      <c r="F51" s="30">
        <v>0</v>
      </c>
      <c r="G51" s="305">
        <f t="shared" si="5"/>
        <v>0</v>
      </c>
      <c r="H51" s="305">
        <f t="shared" si="6"/>
        <v>0</v>
      </c>
      <c r="I51" s="305">
        <f t="shared" si="7"/>
        <v>2.6112894881895619E-4</v>
      </c>
      <c r="J51" s="305">
        <f t="shared" si="8"/>
        <v>0</v>
      </c>
      <c r="K51" s="304"/>
      <c r="L51" s="304">
        <f t="shared" si="4"/>
        <v>0</v>
      </c>
      <c r="M51" s="26"/>
    </row>
    <row r="52" spans="2:13" ht="14.5">
      <c r="B52" s="36" t="s">
        <v>902</v>
      </c>
      <c r="C52" s="38"/>
      <c r="D52" s="38">
        <v>795561000</v>
      </c>
      <c r="E52" s="37">
        <v>366591000</v>
      </c>
      <c r="F52" s="37">
        <v>9545000</v>
      </c>
      <c r="G52" s="309">
        <f t="shared" si="5"/>
        <v>0</v>
      </c>
      <c r="H52" s="309">
        <f t="shared" si="6"/>
        <v>2.9863985329632391E-4</v>
      </c>
      <c r="I52" s="309">
        <f t="shared" si="7"/>
        <v>1.2032479923538413E-4</v>
      </c>
      <c r="J52" s="309">
        <f t="shared" si="8"/>
        <v>5.9399731577607311E-6</v>
      </c>
      <c r="K52" s="308"/>
      <c r="L52" s="308">
        <f t="shared" si="4"/>
        <v>3.3760222236447149E-5</v>
      </c>
      <c r="M52" s="26"/>
    </row>
    <row r="53" spans="2:13" ht="14.5">
      <c r="B53" s="36" t="s">
        <v>901</v>
      </c>
      <c r="C53" s="33"/>
      <c r="D53" s="33">
        <v>335628000</v>
      </c>
      <c r="E53" s="30">
        <v>648764000</v>
      </c>
      <c r="F53" s="30">
        <v>140769000</v>
      </c>
      <c r="G53" s="305">
        <f t="shared" si="5"/>
        <v>0</v>
      </c>
      <c r="H53" s="305">
        <f t="shared" si="6"/>
        <v>1.259889520503627E-4</v>
      </c>
      <c r="I53" s="305">
        <f t="shared" si="7"/>
        <v>2.1294139259050209E-4</v>
      </c>
      <c r="J53" s="305">
        <f t="shared" si="8"/>
        <v>8.7602313404381378E-5</v>
      </c>
      <c r="K53" s="304"/>
      <c r="L53" s="304">
        <f t="shared" si="4"/>
        <v>4.9789342315373786E-4</v>
      </c>
      <c r="M53" s="26"/>
    </row>
    <row r="54" spans="2:13" ht="14.5">
      <c r="B54" s="29" t="s">
        <v>154</v>
      </c>
      <c r="C54" s="28">
        <v>48857433112</v>
      </c>
      <c r="D54" s="28">
        <v>183068243978</v>
      </c>
      <c r="E54" s="27">
        <v>214861809341</v>
      </c>
      <c r="F54" s="27">
        <v>128215552329</v>
      </c>
      <c r="G54" s="303">
        <f t="shared" si="5"/>
        <v>3.2746790746214879E-2</v>
      </c>
      <c r="H54" s="303">
        <f t="shared" si="6"/>
        <v>6.8720655644011641E-2</v>
      </c>
      <c r="I54" s="303">
        <f t="shared" si="7"/>
        <v>7.052329182196837E-2</v>
      </c>
      <c r="J54" s="303">
        <f t="shared" si="8"/>
        <v>7.9790145546540209E-2</v>
      </c>
      <c r="K54" s="302"/>
      <c r="L54" s="302"/>
      <c r="M54" s="26"/>
    </row>
    <row r="55" spans="2:13" ht="14.5">
      <c r="B55" s="29" t="s">
        <v>900</v>
      </c>
      <c r="C55" s="28"/>
      <c r="D55" s="28">
        <v>81597710266</v>
      </c>
      <c r="E55" s="27">
        <v>72254315211</v>
      </c>
      <c r="F55" s="27">
        <v>39719625132</v>
      </c>
      <c r="G55" s="303">
        <f t="shared" si="5"/>
        <v>0</v>
      </c>
      <c r="H55" s="303">
        <f t="shared" si="6"/>
        <v>3.0630370547518271E-2</v>
      </c>
      <c r="I55" s="303">
        <f t="shared" si="7"/>
        <v>2.3715764903267503E-2</v>
      </c>
      <c r="J55" s="303">
        <f t="shared" si="8"/>
        <v>2.4718020651691829E-2</v>
      </c>
      <c r="K55" s="302"/>
      <c r="L55" s="302"/>
      <c r="M55" s="26"/>
    </row>
    <row r="56" spans="2:13" ht="14.5">
      <c r="B56" s="35" t="s">
        <v>899</v>
      </c>
      <c r="C56" s="34"/>
      <c r="D56" s="34">
        <v>125406919000</v>
      </c>
      <c r="E56" s="34">
        <v>81097322000</v>
      </c>
      <c r="F56" s="34">
        <v>41832529512</v>
      </c>
      <c r="G56" s="307">
        <f t="shared" si="5"/>
        <v>0</v>
      </c>
      <c r="H56" s="307">
        <f t="shared" si="6"/>
        <v>4.7075590548686992E-2</v>
      </c>
      <c r="I56" s="307">
        <f t="shared" si="7"/>
        <v>2.6618272102090071E-2</v>
      </c>
      <c r="J56" s="307">
        <f t="shared" si="8"/>
        <v>2.6032907535098335E-2</v>
      </c>
      <c r="K56" s="306"/>
      <c r="L56" s="306"/>
      <c r="M56" s="26"/>
    </row>
    <row r="57" spans="2:13" ht="14.5">
      <c r="B57" s="32" t="s">
        <v>898</v>
      </c>
      <c r="C57" s="31"/>
      <c r="D57" s="33">
        <v>112617419000</v>
      </c>
      <c r="E57" s="33">
        <v>80720615000</v>
      </c>
      <c r="F57" s="33">
        <v>40171690000</v>
      </c>
      <c r="G57" s="305">
        <f t="shared" si="5"/>
        <v>0</v>
      </c>
      <c r="H57" s="305">
        <f t="shared" si="6"/>
        <v>4.2274633232109969E-2</v>
      </c>
      <c r="I57" s="305">
        <f t="shared" si="7"/>
        <v>2.6494626965833139E-2</v>
      </c>
      <c r="J57" s="305">
        <f t="shared" si="8"/>
        <v>2.4999346286211123E-2</v>
      </c>
      <c r="K57" s="304"/>
      <c r="L57" s="304"/>
      <c r="M57" s="26"/>
    </row>
    <row r="58" spans="2:13" ht="14.5">
      <c r="B58" s="32" t="s">
        <v>897</v>
      </c>
      <c r="C58" s="31"/>
      <c r="D58" s="33">
        <v>12789500000</v>
      </c>
      <c r="E58" s="33">
        <v>376707000</v>
      </c>
      <c r="F58" s="33">
        <v>0</v>
      </c>
      <c r="G58" s="305">
        <f t="shared" si="5"/>
        <v>0</v>
      </c>
      <c r="H58" s="305">
        <f t="shared" si="6"/>
        <v>4.8009573165770248E-3</v>
      </c>
      <c r="I58" s="305">
        <f t="shared" si="7"/>
        <v>1.2364513625692897E-4</v>
      </c>
      <c r="J58" s="305">
        <f t="shared" si="8"/>
        <v>0</v>
      </c>
      <c r="K58" s="304"/>
      <c r="L58" s="304"/>
      <c r="M58" s="26"/>
    </row>
    <row r="59" spans="2:13" ht="14.5">
      <c r="B59" s="32" t="s">
        <v>896</v>
      </c>
      <c r="C59" s="31"/>
      <c r="D59" s="33">
        <v>0</v>
      </c>
      <c r="E59" s="33">
        <v>0</v>
      </c>
      <c r="F59" s="33">
        <v>186245000</v>
      </c>
      <c r="G59" s="305">
        <f t="shared" si="5"/>
        <v>0</v>
      </c>
      <c r="H59" s="305">
        <f t="shared" si="6"/>
        <v>0</v>
      </c>
      <c r="I59" s="305">
        <f t="shared" si="7"/>
        <v>0</v>
      </c>
      <c r="J59" s="305">
        <f t="shared" si="8"/>
        <v>1.1590259829933445E-4</v>
      </c>
      <c r="K59" s="304"/>
      <c r="L59" s="304"/>
      <c r="M59" s="26"/>
    </row>
    <row r="60" spans="2:13" ht="14.5">
      <c r="B60" s="32" t="s">
        <v>895</v>
      </c>
      <c r="C60" s="31"/>
      <c r="D60" s="33">
        <v>0</v>
      </c>
      <c r="E60" s="33">
        <v>0</v>
      </c>
      <c r="F60" s="33">
        <v>1474326000</v>
      </c>
      <c r="G60" s="305">
        <f t="shared" si="5"/>
        <v>0</v>
      </c>
      <c r="H60" s="305">
        <f t="shared" si="6"/>
        <v>0</v>
      </c>
      <c r="I60" s="305">
        <f t="shared" si="7"/>
        <v>0</v>
      </c>
      <c r="J60" s="305">
        <f t="shared" si="8"/>
        <v>9.1749155220416422E-4</v>
      </c>
      <c r="K60" s="304"/>
      <c r="L60" s="304"/>
      <c r="M60" s="26"/>
    </row>
    <row r="61" spans="2:13" ht="14.5">
      <c r="B61" s="32" t="s">
        <v>894</v>
      </c>
      <c r="C61" s="31"/>
      <c r="D61" s="33">
        <v>0</v>
      </c>
      <c r="E61" s="33">
        <v>0</v>
      </c>
      <c r="F61" s="33">
        <v>269000</v>
      </c>
      <c r="G61" s="305">
        <f t="shared" si="5"/>
        <v>0</v>
      </c>
      <c r="H61" s="305">
        <f t="shared" si="6"/>
        <v>0</v>
      </c>
      <c r="I61" s="305">
        <f t="shared" si="7"/>
        <v>0</v>
      </c>
      <c r="J61" s="305">
        <f t="shared" si="8"/>
        <v>1.6740207223023954E-7</v>
      </c>
      <c r="K61" s="304"/>
      <c r="L61" s="304"/>
      <c r="M61" s="26"/>
    </row>
    <row r="62" spans="2:13" ht="14.5">
      <c r="B62" s="35" t="s">
        <v>893</v>
      </c>
      <c r="C62" s="34"/>
      <c r="D62" s="34">
        <v>-43809209000</v>
      </c>
      <c r="E62" s="34">
        <v>-8843007000</v>
      </c>
      <c r="F62" s="34">
        <v>-2112904380</v>
      </c>
      <c r="G62" s="307">
        <f t="shared" si="5"/>
        <v>0</v>
      </c>
      <c r="H62" s="307">
        <f t="shared" si="6"/>
        <v>-1.6445220101020529E-2</v>
      </c>
      <c r="I62" s="307">
        <f t="shared" si="7"/>
        <v>-2.9025072680783121E-3</v>
      </c>
      <c r="J62" s="307">
        <f t="shared" si="8"/>
        <v>-1.3148868834065039E-3</v>
      </c>
      <c r="K62" s="306"/>
      <c r="L62" s="306"/>
      <c r="M62" s="26"/>
    </row>
    <row r="63" spans="2:13" ht="14.5">
      <c r="B63" s="32" t="s">
        <v>892</v>
      </c>
      <c r="C63" s="31"/>
      <c r="D63" s="33">
        <v>-4013912000</v>
      </c>
      <c r="E63" s="33">
        <v>-3895190000</v>
      </c>
      <c r="F63" s="33">
        <v>-2112904000</v>
      </c>
      <c r="G63" s="305">
        <f t="shared" si="5"/>
        <v>0</v>
      </c>
      <c r="H63" s="305">
        <f t="shared" si="6"/>
        <v>-1.5067532104066866E-3</v>
      </c>
      <c r="I63" s="305">
        <f t="shared" si="7"/>
        <v>-1.2785037132217536E-3</v>
      </c>
      <c r="J63" s="305">
        <f t="shared" si="8"/>
        <v>-1.31488664692774E-3</v>
      </c>
      <c r="K63" s="304"/>
      <c r="L63" s="304"/>
      <c r="M63" s="26"/>
    </row>
    <row r="64" spans="2:13" ht="14.5">
      <c r="B64" s="32" t="s">
        <v>891</v>
      </c>
      <c r="C64" s="31"/>
      <c r="D64" s="33">
        <v>0</v>
      </c>
      <c r="E64" s="33">
        <v>-169095000</v>
      </c>
      <c r="F64" s="33">
        <v>0</v>
      </c>
      <c r="G64" s="305">
        <f t="shared" si="5"/>
        <v>0</v>
      </c>
      <c r="H64" s="305">
        <f t="shared" si="6"/>
        <v>0</v>
      </c>
      <c r="I64" s="305">
        <f t="shared" si="7"/>
        <v>-5.5501422366362733E-5</v>
      </c>
      <c r="J64" s="305">
        <f t="shared" si="8"/>
        <v>0</v>
      </c>
      <c r="K64" s="304"/>
      <c r="L64" s="304"/>
      <c r="M64" s="26"/>
    </row>
    <row r="65" spans="2:13" ht="14.5">
      <c r="B65" s="32" t="s">
        <v>890</v>
      </c>
      <c r="C65" s="31"/>
      <c r="D65" s="33">
        <v>-36859536000</v>
      </c>
      <c r="E65" s="33">
        <v>-4652532000</v>
      </c>
      <c r="F65" s="33">
        <v>0</v>
      </c>
      <c r="G65" s="305">
        <f t="shared" si="5"/>
        <v>0</v>
      </c>
      <c r="H65" s="305">
        <f t="shared" si="6"/>
        <v>-1.383643293677112E-2</v>
      </c>
      <c r="I65" s="305">
        <f t="shared" si="7"/>
        <v>-1.5270832585529929E-3</v>
      </c>
      <c r="J65" s="305">
        <f t="shared" si="8"/>
        <v>0</v>
      </c>
      <c r="K65" s="304"/>
      <c r="L65" s="304"/>
      <c r="M65" s="26"/>
    </row>
    <row r="66" spans="2:13" ht="14.5">
      <c r="B66" s="32" t="s">
        <v>889</v>
      </c>
      <c r="C66" s="31"/>
      <c r="D66" s="33">
        <v>-2935761000</v>
      </c>
      <c r="E66" s="33">
        <v>-126190000</v>
      </c>
      <c r="F66" s="33">
        <v>0</v>
      </c>
      <c r="G66" s="305">
        <f t="shared" si="5"/>
        <v>0</v>
      </c>
      <c r="H66" s="305">
        <f t="shared" si="6"/>
        <v>-1.1020339538427213E-3</v>
      </c>
      <c r="I66" s="305">
        <f t="shared" si="7"/>
        <v>-4.1418873937202834E-5</v>
      </c>
      <c r="J66" s="305">
        <f t="shared" si="8"/>
        <v>0</v>
      </c>
      <c r="K66" s="304"/>
      <c r="L66" s="304"/>
      <c r="M66" s="26"/>
    </row>
    <row r="67" spans="2:13" ht="14.5">
      <c r="B67" s="29" t="s">
        <v>888</v>
      </c>
      <c r="C67" s="28">
        <v>24013525699</v>
      </c>
      <c r="D67" s="28">
        <v>460104190</v>
      </c>
      <c r="E67" s="27">
        <v>0</v>
      </c>
      <c r="F67" s="27">
        <v>0</v>
      </c>
      <c r="G67" s="303">
        <f t="shared" si="5"/>
        <v>1.6095112883670205E-2</v>
      </c>
      <c r="H67" s="303">
        <f t="shared" si="6"/>
        <v>1.7271516301405415E-4</v>
      </c>
      <c r="I67" s="303">
        <f t="shared" si="7"/>
        <v>0</v>
      </c>
      <c r="J67" s="303">
        <f t="shared" si="8"/>
        <v>0</v>
      </c>
      <c r="K67" s="302"/>
      <c r="L67" s="302"/>
      <c r="M67" s="26"/>
    </row>
    <row r="68" spans="2:13" ht="14.5">
      <c r="B68" s="32" t="s">
        <v>887</v>
      </c>
      <c r="C68" s="31"/>
      <c r="D68" s="31">
        <v>460104190</v>
      </c>
      <c r="E68" s="30">
        <v>0</v>
      </c>
      <c r="F68" s="30">
        <v>0</v>
      </c>
      <c r="G68" s="305">
        <f t="shared" ref="G68:G76" si="9">C68/$C$4</f>
        <v>0</v>
      </c>
      <c r="H68" s="305">
        <f t="shared" ref="H68:H76" si="10">D68/$D$4</f>
        <v>1.7271516301405415E-4</v>
      </c>
      <c r="I68" s="305">
        <f t="shared" ref="I68:I76" si="11">E68/$E$4</f>
        <v>0</v>
      </c>
      <c r="J68" s="305">
        <f t="shared" ref="J68:J76" si="12">F68/$F$4</f>
        <v>0</v>
      </c>
      <c r="K68" s="304"/>
      <c r="L68" s="304"/>
      <c r="M68" s="26"/>
    </row>
    <row r="69" spans="2:13" ht="14.5">
      <c r="B69" s="29" t="s">
        <v>886</v>
      </c>
      <c r="C69" s="28">
        <v>127402943470</v>
      </c>
      <c r="D69" s="28">
        <v>11281632149</v>
      </c>
      <c r="E69" s="27">
        <v>646609650</v>
      </c>
      <c r="F69" s="27">
        <v>343093200</v>
      </c>
      <c r="G69" s="303">
        <f t="shared" si="9"/>
        <v>8.5392073723971978E-2</v>
      </c>
      <c r="H69" s="303">
        <f t="shared" si="10"/>
        <v>4.234929779011856E-3</v>
      </c>
      <c r="I69" s="303">
        <f t="shared" si="11"/>
        <v>2.1223427830992033E-4</v>
      </c>
      <c r="J69" s="303">
        <f t="shared" si="12"/>
        <v>2.1351119943533096E-4</v>
      </c>
      <c r="K69" s="302"/>
      <c r="L69" s="302"/>
      <c r="M69" s="26"/>
    </row>
    <row r="70" spans="2:13" s="21" customFormat="1" ht="14.5">
      <c r="B70" s="32" t="s">
        <v>885</v>
      </c>
      <c r="C70" s="31"/>
      <c r="D70" s="31">
        <v>9259173000</v>
      </c>
      <c r="E70" s="30">
        <v>646609650</v>
      </c>
      <c r="F70" s="30">
        <v>343093200</v>
      </c>
      <c r="G70" s="305">
        <f t="shared" si="9"/>
        <v>0</v>
      </c>
      <c r="H70" s="305">
        <f t="shared" si="10"/>
        <v>3.4757335595451298E-3</v>
      </c>
      <c r="I70" s="305">
        <f t="shared" si="11"/>
        <v>2.1223427830992033E-4</v>
      </c>
      <c r="J70" s="305">
        <f t="shared" si="12"/>
        <v>2.1351119943533096E-4</v>
      </c>
      <c r="K70" s="304"/>
      <c r="L70" s="304"/>
      <c r="M70" s="26"/>
    </row>
    <row r="71" spans="2:13" s="21" customFormat="1" ht="14.5">
      <c r="B71" s="32" t="s">
        <v>884</v>
      </c>
      <c r="C71" s="31"/>
      <c r="D71" s="31">
        <v>2022459000</v>
      </c>
      <c r="E71" s="30">
        <v>0</v>
      </c>
      <c r="F71" s="30">
        <v>0</v>
      </c>
      <c r="G71" s="305">
        <f t="shared" si="9"/>
        <v>0</v>
      </c>
      <c r="H71" s="305">
        <f t="shared" si="10"/>
        <v>7.5919616353470061E-4</v>
      </c>
      <c r="I71" s="305">
        <f t="shared" si="11"/>
        <v>0</v>
      </c>
      <c r="J71" s="305">
        <f t="shared" si="12"/>
        <v>0</v>
      </c>
      <c r="K71" s="304"/>
      <c r="L71" s="304"/>
      <c r="M71" s="26"/>
    </row>
    <row r="72" spans="2:13" s="21" customFormat="1" ht="14.5">
      <c r="B72" s="29" t="s">
        <v>883</v>
      </c>
      <c r="C72" s="28">
        <v>-54531984659</v>
      </c>
      <c r="D72" s="28">
        <v>90649005753</v>
      </c>
      <c r="E72" s="27">
        <v>141960884480</v>
      </c>
      <c r="F72" s="27">
        <v>88152833997</v>
      </c>
      <c r="G72" s="303">
        <f t="shared" si="9"/>
        <v>-3.6550170094086891E-2</v>
      </c>
      <c r="H72" s="303">
        <f t="shared" si="10"/>
        <v>3.4028070480495574E-2</v>
      </c>
      <c r="I72" s="303">
        <f t="shared" si="11"/>
        <v>4.6595292640390952E-2</v>
      </c>
      <c r="J72" s="303">
        <f t="shared" si="12"/>
        <v>5.4858613695413054E-2</v>
      </c>
      <c r="K72" s="302"/>
      <c r="L72" s="302"/>
      <c r="M72" s="26"/>
    </row>
    <row r="73" spans="2:13" s="21" customFormat="1" ht="14.5">
      <c r="B73" s="29" t="s">
        <v>882</v>
      </c>
      <c r="C73" s="28">
        <v>7610719237</v>
      </c>
      <c r="D73" s="28">
        <v>26499884291</v>
      </c>
      <c r="E73" s="27">
        <v>35424391806</v>
      </c>
      <c r="F73" s="27">
        <v>21087578372</v>
      </c>
      <c r="G73" s="303">
        <f t="shared" si="9"/>
        <v>5.1010995545121667E-3</v>
      </c>
      <c r="H73" s="303">
        <f t="shared" si="10"/>
        <v>9.9475986844928272E-3</v>
      </c>
      <c r="I73" s="303">
        <f t="shared" si="11"/>
        <v>1.1627216249423845E-2</v>
      </c>
      <c r="J73" s="303">
        <f t="shared" si="12"/>
        <v>1.3123064378402905E-2</v>
      </c>
      <c r="K73" s="302"/>
      <c r="L73" s="302"/>
      <c r="M73" s="26"/>
    </row>
    <row r="74" spans="2:13" s="21" customFormat="1" ht="14.5">
      <c r="B74" s="29" t="s">
        <v>881</v>
      </c>
      <c r="C74" s="28">
        <v>-62142703896</v>
      </c>
      <c r="D74" s="28">
        <v>64149121462</v>
      </c>
      <c r="E74" s="27">
        <v>106536492674</v>
      </c>
      <c r="F74" s="27">
        <v>67065255625</v>
      </c>
      <c r="G74" s="303">
        <f t="shared" si="9"/>
        <v>-4.1651269648599061E-2</v>
      </c>
      <c r="H74" s="303">
        <f t="shared" si="10"/>
        <v>2.4080471796002749E-2</v>
      </c>
      <c r="I74" s="303">
        <f t="shared" si="11"/>
        <v>3.4968076390967107E-2</v>
      </c>
      <c r="J74" s="303">
        <f t="shared" si="12"/>
        <v>4.1735549317010151E-2</v>
      </c>
      <c r="K74" s="302"/>
      <c r="L74" s="302"/>
      <c r="M74" s="26"/>
    </row>
    <row r="75" spans="2:13" s="21" customFormat="1" ht="14.5">
      <c r="B75" s="29" t="s">
        <v>880</v>
      </c>
      <c r="C75" s="28"/>
      <c r="D75" s="28">
        <v>-1644155974</v>
      </c>
      <c r="E75" s="27">
        <v>-653894079</v>
      </c>
      <c r="F75" s="27">
        <v>0</v>
      </c>
      <c r="G75" s="303">
        <f t="shared" si="9"/>
        <v>0</v>
      </c>
      <c r="H75" s="303">
        <f t="shared" si="10"/>
        <v>-6.1718774408453221E-4</v>
      </c>
      <c r="I75" s="303">
        <f t="shared" si="11"/>
        <v>-2.1462521932311872E-4</v>
      </c>
      <c r="J75" s="303">
        <f t="shared" si="12"/>
        <v>0</v>
      </c>
      <c r="K75" s="302"/>
      <c r="L75" s="302"/>
      <c r="M75" s="26"/>
    </row>
    <row r="76" spans="2:13" s="21" customFormat="1" ht="15" thickBot="1">
      <c r="B76" s="25" t="s">
        <v>879</v>
      </c>
      <c r="C76" s="24"/>
      <c r="D76" s="24">
        <v>62504965488</v>
      </c>
      <c r="E76" s="23">
        <v>105882598595</v>
      </c>
      <c r="F76" s="23">
        <v>67065255625</v>
      </c>
      <c r="G76" s="301">
        <f t="shared" si="9"/>
        <v>0</v>
      </c>
      <c r="H76" s="301">
        <f t="shared" si="10"/>
        <v>2.3463284051918217E-2</v>
      </c>
      <c r="I76" s="301">
        <f t="shared" si="11"/>
        <v>3.4753451171643988E-2</v>
      </c>
      <c r="J76" s="301">
        <f t="shared" si="12"/>
        <v>4.1735549317010151E-2</v>
      </c>
      <c r="K76" s="300"/>
      <c r="L76" s="300"/>
      <c r="M76" s="22"/>
    </row>
    <row r="77" spans="2:13">
      <c r="C77" s="20">
        <f>C4-C5-C7-C55+C67-C69-C73-C74</f>
        <v>0</v>
      </c>
      <c r="D77" s="20">
        <f>D4-D5-D7-D55+D67-D69-D73-D74</f>
        <v>0</v>
      </c>
      <c r="E77" s="20">
        <f>E4-E5-E7-E55+E67-E69-E73-E74</f>
        <v>0</v>
      </c>
      <c r="F77" s="20">
        <f>F4-F5-F7-F55+F67-F69-F73-F74</f>
        <v>0</v>
      </c>
      <c r="G77" s="19"/>
      <c r="H77" s="19"/>
      <c r="I77" s="19"/>
      <c r="J77" s="19"/>
      <c r="K77" s="19"/>
      <c r="L77" s="19"/>
      <c r="M77" s="19"/>
    </row>
  </sheetData>
  <phoneticPr fontId="2" type="noConversion"/>
  <pageMargins left="0.6" right="0.6" top="1" bottom="1" header="0.5" footer="0.5"/>
  <pageSetup paperSize="9" scale="72" fitToHeight="0" orientation="landscape" r:id="rId1"/>
  <headerFooter scaleWithDoc="0">
    <oddHeader>&amp;R&amp;8Draft - Work in Progress</oddHeader>
    <oddFooter>&amp;L&amp;8&amp;F
&amp;D, &amp;T&amp;C&amp;8Page &amp;P of &amp;N&amp;R&amp;8&amp;A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M122"/>
  <sheetViews>
    <sheetView showGridLines="0" zoomScaleNormal="100" workbookViewId="0">
      <selection activeCell="I23" sqref="I23"/>
    </sheetView>
  </sheetViews>
  <sheetFormatPr defaultColWidth="9" defaultRowHeight="12.5"/>
  <cols>
    <col min="1" max="1" width="1.6640625" style="18" customWidth="1"/>
    <col min="2" max="2" width="21.1640625" style="18" customWidth="1"/>
    <col min="3" max="6" width="11.58203125" style="18" customWidth="1"/>
    <col min="7" max="7" width="11.58203125" style="53" customWidth="1"/>
    <col min="8" max="8" width="13" style="53" customWidth="1"/>
    <col min="9" max="9" width="37.5" style="52" customWidth="1"/>
    <col min="10" max="16384" width="9" style="18"/>
  </cols>
  <sheetData>
    <row r="1" spans="2:9" ht="24" customHeight="1">
      <c r="B1" s="51" t="s">
        <v>1031</v>
      </c>
    </row>
    <row r="3" spans="2:9" ht="25.5" customHeight="1" thickBot="1">
      <c r="B3" s="49" t="s">
        <v>157</v>
      </c>
      <c r="C3" s="69" t="s">
        <v>957</v>
      </c>
      <c r="D3" s="69" t="s">
        <v>956</v>
      </c>
      <c r="E3" s="69" t="s">
        <v>955</v>
      </c>
      <c r="F3" s="69" t="s">
        <v>954</v>
      </c>
      <c r="G3" s="49" t="s">
        <v>1030</v>
      </c>
      <c r="H3" s="49" t="s">
        <v>1029</v>
      </c>
      <c r="I3" s="49" t="s">
        <v>947</v>
      </c>
    </row>
    <row r="4" spans="2:9" ht="13">
      <c r="B4" s="32" t="s">
        <v>168</v>
      </c>
      <c r="C4" s="68"/>
      <c r="D4" s="68"/>
      <c r="E4" s="19"/>
      <c r="F4" s="19"/>
      <c r="G4" s="19"/>
      <c r="H4" s="19"/>
      <c r="I4" s="54"/>
    </row>
    <row r="5" spans="2:9" s="46" customFormat="1" ht="14.5">
      <c r="B5" s="29" t="s">
        <v>167</v>
      </c>
      <c r="C5" s="28">
        <v>407769645977</v>
      </c>
      <c r="D5" s="28">
        <v>404147711198</v>
      </c>
      <c r="E5" s="65">
        <v>482887079411</v>
      </c>
      <c r="F5" s="65">
        <v>489539469904</v>
      </c>
      <c r="G5" s="302"/>
      <c r="H5" s="302"/>
      <c r="I5" s="64"/>
    </row>
    <row r="6" spans="2:9" ht="14.5">
      <c r="B6" s="61" t="s">
        <v>1028</v>
      </c>
      <c r="C6" s="31">
        <v>161830766581</v>
      </c>
      <c r="D6" s="31">
        <v>152577269918</v>
      </c>
      <c r="E6" s="60">
        <v>199123372353</v>
      </c>
      <c r="F6" s="60">
        <v>79013351797</v>
      </c>
      <c r="G6" s="304">
        <f t="shared" ref="G6:G51" si="0">E6/$E$51</f>
        <v>7.4962597862897162E-2</v>
      </c>
      <c r="H6" s="304">
        <f t="shared" ref="H6:H51" si="1">F6/$F$51</f>
        <v>2.9563815430147536E-2</v>
      </c>
      <c r="I6" s="59" t="s">
        <v>970</v>
      </c>
    </row>
    <row r="7" spans="2:9" ht="14.5">
      <c r="B7" s="61" t="s">
        <v>1027</v>
      </c>
      <c r="C7" s="31">
        <v>158782392710</v>
      </c>
      <c r="D7" s="31">
        <v>170078861425</v>
      </c>
      <c r="E7" s="60">
        <v>202019012912</v>
      </c>
      <c r="F7" s="60">
        <v>314577716992</v>
      </c>
      <c r="G7" s="304">
        <f t="shared" si="0"/>
        <v>7.6052699623503167E-2</v>
      </c>
      <c r="H7" s="304">
        <f t="shared" si="1"/>
        <v>0.117703114120287</v>
      </c>
      <c r="I7" s="59" t="s">
        <v>981</v>
      </c>
    </row>
    <row r="8" spans="2:9" ht="14.5">
      <c r="B8" s="61" t="s">
        <v>1026</v>
      </c>
      <c r="C8" s="31">
        <v>59007977826</v>
      </c>
      <c r="D8" s="31">
        <v>48295871821</v>
      </c>
      <c r="E8" s="60">
        <v>35769607551</v>
      </c>
      <c r="F8" s="60">
        <v>51430560579</v>
      </c>
      <c r="G8" s="304">
        <f t="shared" si="0"/>
        <v>1.3465936594353108E-2</v>
      </c>
      <c r="H8" s="304">
        <f t="shared" si="1"/>
        <v>1.9243375528897738E-2</v>
      </c>
      <c r="I8" s="59"/>
    </row>
    <row r="9" spans="2:9" ht="14.5">
      <c r="B9" s="321" t="s">
        <v>1025</v>
      </c>
      <c r="C9" s="31">
        <v>24919775000</v>
      </c>
      <c r="D9" s="31">
        <v>33033491000</v>
      </c>
      <c r="E9" s="60">
        <v>33562685000</v>
      </c>
      <c r="F9" s="60">
        <v>33839124000</v>
      </c>
      <c r="G9" s="304">
        <f t="shared" si="0"/>
        <v>1.2635111735622356E-2</v>
      </c>
      <c r="H9" s="304">
        <f t="shared" si="1"/>
        <v>1.2661323605460056E-2</v>
      </c>
      <c r="I9" s="59" t="s">
        <v>981</v>
      </c>
    </row>
    <row r="10" spans="2:9" ht="14.5">
      <c r="B10" s="321" t="s">
        <v>1023</v>
      </c>
      <c r="C10" s="31">
        <v>-3175971000</v>
      </c>
      <c r="D10" s="31">
        <v>-1361342000</v>
      </c>
      <c r="E10" s="60">
        <v>-73479000</v>
      </c>
      <c r="F10" s="60">
        <v>0</v>
      </c>
      <c r="G10" s="304">
        <f t="shared" si="0"/>
        <v>-2.7662130584063674E-5</v>
      </c>
      <c r="H10" s="304">
        <f t="shared" si="1"/>
        <v>0</v>
      </c>
      <c r="I10" s="59" t="s">
        <v>981</v>
      </c>
    </row>
    <row r="11" spans="2:9" ht="14.5">
      <c r="B11" s="321" t="s">
        <v>1024</v>
      </c>
      <c r="C11" s="31">
        <v>38252361000</v>
      </c>
      <c r="D11" s="31">
        <v>17611909000</v>
      </c>
      <c r="E11" s="60">
        <v>2280671000</v>
      </c>
      <c r="F11" s="60">
        <v>17591437000</v>
      </c>
      <c r="G11" s="304">
        <f t="shared" si="0"/>
        <v>8.5858842691499725E-4</v>
      </c>
      <c r="H11" s="304">
        <f t="shared" si="1"/>
        <v>6.5820520809599988E-3</v>
      </c>
      <c r="I11" s="59" t="s">
        <v>981</v>
      </c>
    </row>
    <row r="12" spans="2:9" ht="14.5">
      <c r="B12" s="321" t="s">
        <v>1023</v>
      </c>
      <c r="C12" s="31">
        <v>-988187000</v>
      </c>
      <c r="D12" s="31">
        <v>-988186000</v>
      </c>
      <c r="E12" s="60">
        <v>-269000</v>
      </c>
      <c r="F12" s="60">
        <v>0</v>
      </c>
      <c r="G12" s="304">
        <f t="shared" si="0"/>
        <v>-1.0126856825913701E-7</v>
      </c>
      <c r="H12" s="304">
        <f t="shared" si="1"/>
        <v>0</v>
      </c>
      <c r="I12" s="59" t="s">
        <v>981</v>
      </c>
    </row>
    <row r="13" spans="2:9" ht="14.5">
      <c r="B13" s="61" t="s">
        <v>999</v>
      </c>
      <c r="C13" s="31">
        <v>18055397891</v>
      </c>
      <c r="D13" s="31">
        <v>18305756524</v>
      </c>
      <c r="E13" s="60">
        <v>32156784434</v>
      </c>
      <c r="F13" s="60">
        <v>16258925000</v>
      </c>
      <c r="G13" s="304">
        <f t="shared" si="0"/>
        <v>1.2105842079735626E-2</v>
      </c>
      <c r="H13" s="304">
        <f t="shared" si="1"/>
        <v>6.0834763601417298E-3</v>
      </c>
      <c r="I13" s="26"/>
    </row>
    <row r="14" spans="2:9" ht="14.5">
      <c r="B14" s="321" t="s">
        <v>1022</v>
      </c>
      <c r="C14" s="31">
        <v>17735463000</v>
      </c>
      <c r="D14" s="31">
        <v>17870812000</v>
      </c>
      <c r="E14" s="60">
        <v>32117269000</v>
      </c>
      <c r="F14" s="60"/>
      <c r="G14" s="304">
        <f t="shared" si="0"/>
        <v>1.2090965977782768E-2</v>
      </c>
      <c r="H14" s="304">
        <f t="shared" si="1"/>
        <v>0</v>
      </c>
      <c r="I14" s="59" t="s">
        <v>970</v>
      </c>
    </row>
    <row r="15" spans="2:9" ht="14.5">
      <c r="B15" s="321" t="s">
        <v>1021</v>
      </c>
      <c r="C15" s="31">
        <v>319935000</v>
      </c>
      <c r="D15" s="31">
        <v>434945000</v>
      </c>
      <c r="E15" s="60">
        <v>39515000</v>
      </c>
      <c r="F15" s="60"/>
      <c r="G15" s="304">
        <f t="shared" si="0"/>
        <v>1.4875938567880293E-5</v>
      </c>
      <c r="H15" s="304">
        <f t="shared" si="1"/>
        <v>0</v>
      </c>
      <c r="I15" s="59" t="s">
        <v>970</v>
      </c>
    </row>
    <row r="16" spans="2:9" ht="14.5">
      <c r="B16" s="61" t="s">
        <v>1020</v>
      </c>
      <c r="C16" s="31">
        <v>10093110969</v>
      </c>
      <c r="D16" s="31">
        <v>14889951510</v>
      </c>
      <c r="E16" s="60">
        <v>13818302161</v>
      </c>
      <c r="F16" s="60">
        <v>28258915536</v>
      </c>
      <c r="G16" s="304">
        <f t="shared" si="0"/>
        <v>5.2020805785004051E-3</v>
      </c>
      <c r="H16" s="304">
        <f t="shared" si="1"/>
        <v>1.0573420113968042E-2</v>
      </c>
      <c r="I16" s="59"/>
    </row>
    <row r="17" spans="2:9" ht="14.5">
      <c r="B17" s="321" t="s">
        <v>1019</v>
      </c>
      <c r="C17" s="31">
        <v>2880072000</v>
      </c>
      <c r="D17" s="31">
        <v>939580000</v>
      </c>
      <c r="E17" s="60">
        <v>653019000</v>
      </c>
      <c r="F17" s="60"/>
      <c r="G17" s="304">
        <f t="shared" si="0"/>
        <v>2.4583754340525422E-4</v>
      </c>
      <c r="H17" s="304">
        <f t="shared" si="1"/>
        <v>0</v>
      </c>
      <c r="I17" s="59" t="s">
        <v>981</v>
      </c>
    </row>
    <row r="18" spans="2:9" ht="14.5">
      <c r="B18" s="321" t="s">
        <v>1018</v>
      </c>
      <c r="C18" s="31">
        <v>5012611000</v>
      </c>
      <c r="D18" s="31">
        <v>11660708000</v>
      </c>
      <c r="E18" s="60">
        <v>8210807000</v>
      </c>
      <c r="F18" s="60"/>
      <c r="G18" s="304">
        <f t="shared" si="0"/>
        <v>3.0910656845431223E-3</v>
      </c>
      <c r="H18" s="304">
        <f t="shared" si="1"/>
        <v>0</v>
      </c>
      <c r="I18" s="59" t="s">
        <v>981</v>
      </c>
    </row>
    <row r="19" spans="2:9" ht="14.5">
      <c r="B19" s="321" t="s">
        <v>1017</v>
      </c>
      <c r="C19" s="31">
        <v>2200428000</v>
      </c>
      <c r="D19" s="31">
        <v>2289664000</v>
      </c>
      <c r="E19" s="60">
        <v>3204476000</v>
      </c>
      <c r="F19" s="60"/>
      <c r="G19" s="304">
        <f t="shared" si="0"/>
        <v>1.2063669016385366E-3</v>
      </c>
      <c r="H19" s="304">
        <f t="shared" si="1"/>
        <v>0</v>
      </c>
      <c r="I19" s="59" t="s">
        <v>981</v>
      </c>
    </row>
    <row r="20" spans="2:9" ht="14.5">
      <c r="B20" s="321" t="s">
        <v>1016</v>
      </c>
      <c r="C20" s="31">
        <v>0</v>
      </c>
      <c r="D20" s="31">
        <v>0</v>
      </c>
      <c r="E20" s="60">
        <v>1750000000</v>
      </c>
      <c r="F20" s="60"/>
      <c r="G20" s="304">
        <f t="shared" si="0"/>
        <v>6.5881038830293594E-4</v>
      </c>
      <c r="H20" s="304">
        <f t="shared" si="1"/>
        <v>0</v>
      </c>
      <c r="I20" s="26" t="s">
        <v>1015</v>
      </c>
    </row>
    <row r="21" spans="2:9" s="46" customFormat="1" ht="14.5">
      <c r="B21" s="29" t="s">
        <v>166</v>
      </c>
      <c r="C21" s="28">
        <v>2146595809777</v>
      </c>
      <c r="D21" s="28">
        <v>2155348145208</v>
      </c>
      <c r="E21" s="65">
        <v>2173415904074</v>
      </c>
      <c r="F21" s="65">
        <v>2183097693039</v>
      </c>
      <c r="G21" s="304">
        <f t="shared" si="0"/>
        <v>0.81821084326101057</v>
      </c>
      <c r="H21" s="304">
        <f t="shared" si="1"/>
        <v>0.81683279844655798</v>
      </c>
      <c r="I21" s="64"/>
    </row>
    <row r="22" spans="2:9" ht="14.5">
      <c r="B22" s="61" t="s">
        <v>1014</v>
      </c>
      <c r="C22" s="31">
        <v>349739115584</v>
      </c>
      <c r="D22" s="31">
        <v>354115251437</v>
      </c>
      <c r="E22" s="60">
        <v>366191229576</v>
      </c>
      <c r="F22" s="60">
        <v>369603105658</v>
      </c>
      <c r="G22" s="304">
        <f t="shared" si="0"/>
        <v>0.13785747780005378</v>
      </c>
      <c r="H22" s="304">
        <f t="shared" si="1"/>
        <v>0.13829153870292218</v>
      </c>
      <c r="I22" s="59"/>
    </row>
    <row r="23" spans="2:9" ht="14.5">
      <c r="B23" s="321" t="s">
        <v>809</v>
      </c>
      <c r="C23" s="31">
        <v>170372346000</v>
      </c>
      <c r="D23" s="60">
        <v>175114901000</v>
      </c>
      <c r="E23" s="60">
        <v>176180803000</v>
      </c>
      <c r="F23" s="60"/>
      <c r="G23" s="304">
        <f t="shared" si="0"/>
        <v>6.6325567563401744E-2</v>
      </c>
      <c r="H23" s="304">
        <f t="shared" si="1"/>
        <v>0</v>
      </c>
      <c r="I23" s="59" t="s">
        <v>1000</v>
      </c>
    </row>
    <row r="24" spans="2:9" ht="14.5">
      <c r="B24" s="321" t="s">
        <v>810</v>
      </c>
      <c r="C24" s="31">
        <v>145494410000</v>
      </c>
      <c r="D24" s="60">
        <v>160616668000</v>
      </c>
      <c r="E24" s="60">
        <v>180205680000</v>
      </c>
      <c r="F24" s="60"/>
      <c r="G24" s="304">
        <f t="shared" si="0"/>
        <v>6.7840785151539781E-2</v>
      </c>
      <c r="H24" s="304">
        <f t="shared" si="1"/>
        <v>0</v>
      </c>
      <c r="I24" s="59" t="s">
        <v>1000</v>
      </c>
    </row>
    <row r="25" spans="2:9" ht="14.5">
      <c r="B25" s="321" t="s">
        <v>1007</v>
      </c>
      <c r="C25" s="31">
        <v>-15396926000</v>
      </c>
      <c r="D25" s="60">
        <v>-33443788000</v>
      </c>
      <c r="E25" s="60">
        <v>-50570724000</v>
      </c>
      <c r="F25" s="60"/>
      <c r="G25" s="304">
        <f t="shared" si="0"/>
        <v>-1.9038010465828915E-2</v>
      </c>
      <c r="H25" s="304">
        <f t="shared" si="1"/>
        <v>0</v>
      </c>
      <c r="I25" s="59" t="s">
        <v>1000</v>
      </c>
    </row>
    <row r="26" spans="2:9" ht="14.5">
      <c r="B26" s="321" t="s">
        <v>1013</v>
      </c>
      <c r="C26" s="31">
        <v>24000000</v>
      </c>
      <c r="D26" s="60">
        <v>24000000</v>
      </c>
      <c r="E26" s="60">
        <v>50000000</v>
      </c>
      <c r="F26" s="60"/>
      <c r="G26" s="304">
        <f t="shared" si="0"/>
        <v>1.8823153951512453E-5</v>
      </c>
      <c r="H26" s="304">
        <f t="shared" si="1"/>
        <v>0</v>
      </c>
      <c r="I26" s="59" t="s">
        <v>1000</v>
      </c>
    </row>
    <row r="27" spans="2:9" ht="14.5">
      <c r="B27" s="321" t="s">
        <v>1007</v>
      </c>
      <c r="C27" s="31">
        <v>-6391000</v>
      </c>
      <c r="D27" s="60">
        <v>-6991000</v>
      </c>
      <c r="E27" s="60">
        <v>-7862000</v>
      </c>
      <c r="F27" s="60"/>
      <c r="G27" s="304">
        <f t="shared" si="0"/>
        <v>-2.9597527273358182E-6</v>
      </c>
      <c r="H27" s="304">
        <f t="shared" si="1"/>
        <v>0</v>
      </c>
      <c r="I27" s="59" t="s">
        <v>1000</v>
      </c>
    </row>
    <row r="28" spans="2:9" ht="14.5">
      <c r="B28" s="321" t="s">
        <v>1012</v>
      </c>
      <c r="C28" s="31">
        <v>83045000</v>
      </c>
      <c r="D28" s="60">
        <v>104546000</v>
      </c>
      <c r="E28" s="60">
        <v>104546000</v>
      </c>
      <c r="F28" s="60"/>
      <c r="G28" s="304">
        <f t="shared" si="0"/>
        <v>3.9357709060296422E-5</v>
      </c>
      <c r="H28" s="304">
        <f t="shared" si="1"/>
        <v>0</v>
      </c>
      <c r="I28" s="59" t="s">
        <v>1000</v>
      </c>
    </row>
    <row r="29" spans="2:9" ht="14.5">
      <c r="B29" s="321" t="s">
        <v>1007</v>
      </c>
      <c r="C29" s="31">
        <v>-73356000</v>
      </c>
      <c r="D29" s="60">
        <v>-10455000</v>
      </c>
      <c r="E29" s="60">
        <v>-31364000</v>
      </c>
      <c r="F29" s="60"/>
      <c r="G29" s="304">
        <f t="shared" si="0"/>
        <v>-1.1807388010704733E-5</v>
      </c>
      <c r="H29" s="304">
        <f t="shared" si="1"/>
        <v>0</v>
      </c>
      <c r="I29" s="59" t="s">
        <v>1000</v>
      </c>
    </row>
    <row r="30" spans="2:9" ht="14.5">
      <c r="B30" s="321" t="s">
        <v>1011</v>
      </c>
      <c r="C30" s="31">
        <v>117982459000</v>
      </c>
      <c r="D30" s="60">
        <v>128571894000</v>
      </c>
      <c r="E30" s="60">
        <v>134399985000</v>
      </c>
      <c r="F30" s="60"/>
      <c r="G30" s="304">
        <f t="shared" si="0"/>
        <v>5.059663217471929E-2</v>
      </c>
      <c r="H30" s="304">
        <f t="shared" si="1"/>
        <v>0</v>
      </c>
      <c r="I30" s="59" t="s">
        <v>1000</v>
      </c>
    </row>
    <row r="31" spans="2:9" ht="14.5">
      <c r="B31" s="321" t="s">
        <v>1007</v>
      </c>
      <c r="C31" s="31">
        <v>-76629981000</v>
      </c>
      <c r="D31" s="60">
        <v>-80283348000</v>
      </c>
      <c r="E31" s="60">
        <v>-80833795000</v>
      </c>
      <c r="F31" s="60"/>
      <c r="G31" s="304">
        <f t="shared" si="0"/>
        <v>-3.0430939355399953E-2</v>
      </c>
      <c r="H31" s="304">
        <f t="shared" si="1"/>
        <v>0</v>
      </c>
      <c r="I31" s="59" t="s">
        <v>1000</v>
      </c>
    </row>
    <row r="32" spans="2:9" ht="14.5">
      <c r="B32" s="321" t="s">
        <v>1010</v>
      </c>
      <c r="C32" s="31">
        <v>533284000</v>
      </c>
      <c r="D32" s="60">
        <v>0</v>
      </c>
      <c r="E32" s="60">
        <v>0</v>
      </c>
      <c r="F32" s="60">
        <v>0</v>
      </c>
      <c r="G32" s="304">
        <f t="shared" si="0"/>
        <v>0</v>
      </c>
      <c r="H32" s="304">
        <f t="shared" si="1"/>
        <v>0</v>
      </c>
      <c r="I32" s="59"/>
    </row>
    <row r="33" spans="2:13" ht="14.5">
      <c r="B33" s="321" t="s">
        <v>1007</v>
      </c>
      <c r="C33" s="31">
        <v>-408852000</v>
      </c>
      <c r="D33" s="60">
        <v>0</v>
      </c>
      <c r="E33" s="60">
        <v>0</v>
      </c>
      <c r="F33" s="60">
        <v>0</v>
      </c>
      <c r="G33" s="304">
        <f t="shared" si="0"/>
        <v>0</v>
      </c>
      <c r="H33" s="304">
        <f t="shared" si="1"/>
        <v>0</v>
      </c>
      <c r="I33" s="59"/>
    </row>
    <row r="34" spans="2:13" ht="14.5">
      <c r="B34" s="321" t="s">
        <v>1009</v>
      </c>
      <c r="C34" s="31">
        <v>7765077000</v>
      </c>
      <c r="D34" s="60">
        <v>3427824000</v>
      </c>
      <c r="E34" s="60">
        <v>6693961000</v>
      </c>
      <c r="F34" s="60"/>
      <c r="G34" s="304">
        <f t="shared" si="0"/>
        <v>2.5200291689684053E-3</v>
      </c>
      <c r="H34" s="304">
        <f t="shared" si="1"/>
        <v>0</v>
      </c>
      <c r="I34" s="59" t="s">
        <v>1000</v>
      </c>
    </row>
    <row r="35" spans="2:13" ht="14.5">
      <c r="B35" s="61" t="s">
        <v>1008</v>
      </c>
      <c r="C35" s="31">
        <v>42840615920</v>
      </c>
      <c r="D35" s="31">
        <v>42488026253</v>
      </c>
      <c r="E35" s="60">
        <v>42135437960</v>
      </c>
      <c r="F35" s="60">
        <v>41959143470</v>
      </c>
      <c r="G35" s="304">
        <f t="shared" si="0"/>
        <v>1.5862436710709638E-2</v>
      </c>
      <c r="H35" s="304">
        <f t="shared" si="1"/>
        <v>1.5699528559947242E-2</v>
      </c>
      <c r="I35" s="59"/>
    </row>
    <row r="36" spans="2:13" ht="14.5">
      <c r="B36" s="321" t="s">
        <v>809</v>
      </c>
      <c r="C36" s="31">
        <v>31056287000</v>
      </c>
      <c r="D36" s="31">
        <v>31056287000</v>
      </c>
      <c r="E36" s="31">
        <v>31056287000</v>
      </c>
      <c r="F36" s="60"/>
      <c r="G36" s="304">
        <f t="shared" si="0"/>
        <v>1.1691545427267098E-2</v>
      </c>
      <c r="H36" s="304">
        <f t="shared" si="1"/>
        <v>0</v>
      </c>
      <c r="I36" s="59" t="s">
        <v>993</v>
      </c>
    </row>
    <row r="37" spans="2:13" ht="14.5">
      <c r="B37" s="321" t="s">
        <v>810</v>
      </c>
      <c r="C37" s="31">
        <v>11784329000</v>
      </c>
      <c r="D37" s="31">
        <v>11784329000</v>
      </c>
      <c r="E37" s="60">
        <v>11784329000</v>
      </c>
      <c r="F37" s="60"/>
      <c r="G37" s="304">
        <f t="shared" si="0"/>
        <v>4.4363647796454566E-3</v>
      </c>
      <c r="H37" s="304">
        <f t="shared" si="1"/>
        <v>0</v>
      </c>
      <c r="I37" s="59" t="s">
        <v>993</v>
      </c>
    </row>
    <row r="38" spans="2:13" ht="14.5">
      <c r="B38" s="321" t="s">
        <v>1007</v>
      </c>
      <c r="C38" s="31">
        <v>0</v>
      </c>
      <c r="D38" s="31">
        <v>-352590000</v>
      </c>
      <c r="E38" s="60">
        <v>-705178000</v>
      </c>
      <c r="F38" s="60"/>
      <c r="G38" s="304">
        <f t="shared" si="0"/>
        <v>-2.65473481144393E-4</v>
      </c>
      <c r="H38" s="304">
        <f t="shared" si="1"/>
        <v>0</v>
      </c>
      <c r="I38" s="59" t="s">
        <v>993</v>
      </c>
    </row>
    <row r="39" spans="2:13" ht="14.5">
      <c r="B39" s="61" t="s">
        <v>1006</v>
      </c>
      <c r="C39" s="31">
        <v>1683324077729</v>
      </c>
      <c r="D39" s="31">
        <v>1683324077729</v>
      </c>
      <c r="E39" s="60">
        <v>1683324077729</v>
      </c>
      <c r="F39" s="60">
        <v>1683324077729</v>
      </c>
      <c r="G39" s="304">
        <f t="shared" si="0"/>
        <v>0.63370936530761368</v>
      </c>
      <c r="H39" s="304">
        <f t="shared" si="1"/>
        <v>0.62983636576967728</v>
      </c>
      <c r="I39" s="59" t="s">
        <v>1000</v>
      </c>
      <c r="M39" s="329"/>
    </row>
    <row r="40" spans="2:13" ht="14.5">
      <c r="B40" s="61" t="s">
        <v>1005</v>
      </c>
      <c r="C40" s="31">
        <v>4577944758</v>
      </c>
      <c r="D40" s="31">
        <v>3727615859</v>
      </c>
      <c r="E40" s="60">
        <v>3926251432</v>
      </c>
      <c r="F40" s="60">
        <v>4365082761</v>
      </c>
      <c r="G40" s="304">
        <f t="shared" si="0"/>
        <v>1.4780887031376447E-3</v>
      </c>
      <c r="H40" s="304">
        <f t="shared" si="1"/>
        <v>1.6332492945631825E-3</v>
      </c>
      <c r="I40" s="59"/>
      <c r="M40" s="329"/>
    </row>
    <row r="41" spans="2:13" ht="14.5">
      <c r="B41" s="321" t="s">
        <v>1004</v>
      </c>
      <c r="C41" s="31">
        <v>1175000</v>
      </c>
      <c r="D41" s="31">
        <v>1610000</v>
      </c>
      <c r="E41" s="60">
        <v>7599000</v>
      </c>
      <c r="F41" s="60"/>
      <c r="G41" s="304">
        <f t="shared" si="0"/>
        <v>2.860742937550863E-6</v>
      </c>
      <c r="H41" s="304">
        <f t="shared" si="1"/>
        <v>0</v>
      </c>
      <c r="I41" s="59" t="s">
        <v>1000</v>
      </c>
      <c r="M41" s="329"/>
    </row>
    <row r="42" spans="2:13" ht="14.5">
      <c r="B42" s="321" t="s">
        <v>1003</v>
      </c>
      <c r="C42" s="31">
        <v>3514148000</v>
      </c>
      <c r="D42" s="31">
        <v>2718587000</v>
      </c>
      <c r="E42" s="60">
        <v>2449496000</v>
      </c>
      <c r="F42" s="60"/>
      <c r="G42" s="304">
        <f t="shared" si="0"/>
        <v>9.2214480623227903E-4</v>
      </c>
      <c r="H42" s="304">
        <f t="shared" si="1"/>
        <v>0</v>
      </c>
      <c r="I42" s="59" t="s">
        <v>1000</v>
      </c>
      <c r="M42" s="329"/>
    </row>
    <row r="43" spans="2:13" ht="14.5">
      <c r="B43" s="321" t="s">
        <v>1002</v>
      </c>
      <c r="C43" s="31">
        <v>680000000</v>
      </c>
      <c r="D43" s="31">
        <v>496667000</v>
      </c>
      <c r="E43" s="60">
        <v>390001000</v>
      </c>
      <c r="F43" s="60"/>
      <c r="G43" s="304">
        <f t="shared" si="0"/>
        <v>1.4682097728487619E-4</v>
      </c>
      <c r="H43" s="304">
        <f t="shared" si="1"/>
        <v>0</v>
      </c>
      <c r="I43" s="59" t="s">
        <v>1000</v>
      </c>
      <c r="M43" s="329"/>
    </row>
    <row r="44" spans="2:13" ht="14.5">
      <c r="B44" s="321" t="s">
        <v>1001</v>
      </c>
      <c r="C44" s="31">
        <v>382622000</v>
      </c>
      <c r="D44" s="31">
        <v>510752000</v>
      </c>
      <c r="E44" s="60">
        <v>1079155000</v>
      </c>
      <c r="F44" s="60"/>
      <c r="G44" s="304">
        <f t="shared" si="0"/>
        <v>4.0626201405088844E-4</v>
      </c>
      <c r="H44" s="304">
        <f t="shared" si="1"/>
        <v>0</v>
      </c>
      <c r="I44" s="59" t="s">
        <v>1000</v>
      </c>
      <c r="M44" s="329"/>
    </row>
    <row r="45" spans="2:13" ht="14.5">
      <c r="B45" s="61" t="s">
        <v>999</v>
      </c>
      <c r="C45" s="31">
        <v>46953778991</v>
      </c>
      <c r="D45" s="31">
        <v>49349538617</v>
      </c>
      <c r="E45" s="60">
        <v>56054787455</v>
      </c>
      <c r="F45" s="60">
        <v>61234467016</v>
      </c>
      <c r="G45" s="304">
        <f t="shared" si="0"/>
        <v>2.1102557879695481E-2</v>
      </c>
      <c r="H45" s="304">
        <f t="shared" si="1"/>
        <v>2.291162746108457E-2</v>
      </c>
      <c r="I45" s="59"/>
    </row>
    <row r="46" spans="2:13" ht="14.5">
      <c r="B46" s="321" t="s">
        <v>998</v>
      </c>
      <c r="C46" s="31">
        <v>6015500000</v>
      </c>
      <c r="D46" s="31">
        <v>2508000000</v>
      </c>
      <c r="E46" s="60">
        <v>8000000</v>
      </c>
      <c r="F46" s="60"/>
      <c r="G46" s="304">
        <f t="shared" si="0"/>
        <v>3.0117046322419928E-6</v>
      </c>
      <c r="H46" s="304">
        <f t="shared" si="1"/>
        <v>0</v>
      </c>
      <c r="I46" s="59" t="s">
        <v>993</v>
      </c>
    </row>
    <row r="47" spans="2:13" ht="14.5">
      <c r="B47" s="321" t="s">
        <v>997</v>
      </c>
      <c r="C47" s="31">
        <v>351085000</v>
      </c>
      <c r="D47" s="31">
        <v>351085000</v>
      </c>
      <c r="E47" s="60">
        <v>351085000</v>
      </c>
      <c r="F47" s="60"/>
      <c r="G47" s="304">
        <f t="shared" si="0"/>
        <v>1.32170540101335E-4</v>
      </c>
      <c r="H47" s="304">
        <f t="shared" si="1"/>
        <v>0</v>
      </c>
      <c r="I47" s="59" t="s">
        <v>993</v>
      </c>
    </row>
    <row r="48" spans="2:13" ht="14.5">
      <c r="B48" s="321" t="s">
        <v>996</v>
      </c>
      <c r="C48" s="31">
        <v>40587194000</v>
      </c>
      <c r="D48" s="31">
        <v>46490454000</v>
      </c>
      <c r="E48" s="60">
        <v>55695702000</v>
      </c>
      <c r="F48" s="60"/>
      <c r="G48" s="304">
        <f t="shared" si="0"/>
        <v>2.0967375463671202E-2</v>
      </c>
      <c r="H48" s="304">
        <f t="shared" si="1"/>
        <v>0</v>
      </c>
      <c r="I48" s="59" t="s">
        <v>981</v>
      </c>
    </row>
    <row r="49" spans="2:13" ht="14.5">
      <c r="B49" s="61" t="s">
        <v>995</v>
      </c>
      <c r="C49" s="31">
        <v>13518641974</v>
      </c>
      <c r="D49" s="31">
        <v>16702000492</v>
      </c>
      <c r="E49" s="60">
        <v>16142485101</v>
      </c>
      <c r="F49" s="60">
        <v>16970171584</v>
      </c>
      <c r="G49" s="304">
        <f t="shared" si="0"/>
        <v>6.0770496443223812E-3</v>
      </c>
      <c r="H49" s="304">
        <f t="shared" si="1"/>
        <v>6.3495979997947542E-3</v>
      </c>
      <c r="I49" s="59" t="s">
        <v>993</v>
      </c>
    </row>
    <row r="50" spans="2:13" ht="14.5">
      <c r="B50" s="61" t="s">
        <v>994</v>
      </c>
      <c r="C50" s="31">
        <v>5641634821</v>
      </c>
      <c r="D50" s="31">
        <v>5641634821</v>
      </c>
      <c r="E50" s="60">
        <v>5641634821</v>
      </c>
      <c r="F50" s="60">
        <v>5641644821</v>
      </c>
      <c r="G50" s="312">
        <f t="shared" si="0"/>
        <v>2.1238672154779282E-3</v>
      </c>
      <c r="H50" s="312">
        <f t="shared" si="1"/>
        <v>2.1108906585687258E-3</v>
      </c>
      <c r="I50" s="327" t="s">
        <v>993</v>
      </c>
      <c r="J50" s="328"/>
    </row>
    <row r="51" spans="2:13" ht="16">
      <c r="B51" s="58" t="s">
        <v>165</v>
      </c>
      <c r="C51" s="320">
        <v>2554365455754</v>
      </c>
      <c r="D51" s="320">
        <v>2559495856406</v>
      </c>
      <c r="E51" s="320">
        <v>2656302983485</v>
      </c>
      <c r="F51" s="320">
        <v>2672637162943</v>
      </c>
      <c r="G51" s="332">
        <f t="shared" si="0"/>
        <v>1</v>
      </c>
      <c r="H51" s="332">
        <f t="shared" si="1"/>
        <v>1</v>
      </c>
      <c r="I51" s="331"/>
      <c r="J51" s="328"/>
      <c r="M51" s="329"/>
    </row>
    <row r="52" spans="2:13" ht="14.5">
      <c r="B52" s="32" t="s">
        <v>164</v>
      </c>
      <c r="C52" s="31"/>
      <c r="D52" s="31"/>
      <c r="E52" s="60"/>
      <c r="F52" s="60"/>
      <c r="G52" s="312"/>
      <c r="H52" s="312"/>
      <c r="I52" s="327"/>
      <c r="J52" s="328"/>
      <c r="M52" s="329"/>
    </row>
    <row r="53" spans="2:13" s="46" customFormat="1" ht="14.5">
      <c r="B53" s="29" t="s">
        <v>163</v>
      </c>
      <c r="C53" s="28">
        <v>319173461659</v>
      </c>
      <c r="D53" s="28">
        <v>454796841996</v>
      </c>
      <c r="E53" s="65">
        <v>473932100070</v>
      </c>
      <c r="F53" s="65">
        <v>252285001238</v>
      </c>
      <c r="G53" s="325"/>
      <c r="H53" s="325"/>
      <c r="I53" s="324"/>
      <c r="J53" s="330"/>
      <c r="M53" s="329"/>
    </row>
    <row r="54" spans="2:13" ht="14.5">
      <c r="B54" s="61" t="s">
        <v>992</v>
      </c>
      <c r="C54" s="31">
        <v>217440156577</v>
      </c>
      <c r="D54" s="31">
        <v>225260165824</v>
      </c>
      <c r="E54" s="60">
        <v>168004160253</v>
      </c>
      <c r="F54" s="60">
        <v>190320969699</v>
      </c>
      <c r="G54" s="312">
        <f t="shared" ref="G54:G71" si="2">E54/$E$51</f>
        <v>6.3247363458735772E-2</v>
      </c>
      <c r="H54" s="312">
        <f t="shared" ref="H54:H71" si="3">F54/$F$51</f>
        <v>7.1210926921867035E-2</v>
      </c>
      <c r="I54" s="327"/>
      <c r="J54" s="328"/>
    </row>
    <row r="55" spans="2:13" ht="14.5">
      <c r="B55" s="321" t="s">
        <v>991</v>
      </c>
      <c r="C55" s="31">
        <v>163636701000</v>
      </c>
      <c r="D55" s="31">
        <v>168737797000</v>
      </c>
      <c r="E55" s="60">
        <v>119735968000</v>
      </c>
      <c r="F55" s="60">
        <v>129705443000</v>
      </c>
      <c r="G55" s="312">
        <f t="shared" si="2"/>
        <v>4.5076171183947376E-2</v>
      </c>
      <c r="H55" s="312">
        <f t="shared" si="3"/>
        <v>4.853088357761725E-2</v>
      </c>
      <c r="I55" s="327" t="s">
        <v>981</v>
      </c>
      <c r="J55" s="328"/>
    </row>
    <row r="56" spans="2:13" ht="14.5">
      <c r="B56" s="321" t="s">
        <v>990</v>
      </c>
      <c r="C56" s="31">
        <v>53803456000</v>
      </c>
      <c r="D56" s="31">
        <v>56522369000</v>
      </c>
      <c r="E56" s="60">
        <v>48268192000</v>
      </c>
      <c r="F56" s="60">
        <v>60615527000</v>
      </c>
      <c r="G56" s="312">
        <f t="shared" si="2"/>
        <v>1.8171192179543237E-2</v>
      </c>
      <c r="H56" s="312">
        <f t="shared" si="3"/>
        <v>2.2680043456872623E-2</v>
      </c>
      <c r="I56" s="327" t="s">
        <v>981</v>
      </c>
      <c r="J56" s="328"/>
    </row>
    <row r="57" spans="2:13" s="21" customFormat="1" ht="14.5">
      <c r="B57" s="62" t="s">
        <v>979</v>
      </c>
      <c r="C57" s="33">
        <v>41577733281</v>
      </c>
      <c r="D57" s="33">
        <v>140000000000</v>
      </c>
      <c r="E57" s="60">
        <v>210011906896</v>
      </c>
      <c r="F57" s="60">
        <v>0</v>
      </c>
      <c r="G57" s="312">
        <f t="shared" si="2"/>
        <v>7.9061729103082165E-2</v>
      </c>
      <c r="H57" s="312">
        <f t="shared" si="3"/>
        <v>0</v>
      </c>
      <c r="I57" s="327"/>
      <c r="J57" s="326"/>
    </row>
    <row r="58" spans="2:13" s="21" customFormat="1" ht="14.5">
      <c r="B58" s="321" t="s">
        <v>989</v>
      </c>
      <c r="C58" s="33">
        <v>0</v>
      </c>
      <c r="D58" s="60">
        <v>40000000000</v>
      </c>
      <c r="E58" s="60">
        <v>50000000000</v>
      </c>
      <c r="F58" s="60">
        <v>0</v>
      </c>
      <c r="G58" s="312">
        <f t="shared" si="2"/>
        <v>1.8823153951512454E-2</v>
      </c>
      <c r="H58" s="312">
        <f t="shared" si="3"/>
        <v>0</v>
      </c>
      <c r="I58" s="327" t="s">
        <v>970</v>
      </c>
      <c r="J58" s="326"/>
    </row>
    <row r="59" spans="2:13" s="21" customFormat="1" ht="14.5">
      <c r="B59" s="321" t="s">
        <v>978</v>
      </c>
      <c r="C59" s="33">
        <v>41557168000</v>
      </c>
      <c r="D59" s="33">
        <v>100000000000</v>
      </c>
      <c r="E59" s="60">
        <v>149984924000</v>
      </c>
      <c r="F59" s="60">
        <v>0</v>
      </c>
      <c r="G59" s="312">
        <f t="shared" si="2"/>
        <v>5.6463786297157904E-2</v>
      </c>
      <c r="H59" s="312">
        <f t="shared" si="3"/>
        <v>0</v>
      </c>
      <c r="I59" s="327" t="s">
        <v>970</v>
      </c>
      <c r="J59" s="326"/>
    </row>
    <row r="60" spans="2:13" s="21" customFormat="1" ht="14.5">
      <c r="B60" s="321" t="s">
        <v>976</v>
      </c>
      <c r="C60" s="33">
        <v>0</v>
      </c>
      <c r="D60" s="33">
        <v>0</v>
      </c>
      <c r="E60" s="60">
        <v>10026983000</v>
      </c>
      <c r="F60" s="60">
        <v>0</v>
      </c>
      <c r="G60" s="312">
        <f t="shared" si="2"/>
        <v>3.774788893563964E-3</v>
      </c>
      <c r="H60" s="312">
        <f t="shared" si="3"/>
        <v>0</v>
      </c>
      <c r="I60" s="327" t="s">
        <v>970</v>
      </c>
      <c r="J60" s="326"/>
    </row>
    <row r="61" spans="2:13" s="21" customFormat="1" ht="14.5">
      <c r="B61" s="62" t="s">
        <v>974</v>
      </c>
      <c r="C61" s="33">
        <v>0</v>
      </c>
      <c r="D61" s="33">
        <v>34478441498</v>
      </c>
      <c r="E61" s="60">
        <v>25112640621</v>
      </c>
      <c r="F61" s="60">
        <v>0</v>
      </c>
      <c r="G61" s="312">
        <f t="shared" si="2"/>
        <v>9.4539820107617661E-3</v>
      </c>
      <c r="H61" s="312">
        <f t="shared" si="3"/>
        <v>0</v>
      </c>
      <c r="I61" s="327" t="s">
        <v>970</v>
      </c>
      <c r="J61" s="326"/>
    </row>
    <row r="62" spans="2:13" s="21" customFormat="1" ht="14.5">
      <c r="B62" s="62" t="s">
        <v>973</v>
      </c>
      <c r="C62" s="33">
        <v>9555950898</v>
      </c>
      <c r="D62" s="33">
        <v>1829191094</v>
      </c>
      <c r="E62" s="60">
        <v>1265048221</v>
      </c>
      <c r="F62" s="60">
        <v>0</v>
      </c>
      <c r="G62" s="312">
        <f t="shared" si="2"/>
        <v>4.76243948399399E-4</v>
      </c>
      <c r="H62" s="312">
        <f t="shared" si="3"/>
        <v>0</v>
      </c>
      <c r="I62" s="327"/>
      <c r="J62" s="326"/>
    </row>
    <row r="63" spans="2:13" s="21" customFormat="1" ht="14.5">
      <c r="B63" s="321" t="s">
        <v>988</v>
      </c>
      <c r="C63" s="33">
        <v>9555951000</v>
      </c>
      <c r="D63" s="33">
        <v>0</v>
      </c>
      <c r="E63" s="60">
        <v>0</v>
      </c>
      <c r="F63" s="60">
        <v>0</v>
      </c>
      <c r="G63" s="312">
        <f t="shared" si="2"/>
        <v>0</v>
      </c>
      <c r="H63" s="312">
        <f t="shared" si="3"/>
        <v>0</v>
      </c>
      <c r="I63" s="327"/>
      <c r="J63" s="326"/>
    </row>
    <row r="64" spans="2:13" s="21" customFormat="1" ht="14.5">
      <c r="B64" s="321" t="s">
        <v>971</v>
      </c>
      <c r="C64" s="33">
        <v>0</v>
      </c>
      <c r="D64" s="33">
        <v>1829191000</v>
      </c>
      <c r="E64" s="60">
        <v>1265048000</v>
      </c>
      <c r="F64" s="60">
        <v>0</v>
      </c>
      <c r="G64" s="312">
        <f t="shared" si="2"/>
        <v>4.7624386520105853E-4</v>
      </c>
      <c r="H64" s="312">
        <f t="shared" si="3"/>
        <v>0</v>
      </c>
      <c r="I64" s="327" t="s">
        <v>970</v>
      </c>
      <c r="J64" s="326"/>
    </row>
    <row r="65" spans="2:13" s="21" customFormat="1" ht="14.5">
      <c r="B65" s="62" t="s">
        <v>987</v>
      </c>
      <c r="C65" s="33">
        <v>10497653816</v>
      </c>
      <c r="D65" s="33">
        <v>6324937509</v>
      </c>
      <c r="E65" s="60">
        <v>28715892019</v>
      </c>
      <c r="F65" s="60">
        <v>14129331223</v>
      </c>
      <c r="G65" s="312">
        <f t="shared" si="2"/>
        <v>1.0810473126572896E-2</v>
      </c>
      <c r="H65" s="312">
        <f t="shared" si="3"/>
        <v>5.2866627086189848E-3</v>
      </c>
      <c r="I65" s="327"/>
      <c r="J65" s="326"/>
    </row>
    <row r="66" spans="2:13" s="21" customFormat="1" ht="14.5">
      <c r="B66" s="62" t="s">
        <v>2202</v>
      </c>
      <c r="C66" s="33">
        <v>134411638</v>
      </c>
      <c r="D66" s="33">
        <v>175492661</v>
      </c>
      <c r="E66" s="60">
        <v>174268736</v>
      </c>
      <c r="F66" s="60">
        <v>495872320</v>
      </c>
      <c r="G66" s="312">
        <f t="shared" si="2"/>
        <v>6.5605744933269617E-5</v>
      </c>
      <c r="H66" s="312">
        <f t="shared" si="3"/>
        <v>1.855367151499029E-4</v>
      </c>
      <c r="I66" s="327" t="s">
        <v>981</v>
      </c>
      <c r="J66" s="326"/>
    </row>
    <row r="67" spans="2:13" s="21" customFormat="1" ht="14.5">
      <c r="B67" s="62" t="s">
        <v>986</v>
      </c>
      <c r="C67" s="33">
        <v>39967555449</v>
      </c>
      <c r="D67" s="33">
        <v>46728613410</v>
      </c>
      <c r="E67" s="60">
        <v>40648183324</v>
      </c>
      <c r="F67" s="60">
        <v>47338827996</v>
      </c>
      <c r="G67" s="312">
        <f t="shared" si="2"/>
        <v>1.5302540251139066E-2</v>
      </c>
      <c r="H67" s="312">
        <f t="shared" si="3"/>
        <v>1.771240355869047E-2</v>
      </c>
      <c r="I67" s="327"/>
      <c r="J67" s="326"/>
    </row>
    <row r="68" spans="2:13" s="21" customFormat="1" ht="14.5">
      <c r="B68" s="321" t="s">
        <v>985</v>
      </c>
      <c r="C68" s="33">
        <v>22924221000</v>
      </c>
      <c r="D68" s="33">
        <v>16959478000</v>
      </c>
      <c r="E68" s="60">
        <v>12413920000</v>
      </c>
      <c r="F68" s="60"/>
      <c r="G68" s="312">
        <f t="shared" si="2"/>
        <v>4.6733825460351895E-3</v>
      </c>
      <c r="H68" s="312">
        <f t="shared" si="3"/>
        <v>0</v>
      </c>
      <c r="I68" s="327" t="s">
        <v>981</v>
      </c>
      <c r="J68" s="326"/>
    </row>
    <row r="69" spans="2:13" s="21" customFormat="1" ht="14.5">
      <c r="B69" s="321" t="s">
        <v>984</v>
      </c>
      <c r="C69" s="33">
        <v>7121794000</v>
      </c>
      <c r="D69" s="33">
        <v>18654069000</v>
      </c>
      <c r="E69" s="60">
        <v>16839954000</v>
      </c>
      <c r="F69" s="60"/>
      <c r="G69" s="312">
        <f t="shared" si="2"/>
        <v>6.3396209335677594E-3</v>
      </c>
      <c r="H69" s="312">
        <f t="shared" si="3"/>
        <v>0</v>
      </c>
      <c r="I69" s="327" t="s">
        <v>981</v>
      </c>
      <c r="J69" s="326"/>
    </row>
    <row r="70" spans="2:13" s="21" customFormat="1" ht="14.5">
      <c r="B70" s="321" t="s">
        <v>983</v>
      </c>
      <c r="C70" s="33">
        <v>6108297000</v>
      </c>
      <c r="D70" s="33">
        <v>6144570000</v>
      </c>
      <c r="E70" s="60">
        <v>6975211000</v>
      </c>
      <c r="F70" s="60"/>
      <c r="G70" s="312">
        <f t="shared" si="2"/>
        <v>2.625909409945663E-3</v>
      </c>
      <c r="H70" s="312">
        <f t="shared" si="3"/>
        <v>0</v>
      </c>
      <c r="I70" s="327" t="s">
        <v>981</v>
      </c>
      <c r="J70" s="326"/>
    </row>
    <row r="71" spans="2:13" s="21" customFormat="1" ht="14.5">
      <c r="B71" s="321" t="s">
        <v>982</v>
      </c>
      <c r="C71" s="33">
        <v>3813243000</v>
      </c>
      <c r="D71" s="33">
        <v>4970496000</v>
      </c>
      <c r="E71" s="60">
        <v>4419098000</v>
      </c>
      <c r="F71" s="60"/>
      <c r="G71" s="312">
        <f t="shared" si="2"/>
        <v>1.6636272396164157E-3</v>
      </c>
      <c r="H71" s="312">
        <f t="shared" si="3"/>
        <v>0</v>
      </c>
      <c r="I71" s="327" t="s">
        <v>981</v>
      </c>
      <c r="J71" s="326"/>
    </row>
    <row r="72" spans="2:13" s="63" customFormat="1" ht="14.5">
      <c r="B72" s="67" t="s">
        <v>162</v>
      </c>
      <c r="C72" s="66">
        <v>1764299491468</v>
      </c>
      <c r="D72" s="66">
        <v>1454691554462</v>
      </c>
      <c r="E72" s="65">
        <v>1182693401679</v>
      </c>
      <c r="F72" s="65">
        <v>1062033484249</v>
      </c>
      <c r="G72" s="325"/>
      <c r="H72" s="325"/>
      <c r="I72" s="324"/>
      <c r="J72" s="323"/>
      <c r="M72" s="322"/>
    </row>
    <row r="73" spans="2:13" s="21" customFormat="1" ht="14.5">
      <c r="B73" s="62" t="s">
        <v>980</v>
      </c>
      <c r="C73" s="33">
        <v>8138732019</v>
      </c>
      <c r="D73" s="33">
        <v>10224353752</v>
      </c>
      <c r="E73" s="60">
        <v>12885845215</v>
      </c>
      <c r="F73" s="60">
        <v>15968046075</v>
      </c>
      <c r="G73" s="304">
        <f t="shared" ref="G73:G85" si="4">E73/$E$51</f>
        <v>4.8510449655461019E-3</v>
      </c>
      <c r="H73" s="304">
        <f t="shared" ref="H73:H85" si="5">F73/$F$51</f>
        <v>5.9746404399378455E-3</v>
      </c>
      <c r="I73" s="26" t="s">
        <v>967</v>
      </c>
    </row>
    <row r="74" spans="2:13" s="21" customFormat="1" ht="14.5">
      <c r="B74" s="62" t="s">
        <v>979</v>
      </c>
      <c r="C74" s="33">
        <v>1381250411474</v>
      </c>
      <c r="D74" s="33">
        <v>1361491740094</v>
      </c>
      <c r="E74" s="60">
        <v>1143859788071</v>
      </c>
      <c r="F74" s="60">
        <v>883815888377</v>
      </c>
      <c r="G74" s="304">
        <f t="shared" si="4"/>
        <v>0.43062097779609687</v>
      </c>
      <c r="H74" s="304">
        <f t="shared" si="5"/>
        <v>0.33069056310052114</v>
      </c>
      <c r="I74" s="59"/>
    </row>
    <row r="75" spans="2:13" s="21" customFormat="1" ht="14.5">
      <c r="B75" s="321" t="s">
        <v>978</v>
      </c>
      <c r="C75" s="33">
        <v>1297018006000</v>
      </c>
      <c r="D75" s="33">
        <v>1263297032000</v>
      </c>
      <c r="E75" s="60">
        <v>1114156195000</v>
      </c>
      <c r="F75" s="60">
        <v>883815888000</v>
      </c>
      <c r="G75" s="304">
        <f t="shared" si="4"/>
        <v>0.41943867169032661</v>
      </c>
      <c r="H75" s="304">
        <f t="shared" si="5"/>
        <v>0.33069056295946198</v>
      </c>
      <c r="I75" s="59" t="s">
        <v>970</v>
      </c>
    </row>
    <row r="76" spans="2:13" s="21" customFormat="1" ht="14.5">
      <c r="B76" s="321" t="s">
        <v>977</v>
      </c>
      <c r="C76" s="33">
        <v>84232406000</v>
      </c>
      <c r="D76" s="33">
        <v>89812451000</v>
      </c>
      <c r="E76" s="60">
        <v>0</v>
      </c>
      <c r="F76" s="60">
        <v>0</v>
      </c>
      <c r="G76" s="304">
        <f t="shared" si="4"/>
        <v>0</v>
      </c>
      <c r="H76" s="304">
        <f t="shared" si="5"/>
        <v>0</v>
      </c>
      <c r="I76" s="59" t="s">
        <v>970</v>
      </c>
    </row>
    <row r="77" spans="2:13" s="21" customFormat="1" ht="14.5">
      <c r="B77" s="321" t="s">
        <v>976</v>
      </c>
      <c r="C77" s="33">
        <v>0</v>
      </c>
      <c r="D77" s="33">
        <v>8382257000</v>
      </c>
      <c r="E77" s="60">
        <v>29703593000</v>
      </c>
      <c r="F77" s="60">
        <v>0</v>
      </c>
      <c r="G77" s="304">
        <f t="shared" si="4"/>
        <v>1.1182306079041353E-2</v>
      </c>
      <c r="H77" s="304">
        <f t="shared" si="5"/>
        <v>0</v>
      </c>
      <c r="I77" s="59" t="s">
        <v>970</v>
      </c>
    </row>
    <row r="78" spans="2:13" s="21" customFormat="1" ht="14.5">
      <c r="B78" s="62" t="s">
        <v>975</v>
      </c>
      <c r="C78" s="33">
        <v>0</v>
      </c>
      <c r="D78" s="33">
        <v>0</v>
      </c>
      <c r="E78" s="60">
        <v>0</v>
      </c>
      <c r="F78" s="60">
        <v>129402670703</v>
      </c>
      <c r="G78" s="304">
        <f t="shared" si="4"/>
        <v>0</v>
      </c>
      <c r="H78" s="304">
        <f t="shared" si="5"/>
        <v>4.841759760629348E-2</v>
      </c>
      <c r="I78" s="59" t="s">
        <v>970</v>
      </c>
    </row>
    <row r="79" spans="2:13" s="21" customFormat="1" ht="14.5">
      <c r="B79" s="62" t="s">
        <v>974</v>
      </c>
      <c r="C79" s="33">
        <v>310917328541</v>
      </c>
      <c r="D79" s="33">
        <v>51241298344</v>
      </c>
      <c r="E79" s="60">
        <v>0</v>
      </c>
      <c r="F79" s="60">
        <v>0</v>
      </c>
      <c r="G79" s="304">
        <f t="shared" si="4"/>
        <v>0</v>
      </c>
      <c r="H79" s="304">
        <f t="shared" si="5"/>
        <v>0</v>
      </c>
      <c r="I79" s="59" t="s">
        <v>970</v>
      </c>
    </row>
    <row r="80" spans="2:13" ht="14.5">
      <c r="B80" s="61" t="s">
        <v>973</v>
      </c>
      <c r="C80" s="31">
        <v>56428505546</v>
      </c>
      <c r="D80" s="31">
        <v>19899793636</v>
      </c>
      <c r="E80" s="60">
        <v>13345429194</v>
      </c>
      <c r="F80" s="60">
        <v>13655401095</v>
      </c>
      <c r="G80" s="304">
        <f t="shared" si="4"/>
        <v>5.0240613653534157E-3</v>
      </c>
      <c r="H80" s="304">
        <f t="shared" si="5"/>
        <v>5.1093359339369603E-3</v>
      </c>
      <c r="I80" s="59"/>
    </row>
    <row r="81" spans="2:9" ht="14.5">
      <c r="B81" s="321" t="s">
        <v>972</v>
      </c>
      <c r="C81" s="31">
        <v>12908270000</v>
      </c>
      <c r="D81" s="31">
        <v>13833047000</v>
      </c>
      <c r="E81" s="60">
        <v>13345429000</v>
      </c>
      <c r="F81" s="60">
        <v>13655401095</v>
      </c>
      <c r="G81" s="304">
        <f t="shared" si="4"/>
        <v>5.0240612923195781E-3</v>
      </c>
      <c r="H81" s="304">
        <f t="shared" si="5"/>
        <v>5.1093359339369603E-3</v>
      </c>
      <c r="I81" s="26" t="s">
        <v>967</v>
      </c>
    </row>
    <row r="82" spans="2:9" ht="14.5">
      <c r="B82" s="321" t="s">
        <v>971</v>
      </c>
      <c r="C82" s="31">
        <v>43520236000</v>
      </c>
      <c r="D82" s="31">
        <v>6066747000</v>
      </c>
      <c r="E82" s="60">
        <v>0</v>
      </c>
      <c r="F82" s="60">
        <v>0</v>
      </c>
      <c r="G82" s="304">
        <f t="shared" si="4"/>
        <v>0</v>
      </c>
      <c r="H82" s="304">
        <f t="shared" si="5"/>
        <v>0</v>
      </c>
      <c r="I82" s="59" t="s">
        <v>970</v>
      </c>
    </row>
    <row r="83" spans="2:9" ht="14.5">
      <c r="B83" s="61" t="s">
        <v>969</v>
      </c>
      <c r="C83" s="31">
        <v>1311727340</v>
      </c>
      <c r="D83" s="31">
        <v>6857701361</v>
      </c>
      <c r="E83" s="60">
        <v>5968086812</v>
      </c>
      <c r="F83" s="60">
        <v>12593910781</v>
      </c>
      <c r="G83" s="304">
        <f t="shared" si="4"/>
        <v>2.2467643371653434E-3</v>
      </c>
      <c r="H83" s="304">
        <f t="shared" si="5"/>
        <v>4.7121663036115589E-3</v>
      </c>
      <c r="I83" s="26" t="s">
        <v>967</v>
      </c>
    </row>
    <row r="84" spans="2:9" ht="14.5">
      <c r="B84" s="61" t="s">
        <v>968</v>
      </c>
      <c r="C84" s="31">
        <v>6252786548</v>
      </c>
      <c r="D84" s="31">
        <v>4976667275</v>
      </c>
      <c r="E84" s="60">
        <v>6634252387</v>
      </c>
      <c r="F84" s="60">
        <v>6597567218</v>
      </c>
      <c r="G84" s="304">
        <f t="shared" si="4"/>
        <v>2.4975510806737999E-3</v>
      </c>
      <c r="H84" s="304">
        <f t="shared" si="5"/>
        <v>2.468560756947279E-3</v>
      </c>
      <c r="I84" s="26" t="s">
        <v>967</v>
      </c>
    </row>
    <row r="85" spans="2:9" ht="16">
      <c r="B85" s="58" t="s">
        <v>161</v>
      </c>
      <c r="C85" s="320">
        <v>2083472953127</v>
      </c>
      <c r="D85" s="320">
        <v>1909488396458</v>
      </c>
      <c r="E85" s="320">
        <v>1656625501749</v>
      </c>
      <c r="F85" s="320">
        <v>1314318485487</v>
      </c>
      <c r="G85" s="319">
        <f t="shared" si="4"/>
        <v>0.62365833718845987</v>
      </c>
      <c r="H85" s="319">
        <f t="shared" si="5"/>
        <v>0.49176839404557465</v>
      </c>
      <c r="I85" s="57"/>
    </row>
    <row r="86" spans="2:9" ht="14.5">
      <c r="B86" s="32" t="s">
        <v>160</v>
      </c>
      <c r="C86" s="31"/>
      <c r="D86" s="31"/>
      <c r="E86" s="60"/>
      <c r="F86" s="60"/>
      <c r="G86" s="304"/>
      <c r="H86" s="304"/>
      <c r="I86" s="59"/>
    </row>
    <row r="87" spans="2:9" ht="14.5">
      <c r="B87" s="32" t="s">
        <v>966</v>
      </c>
      <c r="C87" s="31"/>
      <c r="D87" s="31"/>
      <c r="E87" s="60"/>
      <c r="F87" s="60"/>
      <c r="G87" s="304"/>
      <c r="H87" s="304"/>
      <c r="I87" s="59"/>
    </row>
    <row r="88" spans="2:9" ht="14.5">
      <c r="B88" s="61" t="s">
        <v>965</v>
      </c>
      <c r="C88" s="31">
        <v>5199000000</v>
      </c>
      <c r="D88" s="31">
        <v>6514775000</v>
      </c>
      <c r="E88" s="60">
        <v>95504900000</v>
      </c>
      <c r="F88" s="60">
        <v>118038560000</v>
      </c>
      <c r="G88" s="304">
        <f>E88/$E$51</f>
        <v>3.5954068716476037E-2</v>
      </c>
      <c r="H88" s="304">
        <f>F88/$F$51</f>
        <v>4.4165576097138719E-2</v>
      </c>
      <c r="I88" s="59"/>
    </row>
    <row r="89" spans="2:9" ht="14.5">
      <c r="B89" s="32" t="s">
        <v>964</v>
      </c>
      <c r="C89" s="31"/>
      <c r="D89" s="31"/>
      <c r="E89" s="60"/>
      <c r="F89" s="60"/>
      <c r="G89" s="304"/>
      <c r="H89" s="304"/>
      <c r="I89" s="59"/>
    </row>
    <row r="90" spans="2:9" ht="14.5">
      <c r="B90" s="61" t="s">
        <v>963</v>
      </c>
      <c r="C90" s="31">
        <v>506081432091</v>
      </c>
      <c r="D90" s="31">
        <v>621375648924</v>
      </c>
      <c r="E90" s="60">
        <v>776172947117</v>
      </c>
      <c r="F90" s="60">
        <v>1045215227212</v>
      </c>
      <c r="G90" s="304">
        <f>E90/$E$51</f>
        <v>0.29220045753164853</v>
      </c>
      <c r="H90" s="304">
        <f>F90/$F$51</f>
        <v>0.39108010683390004</v>
      </c>
      <c r="I90" s="59"/>
    </row>
    <row r="91" spans="2:9" ht="14.5">
      <c r="B91" s="32" t="s">
        <v>962</v>
      </c>
      <c r="C91" s="31"/>
      <c r="D91" s="31"/>
      <c r="E91" s="60"/>
      <c r="F91" s="60"/>
      <c r="G91" s="304"/>
      <c r="H91" s="304"/>
      <c r="I91" s="59"/>
    </row>
    <row r="92" spans="2:9" ht="14.5">
      <c r="B92" s="61" t="s">
        <v>961</v>
      </c>
      <c r="C92" s="31">
        <v>10459826610</v>
      </c>
      <c r="D92" s="31">
        <v>10459826610</v>
      </c>
      <c r="E92" s="60">
        <v>10459826610</v>
      </c>
      <c r="F92" s="60">
        <v>10459826610</v>
      </c>
      <c r="G92" s="304">
        <f>E92/$E$51</f>
        <v>3.9377385317231322E-3</v>
      </c>
      <c r="H92" s="304">
        <f>F92/$F$51</f>
        <v>3.9136725160560373E-3</v>
      </c>
      <c r="I92" s="59"/>
    </row>
    <row r="93" spans="2:9" ht="14.5">
      <c r="B93" s="32" t="s">
        <v>960</v>
      </c>
      <c r="C93" s="31"/>
      <c r="D93" s="31"/>
      <c r="E93" s="60"/>
      <c r="F93" s="60"/>
      <c r="G93" s="304"/>
      <c r="H93" s="304"/>
      <c r="I93" s="59"/>
    </row>
    <row r="94" spans="2:9" ht="14.5">
      <c r="B94" s="61" t="s">
        <v>959</v>
      </c>
      <c r="C94" s="31">
        <v>-50847756074</v>
      </c>
      <c r="D94" s="31">
        <v>11657209414</v>
      </c>
      <c r="E94" s="60">
        <v>117539808009</v>
      </c>
      <c r="F94" s="60">
        <v>184605063634</v>
      </c>
      <c r="G94" s="304">
        <f>E94/$E$51</f>
        <v>4.424939803169247E-2</v>
      </c>
      <c r="H94" s="304">
        <f>F94/$F$51</f>
        <v>6.9072250507330513E-2</v>
      </c>
      <c r="I94" s="59"/>
    </row>
    <row r="95" spans="2:9" ht="16">
      <c r="B95" s="58" t="s">
        <v>159</v>
      </c>
      <c r="C95" s="320">
        <v>470892502627</v>
      </c>
      <c r="D95" s="320">
        <v>650007459948</v>
      </c>
      <c r="E95" s="320">
        <v>999677481736</v>
      </c>
      <c r="F95" s="320">
        <v>1358318677456</v>
      </c>
      <c r="G95" s="319">
        <f>E95/$E$51</f>
        <v>0.37634166281154013</v>
      </c>
      <c r="H95" s="319">
        <f>F95/$F$51</f>
        <v>0.50823160595442529</v>
      </c>
      <c r="I95" s="57"/>
    </row>
    <row r="96" spans="2:9" ht="16.5" thickBot="1">
      <c r="B96" s="56" t="s">
        <v>158</v>
      </c>
      <c r="C96" s="318">
        <v>2554365455754</v>
      </c>
      <c r="D96" s="318">
        <v>2559495856406</v>
      </c>
      <c r="E96" s="318">
        <v>2656302983485</v>
      </c>
      <c r="F96" s="318">
        <v>2672637162943</v>
      </c>
      <c r="G96" s="317">
        <f>E96/$E$51</f>
        <v>1</v>
      </c>
      <c r="H96" s="317">
        <f>F96/$F$51</f>
        <v>1</v>
      </c>
      <c r="I96" s="55"/>
    </row>
    <row r="97" spans="3:9">
      <c r="C97" s="20">
        <f>C96-C51</f>
        <v>0</v>
      </c>
      <c r="D97" s="20">
        <f>D96-D51</f>
        <v>0</v>
      </c>
      <c r="E97" s="20">
        <f>E96-E51</f>
        <v>0</v>
      </c>
      <c r="F97" s="20">
        <f>F96-F51</f>
        <v>0</v>
      </c>
    </row>
    <row r="98" spans="3:9">
      <c r="E98" s="19"/>
      <c r="F98" s="19"/>
      <c r="G98" s="19"/>
      <c r="H98" s="19"/>
      <c r="I98" s="54"/>
    </row>
    <row r="115" spans="3:3" s="18" customFormat="1" ht="13">
      <c r="C115" s="28"/>
    </row>
    <row r="116" spans="3:3" s="18" customFormat="1">
      <c r="C116" s="31"/>
    </row>
    <row r="117" spans="3:3" s="18" customFormat="1" ht="13">
      <c r="C117" s="28"/>
    </row>
    <row r="118" spans="3:3" s="18" customFormat="1">
      <c r="C118" s="31"/>
    </row>
    <row r="119" spans="3:3" s="18" customFormat="1">
      <c r="C119" s="31"/>
    </row>
    <row r="120" spans="3:3" s="18" customFormat="1" ht="13">
      <c r="C120" s="28"/>
    </row>
    <row r="121" spans="3:3" s="18" customFormat="1" ht="13">
      <c r="C121" s="28"/>
    </row>
    <row r="122" spans="3:3" s="18" customFormat="1" ht="13">
      <c r="C122" s="28"/>
    </row>
  </sheetData>
  <phoneticPr fontId="2" type="noConversion"/>
  <pageMargins left="0.6" right="0.6" top="1" bottom="1" header="0.5" footer="0.5"/>
  <pageSetup paperSize="9" scale="93" fitToHeight="0" orientation="landscape" r:id="rId1"/>
  <headerFooter scaleWithDoc="0">
    <oddHeader>&amp;R&amp;8Draft - Work in Progress</oddHeader>
    <oddFooter>&amp;L&amp;8&amp;F
&amp;D, &amp;T&amp;C&amp;8Page &amp;P of &amp;N&amp;R&amp;8&amp;A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U133"/>
  <sheetViews>
    <sheetView showGridLines="0" zoomScaleNormal="100" workbookViewId="0">
      <pane xSplit="4" ySplit="5" topLeftCell="I14" activePane="bottomRight" state="frozenSplit"/>
      <selection activeCell="K139" sqref="K139"/>
      <selection pane="topRight" activeCell="K139" sqref="K139"/>
      <selection pane="bottomLeft" activeCell="K139" sqref="K139"/>
      <selection pane="bottomRight" activeCell="K139" sqref="K139"/>
    </sheetView>
  </sheetViews>
  <sheetFormatPr defaultColWidth="9" defaultRowHeight="12.75" customHeight="1"/>
  <cols>
    <col min="1" max="1" width="33.08203125" style="73" customWidth="1"/>
    <col min="2" max="2" width="4.1640625" style="73" customWidth="1"/>
    <col min="3" max="3" width="7" style="73" customWidth="1"/>
    <col min="4" max="4" width="7.08203125" style="73" customWidth="1"/>
    <col min="5" max="15" width="9.1640625" style="73" customWidth="1"/>
    <col min="16" max="17" width="10.83203125" style="73" customWidth="1"/>
    <col min="18" max="18" width="10.83203125" style="73" bestFit="1" customWidth="1"/>
    <col min="19" max="23" width="12.08203125" style="73" bestFit="1" customWidth="1"/>
    <col min="24" max="26" width="50.5" style="78" customWidth="1"/>
    <col min="27" max="255" width="3.1640625" style="73" customWidth="1"/>
    <col min="256" max="16384" width="9" style="89"/>
  </cols>
  <sheetData>
    <row r="1" spans="1:255" s="71" customFormat="1" ht="19.5" customHeight="1">
      <c r="A1" s="70" t="s">
        <v>219</v>
      </c>
      <c r="C1" s="72"/>
      <c r="D1" s="73"/>
      <c r="E1" s="74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55" s="71" customFormat="1" ht="10">
      <c r="D2" s="76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55" s="71" customFormat="1" ht="10">
      <c r="D3" s="77"/>
      <c r="X3" s="78"/>
      <c r="Y3" s="78"/>
      <c r="Z3" s="78"/>
    </row>
    <row r="4" spans="1:255" s="71" customFormat="1" ht="10">
      <c r="X4" s="78"/>
      <c r="Y4" s="78"/>
      <c r="Z4" s="78"/>
    </row>
    <row r="5" spans="1:255" s="80" customFormat="1" ht="11.5">
      <c r="A5" s="79" t="s">
        <v>220</v>
      </c>
      <c r="B5" s="79" t="s">
        <v>221</v>
      </c>
      <c r="C5" s="79" t="s">
        <v>222</v>
      </c>
      <c r="D5" s="79" t="s">
        <v>223</v>
      </c>
      <c r="E5" s="79" t="s">
        <v>224</v>
      </c>
      <c r="F5" s="79" t="s">
        <v>225</v>
      </c>
      <c r="G5" s="79" t="s">
        <v>226</v>
      </c>
      <c r="H5" s="79" t="s">
        <v>227</v>
      </c>
      <c r="I5" s="79" t="s">
        <v>228</v>
      </c>
      <c r="J5" s="79" t="s">
        <v>229</v>
      </c>
      <c r="K5" s="79" t="s">
        <v>230</v>
      </c>
      <c r="L5" s="79" t="s">
        <v>231</v>
      </c>
      <c r="M5" s="79" t="s">
        <v>232</v>
      </c>
      <c r="N5" s="79" t="s">
        <v>233</v>
      </c>
      <c r="O5" s="79" t="s">
        <v>234</v>
      </c>
      <c r="P5" s="79" t="s">
        <v>235</v>
      </c>
      <c r="Q5" s="79" t="s">
        <v>236</v>
      </c>
      <c r="R5" s="79" t="s">
        <v>237</v>
      </c>
      <c r="S5" s="79" t="s">
        <v>238</v>
      </c>
      <c r="T5" s="79" t="s">
        <v>239</v>
      </c>
      <c r="U5" s="79" t="s">
        <v>240</v>
      </c>
      <c r="V5" s="79" t="s">
        <v>241</v>
      </c>
      <c r="W5" s="79" t="s">
        <v>242</v>
      </c>
      <c r="X5" s="79" t="s">
        <v>243</v>
      </c>
      <c r="Y5" s="79" t="s">
        <v>244</v>
      </c>
      <c r="Z5" s="79" t="s">
        <v>245</v>
      </c>
    </row>
    <row r="6" spans="1:255" ht="10" hidden="1">
      <c r="A6" s="78" t="s">
        <v>246</v>
      </c>
      <c r="B6" s="78" t="s">
        <v>247</v>
      </c>
      <c r="C6" s="78" t="s">
        <v>248</v>
      </c>
      <c r="D6" s="78" t="s">
        <v>249</v>
      </c>
      <c r="E6" s="86">
        <v>627850.1</v>
      </c>
      <c r="F6" s="86">
        <v>584814.6</v>
      </c>
      <c r="G6" s="86">
        <v>640292</v>
      </c>
      <c r="H6" s="87">
        <v>694628.2</v>
      </c>
      <c r="I6" s="87">
        <v>722228.9</v>
      </c>
      <c r="J6" s="87">
        <v>773868.4</v>
      </c>
      <c r="K6" s="87">
        <v>795558.2</v>
      </c>
      <c r="L6" s="87">
        <v>832305.3</v>
      </c>
      <c r="M6" s="87">
        <v>865240.9</v>
      </c>
      <c r="N6" s="87">
        <v>910048.9</v>
      </c>
      <c r="O6" s="87">
        <v>956514.5</v>
      </c>
      <c r="P6" s="87">
        <v>978498.8</v>
      </c>
      <c r="Q6" s="87">
        <v>981625</v>
      </c>
      <c r="R6" s="87">
        <v>1042111.2</v>
      </c>
      <c r="S6" s="82">
        <v>1083156.6000000001</v>
      </c>
      <c r="T6" s="84">
        <v>1125350.3999999999</v>
      </c>
      <c r="U6" s="84">
        <v>1171722.7</v>
      </c>
      <c r="V6" s="84">
        <v>1215309.7</v>
      </c>
      <c r="W6" s="84">
        <v>1262681.3999999999</v>
      </c>
      <c r="X6" s="78" t="s">
        <v>250</v>
      </c>
      <c r="Y6" s="78" t="s">
        <v>251</v>
      </c>
      <c r="Z6" s="78" t="s">
        <v>252</v>
      </c>
    </row>
    <row r="7" spans="1:255" ht="10" hidden="1">
      <c r="A7" s="78" t="s">
        <v>253</v>
      </c>
      <c r="B7" s="78" t="s">
        <v>254</v>
      </c>
      <c r="C7" s="78" t="s">
        <v>248</v>
      </c>
      <c r="D7" s="78" t="s">
        <v>249</v>
      </c>
      <c r="E7" s="86">
        <v>369790.1</v>
      </c>
      <c r="F7" s="86">
        <v>320133</v>
      </c>
      <c r="G7" s="86">
        <v>356951.1</v>
      </c>
      <c r="H7" s="87">
        <v>387035.1</v>
      </c>
      <c r="I7" s="87">
        <v>408922.2</v>
      </c>
      <c r="J7" s="87">
        <v>445243.9</v>
      </c>
      <c r="K7" s="87">
        <v>443396.2</v>
      </c>
      <c r="L7" s="87">
        <v>444889.9</v>
      </c>
      <c r="M7" s="87">
        <v>465430.4</v>
      </c>
      <c r="N7" s="87">
        <v>487438.9</v>
      </c>
      <c r="O7" s="87">
        <v>512094.8</v>
      </c>
      <c r="P7" s="87">
        <v>518820.9</v>
      </c>
      <c r="Q7" s="87">
        <v>518776</v>
      </c>
      <c r="R7" s="87">
        <v>540254.80000000005</v>
      </c>
      <c r="S7" s="82">
        <v>556894.30000000005</v>
      </c>
      <c r="T7" s="84">
        <v>576212.30000000005</v>
      </c>
      <c r="U7" s="84">
        <v>598134.9</v>
      </c>
      <c r="V7" s="84">
        <v>619835.19999999995</v>
      </c>
      <c r="W7" s="84">
        <v>642576.5</v>
      </c>
      <c r="X7" s="78" t="s">
        <v>255</v>
      </c>
      <c r="Y7" s="78" t="s">
        <v>256</v>
      </c>
      <c r="Z7" s="78" t="s">
        <v>252</v>
      </c>
    </row>
    <row r="8" spans="1:255" ht="10" hidden="1">
      <c r="A8" s="78" t="s">
        <v>257</v>
      </c>
      <c r="B8" s="78" t="s">
        <v>258</v>
      </c>
      <c r="C8" s="78" t="s">
        <v>248</v>
      </c>
      <c r="D8" s="78" t="s">
        <v>249</v>
      </c>
      <c r="E8" s="86">
        <v>90009.9</v>
      </c>
      <c r="F8" s="86">
        <v>92096.6</v>
      </c>
      <c r="G8" s="86">
        <v>94769.600000000006</v>
      </c>
      <c r="H8" s="87">
        <v>96290.1</v>
      </c>
      <c r="I8" s="87">
        <v>101124.3</v>
      </c>
      <c r="J8" s="87">
        <v>106110.7</v>
      </c>
      <c r="K8" s="87">
        <v>110809.8</v>
      </c>
      <c r="L8" s="87">
        <v>115040.5</v>
      </c>
      <c r="M8" s="87">
        <v>120010.1</v>
      </c>
      <c r="N8" s="87">
        <v>127908.9</v>
      </c>
      <c r="O8" s="87">
        <v>134806.9</v>
      </c>
      <c r="P8" s="87">
        <v>140633.60000000001</v>
      </c>
      <c r="Q8" s="87">
        <v>148471.70000000001</v>
      </c>
      <c r="R8" s="87">
        <v>152948.6</v>
      </c>
      <c r="S8" s="86">
        <v>156419.70000000001</v>
      </c>
      <c r="T8" s="88">
        <v>161548.4</v>
      </c>
      <c r="U8" s="84">
        <v>165587.1</v>
      </c>
      <c r="V8" s="84">
        <v>171456.3</v>
      </c>
      <c r="W8" s="84">
        <v>177533.8</v>
      </c>
      <c r="X8" s="78" t="s">
        <v>259</v>
      </c>
      <c r="Y8" s="78" t="s">
        <v>256</v>
      </c>
      <c r="Z8" s="78" t="s">
        <v>252</v>
      </c>
    </row>
    <row r="9" spans="1:255" ht="10" hidden="1">
      <c r="A9" s="78" t="s">
        <v>260</v>
      </c>
      <c r="B9" s="78" t="s">
        <v>261</v>
      </c>
      <c r="C9" s="78" t="s">
        <v>248</v>
      </c>
      <c r="D9" s="78" t="s">
        <v>249</v>
      </c>
      <c r="E9" s="86">
        <v>228442.9</v>
      </c>
      <c r="F9" s="86">
        <v>176050.5</v>
      </c>
      <c r="G9" s="86">
        <v>190735.6</v>
      </c>
      <c r="H9" s="87">
        <v>214017.8</v>
      </c>
      <c r="I9" s="87">
        <v>214742.39999999999</v>
      </c>
      <c r="J9" s="87">
        <v>229919.2</v>
      </c>
      <c r="K9" s="87">
        <v>239976.9</v>
      </c>
      <c r="L9" s="87">
        <v>245029.6</v>
      </c>
      <c r="M9" s="87">
        <v>249689.60000000001</v>
      </c>
      <c r="N9" s="87">
        <v>258198.6</v>
      </c>
      <c r="O9" s="87">
        <v>269079.90000000002</v>
      </c>
      <c r="P9" s="87">
        <v>263848</v>
      </c>
      <c r="Q9" s="87">
        <v>261233.7</v>
      </c>
      <c r="R9" s="87">
        <v>279474.5</v>
      </c>
      <c r="S9" s="82">
        <v>275168.59999999998</v>
      </c>
      <c r="T9" s="84">
        <v>279641.7</v>
      </c>
      <c r="U9" s="84">
        <v>299676.59999999998</v>
      </c>
      <c r="V9" s="84">
        <v>305636.40000000002</v>
      </c>
      <c r="W9" s="84">
        <v>316913.40000000002</v>
      </c>
      <c r="X9" s="78" t="s">
        <v>262</v>
      </c>
      <c r="Y9" s="78" t="s">
        <v>256</v>
      </c>
      <c r="Z9" s="78" t="s">
        <v>252</v>
      </c>
    </row>
    <row r="10" spans="1:255" ht="10" hidden="1">
      <c r="A10" s="78" t="s">
        <v>263</v>
      </c>
      <c r="B10" s="78" t="s">
        <v>264</v>
      </c>
      <c r="C10" s="78" t="s">
        <v>248</v>
      </c>
      <c r="D10" s="78" t="s">
        <v>249</v>
      </c>
      <c r="E10" s="87">
        <v>5138.2960000000003</v>
      </c>
      <c r="F10" s="87">
        <v>-24789.437999999998</v>
      </c>
      <c r="G10" s="87">
        <v>1531.4269999999999</v>
      </c>
      <c r="H10" s="87">
        <v>4037.9</v>
      </c>
      <c r="I10" s="87">
        <v>2693.2</v>
      </c>
      <c r="J10" s="87">
        <v>3866.9</v>
      </c>
      <c r="K10" s="87">
        <v>4224.2</v>
      </c>
      <c r="L10" s="87">
        <v>5877.2</v>
      </c>
      <c r="M10" s="87">
        <v>7176.3</v>
      </c>
      <c r="N10" s="87">
        <v>10017.1</v>
      </c>
      <c r="O10" s="87">
        <v>7201.6</v>
      </c>
      <c r="P10" s="87">
        <v>13158.5</v>
      </c>
      <c r="Q10" s="87">
        <v>-17101.8</v>
      </c>
      <c r="R10" s="87">
        <v>-6995.9</v>
      </c>
      <c r="S10" s="86">
        <v>2900</v>
      </c>
      <c r="T10" s="88">
        <v>4000</v>
      </c>
      <c r="U10" s="88">
        <v>5000</v>
      </c>
      <c r="V10" s="88">
        <v>5000</v>
      </c>
      <c r="W10" s="88">
        <v>5000</v>
      </c>
      <c r="X10" s="78" t="s">
        <v>266</v>
      </c>
      <c r="Y10" s="78" t="s">
        <v>267</v>
      </c>
      <c r="Z10" s="78" t="s">
        <v>252</v>
      </c>
    </row>
    <row r="11" spans="1:255" ht="10" hidden="1">
      <c r="A11" s="78" t="s">
        <v>268</v>
      </c>
      <c r="B11" s="78" t="s">
        <v>269</v>
      </c>
      <c r="C11" s="78" t="s">
        <v>248</v>
      </c>
      <c r="D11" s="78" t="s">
        <v>249</v>
      </c>
      <c r="E11" s="86">
        <v>138084.20000000001</v>
      </c>
      <c r="F11" s="86">
        <v>155554.9</v>
      </c>
      <c r="G11" s="86">
        <v>178299.8</v>
      </c>
      <c r="H11" s="87">
        <v>212433.4</v>
      </c>
      <c r="I11" s="87">
        <v>205154.8</v>
      </c>
      <c r="J11" s="87">
        <v>229973.9</v>
      </c>
      <c r="K11" s="87">
        <v>263281</v>
      </c>
      <c r="L11" s="87">
        <v>315258.7</v>
      </c>
      <c r="M11" s="87">
        <v>339756.79999999999</v>
      </c>
      <c r="N11" s="87">
        <v>378374.6</v>
      </c>
      <c r="O11" s="87">
        <v>426070.6</v>
      </c>
      <c r="P11" s="87">
        <v>454248.9</v>
      </c>
      <c r="Q11" s="87">
        <v>448813.8</v>
      </c>
      <c r="R11" s="87">
        <v>514032.7</v>
      </c>
      <c r="S11" s="82">
        <v>551649.9</v>
      </c>
      <c r="T11" s="84">
        <v>581954.80000000005</v>
      </c>
      <c r="U11" s="84">
        <v>620570.5</v>
      </c>
      <c r="V11" s="84">
        <v>659275.1</v>
      </c>
      <c r="W11" s="84">
        <v>698686.1</v>
      </c>
      <c r="X11" s="78" t="s">
        <v>270</v>
      </c>
      <c r="Y11" s="78" t="s">
        <v>256</v>
      </c>
      <c r="Z11" s="78" t="s">
        <v>252</v>
      </c>
    </row>
    <row r="12" spans="1:255" ht="10" hidden="1">
      <c r="A12" s="78" t="s">
        <v>271</v>
      </c>
      <c r="B12" s="78" t="s">
        <v>272</v>
      </c>
      <c r="C12" s="78" t="s">
        <v>248</v>
      </c>
      <c r="D12" s="78" t="s">
        <v>249</v>
      </c>
      <c r="E12" s="86">
        <v>181409.7</v>
      </c>
      <c r="F12" s="86">
        <v>141840.6</v>
      </c>
      <c r="G12" s="86">
        <v>181267.8</v>
      </c>
      <c r="H12" s="87">
        <v>217623.7</v>
      </c>
      <c r="I12" s="87">
        <v>207038.1</v>
      </c>
      <c r="J12" s="87">
        <v>236908.6</v>
      </c>
      <c r="K12" s="87">
        <v>263152.40000000002</v>
      </c>
      <c r="L12" s="87">
        <v>294059.09999999998</v>
      </c>
      <c r="M12" s="87">
        <v>316377.59999999998</v>
      </c>
      <c r="N12" s="87">
        <v>352087.8</v>
      </c>
      <c r="O12" s="87">
        <v>393207.1</v>
      </c>
      <c r="P12" s="87">
        <v>410567.7</v>
      </c>
      <c r="Q12" s="87">
        <v>377795.8</v>
      </c>
      <c r="R12" s="87">
        <v>441692.9</v>
      </c>
      <c r="S12" s="82">
        <v>458462.5</v>
      </c>
      <c r="T12" s="84">
        <v>476490.5</v>
      </c>
      <c r="U12" s="84">
        <v>515730</v>
      </c>
      <c r="V12" s="84">
        <v>544376.80000000005</v>
      </c>
      <c r="W12" s="84">
        <v>576512</v>
      </c>
      <c r="X12" s="78" t="s">
        <v>273</v>
      </c>
      <c r="Y12" s="78" t="s">
        <v>256</v>
      </c>
      <c r="Z12" s="78" t="s">
        <v>252</v>
      </c>
    </row>
    <row r="13" spans="1:255" ht="10" hidden="1">
      <c r="A13" s="78" t="s">
        <v>274</v>
      </c>
      <c r="B13" s="78" t="s">
        <v>275</v>
      </c>
      <c r="C13" s="78" t="s">
        <v>248</v>
      </c>
      <c r="D13" s="78" t="s">
        <v>249</v>
      </c>
      <c r="E13" s="87">
        <v>693381.10199999996</v>
      </c>
      <c r="F13" s="87">
        <v>563490.70200000005</v>
      </c>
      <c r="G13" s="87">
        <v>643987.76</v>
      </c>
      <c r="H13" s="87">
        <v>701380.9</v>
      </c>
      <c r="I13" s="87">
        <v>727482.1</v>
      </c>
      <c r="J13" s="87">
        <v>785140.7</v>
      </c>
      <c r="K13" s="87">
        <v>798407.1</v>
      </c>
      <c r="L13" s="87">
        <v>810837.2</v>
      </c>
      <c r="M13" s="87">
        <v>842306.4</v>
      </c>
      <c r="N13" s="87">
        <v>883563.5</v>
      </c>
      <c r="O13" s="87">
        <v>923183.2</v>
      </c>
      <c r="P13" s="87">
        <v>936461</v>
      </c>
      <c r="Q13" s="87">
        <v>911379.6</v>
      </c>
      <c r="R13" s="87">
        <v>965682</v>
      </c>
      <c r="S13" s="82">
        <v>991382.6</v>
      </c>
      <c r="T13" s="84">
        <v>1021402.4</v>
      </c>
      <c r="U13" s="84">
        <v>1068398.6000000001</v>
      </c>
      <c r="V13" s="84">
        <v>1101927.8999999999</v>
      </c>
      <c r="W13" s="84">
        <v>1142023.7</v>
      </c>
      <c r="X13" s="78" t="s">
        <v>276</v>
      </c>
      <c r="Y13" s="78" t="s">
        <v>267</v>
      </c>
      <c r="Z13" s="78" t="s">
        <v>277</v>
      </c>
    </row>
    <row r="14" spans="1:255" s="85" customFormat="1" ht="10">
      <c r="A14" s="81" t="s">
        <v>278</v>
      </c>
      <c r="B14" s="81" t="s">
        <v>279</v>
      </c>
      <c r="C14" s="81" t="s">
        <v>267</v>
      </c>
      <c r="D14" s="81" t="s">
        <v>267</v>
      </c>
      <c r="E14" s="82">
        <v>4.7</v>
      </c>
      <c r="F14" s="82">
        <v>-6.9</v>
      </c>
      <c r="G14" s="82">
        <v>9.5</v>
      </c>
      <c r="H14" s="82">
        <v>8.5</v>
      </c>
      <c r="I14" s="83">
        <v>3.9729999999999999</v>
      </c>
      <c r="J14" s="83">
        <v>7.15</v>
      </c>
      <c r="K14" s="83">
        <v>2.8029999999999999</v>
      </c>
      <c r="L14" s="83">
        <v>4.6189999999999998</v>
      </c>
      <c r="M14" s="83">
        <v>3.9569999999999999</v>
      </c>
      <c r="N14" s="83">
        <v>5.1790000000000003</v>
      </c>
      <c r="O14" s="83">
        <v>5.1059999999999999</v>
      </c>
      <c r="P14" s="83">
        <v>2.298</v>
      </c>
      <c r="Q14" s="83">
        <v>0.31900000000000001</v>
      </c>
      <c r="R14" s="83">
        <v>6.1619999999999999</v>
      </c>
      <c r="S14" s="82">
        <v>3.9</v>
      </c>
      <c r="T14" s="84">
        <v>3.9</v>
      </c>
      <c r="U14" s="84">
        <v>4.0999999999999996</v>
      </c>
      <c r="V14" s="84">
        <v>3.7</v>
      </c>
      <c r="W14" s="84">
        <v>3.9</v>
      </c>
      <c r="X14" s="81" t="s">
        <v>280</v>
      </c>
      <c r="Y14" s="81" t="s">
        <v>251</v>
      </c>
      <c r="Z14" s="81" t="s">
        <v>277</v>
      </c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  <c r="FB14" s="72"/>
      <c r="FC14" s="72"/>
      <c r="FD14" s="72"/>
      <c r="FE14" s="72"/>
      <c r="FF14" s="72"/>
      <c r="FG14" s="72"/>
      <c r="FH14" s="72"/>
      <c r="FI14" s="72"/>
      <c r="FJ14" s="72"/>
      <c r="FK14" s="72"/>
      <c r="FL14" s="72"/>
      <c r="FM14" s="72"/>
      <c r="FN14" s="72"/>
      <c r="FO14" s="72"/>
      <c r="FP14" s="72"/>
      <c r="FQ14" s="72"/>
      <c r="FR14" s="72"/>
      <c r="FS14" s="72"/>
      <c r="FT14" s="72"/>
      <c r="FU14" s="72"/>
      <c r="FV14" s="72"/>
      <c r="FW14" s="72"/>
      <c r="FX14" s="72"/>
      <c r="FY14" s="72"/>
      <c r="FZ14" s="72"/>
      <c r="GA14" s="72"/>
      <c r="GB14" s="72"/>
      <c r="GC14" s="72"/>
      <c r="GD14" s="72"/>
      <c r="GE14" s="72"/>
      <c r="GF14" s="72"/>
      <c r="GG14" s="72"/>
      <c r="GH14" s="72"/>
      <c r="GI14" s="72"/>
      <c r="GJ14" s="72"/>
      <c r="GK14" s="72"/>
      <c r="GL14" s="72"/>
      <c r="GM14" s="72"/>
      <c r="GN14" s="72"/>
      <c r="GO14" s="72"/>
      <c r="GP14" s="72"/>
      <c r="GQ14" s="72"/>
      <c r="GR14" s="72"/>
      <c r="GS14" s="72"/>
      <c r="GT14" s="72"/>
      <c r="GU14" s="72"/>
      <c r="GV14" s="72"/>
      <c r="GW14" s="72"/>
      <c r="GX14" s="72"/>
      <c r="GY14" s="72"/>
      <c r="GZ14" s="72"/>
      <c r="HA14" s="72"/>
      <c r="HB14" s="72"/>
      <c r="HC14" s="72"/>
      <c r="HD14" s="72"/>
      <c r="HE14" s="72"/>
      <c r="HF14" s="72"/>
      <c r="HG14" s="72"/>
      <c r="HH14" s="72"/>
      <c r="HI14" s="72"/>
      <c r="HJ14" s="72"/>
      <c r="HK14" s="72"/>
      <c r="HL14" s="72"/>
      <c r="HM14" s="72"/>
      <c r="HN14" s="72"/>
      <c r="HO14" s="72"/>
      <c r="HP14" s="72"/>
      <c r="HQ14" s="72"/>
      <c r="HR14" s="72"/>
      <c r="HS14" s="72"/>
      <c r="HT14" s="72"/>
      <c r="HU14" s="72"/>
      <c r="HV14" s="72"/>
      <c r="HW14" s="72"/>
      <c r="HX14" s="72"/>
      <c r="HY14" s="72"/>
      <c r="HZ14" s="72"/>
      <c r="IA14" s="72"/>
      <c r="IB14" s="72"/>
      <c r="IC14" s="72"/>
      <c r="ID14" s="72"/>
      <c r="IE14" s="72"/>
      <c r="IF14" s="72"/>
      <c r="IG14" s="72"/>
      <c r="IH14" s="72"/>
      <c r="II14" s="72"/>
      <c r="IJ14" s="72"/>
      <c r="IK14" s="72"/>
      <c r="IL14" s="72"/>
      <c r="IM14" s="72"/>
      <c r="IN14" s="72"/>
      <c r="IO14" s="72"/>
      <c r="IP14" s="72"/>
      <c r="IQ14" s="72"/>
      <c r="IR14" s="72"/>
      <c r="IS14" s="72"/>
      <c r="IT14" s="72"/>
      <c r="IU14" s="72"/>
    </row>
    <row r="15" spans="1:255" s="85" customFormat="1" ht="10">
      <c r="A15" s="81" t="s">
        <v>281</v>
      </c>
      <c r="B15" s="81" t="s">
        <v>282</v>
      </c>
      <c r="C15" s="81" t="s">
        <v>267</v>
      </c>
      <c r="D15" s="81" t="s">
        <v>267</v>
      </c>
      <c r="E15" s="82">
        <v>3.3</v>
      </c>
      <c r="F15" s="82">
        <v>-13.4</v>
      </c>
      <c r="G15" s="82">
        <v>11.5</v>
      </c>
      <c r="H15" s="82">
        <v>8.4</v>
      </c>
      <c r="I15" s="83">
        <v>5.6550000000000002</v>
      </c>
      <c r="J15" s="83">
        <v>8.8819999999999997</v>
      </c>
      <c r="K15" s="83">
        <v>-0.41499999999999998</v>
      </c>
      <c r="L15" s="83">
        <v>0.33700000000000002</v>
      </c>
      <c r="M15" s="83">
        <v>4.617</v>
      </c>
      <c r="N15" s="83">
        <v>4.7290000000000001</v>
      </c>
      <c r="O15" s="83">
        <v>5.0579999999999998</v>
      </c>
      <c r="P15" s="83">
        <v>1.3129999999999999</v>
      </c>
      <c r="Q15" s="83">
        <v>-8.9999999999999993E-3</v>
      </c>
      <c r="R15" s="83">
        <v>4.1399999999999997</v>
      </c>
      <c r="S15" s="82">
        <v>3.1</v>
      </c>
      <c r="T15" s="84">
        <v>3.5</v>
      </c>
      <c r="U15" s="84">
        <v>3.8</v>
      </c>
      <c r="V15" s="84">
        <v>3.6</v>
      </c>
      <c r="W15" s="84">
        <v>3.7</v>
      </c>
      <c r="X15" s="81" t="s">
        <v>283</v>
      </c>
      <c r="Y15" s="81" t="s">
        <v>267</v>
      </c>
      <c r="Z15" s="81" t="s">
        <v>277</v>
      </c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  <c r="FB15" s="72"/>
      <c r="FC15" s="72"/>
      <c r="FD15" s="72"/>
      <c r="FE15" s="72"/>
      <c r="FF15" s="72"/>
      <c r="FG15" s="72"/>
      <c r="FH15" s="72"/>
      <c r="FI15" s="72"/>
      <c r="FJ15" s="72"/>
      <c r="FK15" s="72"/>
      <c r="FL15" s="72"/>
      <c r="FM15" s="72"/>
      <c r="FN15" s="72"/>
      <c r="FO15" s="72"/>
      <c r="FP15" s="72"/>
      <c r="FQ15" s="72"/>
      <c r="FR15" s="72"/>
      <c r="FS15" s="72"/>
      <c r="FT15" s="72"/>
      <c r="FU15" s="72"/>
      <c r="FV15" s="72"/>
      <c r="FW15" s="72"/>
      <c r="FX15" s="72"/>
      <c r="FY15" s="72"/>
      <c r="FZ15" s="72"/>
      <c r="GA15" s="72"/>
      <c r="GB15" s="72"/>
      <c r="GC15" s="72"/>
      <c r="GD15" s="72"/>
      <c r="GE15" s="72"/>
      <c r="GF15" s="72"/>
      <c r="GG15" s="72"/>
      <c r="GH15" s="72"/>
      <c r="GI15" s="72"/>
      <c r="GJ15" s="72"/>
      <c r="GK15" s="72"/>
      <c r="GL15" s="72"/>
      <c r="GM15" s="72"/>
      <c r="GN15" s="72"/>
      <c r="GO15" s="72"/>
      <c r="GP15" s="72"/>
      <c r="GQ15" s="72"/>
      <c r="GR15" s="72"/>
      <c r="GS15" s="72"/>
      <c r="GT15" s="72"/>
      <c r="GU15" s="72"/>
      <c r="GV15" s="72"/>
      <c r="GW15" s="72"/>
      <c r="GX15" s="72"/>
      <c r="GY15" s="72"/>
      <c r="GZ15" s="72"/>
      <c r="HA15" s="72"/>
      <c r="HB15" s="72"/>
      <c r="HC15" s="72"/>
      <c r="HD15" s="72"/>
      <c r="HE15" s="72"/>
      <c r="HF15" s="72"/>
      <c r="HG15" s="72"/>
      <c r="HH15" s="72"/>
      <c r="HI15" s="72"/>
      <c r="HJ15" s="72"/>
      <c r="HK15" s="72"/>
      <c r="HL15" s="72"/>
      <c r="HM15" s="72"/>
      <c r="HN15" s="72"/>
      <c r="HO15" s="72"/>
      <c r="HP15" s="72"/>
      <c r="HQ15" s="72"/>
      <c r="HR15" s="72"/>
      <c r="HS15" s="72"/>
      <c r="HT15" s="72"/>
      <c r="HU15" s="72"/>
      <c r="HV15" s="72"/>
      <c r="HW15" s="72"/>
      <c r="HX15" s="72"/>
      <c r="HY15" s="72"/>
      <c r="HZ15" s="72"/>
      <c r="IA15" s="72"/>
      <c r="IB15" s="72"/>
      <c r="IC15" s="72"/>
      <c r="ID15" s="72"/>
      <c r="IE15" s="72"/>
      <c r="IF15" s="72"/>
      <c r="IG15" s="72"/>
      <c r="IH15" s="72"/>
      <c r="II15" s="72"/>
      <c r="IJ15" s="72"/>
      <c r="IK15" s="72"/>
      <c r="IL15" s="72"/>
      <c r="IM15" s="72"/>
      <c r="IN15" s="72"/>
      <c r="IO15" s="72"/>
      <c r="IP15" s="72"/>
      <c r="IQ15" s="72"/>
      <c r="IR15" s="72"/>
      <c r="IS15" s="72"/>
      <c r="IT15" s="72"/>
      <c r="IU15" s="72"/>
    </row>
    <row r="16" spans="1:255" ht="10" hidden="1">
      <c r="A16" s="78" t="s">
        <v>284</v>
      </c>
      <c r="B16" s="78" t="s">
        <v>285</v>
      </c>
      <c r="C16" s="78" t="s">
        <v>267</v>
      </c>
      <c r="D16" s="78" t="s">
        <v>267</v>
      </c>
      <c r="E16" s="86">
        <v>2.6</v>
      </c>
      <c r="F16" s="86">
        <v>2.2999999999999998</v>
      </c>
      <c r="G16" s="86">
        <v>2.9</v>
      </c>
      <c r="H16" s="86">
        <v>1.6</v>
      </c>
      <c r="I16" s="87">
        <v>5.0199999999999996</v>
      </c>
      <c r="J16" s="87">
        <v>4.931</v>
      </c>
      <c r="K16" s="87">
        <v>4.4279999999999999</v>
      </c>
      <c r="L16" s="87">
        <v>3.8180000000000001</v>
      </c>
      <c r="M16" s="87">
        <v>4.32</v>
      </c>
      <c r="N16" s="87">
        <v>6.5819999999999999</v>
      </c>
      <c r="O16" s="87">
        <v>5.3929999999999998</v>
      </c>
      <c r="P16" s="87">
        <v>4.3220000000000001</v>
      </c>
      <c r="Q16" s="87">
        <v>5.5730000000000004</v>
      </c>
      <c r="R16" s="87">
        <v>3.0150000000000001</v>
      </c>
      <c r="S16" s="86">
        <v>2.2999999999999998</v>
      </c>
      <c r="T16" s="88">
        <v>3.3</v>
      </c>
      <c r="U16" s="84">
        <v>2.5</v>
      </c>
      <c r="V16" s="88">
        <v>3.5</v>
      </c>
      <c r="W16" s="88">
        <v>3.5</v>
      </c>
      <c r="X16" s="78" t="s">
        <v>286</v>
      </c>
      <c r="Y16" s="78" t="s">
        <v>267</v>
      </c>
      <c r="Z16" s="78" t="s">
        <v>277</v>
      </c>
    </row>
    <row r="17" spans="1:26" ht="10" hidden="1">
      <c r="A17" s="78" t="s">
        <v>287</v>
      </c>
      <c r="B17" s="78" t="s">
        <v>288</v>
      </c>
      <c r="C17" s="78" t="s">
        <v>267</v>
      </c>
      <c r="D17" s="78" t="s">
        <v>267</v>
      </c>
      <c r="E17" s="86">
        <v>-2.2999999999999998</v>
      </c>
      <c r="F17" s="86">
        <v>-22.9</v>
      </c>
      <c r="G17" s="86">
        <v>8.3000000000000007</v>
      </c>
      <c r="H17" s="86">
        <v>12.2</v>
      </c>
      <c r="I17" s="87">
        <v>0.33900000000000002</v>
      </c>
      <c r="J17" s="87">
        <v>7.0670000000000002</v>
      </c>
      <c r="K17" s="87">
        <v>4.3739999999999997</v>
      </c>
      <c r="L17" s="87">
        <v>2.105</v>
      </c>
      <c r="M17" s="87">
        <v>1.9019999999999999</v>
      </c>
      <c r="N17" s="87">
        <v>3.4079999999999999</v>
      </c>
      <c r="O17" s="87">
        <v>4.2140000000000004</v>
      </c>
      <c r="P17" s="87">
        <v>-1.944</v>
      </c>
      <c r="Q17" s="87">
        <v>-0.99099999999999999</v>
      </c>
      <c r="R17" s="87">
        <v>6.9829999999999997</v>
      </c>
      <c r="S17" s="82">
        <v>-1.5</v>
      </c>
      <c r="T17" s="84">
        <v>1.6</v>
      </c>
      <c r="U17" s="84">
        <v>7.2</v>
      </c>
      <c r="V17" s="84">
        <v>2</v>
      </c>
      <c r="W17" s="84">
        <v>3.7</v>
      </c>
      <c r="X17" s="78" t="s">
        <v>289</v>
      </c>
      <c r="Y17" s="78" t="s">
        <v>267</v>
      </c>
      <c r="Z17" s="78" t="s">
        <v>277</v>
      </c>
    </row>
    <row r="18" spans="1:26" ht="10" hidden="1">
      <c r="A18" s="78" t="s">
        <v>290</v>
      </c>
      <c r="B18" s="78" t="s">
        <v>291</v>
      </c>
      <c r="C18" s="78" t="s">
        <v>267</v>
      </c>
      <c r="D18" s="78" t="s">
        <v>267</v>
      </c>
      <c r="E18" s="86">
        <v>-0.4</v>
      </c>
      <c r="F18" s="86">
        <v>-4.8</v>
      </c>
      <c r="G18" s="86">
        <v>4.5</v>
      </c>
      <c r="H18" s="86">
        <v>0.4</v>
      </c>
      <c r="I18" s="87">
        <v>-0.19400000000000001</v>
      </c>
      <c r="J18" s="87">
        <v>0.16300000000000001</v>
      </c>
      <c r="K18" s="87">
        <v>4.5999999999999999E-2</v>
      </c>
      <c r="L18" s="87">
        <v>0.20799999999999999</v>
      </c>
      <c r="M18" s="87">
        <v>0.156</v>
      </c>
      <c r="N18" s="87">
        <v>0.32800000000000001</v>
      </c>
      <c r="O18" s="87">
        <v>-0.309</v>
      </c>
      <c r="P18" s="87">
        <v>0.623</v>
      </c>
      <c r="Q18" s="87">
        <v>-3.093</v>
      </c>
      <c r="R18" s="87">
        <v>1.03</v>
      </c>
      <c r="S18" s="86">
        <v>0.9</v>
      </c>
      <c r="T18" s="88">
        <v>0.1</v>
      </c>
      <c r="U18" s="88">
        <v>0.1</v>
      </c>
      <c r="V18" s="88">
        <v>0</v>
      </c>
      <c r="W18" s="88">
        <v>0</v>
      </c>
      <c r="X18" s="78" t="s">
        <v>292</v>
      </c>
      <c r="Y18" s="78" t="s">
        <v>267</v>
      </c>
      <c r="Z18" s="78" t="s">
        <v>277</v>
      </c>
    </row>
    <row r="19" spans="1:26" ht="10" hidden="1">
      <c r="A19" s="78" t="s">
        <v>293</v>
      </c>
      <c r="B19" s="78" t="s">
        <v>294</v>
      </c>
      <c r="C19" s="78" t="s">
        <v>267</v>
      </c>
      <c r="D19" s="78" t="s">
        <v>267</v>
      </c>
      <c r="E19" s="86">
        <v>21.6</v>
      </c>
      <c r="F19" s="86">
        <v>12.7</v>
      </c>
      <c r="G19" s="86">
        <v>14.6</v>
      </c>
      <c r="H19" s="86">
        <v>19.100000000000001</v>
      </c>
      <c r="I19" s="87">
        <v>-3.4260000000000002</v>
      </c>
      <c r="J19" s="87">
        <v>12.098000000000001</v>
      </c>
      <c r="K19" s="87">
        <v>14.483000000000001</v>
      </c>
      <c r="L19" s="87">
        <v>19.742000000000001</v>
      </c>
      <c r="M19" s="87">
        <v>7.7709999999999999</v>
      </c>
      <c r="N19" s="87">
        <v>11.366</v>
      </c>
      <c r="O19" s="87">
        <v>12.605</v>
      </c>
      <c r="P19" s="87">
        <v>6.6139999999999999</v>
      </c>
      <c r="Q19" s="87">
        <v>-1.1970000000000001</v>
      </c>
      <c r="R19" s="87">
        <v>14.531000000000001</v>
      </c>
      <c r="S19" s="82">
        <v>7.3</v>
      </c>
      <c r="T19" s="84">
        <v>5.5</v>
      </c>
      <c r="U19" s="88">
        <v>6.6</v>
      </c>
      <c r="V19" s="84">
        <v>6.2</v>
      </c>
      <c r="W19" s="84">
        <v>6</v>
      </c>
      <c r="X19" s="78" t="s">
        <v>295</v>
      </c>
      <c r="Y19" s="78" t="s">
        <v>267</v>
      </c>
      <c r="Z19" s="78" t="s">
        <v>277</v>
      </c>
    </row>
    <row r="20" spans="1:26" ht="10" hidden="1">
      <c r="A20" s="78" t="s">
        <v>296</v>
      </c>
      <c r="B20" s="78" t="s">
        <v>297</v>
      </c>
      <c r="C20" s="78" t="s">
        <v>267</v>
      </c>
      <c r="D20" s="78" t="s">
        <v>267</v>
      </c>
      <c r="E20" s="86">
        <v>3.5</v>
      </c>
      <c r="F20" s="86">
        <v>-21.8</v>
      </c>
      <c r="G20" s="86">
        <v>27.8</v>
      </c>
      <c r="H20" s="86">
        <v>20.100000000000001</v>
      </c>
      <c r="I20" s="87">
        <v>-4.8639999999999999</v>
      </c>
      <c r="J20" s="87">
        <v>14.428000000000001</v>
      </c>
      <c r="K20" s="87">
        <v>11.077999999999999</v>
      </c>
      <c r="L20" s="87">
        <v>11.744999999999999</v>
      </c>
      <c r="M20" s="87">
        <v>7.59</v>
      </c>
      <c r="N20" s="87">
        <v>11.287000000000001</v>
      </c>
      <c r="O20" s="87">
        <v>11.679</v>
      </c>
      <c r="P20" s="87">
        <v>4.415</v>
      </c>
      <c r="Q20" s="87">
        <v>-7.9820000000000002</v>
      </c>
      <c r="R20" s="87">
        <v>16.913</v>
      </c>
      <c r="S20" s="82">
        <v>3.8</v>
      </c>
      <c r="T20" s="84">
        <v>3.9</v>
      </c>
      <c r="U20" s="84">
        <v>8.1999999999999993</v>
      </c>
      <c r="V20" s="84">
        <v>5.6</v>
      </c>
      <c r="W20" s="84">
        <v>5.9</v>
      </c>
      <c r="X20" s="78" t="s">
        <v>298</v>
      </c>
      <c r="Y20" s="78" t="s">
        <v>267</v>
      </c>
      <c r="Z20" s="78" t="s">
        <v>277</v>
      </c>
    </row>
    <row r="21" spans="1:26" ht="10" hidden="1">
      <c r="A21" s="78" t="s">
        <v>299</v>
      </c>
      <c r="B21" s="78" t="s">
        <v>300</v>
      </c>
      <c r="C21" s="78" t="s">
        <v>267</v>
      </c>
      <c r="D21" s="78" t="s">
        <v>267</v>
      </c>
      <c r="E21" s="86">
        <v>0.9</v>
      </c>
      <c r="F21" s="86">
        <v>-18.7</v>
      </c>
      <c r="G21" s="86">
        <v>14.3</v>
      </c>
      <c r="H21" s="86">
        <v>8.9</v>
      </c>
      <c r="I21" s="87">
        <v>3.7210000000000001</v>
      </c>
      <c r="J21" s="87">
        <v>7.9260000000000002</v>
      </c>
      <c r="K21" s="87">
        <v>1.69</v>
      </c>
      <c r="L21" s="87">
        <v>1.5569999999999999</v>
      </c>
      <c r="M21" s="87">
        <v>3.8809999999999998</v>
      </c>
      <c r="N21" s="87">
        <v>4.8979999999999997</v>
      </c>
      <c r="O21" s="87">
        <v>4.484</v>
      </c>
      <c r="P21" s="87">
        <v>1.4379999999999999</v>
      </c>
      <c r="Q21" s="87">
        <v>-2.6779999999999999</v>
      </c>
      <c r="R21" s="87">
        <v>5.9580000000000002</v>
      </c>
      <c r="S21" s="82">
        <v>2.7</v>
      </c>
      <c r="T21" s="84">
        <v>3</v>
      </c>
      <c r="U21" s="84">
        <v>4.5999999999999996</v>
      </c>
      <c r="V21" s="84">
        <v>3.1</v>
      </c>
      <c r="W21" s="84">
        <v>3.6</v>
      </c>
      <c r="X21" s="78" t="s">
        <v>301</v>
      </c>
      <c r="Y21" s="78" t="s">
        <v>267</v>
      </c>
      <c r="Z21" s="78" t="s">
        <v>277</v>
      </c>
    </row>
    <row r="22" spans="1:26" ht="10" hidden="1">
      <c r="A22" s="78" t="s">
        <v>302</v>
      </c>
      <c r="B22" s="78" t="s">
        <v>303</v>
      </c>
      <c r="C22" s="78" t="s">
        <v>267</v>
      </c>
      <c r="D22" s="78" t="s">
        <v>267</v>
      </c>
      <c r="E22" s="86">
        <v>2</v>
      </c>
      <c r="F22" s="86">
        <v>-7.9</v>
      </c>
      <c r="G22" s="86">
        <v>6.3</v>
      </c>
      <c r="H22" s="86">
        <v>4.7</v>
      </c>
      <c r="I22" s="87">
        <v>3.1509999999999998</v>
      </c>
      <c r="J22" s="87">
        <v>5.0289999999999999</v>
      </c>
      <c r="K22" s="87">
        <v>-0.23899999999999999</v>
      </c>
      <c r="L22" s="87">
        <v>0.188</v>
      </c>
      <c r="M22" s="87">
        <v>2.468</v>
      </c>
      <c r="N22" s="87">
        <v>2.544</v>
      </c>
      <c r="O22" s="87">
        <v>2.7090000000000001</v>
      </c>
      <c r="P22" s="87">
        <v>0.70299999999999996</v>
      </c>
      <c r="Q22" s="87">
        <v>-5.0000000000000001E-3</v>
      </c>
      <c r="R22" s="87">
        <v>2.1880000000000002</v>
      </c>
      <c r="S22" s="86">
        <v>1.6</v>
      </c>
      <c r="T22" s="88">
        <v>1.8</v>
      </c>
      <c r="U22" s="88">
        <v>1.9</v>
      </c>
      <c r="V22" s="88">
        <v>1.9</v>
      </c>
      <c r="W22" s="88">
        <v>1.9</v>
      </c>
      <c r="X22" s="78" t="s">
        <v>304</v>
      </c>
      <c r="Y22" s="78" t="s">
        <v>267</v>
      </c>
      <c r="Z22" s="78" t="s">
        <v>277</v>
      </c>
    </row>
    <row r="23" spans="1:26" ht="10" hidden="1">
      <c r="A23" s="78" t="s">
        <v>305</v>
      </c>
      <c r="B23" s="78" t="s">
        <v>306</v>
      </c>
      <c r="C23" s="78" t="s">
        <v>267</v>
      </c>
      <c r="D23" s="78" t="s">
        <v>267</v>
      </c>
      <c r="E23" s="86">
        <v>0.4</v>
      </c>
      <c r="F23" s="86">
        <v>0.3</v>
      </c>
      <c r="G23" s="86">
        <v>0.5</v>
      </c>
      <c r="H23" s="86">
        <v>0.2</v>
      </c>
      <c r="I23" s="87">
        <v>0.69599999999999995</v>
      </c>
      <c r="J23" s="87">
        <v>0.69</v>
      </c>
      <c r="K23" s="87">
        <v>0.60699999999999998</v>
      </c>
      <c r="L23" s="87">
        <v>0.53200000000000003</v>
      </c>
      <c r="M23" s="87">
        <v>0.59699999999999998</v>
      </c>
      <c r="N23" s="87">
        <v>0.91300000000000003</v>
      </c>
      <c r="O23" s="87">
        <v>0.75800000000000001</v>
      </c>
      <c r="P23" s="87">
        <v>0.60899999999999999</v>
      </c>
      <c r="Q23" s="87">
        <v>0.80100000000000005</v>
      </c>
      <c r="R23" s="87">
        <v>0.45600000000000002</v>
      </c>
      <c r="S23" s="86">
        <v>0.3</v>
      </c>
      <c r="T23" s="88">
        <v>0.5</v>
      </c>
      <c r="U23" s="84">
        <v>0.4</v>
      </c>
      <c r="V23" s="88">
        <v>0.5</v>
      </c>
      <c r="W23" s="88">
        <v>0.5</v>
      </c>
      <c r="X23" s="78" t="s">
        <v>307</v>
      </c>
      <c r="Y23" s="78" t="s">
        <v>267</v>
      </c>
      <c r="Z23" s="78" t="s">
        <v>277</v>
      </c>
    </row>
    <row r="24" spans="1:26" ht="10" hidden="1">
      <c r="A24" s="78" t="s">
        <v>308</v>
      </c>
      <c r="B24" s="78" t="s">
        <v>309</v>
      </c>
      <c r="C24" s="78" t="s">
        <v>267</v>
      </c>
      <c r="D24" s="78" t="s">
        <v>267</v>
      </c>
      <c r="E24" s="86">
        <v>-0.9</v>
      </c>
      <c r="F24" s="86">
        <v>-8.3000000000000007</v>
      </c>
      <c r="G24" s="86">
        <v>2.5</v>
      </c>
      <c r="H24" s="86">
        <v>3.6</v>
      </c>
      <c r="I24" s="87">
        <v>0.104</v>
      </c>
      <c r="J24" s="87">
        <v>2.101</v>
      </c>
      <c r="K24" s="87">
        <v>1.3</v>
      </c>
      <c r="L24" s="87">
        <v>0.63500000000000001</v>
      </c>
      <c r="M24" s="87">
        <v>0.56000000000000005</v>
      </c>
      <c r="N24" s="87">
        <v>0.98299999999999998</v>
      </c>
      <c r="O24" s="87">
        <v>1.196</v>
      </c>
      <c r="P24" s="87">
        <v>-0.54700000000000004</v>
      </c>
      <c r="Q24" s="87">
        <v>-0.26700000000000002</v>
      </c>
      <c r="R24" s="87">
        <v>1.8580000000000001</v>
      </c>
      <c r="S24" s="82">
        <v>-0.4</v>
      </c>
      <c r="T24" s="84">
        <v>0.4</v>
      </c>
      <c r="U24" s="84">
        <v>1.8</v>
      </c>
      <c r="V24" s="84">
        <v>0.5</v>
      </c>
      <c r="W24" s="84">
        <v>0.9</v>
      </c>
      <c r="X24" s="78" t="s">
        <v>310</v>
      </c>
      <c r="Y24" s="78" t="s">
        <v>267</v>
      </c>
      <c r="Z24" s="78" t="s">
        <v>277</v>
      </c>
    </row>
    <row r="25" spans="1:26" ht="10" hidden="1">
      <c r="A25" s="78" t="s">
        <v>311</v>
      </c>
      <c r="B25" s="78" t="s">
        <v>312</v>
      </c>
      <c r="C25" s="78" t="s">
        <v>267</v>
      </c>
      <c r="D25" s="78" t="s">
        <v>267</v>
      </c>
      <c r="E25" s="86">
        <v>3.1</v>
      </c>
      <c r="F25" s="86">
        <v>9.1</v>
      </c>
      <c r="G25" s="86">
        <v>-2.9</v>
      </c>
      <c r="H25" s="86">
        <v>-0.3</v>
      </c>
      <c r="I25" s="87">
        <v>0.47599999999999998</v>
      </c>
      <c r="J25" s="87">
        <v>-0.69899999999999995</v>
      </c>
      <c r="K25" s="87">
        <v>0.91300000000000003</v>
      </c>
      <c r="L25" s="87">
        <v>2.649</v>
      </c>
      <c r="M25" s="87">
        <v>0.26200000000000001</v>
      </c>
      <c r="N25" s="87">
        <v>0.33600000000000002</v>
      </c>
      <c r="O25" s="87">
        <v>0.72299999999999998</v>
      </c>
      <c r="P25" s="87">
        <v>1.131</v>
      </c>
      <c r="Q25" s="87">
        <v>2.794</v>
      </c>
      <c r="R25" s="87">
        <v>0.13500000000000001</v>
      </c>
      <c r="S25" s="86">
        <v>2</v>
      </c>
      <c r="T25" s="84">
        <v>1.1000000000000001</v>
      </c>
      <c r="U25" s="84">
        <v>-0.1</v>
      </c>
      <c r="V25" s="84">
        <v>0.9</v>
      </c>
      <c r="W25" s="84">
        <v>0.6</v>
      </c>
      <c r="X25" s="78" t="s">
        <v>313</v>
      </c>
      <c r="Y25" s="78" t="s">
        <v>267</v>
      </c>
      <c r="Z25" s="78" t="s">
        <v>277</v>
      </c>
    </row>
    <row r="26" spans="1:26" ht="10" hidden="1">
      <c r="A26" s="78" t="s">
        <v>314</v>
      </c>
      <c r="B26" s="78" t="s">
        <v>315</v>
      </c>
      <c r="C26" s="78" t="s">
        <v>248</v>
      </c>
      <c r="D26" s="78" t="s">
        <v>249</v>
      </c>
      <c r="E26" s="87">
        <v>506313.7</v>
      </c>
      <c r="F26" s="87">
        <v>501027.2</v>
      </c>
      <c r="G26" s="87">
        <v>549005</v>
      </c>
      <c r="H26" s="87">
        <v>603236</v>
      </c>
      <c r="I26" s="87">
        <v>651415.19999999995</v>
      </c>
      <c r="J26" s="87">
        <v>720538.9</v>
      </c>
      <c r="K26" s="87">
        <v>767113.6</v>
      </c>
      <c r="L26" s="87">
        <v>826892.80000000005</v>
      </c>
      <c r="M26" s="87">
        <v>865240.8</v>
      </c>
      <c r="N26" s="87">
        <v>908743.8</v>
      </c>
      <c r="O26" s="87">
        <v>975012.9</v>
      </c>
      <c r="P26" s="87">
        <v>1026451.8</v>
      </c>
      <c r="Q26" s="87">
        <v>1065036.8</v>
      </c>
      <c r="R26" s="87">
        <v>1172803.3</v>
      </c>
      <c r="S26" s="82">
        <v>1255498.3</v>
      </c>
      <c r="T26" s="84">
        <v>1333067.1000000001</v>
      </c>
      <c r="U26" s="84">
        <v>1412841.3</v>
      </c>
      <c r="V26" s="84">
        <v>1481654</v>
      </c>
      <c r="W26" s="84">
        <v>1556723.7</v>
      </c>
      <c r="X26" s="78" t="s">
        <v>316</v>
      </c>
      <c r="Y26" s="78" t="s">
        <v>251</v>
      </c>
      <c r="Z26" s="78" t="s">
        <v>317</v>
      </c>
    </row>
    <row r="27" spans="1:26" ht="10" hidden="1">
      <c r="A27" s="78" t="s">
        <v>318</v>
      </c>
      <c r="B27" s="78" t="s">
        <v>319</v>
      </c>
      <c r="C27" s="78" t="s">
        <v>248</v>
      </c>
      <c r="D27" s="78" t="s">
        <v>249</v>
      </c>
      <c r="E27" s="87">
        <v>271343.3</v>
      </c>
      <c r="F27" s="87">
        <v>252111</v>
      </c>
      <c r="G27" s="87">
        <v>289961.5</v>
      </c>
      <c r="H27" s="87">
        <v>330389.59999999998</v>
      </c>
      <c r="I27" s="87">
        <v>364251.4</v>
      </c>
      <c r="J27" s="87">
        <v>408715.7</v>
      </c>
      <c r="K27" s="87">
        <v>420098.7</v>
      </c>
      <c r="L27" s="87">
        <v>435060.4</v>
      </c>
      <c r="M27" s="87">
        <v>465430.5</v>
      </c>
      <c r="N27" s="87">
        <v>494917.6</v>
      </c>
      <c r="O27" s="87">
        <v>530264.1</v>
      </c>
      <c r="P27" s="87">
        <v>561627.4</v>
      </c>
      <c r="Q27" s="87">
        <v>575970.19999999995</v>
      </c>
      <c r="R27" s="87">
        <v>615406.9</v>
      </c>
      <c r="S27" s="82">
        <v>660148.4</v>
      </c>
      <c r="T27" s="84">
        <v>702795.3</v>
      </c>
      <c r="U27" s="84">
        <v>747282.7</v>
      </c>
      <c r="V27" s="84">
        <v>794999.8</v>
      </c>
      <c r="W27" s="84">
        <v>844602.8</v>
      </c>
      <c r="X27" s="78" t="s">
        <v>320</v>
      </c>
      <c r="Y27" s="78" t="s">
        <v>267</v>
      </c>
      <c r="Z27" s="78" t="s">
        <v>317</v>
      </c>
    </row>
    <row r="28" spans="1:26" ht="10" hidden="1">
      <c r="A28" s="78" t="s">
        <v>321</v>
      </c>
      <c r="B28" s="78" t="s">
        <v>322</v>
      </c>
      <c r="C28" s="78" t="s">
        <v>248</v>
      </c>
      <c r="D28" s="78" t="s">
        <v>249</v>
      </c>
      <c r="E28" s="87">
        <v>57978</v>
      </c>
      <c r="F28" s="87">
        <v>63100.800000000003</v>
      </c>
      <c r="G28" s="87">
        <v>66309.2</v>
      </c>
      <c r="H28" s="87">
        <v>72100.899999999994</v>
      </c>
      <c r="I28" s="87">
        <v>83010</v>
      </c>
      <c r="J28" s="87">
        <v>90930.3</v>
      </c>
      <c r="K28" s="87">
        <v>100057.4</v>
      </c>
      <c r="L28" s="87">
        <v>110127.7</v>
      </c>
      <c r="M28" s="87">
        <v>120010.1</v>
      </c>
      <c r="N28" s="87">
        <v>131900.70000000001</v>
      </c>
      <c r="O28" s="87">
        <v>143262.20000000001</v>
      </c>
      <c r="P28" s="87">
        <v>156944.1</v>
      </c>
      <c r="Q28" s="87">
        <v>170324.7</v>
      </c>
      <c r="R28" s="87">
        <v>180053.8</v>
      </c>
      <c r="S28" s="82">
        <v>192184.8</v>
      </c>
      <c r="T28" s="84">
        <v>204620</v>
      </c>
      <c r="U28" s="84">
        <v>216087.2</v>
      </c>
      <c r="V28" s="84">
        <v>230590.1</v>
      </c>
      <c r="W28" s="84">
        <v>245631.5</v>
      </c>
      <c r="X28" s="78" t="s">
        <v>323</v>
      </c>
      <c r="Y28" s="78" t="s">
        <v>267</v>
      </c>
      <c r="Z28" s="78" t="s">
        <v>317</v>
      </c>
    </row>
    <row r="29" spans="1:26" ht="10" hidden="1">
      <c r="A29" s="78" t="s">
        <v>324</v>
      </c>
      <c r="B29" s="78" t="s">
        <v>325</v>
      </c>
      <c r="C29" s="78" t="s">
        <v>248</v>
      </c>
      <c r="D29" s="78" t="s">
        <v>249</v>
      </c>
      <c r="E29" s="87">
        <v>175311.2</v>
      </c>
      <c r="F29" s="87">
        <v>146971</v>
      </c>
      <c r="G29" s="87">
        <v>157280.79999999999</v>
      </c>
      <c r="H29" s="87">
        <v>180747.7</v>
      </c>
      <c r="I29" s="87">
        <v>187468.6</v>
      </c>
      <c r="J29" s="87">
        <v>206052.1</v>
      </c>
      <c r="K29" s="87">
        <v>225076.2</v>
      </c>
      <c r="L29" s="87">
        <v>241474.9</v>
      </c>
      <c r="M29" s="87">
        <v>249689.60000000001</v>
      </c>
      <c r="N29" s="87">
        <v>260650.9</v>
      </c>
      <c r="O29" s="87">
        <v>278167.90000000002</v>
      </c>
      <c r="P29" s="87">
        <v>300794.09999999998</v>
      </c>
      <c r="Q29" s="87">
        <v>309713.90000000002</v>
      </c>
      <c r="R29" s="87">
        <v>335889.4</v>
      </c>
      <c r="S29" s="82">
        <v>337328.6</v>
      </c>
      <c r="T29" s="84">
        <v>346240.2</v>
      </c>
      <c r="U29" s="84">
        <v>374757.1</v>
      </c>
      <c r="V29" s="84">
        <v>386032.1</v>
      </c>
      <c r="W29" s="84">
        <v>404278.3</v>
      </c>
      <c r="X29" s="78" t="s">
        <v>326</v>
      </c>
      <c r="Y29" s="78" t="s">
        <v>267</v>
      </c>
      <c r="Z29" s="78" t="s">
        <v>317</v>
      </c>
    </row>
    <row r="30" spans="1:26" ht="10" hidden="1">
      <c r="A30" s="78" t="s">
        <v>327</v>
      </c>
      <c r="B30" s="78" t="s">
        <v>328</v>
      </c>
      <c r="C30" s="78" t="s">
        <v>248</v>
      </c>
      <c r="D30" s="78" t="s">
        <v>249</v>
      </c>
      <c r="E30" s="87">
        <v>4151.8</v>
      </c>
      <c r="F30" s="87">
        <v>-21534.2</v>
      </c>
      <c r="G30" s="87">
        <v>1341.1</v>
      </c>
      <c r="H30" s="87">
        <v>3615.6</v>
      </c>
      <c r="I30" s="87">
        <v>2496.6</v>
      </c>
      <c r="J30" s="87">
        <v>4322.2</v>
      </c>
      <c r="K30" s="87">
        <v>4201.3</v>
      </c>
      <c r="L30" s="87">
        <v>6036.3</v>
      </c>
      <c r="M30" s="87">
        <v>7176.3</v>
      </c>
      <c r="N30" s="87">
        <v>8536.7999999999993</v>
      </c>
      <c r="O30" s="87">
        <v>8749.7000000000007</v>
      </c>
      <c r="P30" s="87">
        <v>19574.8</v>
      </c>
      <c r="Q30" s="87">
        <v>-29855.9</v>
      </c>
      <c r="R30" s="87">
        <v>6013.3</v>
      </c>
      <c r="S30" s="86">
        <v>3500</v>
      </c>
      <c r="T30" s="88">
        <v>5000</v>
      </c>
      <c r="U30" s="88">
        <v>5000</v>
      </c>
      <c r="V30" s="88">
        <v>5000</v>
      </c>
      <c r="W30" s="88">
        <v>5000</v>
      </c>
      <c r="X30" s="78" t="s">
        <v>329</v>
      </c>
      <c r="Y30" s="78" t="s">
        <v>267</v>
      </c>
      <c r="Z30" s="78" t="s">
        <v>317</v>
      </c>
    </row>
    <row r="31" spans="1:26" ht="10" hidden="1">
      <c r="A31" s="78" t="s">
        <v>330</v>
      </c>
      <c r="B31" s="78" t="s">
        <v>331</v>
      </c>
      <c r="C31" s="78" t="s">
        <v>248</v>
      </c>
      <c r="D31" s="78" t="s">
        <v>249</v>
      </c>
      <c r="E31" s="87">
        <v>160289.70000000001</v>
      </c>
      <c r="F31" s="87">
        <v>222026.4</v>
      </c>
      <c r="G31" s="87">
        <v>204289.1</v>
      </c>
      <c r="H31" s="87">
        <v>232633</v>
      </c>
      <c r="I31" s="87">
        <v>232820</v>
      </c>
      <c r="J31" s="87">
        <v>238684.3</v>
      </c>
      <c r="K31" s="87">
        <v>271320.40000000002</v>
      </c>
      <c r="L31" s="87">
        <v>338059.1</v>
      </c>
      <c r="M31" s="87">
        <v>339756.79999999999</v>
      </c>
      <c r="N31" s="87">
        <v>360625.3</v>
      </c>
      <c r="O31" s="87">
        <v>408754.2</v>
      </c>
      <c r="P31" s="87">
        <v>544110.69999999995</v>
      </c>
      <c r="Q31" s="87">
        <v>529645.19999999995</v>
      </c>
      <c r="R31" s="87">
        <v>614451.1</v>
      </c>
      <c r="S31" s="82">
        <v>737773.2</v>
      </c>
      <c r="T31" s="84">
        <v>751914.5</v>
      </c>
      <c r="U31" s="84">
        <v>803228.6</v>
      </c>
      <c r="V31" s="84">
        <v>857738.4</v>
      </c>
      <c r="W31" s="84">
        <v>928031.8</v>
      </c>
      <c r="X31" s="78" t="s">
        <v>332</v>
      </c>
      <c r="Y31" s="78" t="s">
        <v>267</v>
      </c>
      <c r="Z31" s="78" t="s">
        <v>317</v>
      </c>
    </row>
    <row r="32" spans="1:26" ht="10" hidden="1">
      <c r="A32" s="78" t="s">
        <v>333</v>
      </c>
      <c r="B32" s="78" t="s">
        <v>334</v>
      </c>
      <c r="C32" s="78" t="s">
        <v>248</v>
      </c>
      <c r="D32" s="78" t="s">
        <v>249</v>
      </c>
      <c r="E32" s="87">
        <v>162849.9</v>
      </c>
      <c r="F32" s="87">
        <v>161007.9</v>
      </c>
      <c r="G32" s="87">
        <v>168920.7</v>
      </c>
      <c r="H32" s="87">
        <v>215398.39999999999</v>
      </c>
      <c r="I32" s="87">
        <v>218083.3</v>
      </c>
      <c r="J32" s="87">
        <v>228054.3</v>
      </c>
      <c r="K32" s="87">
        <v>253919.6</v>
      </c>
      <c r="L32" s="87">
        <v>303678.40000000002</v>
      </c>
      <c r="M32" s="87">
        <v>316377.59999999998</v>
      </c>
      <c r="N32" s="87">
        <v>348022.9</v>
      </c>
      <c r="O32" s="87">
        <v>394026.2</v>
      </c>
      <c r="P32" s="87">
        <v>556198</v>
      </c>
      <c r="Q32" s="87">
        <v>490188.4</v>
      </c>
      <c r="R32" s="87">
        <v>581735.69999999995</v>
      </c>
      <c r="S32" s="82">
        <v>675436.7</v>
      </c>
      <c r="T32" s="84">
        <v>677502.9</v>
      </c>
      <c r="U32" s="84">
        <v>733514.3</v>
      </c>
      <c r="V32" s="84">
        <v>792706.4</v>
      </c>
      <c r="W32" s="84">
        <v>870820.5</v>
      </c>
      <c r="X32" s="78" t="s">
        <v>335</v>
      </c>
      <c r="Y32" s="78" t="s">
        <v>267</v>
      </c>
      <c r="Z32" s="78" t="s">
        <v>317</v>
      </c>
    </row>
    <row r="33" spans="1:26" ht="10" hidden="1">
      <c r="A33" s="78" t="s">
        <v>336</v>
      </c>
      <c r="B33" s="78" t="s">
        <v>337</v>
      </c>
      <c r="C33" s="78" t="s">
        <v>248</v>
      </c>
      <c r="D33" s="78" t="s">
        <v>249</v>
      </c>
      <c r="E33" s="87">
        <v>508784.3</v>
      </c>
      <c r="F33" s="87">
        <v>440648.6</v>
      </c>
      <c r="G33" s="87">
        <v>514892.6</v>
      </c>
      <c r="H33" s="87">
        <v>586853.80000000005</v>
      </c>
      <c r="I33" s="87">
        <v>637226.6</v>
      </c>
      <c r="J33" s="87">
        <v>710020.3</v>
      </c>
      <c r="K33" s="87">
        <v>749433.6</v>
      </c>
      <c r="L33" s="87">
        <v>792699.3</v>
      </c>
      <c r="M33" s="87">
        <v>842306.5</v>
      </c>
      <c r="N33" s="87">
        <v>896006</v>
      </c>
      <c r="O33" s="87">
        <v>960443.9</v>
      </c>
      <c r="P33" s="87">
        <v>1038940.4</v>
      </c>
      <c r="Q33" s="87">
        <v>1026152.9</v>
      </c>
      <c r="R33" s="87">
        <v>1137363.3999999999</v>
      </c>
      <c r="S33" s="82">
        <v>1193161.7</v>
      </c>
      <c r="T33" s="84">
        <v>1258655.6000000001</v>
      </c>
      <c r="U33" s="84">
        <v>1343127</v>
      </c>
      <c r="V33" s="84">
        <v>1416622</v>
      </c>
      <c r="W33" s="84">
        <v>1499512.5</v>
      </c>
      <c r="X33" s="78" t="s">
        <v>338</v>
      </c>
      <c r="Y33" s="78" t="s">
        <v>267</v>
      </c>
      <c r="Z33" s="78" t="s">
        <v>339</v>
      </c>
    </row>
    <row r="34" spans="1:26" ht="10" hidden="1">
      <c r="A34" s="78" t="s">
        <v>340</v>
      </c>
      <c r="B34" s="78" t="s">
        <v>341</v>
      </c>
      <c r="C34" s="78" t="s">
        <v>342</v>
      </c>
      <c r="D34" s="78" t="s">
        <v>249</v>
      </c>
      <c r="E34" s="87">
        <v>691.27</v>
      </c>
      <c r="F34" s="87">
        <v>653.6</v>
      </c>
      <c r="G34" s="87">
        <v>727.26</v>
      </c>
      <c r="H34" s="87">
        <v>809.43</v>
      </c>
      <c r="I34" s="83">
        <v>859.58</v>
      </c>
      <c r="J34" s="87">
        <v>936.04</v>
      </c>
      <c r="K34" s="87">
        <v>965.85</v>
      </c>
      <c r="L34" s="87">
        <v>1039.0999999999999</v>
      </c>
      <c r="M34" s="87">
        <v>1096.7</v>
      </c>
      <c r="N34" s="83">
        <v>1173</v>
      </c>
      <c r="O34" s="83">
        <v>1269.0999999999999</v>
      </c>
      <c r="P34" s="83">
        <v>1306.4000000000001</v>
      </c>
      <c r="Q34" s="83">
        <v>1322.7</v>
      </c>
      <c r="R34" s="82">
        <v>1418</v>
      </c>
      <c r="S34" s="82">
        <v>1495</v>
      </c>
      <c r="T34" s="84">
        <v>1585</v>
      </c>
      <c r="U34" s="84">
        <v>1686</v>
      </c>
      <c r="V34" s="84">
        <v>1791</v>
      </c>
      <c r="W34" s="84">
        <v>1904</v>
      </c>
      <c r="X34" s="78" t="s">
        <v>343</v>
      </c>
      <c r="Y34" s="78" t="s">
        <v>344</v>
      </c>
      <c r="Z34" s="78" t="s">
        <v>345</v>
      </c>
    </row>
    <row r="35" spans="1:26" ht="10" hidden="1">
      <c r="A35" s="78" t="s">
        <v>346</v>
      </c>
      <c r="B35" s="78" t="s">
        <v>347</v>
      </c>
      <c r="C35" s="78" t="s">
        <v>348</v>
      </c>
      <c r="D35" s="78" t="s">
        <v>249</v>
      </c>
      <c r="E35" s="87">
        <v>532.24</v>
      </c>
      <c r="F35" s="87">
        <v>357.51</v>
      </c>
      <c r="G35" s="87">
        <v>461.81</v>
      </c>
      <c r="H35" s="87">
        <v>533.39</v>
      </c>
      <c r="I35" s="87">
        <v>504.58</v>
      </c>
      <c r="J35" s="87">
        <v>575.92999999999995</v>
      </c>
      <c r="K35" s="87">
        <v>643.76</v>
      </c>
      <c r="L35" s="87">
        <v>721.98</v>
      </c>
      <c r="M35" s="87">
        <v>844.87</v>
      </c>
      <c r="N35" s="87">
        <v>951.77</v>
      </c>
      <c r="O35" s="87">
        <v>1049.2</v>
      </c>
      <c r="P35" s="87">
        <v>931.41</v>
      </c>
      <c r="Q35" s="87">
        <v>834.06</v>
      </c>
      <c r="R35" s="87">
        <v>1014.5</v>
      </c>
      <c r="S35" s="82">
        <v>1134</v>
      </c>
      <c r="T35" s="84">
        <v>1252</v>
      </c>
      <c r="U35" s="84">
        <v>1344</v>
      </c>
      <c r="V35" s="84">
        <v>1423</v>
      </c>
      <c r="W35" s="84">
        <v>1504</v>
      </c>
      <c r="X35" s="78" t="s">
        <v>349</v>
      </c>
      <c r="Y35" s="78" t="s">
        <v>251</v>
      </c>
      <c r="Z35" s="78" t="s">
        <v>339</v>
      </c>
    </row>
    <row r="36" spans="1:26" ht="10" hidden="1">
      <c r="A36" s="78" t="s">
        <v>350</v>
      </c>
      <c r="B36" s="78" t="s">
        <v>351</v>
      </c>
      <c r="C36" s="78" t="s">
        <v>348</v>
      </c>
      <c r="D36" s="78" t="s">
        <v>249</v>
      </c>
      <c r="E36" s="87">
        <v>285.24</v>
      </c>
      <c r="F36" s="87">
        <v>179.89</v>
      </c>
      <c r="G36" s="87">
        <v>243.91</v>
      </c>
      <c r="H36" s="87">
        <v>292.13</v>
      </c>
      <c r="I36" s="87">
        <v>282.14999999999998</v>
      </c>
      <c r="J36" s="87">
        <v>326.69</v>
      </c>
      <c r="K36" s="87">
        <v>352.55</v>
      </c>
      <c r="L36" s="87">
        <v>379.86</v>
      </c>
      <c r="M36" s="87">
        <v>454.47</v>
      </c>
      <c r="N36" s="87">
        <v>518.35</v>
      </c>
      <c r="O36" s="87">
        <v>570.63</v>
      </c>
      <c r="P36" s="87">
        <v>509.62</v>
      </c>
      <c r="Q36" s="87">
        <v>451.06</v>
      </c>
      <c r="R36" s="87">
        <v>532.33000000000004</v>
      </c>
      <c r="S36" s="82">
        <v>596.20000000000005</v>
      </c>
      <c r="T36" s="84">
        <v>659.9</v>
      </c>
      <c r="U36" s="84">
        <v>711</v>
      </c>
      <c r="V36" s="84">
        <v>763.7</v>
      </c>
      <c r="W36" s="84">
        <v>816</v>
      </c>
      <c r="X36" s="78" t="s">
        <v>352</v>
      </c>
      <c r="Y36" s="78" t="s">
        <v>267</v>
      </c>
      <c r="Z36" s="78" t="s">
        <v>339</v>
      </c>
    </row>
    <row r="37" spans="1:26" ht="10" hidden="1">
      <c r="A37" s="78" t="s">
        <v>353</v>
      </c>
      <c r="B37" s="78" t="s">
        <v>354</v>
      </c>
      <c r="C37" s="78" t="s">
        <v>348</v>
      </c>
      <c r="D37" s="78" t="s">
        <v>249</v>
      </c>
      <c r="E37" s="87">
        <v>60.947000000000003</v>
      </c>
      <c r="F37" s="87">
        <v>45.026000000000003</v>
      </c>
      <c r="G37" s="87">
        <v>55.777000000000001</v>
      </c>
      <c r="H37" s="87">
        <v>63.752000000000002</v>
      </c>
      <c r="I37" s="87">
        <v>64.299000000000007</v>
      </c>
      <c r="J37" s="87">
        <v>72.680999999999997</v>
      </c>
      <c r="K37" s="87">
        <v>83.968000000000004</v>
      </c>
      <c r="L37" s="87">
        <v>96.155000000000001</v>
      </c>
      <c r="M37" s="87">
        <v>117.184</v>
      </c>
      <c r="N37" s="87">
        <v>138.14599999999999</v>
      </c>
      <c r="O37" s="87">
        <v>154.16800000000001</v>
      </c>
      <c r="P37" s="87">
        <v>142.411</v>
      </c>
      <c r="Q37" s="87">
        <v>133.386</v>
      </c>
      <c r="R37" s="87">
        <v>155.74799999999999</v>
      </c>
      <c r="S37" s="82">
        <v>173.6</v>
      </c>
      <c r="T37" s="84">
        <v>192.1</v>
      </c>
      <c r="U37" s="84">
        <v>205.6</v>
      </c>
      <c r="V37" s="84">
        <v>221.5</v>
      </c>
      <c r="W37" s="84">
        <v>237.3</v>
      </c>
      <c r="X37" s="78" t="s">
        <v>355</v>
      </c>
      <c r="Y37" s="78" t="s">
        <v>267</v>
      </c>
      <c r="Z37" s="78" t="s">
        <v>339</v>
      </c>
    </row>
    <row r="38" spans="1:26" ht="10" hidden="1">
      <c r="A38" s="78" t="s">
        <v>356</v>
      </c>
      <c r="B38" s="78" t="s">
        <v>357</v>
      </c>
      <c r="C38" s="78" t="s">
        <v>348</v>
      </c>
      <c r="D38" s="78" t="s">
        <v>249</v>
      </c>
      <c r="E38" s="87">
        <v>184.29</v>
      </c>
      <c r="F38" s="87">
        <v>104.87</v>
      </c>
      <c r="G38" s="87">
        <v>132.30000000000001</v>
      </c>
      <c r="H38" s="87">
        <v>159.82</v>
      </c>
      <c r="I38" s="87">
        <v>145.21</v>
      </c>
      <c r="J38" s="87">
        <v>164.7</v>
      </c>
      <c r="K38" s="87">
        <v>188.88</v>
      </c>
      <c r="L38" s="87">
        <v>210.84</v>
      </c>
      <c r="M38" s="87">
        <v>243.81</v>
      </c>
      <c r="N38" s="87">
        <v>272.99</v>
      </c>
      <c r="O38" s="87">
        <v>299.33999999999997</v>
      </c>
      <c r="P38" s="87">
        <v>272.94</v>
      </c>
      <c r="Q38" s="87">
        <v>242.55</v>
      </c>
      <c r="R38" s="87">
        <v>290.55</v>
      </c>
      <c r="S38" s="82">
        <v>304.60000000000002</v>
      </c>
      <c r="T38" s="84">
        <v>325.10000000000002</v>
      </c>
      <c r="U38" s="84">
        <v>356.6</v>
      </c>
      <c r="V38" s="84">
        <v>370.8</v>
      </c>
      <c r="W38" s="84">
        <v>390.6</v>
      </c>
      <c r="X38" s="78" t="s">
        <v>358</v>
      </c>
      <c r="Y38" s="78" t="s">
        <v>267</v>
      </c>
      <c r="Z38" s="78" t="s">
        <v>339</v>
      </c>
    </row>
    <row r="39" spans="1:26" ht="10" hidden="1">
      <c r="A39" s="78" t="s">
        <v>359</v>
      </c>
      <c r="B39" s="78" t="s">
        <v>360</v>
      </c>
      <c r="C39" s="78" t="s">
        <v>348</v>
      </c>
      <c r="D39" s="78" t="s">
        <v>249</v>
      </c>
      <c r="E39" s="87">
        <v>4.3639999999999999</v>
      </c>
      <c r="F39" s="87">
        <v>-15.366</v>
      </c>
      <c r="G39" s="87">
        <v>1.1279999999999999</v>
      </c>
      <c r="H39" s="87">
        <v>3.1970000000000001</v>
      </c>
      <c r="I39" s="87">
        <v>1.9339999999999999</v>
      </c>
      <c r="J39" s="87">
        <v>3.4550000000000001</v>
      </c>
      <c r="K39" s="87">
        <v>3.5259999999999998</v>
      </c>
      <c r="L39" s="87">
        <v>5.27</v>
      </c>
      <c r="M39" s="87">
        <v>7.0069999999999997</v>
      </c>
      <c r="N39" s="87">
        <v>8.9410000000000007</v>
      </c>
      <c r="O39" s="87">
        <v>9.4160000000000004</v>
      </c>
      <c r="P39" s="87">
        <v>17.762</v>
      </c>
      <c r="Q39" s="87">
        <v>-23.381</v>
      </c>
      <c r="R39" s="87">
        <v>5.202</v>
      </c>
      <c r="S39" s="86">
        <v>3.2</v>
      </c>
      <c r="T39" s="88">
        <v>4.7</v>
      </c>
      <c r="U39" s="84">
        <v>4.8</v>
      </c>
      <c r="V39" s="88">
        <v>4.8</v>
      </c>
      <c r="W39" s="88">
        <v>4.8</v>
      </c>
      <c r="X39" s="78" t="s">
        <v>361</v>
      </c>
      <c r="Y39" s="78" t="s">
        <v>267</v>
      </c>
      <c r="Z39" s="78" t="s">
        <v>339</v>
      </c>
    </row>
    <row r="40" spans="1:26" ht="10" hidden="1">
      <c r="A40" s="78" t="s">
        <v>362</v>
      </c>
      <c r="B40" s="78" t="s">
        <v>363</v>
      </c>
      <c r="C40" s="78" t="s">
        <v>348</v>
      </c>
      <c r="D40" s="78" t="s">
        <v>249</v>
      </c>
      <c r="E40" s="87">
        <v>168.49700000000001</v>
      </c>
      <c r="F40" s="87">
        <v>158.428</v>
      </c>
      <c r="G40" s="87">
        <v>171.84200000000001</v>
      </c>
      <c r="H40" s="87">
        <v>205.696</v>
      </c>
      <c r="I40" s="87">
        <v>180.34200000000001</v>
      </c>
      <c r="J40" s="87">
        <v>190.78100000000001</v>
      </c>
      <c r="K40" s="87">
        <v>227.691</v>
      </c>
      <c r="L40" s="87">
        <v>295.166</v>
      </c>
      <c r="M40" s="87">
        <v>331.75599999999997</v>
      </c>
      <c r="N40" s="87">
        <v>377.70100000000002</v>
      </c>
      <c r="O40" s="87">
        <v>439.87200000000001</v>
      </c>
      <c r="P40" s="87">
        <v>493.72699999999998</v>
      </c>
      <c r="Q40" s="87">
        <v>414.78</v>
      </c>
      <c r="R40" s="87">
        <v>531.50400000000002</v>
      </c>
      <c r="S40" s="82">
        <v>666.3</v>
      </c>
      <c r="T40" s="84">
        <v>706</v>
      </c>
      <c r="U40" s="84">
        <v>764.3</v>
      </c>
      <c r="V40" s="84">
        <v>824</v>
      </c>
      <c r="W40" s="84">
        <v>896.6</v>
      </c>
      <c r="X40" s="78" t="s">
        <v>364</v>
      </c>
      <c r="Y40" s="78" t="s">
        <v>267</v>
      </c>
      <c r="Z40" s="78" t="s">
        <v>339</v>
      </c>
    </row>
    <row r="41" spans="1:26" ht="10" hidden="1">
      <c r="A41" s="78" t="s">
        <v>365</v>
      </c>
      <c r="B41" s="78" t="s">
        <v>366</v>
      </c>
      <c r="C41" s="78" t="s">
        <v>348</v>
      </c>
      <c r="D41" s="78" t="s">
        <v>249</v>
      </c>
      <c r="E41" s="87">
        <v>171.18899999999999</v>
      </c>
      <c r="F41" s="87">
        <v>114.88800000000001</v>
      </c>
      <c r="G41" s="87">
        <v>142.09100000000001</v>
      </c>
      <c r="H41" s="87">
        <v>190.45699999999999</v>
      </c>
      <c r="I41" s="87">
        <v>168.92699999999999</v>
      </c>
      <c r="J41" s="87">
        <v>182.285</v>
      </c>
      <c r="K41" s="87">
        <v>213.089</v>
      </c>
      <c r="L41" s="87">
        <v>265.14699999999999</v>
      </c>
      <c r="M41" s="87">
        <v>308.92700000000002</v>
      </c>
      <c r="N41" s="87">
        <v>364.50200000000001</v>
      </c>
      <c r="O41" s="87">
        <v>424.02300000000002</v>
      </c>
      <c r="P41" s="87">
        <v>504.69600000000003</v>
      </c>
      <c r="Q41" s="87">
        <v>383.88</v>
      </c>
      <c r="R41" s="87">
        <v>503.20499999999998</v>
      </c>
      <c r="S41" s="82">
        <v>610</v>
      </c>
      <c r="T41" s="84">
        <v>636.20000000000005</v>
      </c>
      <c r="U41" s="84">
        <v>697.9</v>
      </c>
      <c r="V41" s="84">
        <v>761.5</v>
      </c>
      <c r="W41" s="84">
        <v>841.4</v>
      </c>
      <c r="X41" s="78" t="s">
        <v>367</v>
      </c>
      <c r="Y41" s="78" t="s">
        <v>267</v>
      </c>
      <c r="Z41" s="78" t="s">
        <v>339</v>
      </c>
    </row>
    <row r="42" spans="1:26" ht="10" hidden="1">
      <c r="A42" s="78" t="s">
        <v>368</v>
      </c>
      <c r="B42" s="78" t="s">
        <v>369</v>
      </c>
      <c r="C42" s="78" t="s">
        <v>348</v>
      </c>
      <c r="D42" s="78" t="s">
        <v>249</v>
      </c>
      <c r="E42" s="87">
        <v>534.83699999999999</v>
      </c>
      <c r="F42" s="87">
        <v>314.42599999999999</v>
      </c>
      <c r="G42" s="87">
        <v>433.11399999999998</v>
      </c>
      <c r="H42" s="87">
        <v>518.9</v>
      </c>
      <c r="I42" s="87">
        <v>493.59399999999999</v>
      </c>
      <c r="J42" s="87">
        <v>567.52200000000005</v>
      </c>
      <c r="K42" s="87">
        <v>628.923</v>
      </c>
      <c r="L42" s="87">
        <v>692.12099999999998</v>
      </c>
      <c r="M42" s="87">
        <v>822.471</v>
      </c>
      <c r="N42" s="87">
        <v>938.43200000000002</v>
      </c>
      <c r="O42" s="87">
        <v>1033.5609999999999</v>
      </c>
      <c r="P42" s="87">
        <v>942.73699999999997</v>
      </c>
      <c r="Q42" s="87">
        <v>803.60900000000004</v>
      </c>
      <c r="R42" s="87">
        <v>983.82600000000002</v>
      </c>
      <c r="S42" s="82">
        <v>1077.5</v>
      </c>
      <c r="T42" s="84">
        <v>1181.8</v>
      </c>
      <c r="U42" s="84">
        <v>1278</v>
      </c>
      <c r="V42" s="84">
        <v>1360.8</v>
      </c>
      <c r="W42" s="84">
        <v>1448.8</v>
      </c>
      <c r="X42" s="78" t="s">
        <v>370</v>
      </c>
      <c r="Y42" s="78" t="s">
        <v>267</v>
      </c>
      <c r="Z42" s="78" t="s">
        <v>339</v>
      </c>
    </row>
    <row r="43" spans="1:26" ht="10" hidden="1">
      <c r="A43" s="78" t="s">
        <v>371</v>
      </c>
      <c r="B43" s="78" t="s">
        <v>372</v>
      </c>
      <c r="C43" s="78" t="s">
        <v>267</v>
      </c>
      <c r="D43" s="78" t="s">
        <v>267</v>
      </c>
      <c r="E43" s="87">
        <v>53.591999999999999</v>
      </c>
      <c r="F43" s="87">
        <v>50.319000000000003</v>
      </c>
      <c r="G43" s="87">
        <v>52.816000000000003</v>
      </c>
      <c r="H43" s="87">
        <v>54.77</v>
      </c>
      <c r="I43" s="87">
        <v>55.917000000000002</v>
      </c>
      <c r="J43" s="87">
        <v>56.723999999999997</v>
      </c>
      <c r="K43" s="87">
        <v>54.764000000000003</v>
      </c>
      <c r="L43" s="87">
        <v>52.613999999999997</v>
      </c>
      <c r="M43" s="87">
        <v>53.792000000000002</v>
      </c>
      <c r="N43" s="87">
        <v>54.462000000000003</v>
      </c>
      <c r="O43" s="87">
        <v>54.384999999999998</v>
      </c>
      <c r="P43" s="87">
        <v>54.715000000000003</v>
      </c>
      <c r="Q43" s="87">
        <v>54.08</v>
      </c>
      <c r="R43" s="87">
        <v>52.472999999999999</v>
      </c>
      <c r="S43" s="82">
        <v>52.6</v>
      </c>
      <c r="T43" s="84">
        <v>52.7</v>
      </c>
      <c r="U43" s="84">
        <v>52.9</v>
      </c>
      <c r="V43" s="88">
        <v>53.7</v>
      </c>
      <c r="W43" s="84">
        <v>54.3</v>
      </c>
      <c r="X43" s="78" t="s">
        <v>373</v>
      </c>
      <c r="Y43" s="78" t="s">
        <v>267</v>
      </c>
      <c r="Z43" s="78" t="s">
        <v>339</v>
      </c>
    </row>
    <row r="44" spans="1:26" ht="10" hidden="1">
      <c r="A44" s="78" t="s">
        <v>374</v>
      </c>
      <c r="B44" s="78" t="s">
        <v>375</v>
      </c>
      <c r="C44" s="78" t="s">
        <v>267</v>
      </c>
      <c r="D44" s="78" t="s">
        <v>267</v>
      </c>
      <c r="E44" s="87">
        <v>11.451000000000001</v>
      </c>
      <c r="F44" s="87">
        <v>12.593999999999999</v>
      </c>
      <c r="G44" s="87">
        <v>12.077999999999999</v>
      </c>
      <c r="H44" s="87">
        <v>11.952</v>
      </c>
      <c r="I44" s="87">
        <v>12.743</v>
      </c>
      <c r="J44" s="87">
        <v>12.62</v>
      </c>
      <c r="K44" s="87">
        <v>13.042999999999999</v>
      </c>
      <c r="L44" s="87">
        <v>13.318</v>
      </c>
      <c r="M44" s="87">
        <v>13.87</v>
      </c>
      <c r="N44" s="87">
        <v>14.515000000000001</v>
      </c>
      <c r="O44" s="87">
        <v>14.693</v>
      </c>
      <c r="P44" s="87">
        <v>15.29</v>
      </c>
      <c r="Q44" s="87">
        <v>15.992000000000001</v>
      </c>
      <c r="R44" s="87">
        <v>15.352</v>
      </c>
      <c r="S44" s="82">
        <v>15.3</v>
      </c>
      <c r="T44" s="88">
        <v>15.3</v>
      </c>
      <c r="U44" s="84">
        <v>15.3</v>
      </c>
      <c r="V44" s="84">
        <v>15.6</v>
      </c>
      <c r="W44" s="88">
        <v>15.8</v>
      </c>
      <c r="X44" s="78" t="s">
        <v>376</v>
      </c>
      <c r="Y44" s="78" t="s">
        <v>267</v>
      </c>
      <c r="Z44" s="78" t="s">
        <v>339</v>
      </c>
    </row>
    <row r="45" spans="1:26" ht="10" hidden="1">
      <c r="A45" s="78" t="s">
        <v>377</v>
      </c>
      <c r="B45" s="78" t="s">
        <v>378</v>
      </c>
      <c r="C45" s="78" t="s">
        <v>267</v>
      </c>
      <c r="D45" s="78" t="s">
        <v>267</v>
      </c>
      <c r="E45" s="87">
        <v>34.625</v>
      </c>
      <c r="F45" s="87">
        <v>29.334</v>
      </c>
      <c r="G45" s="87">
        <v>28.648</v>
      </c>
      <c r="H45" s="87">
        <v>29.963000000000001</v>
      </c>
      <c r="I45" s="87">
        <v>28.779</v>
      </c>
      <c r="J45" s="87">
        <v>28.597000000000001</v>
      </c>
      <c r="K45" s="87">
        <v>29.341000000000001</v>
      </c>
      <c r="L45" s="87">
        <v>29.202999999999999</v>
      </c>
      <c r="M45" s="87">
        <v>28.858000000000001</v>
      </c>
      <c r="N45" s="87">
        <v>28.683</v>
      </c>
      <c r="O45" s="87">
        <v>28.53</v>
      </c>
      <c r="P45" s="87">
        <v>29.303999999999998</v>
      </c>
      <c r="Q45" s="87">
        <v>29.08</v>
      </c>
      <c r="R45" s="87">
        <v>28.64</v>
      </c>
      <c r="S45" s="82">
        <v>26.9</v>
      </c>
      <c r="T45" s="84">
        <v>26</v>
      </c>
      <c r="U45" s="84">
        <v>26.5</v>
      </c>
      <c r="V45" s="84">
        <v>26.1</v>
      </c>
      <c r="W45" s="88">
        <v>26</v>
      </c>
      <c r="X45" s="78" t="s">
        <v>379</v>
      </c>
      <c r="Y45" s="78" t="s">
        <v>267</v>
      </c>
      <c r="Z45" s="78" t="s">
        <v>339</v>
      </c>
    </row>
    <row r="46" spans="1:26" ht="10" hidden="1">
      <c r="A46" s="78" t="s">
        <v>380</v>
      </c>
      <c r="B46" s="78" t="s">
        <v>381</v>
      </c>
      <c r="C46" s="78" t="s">
        <v>267</v>
      </c>
      <c r="D46" s="78" t="s">
        <v>267</v>
      </c>
      <c r="E46" s="87">
        <v>0.82</v>
      </c>
      <c r="F46" s="87">
        <v>-4.298</v>
      </c>
      <c r="G46" s="87">
        <v>0.24399999999999999</v>
      </c>
      <c r="H46" s="87">
        <v>0.59899999999999998</v>
      </c>
      <c r="I46" s="87">
        <v>0.38300000000000001</v>
      </c>
      <c r="J46" s="87">
        <v>0.6</v>
      </c>
      <c r="K46" s="87">
        <v>0.54800000000000004</v>
      </c>
      <c r="L46" s="87">
        <v>0.73</v>
      </c>
      <c r="M46" s="87">
        <v>0.82899999999999996</v>
      </c>
      <c r="N46" s="87">
        <v>0.93899999999999995</v>
      </c>
      <c r="O46" s="87">
        <v>0.89700000000000002</v>
      </c>
      <c r="P46" s="87">
        <v>1.907</v>
      </c>
      <c r="Q46" s="87">
        <v>-2.8029999999999999</v>
      </c>
      <c r="R46" s="87">
        <v>0.51300000000000001</v>
      </c>
      <c r="S46" s="86">
        <v>0.3</v>
      </c>
      <c r="T46" s="88">
        <v>0.4</v>
      </c>
      <c r="U46" s="88">
        <v>0.4</v>
      </c>
      <c r="V46" s="88">
        <v>0.3</v>
      </c>
      <c r="W46" s="88">
        <v>0.3</v>
      </c>
      <c r="X46" s="78" t="s">
        <v>382</v>
      </c>
      <c r="Y46" s="78" t="s">
        <v>267</v>
      </c>
      <c r="Z46" s="78" t="s">
        <v>339</v>
      </c>
    </row>
    <row r="47" spans="1:26" ht="10" hidden="1">
      <c r="A47" s="78" t="s">
        <v>383</v>
      </c>
      <c r="B47" s="78" t="s">
        <v>384</v>
      </c>
      <c r="C47" s="78" t="s">
        <v>267</v>
      </c>
      <c r="D47" s="78" t="s">
        <v>267</v>
      </c>
      <c r="E47" s="87">
        <v>31.658000000000001</v>
      </c>
      <c r="F47" s="87">
        <v>44.314</v>
      </c>
      <c r="G47" s="87">
        <v>37.210999999999999</v>
      </c>
      <c r="H47" s="87">
        <v>38.564</v>
      </c>
      <c r="I47" s="87">
        <v>35.741</v>
      </c>
      <c r="J47" s="87">
        <v>33.125999999999998</v>
      </c>
      <c r="K47" s="87">
        <v>35.369</v>
      </c>
      <c r="L47" s="87">
        <v>40.883000000000003</v>
      </c>
      <c r="M47" s="87">
        <v>39.267000000000003</v>
      </c>
      <c r="N47" s="87">
        <v>39.683999999999997</v>
      </c>
      <c r="O47" s="87">
        <v>41.923000000000002</v>
      </c>
      <c r="P47" s="87">
        <v>53.009</v>
      </c>
      <c r="Q47" s="87">
        <v>49.73</v>
      </c>
      <c r="R47" s="87">
        <v>52.392000000000003</v>
      </c>
      <c r="S47" s="82">
        <v>58.8</v>
      </c>
      <c r="T47" s="84">
        <v>56.4</v>
      </c>
      <c r="U47" s="84">
        <v>56.9</v>
      </c>
      <c r="V47" s="84">
        <v>57.9</v>
      </c>
      <c r="W47" s="84">
        <v>59.6</v>
      </c>
      <c r="X47" s="78" t="s">
        <v>385</v>
      </c>
      <c r="Y47" s="78" t="s">
        <v>267</v>
      </c>
      <c r="Z47" s="78" t="s">
        <v>339</v>
      </c>
    </row>
    <row r="48" spans="1:26" ht="10" hidden="1">
      <c r="A48" s="78" t="s">
        <v>386</v>
      </c>
      <c r="B48" s="78" t="s">
        <v>387</v>
      </c>
      <c r="C48" s="78" t="s">
        <v>267</v>
      </c>
      <c r="D48" s="78" t="s">
        <v>267</v>
      </c>
      <c r="E48" s="87">
        <v>32.164000000000001</v>
      </c>
      <c r="F48" s="87">
        <v>32.136000000000003</v>
      </c>
      <c r="G48" s="87">
        <v>30.768999999999998</v>
      </c>
      <c r="H48" s="87">
        <v>35.707000000000001</v>
      </c>
      <c r="I48" s="87">
        <v>33.478000000000002</v>
      </c>
      <c r="J48" s="87">
        <v>31.651</v>
      </c>
      <c r="K48" s="87">
        <v>33.100999999999999</v>
      </c>
      <c r="L48" s="87">
        <v>36.725000000000001</v>
      </c>
      <c r="M48" s="87">
        <v>36.564999999999998</v>
      </c>
      <c r="N48" s="87">
        <v>38.296999999999997</v>
      </c>
      <c r="O48" s="87">
        <v>40.411999999999999</v>
      </c>
      <c r="P48" s="87">
        <v>54.186</v>
      </c>
      <c r="Q48" s="87">
        <v>46.024999999999999</v>
      </c>
      <c r="R48" s="87">
        <v>49.601999999999997</v>
      </c>
      <c r="S48" s="82">
        <v>53.8</v>
      </c>
      <c r="T48" s="84">
        <v>50.8</v>
      </c>
      <c r="U48" s="84">
        <v>51.9</v>
      </c>
      <c r="V48" s="84">
        <v>53.5</v>
      </c>
      <c r="W48" s="84">
        <v>55.9</v>
      </c>
      <c r="X48" s="78" t="s">
        <v>388</v>
      </c>
      <c r="Y48" s="78" t="s">
        <v>267</v>
      </c>
      <c r="Z48" s="78" t="s">
        <v>339</v>
      </c>
    </row>
    <row r="49" spans="1:255" ht="10" hidden="1">
      <c r="A49" s="78" t="s">
        <v>389</v>
      </c>
      <c r="B49" s="78" t="s">
        <v>390</v>
      </c>
      <c r="C49" s="78" t="s">
        <v>267</v>
      </c>
      <c r="D49" s="78" t="s">
        <v>267</v>
      </c>
      <c r="E49" s="87">
        <v>100.488</v>
      </c>
      <c r="F49" s="87">
        <v>87.948999999999998</v>
      </c>
      <c r="G49" s="87">
        <v>93.787000000000006</v>
      </c>
      <c r="H49" s="87">
        <v>97.284000000000006</v>
      </c>
      <c r="I49" s="87">
        <v>97.822000000000003</v>
      </c>
      <c r="J49" s="87">
        <v>98.54</v>
      </c>
      <c r="K49" s="87">
        <v>97.694999999999993</v>
      </c>
      <c r="L49" s="87">
        <v>95.864999999999995</v>
      </c>
      <c r="M49" s="87">
        <v>97.349000000000004</v>
      </c>
      <c r="N49" s="87">
        <v>98.597999999999999</v>
      </c>
      <c r="O49" s="87">
        <v>98.506</v>
      </c>
      <c r="P49" s="87">
        <v>101.217</v>
      </c>
      <c r="Q49" s="87">
        <v>96.349000000000004</v>
      </c>
      <c r="R49" s="87">
        <v>96.977999999999994</v>
      </c>
      <c r="S49" s="82">
        <v>95</v>
      </c>
      <c r="T49" s="84">
        <v>94.4</v>
      </c>
      <c r="U49" s="84">
        <v>95.1</v>
      </c>
      <c r="V49" s="84">
        <v>95.6</v>
      </c>
      <c r="W49" s="84">
        <v>96.3</v>
      </c>
      <c r="X49" s="78" t="s">
        <v>391</v>
      </c>
      <c r="Y49" s="78" t="s">
        <v>267</v>
      </c>
      <c r="Z49" s="78" t="s">
        <v>339</v>
      </c>
    </row>
    <row r="50" spans="1:255" ht="10" hidden="1">
      <c r="A50" s="78" t="s">
        <v>392</v>
      </c>
      <c r="B50" s="78" t="s">
        <v>393</v>
      </c>
      <c r="C50" s="78" t="s">
        <v>267</v>
      </c>
      <c r="D50" s="78" t="s">
        <v>267</v>
      </c>
      <c r="E50" s="87">
        <v>4.9589999999999996</v>
      </c>
      <c r="F50" s="87">
        <v>6.2380000000000004</v>
      </c>
      <c r="G50" s="87">
        <v>8.2000000000000003E-2</v>
      </c>
      <c r="H50" s="87">
        <v>1.2829999999999999</v>
      </c>
      <c r="I50" s="87">
        <v>3.86</v>
      </c>
      <c r="J50" s="87">
        <v>3.23</v>
      </c>
      <c r="K50" s="87">
        <v>3.5609999999999999</v>
      </c>
      <c r="L50" s="87">
        <v>3.0339999999999998</v>
      </c>
      <c r="M50" s="87">
        <v>0.65500000000000003</v>
      </c>
      <c r="N50" s="87">
        <v>-0.14299999999999999</v>
      </c>
      <c r="O50" s="87">
        <v>2.08</v>
      </c>
      <c r="P50" s="87">
        <v>2.91</v>
      </c>
      <c r="Q50" s="87">
        <v>3.4289999999999998</v>
      </c>
      <c r="R50" s="86">
        <v>3.7</v>
      </c>
      <c r="S50" s="82">
        <v>3</v>
      </c>
      <c r="T50" s="84">
        <v>2.2000000000000002</v>
      </c>
      <c r="U50" s="84">
        <v>1.8</v>
      </c>
      <c r="V50" s="84">
        <v>1.1000000000000001</v>
      </c>
      <c r="W50" s="84">
        <v>1.1000000000000001</v>
      </c>
      <c r="X50" s="78" t="s">
        <v>394</v>
      </c>
      <c r="Y50" s="78" t="s">
        <v>267</v>
      </c>
      <c r="Z50" s="78" t="s">
        <v>395</v>
      </c>
    </row>
    <row r="51" spans="1:255" s="85" customFormat="1" ht="10">
      <c r="A51" s="81" t="s">
        <v>396</v>
      </c>
      <c r="B51" s="81" t="s">
        <v>397</v>
      </c>
      <c r="C51" s="81" t="s">
        <v>267</v>
      </c>
      <c r="D51" s="81" t="s">
        <v>267</v>
      </c>
      <c r="E51" s="83">
        <v>6.9160000000000004</v>
      </c>
      <c r="F51" s="83">
        <v>7.3239999999999998</v>
      </c>
      <c r="G51" s="83">
        <v>3.15</v>
      </c>
      <c r="H51" s="83">
        <v>5.0860000000000003</v>
      </c>
      <c r="I51" s="83">
        <v>4.3479999999999999</v>
      </c>
      <c r="J51" s="83">
        <v>3.0539999999999998</v>
      </c>
      <c r="K51" s="83">
        <v>3.2130000000000001</v>
      </c>
      <c r="L51" s="83">
        <v>3.214</v>
      </c>
      <c r="M51" s="83">
        <v>2.2589999999999999</v>
      </c>
      <c r="N51" s="83">
        <v>1.534</v>
      </c>
      <c r="O51" s="83">
        <v>1.9830000000000001</v>
      </c>
      <c r="P51" s="83">
        <v>4.5419999999999998</v>
      </c>
      <c r="Q51" s="83">
        <v>2.5630000000000002</v>
      </c>
      <c r="R51" s="82">
        <v>2.6</v>
      </c>
      <c r="S51" s="82">
        <v>4.0999999999999996</v>
      </c>
      <c r="T51" s="84">
        <v>2.9</v>
      </c>
      <c r="U51" s="84">
        <v>2.4</v>
      </c>
      <c r="V51" s="84">
        <v>2.7</v>
      </c>
      <c r="W51" s="84">
        <v>2.5</v>
      </c>
      <c r="X51" s="81" t="s">
        <v>398</v>
      </c>
      <c r="Y51" s="81" t="s">
        <v>267</v>
      </c>
      <c r="Z51" s="81" t="s">
        <v>395</v>
      </c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7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7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72"/>
      <c r="HK51" s="72"/>
      <c r="HL51" s="72"/>
      <c r="HM51" s="72"/>
      <c r="HN51" s="72"/>
      <c r="HO51" s="72"/>
      <c r="HP51" s="72"/>
      <c r="HQ51" s="72"/>
      <c r="HR51" s="72"/>
      <c r="HS51" s="72"/>
      <c r="HT51" s="72"/>
      <c r="HU51" s="72"/>
      <c r="HV51" s="72"/>
      <c r="HW51" s="72"/>
      <c r="HX51" s="72"/>
      <c r="HY51" s="72"/>
      <c r="HZ51" s="72"/>
      <c r="IA51" s="72"/>
      <c r="IB51" s="72"/>
      <c r="IC51" s="72"/>
      <c r="ID51" s="72"/>
      <c r="IE51" s="72"/>
      <c r="IF51" s="72"/>
      <c r="IG51" s="72"/>
      <c r="IH51" s="72"/>
      <c r="II51" s="72"/>
      <c r="IJ51" s="72"/>
      <c r="IK51" s="72"/>
      <c r="IL51" s="72"/>
      <c r="IM51" s="72"/>
      <c r="IN51" s="72"/>
      <c r="IO51" s="72"/>
      <c r="IP51" s="72"/>
      <c r="IQ51" s="72"/>
      <c r="IR51" s="72"/>
      <c r="IS51" s="72"/>
      <c r="IT51" s="72"/>
      <c r="IU51" s="72"/>
    </row>
    <row r="52" spans="1:255" ht="10" hidden="1">
      <c r="A52" s="78" t="s">
        <v>399</v>
      </c>
      <c r="B52" s="78" t="s">
        <v>400</v>
      </c>
      <c r="C52" s="78" t="s">
        <v>267</v>
      </c>
      <c r="D52" s="78" t="s">
        <v>267</v>
      </c>
      <c r="E52" s="87">
        <v>6.0039999999999996</v>
      </c>
      <c r="F52" s="87">
        <v>6.37</v>
      </c>
      <c r="G52" s="87">
        <v>2.121</v>
      </c>
      <c r="H52" s="87">
        <v>7.0170000000000003</v>
      </c>
      <c r="I52" s="87">
        <v>9.6270000000000007</v>
      </c>
      <c r="J52" s="87">
        <v>4.3940000000000001</v>
      </c>
      <c r="K52" s="87">
        <v>5.3710000000000004</v>
      </c>
      <c r="L52" s="87">
        <v>6.0170000000000003</v>
      </c>
      <c r="M52" s="87">
        <v>4.4610000000000003</v>
      </c>
      <c r="N52" s="87">
        <v>3.121</v>
      </c>
      <c r="O52" s="87">
        <v>3.056</v>
      </c>
      <c r="P52" s="87">
        <v>5.0110000000000001</v>
      </c>
      <c r="Q52" s="87">
        <v>2.7959999999999998</v>
      </c>
      <c r="R52" s="86">
        <v>2.6</v>
      </c>
      <c r="S52" s="82">
        <v>4.4000000000000004</v>
      </c>
      <c r="T52" s="84">
        <v>3.1</v>
      </c>
      <c r="U52" s="88">
        <v>3</v>
      </c>
      <c r="V52" s="88">
        <v>3.1</v>
      </c>
      <c r="W52" s="88">
        <v>2.9</v>
      </c>
      <c r="X52" s="78" t="s">
        <v>401</v>
      </c>
      <c r="Y52" s="78" t="s">
        <v>267</v>
      </c>
      <c r="Z52" s="78" t="s">
        <v>395</v>
      </c>
    </row>
    <row r="53" spans="1:255" ht="10" hidden="1">
      <c r="A53" s="78" t="s">
        <v>402</v>
      </c>
      <c r="B53" s="78" t="s">
        <v>403</v>
      </c>
      <c r="C53" s="78" t="s">
        <v>267</v>
      </c>
      <c r="D53" s="78" t="s">
        <v>267</v>
      </c>
      <c r="E53" s="87">
        <v>6.4109999999999996</v>
      </c>
      <c r="F53" s="87">
        <v>8.7829999999999995</v>
      </c>
      <c r="G53" s="87">
        <v>-1.224</v>
      </c>
      <c r="H53" s="87">
        <v>2.419</v>
      </c>
      <c r="I53" s="87">
        <v>3.3679999999999999</v>
      </c>
      <c r="J53" s="87">
        <v>2.6579999999999999</v>
      </c>
      <c r="K53" s="87">
        <v>4.6550000000000002</v>
      </c>
      <c r="L53" s="87">
        <v>5.0739999999999998</v>
      </c>
      <c r="M53" s="87">
        <v>1.472</v>
      </c>
      <c r="N53" s="87">
        <v>0.95</v>
      </c>
      <c r="O53" s="87">
        <v>2.4049999999999998</v>
      </c>
      <c r="P53" s="87">
        <v>10.278</v>
      </c>
      <c r="Q53" s="87">
        <v>3.996</v>
      </c>
      <c r="R53" s="86">
        <v>1.4</v>
      </c>
      <c r="S53" s="82">
        <v>2</v>
      </c>
      <c r="T53" s="88">
        <v>1</v>
      </c>
      <c r="U53" s="88">
        <v>1</v>
      </c>
      <c r="V53" s="88">
        <v>1</v>
      </c>
      <c r="W53" s="88">
        <v>1</v>
      </c>
      <c r="X53" s="78" t="s">
        <v>404</v>
      </c>
      <c r="Y53" s="78" t="s">
        <v>267</v>
      </c>
      <c r="Z53" s="78" t="s">
        <v>395</v>
      </c>
    </row>
    <row r="54" spans="1:255" ht="10" hidden="1">
      <c r="A54" s="78" t="s">
        <v>405</v>
      </c>
      <c r="B54" s="78" t="s">
        <v>406</v>
      </c>
      <c r="C54" s="78" t="s">
        <v>248</v>
      </c>
      <c r="D54" s="78" t="s">
        <v>249</v>
      </c>
      <c r="E54" s="86">
        <v>560796.1</v>
      </c>
      <c r="F54" s="86">
        <v>528692.30000000005</v>
      </c>
      <c r="G54" s="86">
        <v>574554.5</v>
      </c>
      <c r="H54" s="87">
        <v>620984.69999999995</v>
      </c>
      <c r="I54" s="87">
        <v>645751.5</v>
      </c>
      <c r="J54" s="87">
        <v>692289</v>
      </c>
      <c r="K54" s="87">
        <v>712939.2</v>
      </c>
      <c r="L54" s="87">
        <v>746144.6</v>
      </c>
      <c r="M54" s="87">
        <v>775889.6</v>
      </c>
      <c r="N54" s="87">
        <v>815680.2</v>
      </c>
      <c r="O54" s="87">
        <v>859517.5</v>
      </c>
      <c r="P54" s="87">
        <v>881436.9</v>
      </c>
      <c r="Q54" s="87">
        <v>886241</v>
      </c>
      <c r="R54" s="87">
        <v>940853.2</v>
      </c>
      <c r="S54" s="82">
        <v>977910.4</v>
      </c>
      <c r="T54" s="84">
        <v>1016004.3</v>
      </c>
      <c r="U54" s="84">
        <v>1057870.8</v>
      </c>
      <c r="V54" s="84">
        <v>1097222.7</v>
      </c>
      <c r="W54" s="84">
        <v>1139991.3999999999</v>
      </c>
      <c r="X54" s="78" t="s">
        <v>407</v>
      </c>
      <c r="Y54" s="78" t="s">
        <v>267</v>
      </c>
      <c r="Z54" s="78" t="s">
        <v>408</v>
      </c>
    </row>
    <row r="55" spans="1:255" ht="10" hidden="1">
      <c r="A55" s="78" t="s">
        <v>409</v>
      </c>
      <c r="B55" s="78" t="s">
        <v>410</v>
      </c>
      <c r="C55" s="78" t="s">
        <v>248</v>
      </c>
      <c r="D55" s="78" t="s">
        <v>249</v>
      </c>
      <c r="E55" s="86">
        <v>24800.400000000001</v>
      </c>
      <c r="F55" s="86">
        <v>23218.400000000001</v>
      </c>
      <c r="G55" s="86">
        <v>24585.3</v>
      </c>
      <c r="H55" s="87">
        <v>24883</v>
      </c>
      <c r="I55" s="87">
        <v>25275.5</v>
      </c>
      <c r="J55" s="87">
        <v>24715.5</v>
      </c>
      <c r="K55" s="87">
        <v>23387</v>
      </c>
      <c r="L55" s="87">
        <v>25511.5</v>
      </c>
      <c r="M55" s="87">
        <v>25853</v>
      </c>
      <c r="N55" s="87">
        <v>26240.2</v>
      </c>
      <c r="O55" s="87">
        <v>27294</v>
      </c>
      <c r="P55" s="87">
        <v>28827</v>
      </c>
      <c r="Q55" s="87">
        <v>29759.200000000001</v>
      </c>
      <c r="R55" s="87">
        <v>28475.5</v>
      </c>
      <c r="S55" s="86">
        <v>28760.3</v>
      </c>
      <c r="T55" s="88">
        <v>29335.5</v>
      </c>
      <c r="U55" s="88">
        <v>29922.2</v>
      </c>
      <c r="V55" s="88">
        <v>30520.6</v>
      </c>
      <c r="W55" s="88">
        <v>31131</v>
      </c>
      <c r="X55" s="78" t="s">
        <v>411</v>
      </c>
      <c r="Y55" s="78" t="s">
        <v>267</v>
      </c>
      <c r="Z55" s="78" t="s">
        <v>408</v>
      </c>
    </row>
    <row r="56" spans="1:255" ht="10" hidden="1">
      <c r="A56" s="78" t="s">
        <v>412</v>
      </c>
      <c r="B56" s="78" t="s">
        <v>413</v>
      </c>
      <c r="C56" s="78" t="s">
        <v>248</v>
      </c>
      <c r="D56" s="78" t="s">
        <v>249</v>
      </c>
      <c r="E56" s="86">
        <v>190880.7</v>
      </c>
      <c r="F56" s="86">
        <v>175310.5</v>
      </c>
      <c r="G56" s="86">
        <v>196655.8</v>
      </c>
      <c r="H56" s="87">
        <v>219687.4</v>
      </c>
      <c r="I56" s="87">
        <v>227013.1</v>
      </c>
      <c r="J56" s="87">
        <v>243834.6</v>
      </c>
      <c r="K56" s="87">
        <v>258536.3</v>
      </c>
      <c r="L56" s="87">
        <v>279004.40000000002</v>
      </c>
      <c r="M56" s="87">
        <v>292535</v>
      </c>
      <c r="N56" s="87">
        <v>311781.90000000002</v>
      </c>
      <c r="O56" s="87">
        <v>330478.7</v>
      </c>
      <c r="P56" s="87">
        <v>337198.9</v>
      </c>
      <c r="Q56" s="87">
        <v>335213.5</v>
      </c>
      <c r="R56" s="87">
        <v>373060.3</v>
      </c>
      <c r="S56" s="86">
        <v>395443.9</v>
      </c>
      <c r="T56" s="88">
        <v>414425.2</v>
      </c>
      <c r="U56" s="88">
        <v>437218.6</v>
      </c>
      <c r="V56" s="88">
        <v>461265.6</v>
      </c>
      <c r="W56" s="88">
        <v>486635.2</v>
      </c>
      <c r="X56" s="78" t="s">
        <v>414</v>
      </c>
      <c r="Y56" s="78" t="s">
        <v>267</v>
      </c>
      <c r="Z56" s="78" t="s">
        <v>408</v>
      </c>
    </row>
    <row r="57" spans="1:255" ht="10" hidden="1">
      <c r="A57" s="78" t="s">
        <v>415</v>
      </c>
      <c r="B57" s="78" t="s">
        <v>416</v>
      </c>
      <c r="C57" s="78" t="s">
        <v>248</v>
      </c>
      <c r="D57" s="78" t="s">
        <v>249</v>
      </c>
      <c r="E57" s="87" t="s">
        <v>265</v>
      </c>
      <c r="F57" s="87" t="s">
        <v>265</v>
      </c>
      <c r="G57" s="87" t="s">
        <v>265</v>
      </c>
      <c r="H57" s="87" t="s">
        <v>265</v>
      </c>
      <c r="I57" s="87" t="s">
        <v>265</v>
      </c>
      <c r="J57" s="87" t="s">
        <v>265</v>
      </c>
      <c r="K57" s="87" t="s">
        <v>265</v>
      </c>
      <c r="L57" s="87" t="s">
        <v>265</v>
      </c>
      <c r="M57" s="87" t="s">
        <v>265</v>
      </c>
      <c r="N57" s="87" t="s">
        <v>265</v>
      </c>
      <c r="O57" s="87" t="s">
        <v>265</v>
      </c>
      <c r="P57" s="87" t="s">
        <v>265</v>
      </c>
      <c r="Q57" s="87" t="s">
        <v>265</v>
      </c>
      <c r="R57" s="87" t="s">
        <v>265</v>
      </c>
      <c r="S57" s="87" t="s">
        <v>265</v>
      </c>
      <c r="T57" s="87" t="s">
        <v>265</v>
      </c>
      <c r="U57" s="87" t="s">
        <v>265</v>
      </c>
      <c r="V57" s="87" t="s">
        <v>265</v>
      </c>
      <c r="W57" s="87" t="s">
        <v>265</v>
      </c>
      <c r="X57" s="78" t="s">
        <v>417</v>
      </c>
      <c r="Y57" s="78" t="s">
        <v>267</v>
      </c>
      <c r="Z57" s="78" t="s">
        <v>408</v>
      </c>
    </row>
    <row r="58" spans="1:255" ht="10" hidden="1">
      <c r="A58" s="78" t="s">
        <v>418</v>
      </c>
      <c r="B58" s="78" t="s">
        <v>419</v>
      </c>
      <c r="C58" s="78" t="s">
        <v>248</v>
      </c>
      <c r="D58" s="78" t="s">
        <v>249</v>
      </c>
      <c r="E58" s="86">
        <v>292504.8</v>
      </c>
      <c r="F58" s="86">
        <v>280976.09999999998</v>
      </c>
      <c r="G58" s="86">
        <v>299439.2</v>
      </c>
      <c r="H58" s="87">
        <v>317832.09999999998</v>
      </c>
      <c r="I58" s="87">
        <v>328237</v>
      </c>
      <c r="J58" s="87">
        <v>349836.9</v>
      </c>
      <c r="K58" s="87">
        <v>353857.1</v>
      </c>
      <c r="L58" s="87">
        <v>361003.7</v>
      </c>
      <c r="M58" s="87">
        <v>373242.6</v>
      </c>
      <c r="N58" s="87">
        <v>388954.1</v>
      </c>
      <c r="O58" s="87">
        <v>408803.9</v>
      </c>
      <c r="P58" s="87">
        <v>419792.6</v>
      </c>
      <c r="Q58" s="87">
        <v>424776.8</v>
      </c>
      <c r="R58" s="87">
        <v>441046.3</v>
      </c>
      <c r="S58" s="82">
        <v>452813.3</v>
      </c>
      <c r="T58" s="84">
        <v>467972.9</v>
      </c>
      <c r="U58" s="84">
        <v>483090.8</v>
      </c>
      <c r="V58" s="84">
        <v>495117.5</v>
      </c>
      <c r="W58" s="84">
        <v>508847.1</v>
      </c>
      <c r="X58" s="78" t="s">
        <v>420</v>
      </c>
      <c r="Y58" s="78" t="s">
        <v>267</v>
      </c>
      <c r="Z58" s="78" t="s">
        <v>408</v>
      </c>
    </row>
    <row r="59" spans="1:255" ht="10" hidden="1">
      <c r="A59" s="78" t="s">
        <v>421</v>
      </c>
      <c r="B59" s="78" t="s">
        <v>422</v>
      </c>
      <c r="C59" s="78" t="s">
        <v>267</v>
      </c>
      <c r="D59" s="78" t="s">
        <v>267</v>
      </c>
      <c r="E59" s="86">
        <v>4.5999999999999996</v>
      </c>
      <c r="F59" s="86">
        <v>-6.4</v>
      </c>
      <c r="G59" s="86">
        <v>5.9</v>
      </c>
      <c r="H59" s="86">
        <v>1.2</v>
      </c>
      <c r="I59" s="87">
        <v>1.577</v>
      </c>
      <c r="J59" s="87">
        <v>-2.2160000000000002</v>
      </c>
      <c r="K59" s="87">
        <v>-5.375</v>
      </c>
      <c r="L59" s="87">
        <v>9.0839999999999996</v>
      </c>
      <c r="M59" s="87">
        <v>1.339</v>
      </c>
      <c r="N59" s="87">
        <v>1.498</v>
      </c>
      <c r="O59" s="87">
        <v>4.016</v>
      </c>
      <c r="P59" s="87">
        <v>5.617</v>
      </c>
      <c r="Q59" s="87">
        <v>3.234</v>
      </c>
      <c r="R59" s="87">
        <v>-4.3140000000000001</v>
      </c>
      <c r="S59" s="86">
        <v>1</v>
      </c>
      <c r="T59" s="88">
        <v>2</v>
      </c>
      <c r="U59" s="88">
        <v>2</v>
      </c>
      <c r="V59" s="88">
        <v>2</v>
      </c>
      <c r="W59" s="88">
        <v>2</v>
      </c>
      <c r="X59" s="78" t="s">
        <v>423</v>
      </c>
      <c r="Y59" s="78" t="s">
        <v>267</v>
      </c>
      <c r="Z59" s="78" t="s">
        <v>424</v>
      </c>
    </row>
    <row r="60" spans="1:255" ht="10" hidden="1">
      <c r="A60" s="78" t="s">
        <v>425</v>
      </c>
      <c r="B60" s="78" t="s">
        <v>426</v>
      </c>
      <c r="C60" s="78" t="s">
        <v>267</v>
      </c>
      <c r="D60" s="78" t="s">
        <v>267</v>
      </c>
      <c r="E60" s="86">
        <v>4.5</v>
      </c>
      <c r="F60" s="86">
        <v>-8.1999999999999993</v>
      </c>
      <c r="G60" s="86">
        <v>12.2</v>
      </c>
      <c r="H60" s="86">
        <v>11.7</v>
      </c>
      <c r="I60" s="87">
        <v>3.335</v>
      </c>
      <c r="J60" s="87">
        <v>7.41</v>
      </c>
      <c r="K60" s="87">
        <v>6.0289999999999999</v>
      </c>
      <c r="L60" s="87">
        <v>7.9169999999999998</v>
      </c>
      <c r="M60" s="87">
        <v>4.8499999999999996</v>
      </c>
      <c r="N60" s="87">
        <v>6.5789999999999997</v>
      </c>
      <c r="O60" s="87">
        <v>5.9969999999999999</v>
      </c>
      <c r="P60" s="87">
        <v>2.0329999999999999</v>
      </c>
      <c r="Q60" s="87">
        <v>-0.58899999999999997</v>
      </c>
      <c r="R60" s="87">
        <v>11.29</v>
      </c>
      <c r="S60" s="86">
        <v>6</v>
      </c>
      <c r="T60" s="88">
        <v>4.8</v>
      </c>
      <c r="U60" s="88">
        <v>5.5</v>
      </c>
      <c r="V60" s="88">
        <v>5.5</v>
      </c>
      <c r="W60" s="88">
        <v>5.5</v>
      </c>
      <c r="X60" s="78" t="s">
        <v>427</v>
      </c>
      <c r="Y60" s="78" t="s">
        <v>267</v>
      </c>
      <c r="Z60" s="78" t="s">
        <v>424</v>
      </c>
    </row>
    <row r="61" spans="1:255" ht="10" hidden="1">
      <c r="A61" s="78" t="s">
        <v>428</v>
      </c>
      <c r="B61" s="78" t="s">
        <v>429</v>
      </c>
      <c r="C61" s="78" t="s">
        <v>267</v>
      </c>
      <c r="D61" s="78" t="s">
        <v>267</v>
      </c>
      <c r="E61" s="87" t="s">
        <v>265</v>
      </c>
      <c r="F61" s="87" t="s">
        <v>265</v>
      </c>
      <c r="G61" s="87" t="s">
        <v>265</v>
      </c>
      <c r="H61" s="87" t="s">
        <v>265</v>
      </c>
      <c r="I61" s="87" t="s">
        <v>265</v>
      </c>
      <c r="J61" s="87" t="s">
        <v>265</v>
      </c>
      <c r="K61" s="87" t="s">
        <v>265</v>
      </c>
      <c r="L61" s="87" t="s">
        <v>265</v>
      </c>
      <c r="M61" s="87" t="s">
        <v>265</v>
      </c>
      <c r="N61" s="87" t="s">
        <v>265</v>
      </c>
      <c r="O61" s="87" t="s">
        <v>265</v>
      </c>
      <c r="P61" s="87" t="s">
        <v>265</v>
      </c>
      <c r="Q61" s="87" t="s">
        <v>265</v>
      </c>
      <c r="R61" s="87" t="s">
        <v>265</v>
      </c>
      <c r="S61" s="87" t="s">
        <v>265</v>
      </c>
      <c r="T61" s="87" t="s">
        <v>265</v>
      </c>
      <c r="U61" s="87" t="s">
        <v>265</v>
      </c>
      <c r="V61" s="87" t="s">
        <v>265</v>
      </c>
      <c r="W61" s="87" t="s">
        <v>265</v>
      </c>
      <c r="X61" s="78" t="s">
        <v>430</v>
      </c>
      <c r="Y61" s="78" t="s">
        <v>267</v>
      </c>
      <c r="Z61" s="78" t="s">
        <v>424</v>
      </c>
    </row>
    <row r="62" spans="1:255" ht="10" hidden="1">
      <c r="A62" s="78" t="s">
        <v>431</v>
      </c>
      <c r="B62" s="78" t="s">
        <v>432</v>
      </c>
      <c r="C62" s="78" t="s">
        <v>267</v>
      </c>
      <c r="D62" s="78" t="s">
        <v>267</v>
      </c>
      <c r="E62" s="86">
        <v>5.0999999999999996</v>
      </c>
      <c r="F62" s="86">
        <v>-3.9</v>
      </c>
      <c r="G62" s="86">
        <v>6.6</v>
      </c>
      <c r="H62" s="86">
        <v>6.1</v>
      </c>
      <c r="I62" s="87">
        <v>3.274</v>
      </c>
      <c r="J62" s="87">
        <v>6.5810000000000004</v>
      </c>
      <c r="K62" s="87">
        <v>1.149</v>
      </c>
      <c r="L62" s="87">
        <v>2.02</v>
      </c>
      <c r="M62" s="87">
        <v>3.39</v>
      </c>
      <c r="N62" s="87">
        <v>4.2089999999999996</v>
      </c>
      <c r="O62" s="87">
        <v>5.1029999999999998</v>
      </c>
      <c r="P62" s="87">
        <v>2.6880000000000002</v>
      </c>
      <c r="Q62" s="87">
        <v>1.1870000000000001</v>
      </c>
      <c r="R62" s="87">
        <v>3.83</v>
      </c>
      <c r="S62" s="82">
        <v>2.7</v>
      </c>
      <c r="T62" s="84">
        <v>3.3</v>
      </c>
      <c r="U62" s="84">
        <v>3.2</v>
      </c>
      <c r="V62" s="84">
        <v>2.5</v>
      </c>
      <c r="W62" s="84">
        <v>2.8</v>
      </c>
      <c r="X62" s="78" t="s">
        <v>433</v>
      </c>
      <c r="Y62" s="78" t="s">
        <v>267</v>
      </c>
      <c r="Z62" s="78" t="s">
        <v>424</v>
      </c>
    </row>
    <row r="63" spans="1:255" ht="10" hidden="1">
      <c r="A63" s="78" t="s">
        <v>434</v>
      </c>
      <c r="B63" s="78" t="s">
        <v>435</v>
      </c>
      <c r="C63" s="78" t="s">
        <v>267</v>
      </c>
      <c r="D63" s="78" t="s">
        <v>267</v>
      </c>
      <c r="E63" s="87">
        <v>5.266</v>
      </c>
      <c r="F63" s="87">
        <v>4.907</v>
      </c>
      <c r="G63" s="87">
        <v>5.0380000000000003</v>
      </c>
      <c r="H63" s="87">
        <v>4.6310000000000002</v>
      </c>
      <c r="I63" s="87">
        <v>4.3630000000000004</v>
      </c>
      <c r="J63" s="87">
        <v>3.98</v>
      </c>
      <c r="K63" s="87">
        <v>3.71</v>
      </c>
      <c r="L63" s="87">
        <v>3.7309999999999999</v>
      </c>
      <c r="M63" s="87">
        <v>3.3319999999999999</v>
      </c>
      <c r="N63" s="87">
        <v>3.161</v>
      </c>
      <c r="O63" s="87">
        <v>2.8820000000000001</v>
      </c>
      <c r="P63" s="87">
        <v>2.6840000000000002</v>
      </c>
      <c r="Q63" s="87">
        <v>2.7759999999999998</v>
      </c>
      <c r="R63" s="87">
        <v>2.556</v>
      </c>
      <c r="S63" s="86">
        <v>2.5</v>
      </c>
      <c r="T63" s="88">
        <v>2.4</v>
      </c>
      <c r="U63" s="88">
        <v>2.4</v>
      </c>
      <c r="V63" s="88">
        <v>2.2999999999999998</v>
      </c>
      <c r="W63" s="88">
        <v>2.2999999999999998</v>
      </c>
      <c r="X63" s="78" t="s">
        <v>436</v>
      </c>
      <c r="Y63" s="78" t="s">
        <v>437</v>
      </c>
      <c r="Z63" s="78" t="s">
        <v>395</v>
      </c>
    </row>
    <row r="64" spans="1:255" ht="10" hidden="1">
      <c r="A64" s="78" t="s">
        <v>438</v>
      </c>
      <c r="B64" s="78" t="s">
        <v>439</v>
      </c>
      <c r="C64" s="78" t="s">
        <v>267</v>
      </c>
      <c r="D64" s="78" t="s">
        <v>267</v>
      </c>
      <c r="E64" s="87">
        <v>38.197000000000003</v>
      </c>
      <c r="F64" s="87">
        <v>37.841000000000001</v>
      </c>
      <c r="G64" s="87">
        <v>37.706000000000003</v>
      </c>
      <c r="H64" s="87">
        <v>38.06</v>
      </c>
      <c r="I64" s="87">
        <v>36.634</v>
      </c>
      <c r="J64" s="87">
        <v>36.238</v>
      </c>
      <c r="K64" s="87">
        <v>36.658999999999999</v>
      </c>
      <c r="L64" s="87">
        <v>38.137</v>
      </c>
      <c r="M64" s="87">
        <v>37.703000000000003</v>
      </c>
      <c r="N64" s="87">
        <v>37.164000000000001</v>
      </c>
      <c r="O64" s="87">
        <v>37.122999999999998</v>
      </c>
      <c r="P64" s="87">
        <v>36.475000000000001</v>
      </c>
      <c r="Q64" s="87">
        <v>36.777000000000001</v>
      </c>
      <c r="R64" s="87">
        <v>39.274000000000001</v>
      </c>
      <c r="S64" s="86">
        <v>40.1</v>
      </c>
      <c r="T64" s="88">
        <v>40.4</v>
      </c>
      <c r="U64" s="88">
        <v>40.9</v>
      </c>
      <c r="V64" s="88">
        <v>41.6</v>
      </c>
      <c r="W64" s="84">
        <v>42.3</v>
      </c>
      <c r="X64" s="78" t="s">
        <v>440</v>
      </c>
      <c r="Y64" s="78" t="s">
        <v>437</v>
      </c>
      <c r="Z64" s="78" t="s">
        <v>395</v>
      </c>
    </row>
    <row r="65" spans="1:26" ht="10" hidden="1">
      <c r="A65" s="78" t="s">
        <v>441</v>
      </c>
      <c r="B65" s="78" t="s">
        <v>442</v>
      </c>
      <c r="C65" s="78" t="s">
        <v>267</v>
      </c>
      <c r="D65" s="78" t="s">
        <v>267</v>
      </c>
      <c r="E65" s="87">
        <v>47.091999999999999</v>
      </c>
      <c r="F65" s="87">
        <v>47.838000000000001</v>
      </c>
      <c r="G65" s="87">
        <v>47.572000000000003</v>
      </c>
      <c r="H65" s="87">
        <v>47.405999999999999</v>
      </c>
      <c r="I65" s="87">
        <v>48.57</v>
      </c>
      <c r="J65" s="87">
        <v>48.935000000000002</v>
      </c>
      <c r="K65" s="87">
        <v>48.709000000000003</v>
      </c>
      <c r="L65" s="87">
        <v>47.536000000000001</v>
      </c>
      <c r="M65" s="87">
        <v>48.104999999999997</v>
      </c>
      <c r="N65" s="87">
        <v>48.613</v>
      </c>
      <c r="O65" s="87">
        <v>48.968000000000004</v>
      </c>
      <c r="P65" s="87">
        <v>49.683</v>
      </c>
      <c r="Q65" s="87">
        <v>49.4</v>
      </c>
      <c r="R65" s="87">
        <v>47.652000000000001</v>
      </c>
      <c r="S65" s="82">
        <v>47.1</v>
      </c>
      <c r="T65" s="84">
        <v>46.8</v>
      </c>
      <c r="U65" s="88">
        <v>46.4</v>
      </c>
      <c r="V65" s="88">
        <v>45.9</v>
      </c>
      <c r="W65" s="84">
        <v>45.4</v>
      </c>
      <c r="X65" s="78" t="s">
        <v>443</v>
      </c>
      <c r="Y65" s="78" t="s">
        <v>437</v>
      </c>
      <c r="Z65" s="78" t="s">
        <v>395</v>
      </c>
    </row>
    <row r="66" spans="1:26" ht="10" hidden="1">
      <c r="A66" s="78" t="s">
        <v>444</v>
      </c>
      <c r="B66" s="78" t="s">
        <v>445</v>
      </c>
      <c r="C66" s="78" t="s">
        <v>267</v>
      </c>
      <c r="D66" s="78" t="s">
        <v>267</v>
      </c>
      <c r="E66" s="86">
        <v>2.9</v>
      </c>
      <c r="F66" s="86">
        <v>-0.9</v>
      </c>
      <c r="G66" s="86">
        <v>7.6</v>
      </c>
      <c r="H66" s="86">
        <v>4.0999999999999996</v>
      </c>
      <c r="I66" s="86">
        <v>2</v>
      </c>
      <c r="J66" s="86">
        <v>4.3</v>
      </c>
      <c r="K66" s="86">
        <v>2.9</v>
      </c>
      <c r="L66" s="86">
        <v>2.7</v>
      </c>
      <c r="M66" s="86">
        <v>2.6</v>
      </c>
      <c r="N66" s="86">
        <v>3.8</v>
      </c>
      <c r="O66" s="86">
        <v>3.8</v>
      </c>
      <c r="P66" s="86">
        <v>1.7</v>
      </c>
      <c r="Q66" s="86">
        <v>0.6</v>
      </c>
      <c r="R66" s="86">
        <v>4.7</v>
      </c>
      <c r="S66" s="82">
        <v>2.4</v>
      </c>
      <c r="T66" s="84">
        <v>3.5</v>
      </c>
      <c r="U66" s="84">
        <v>4</v>
      </c>
      <c r="V66" s="84">
        <v>3.6</v>
      </c>
      <c r="W66" s="84">
        <v>3.9</v>
      </c>
      <c r="X66" s="78" t="s">
        <v>446</v>
      </c>
      <c r="Y66" s="78" t="s">
        <v>267</v>
      </c>
      <c r="Z66" s="78" t="s">
        <v>345</v>
      </c>
    </row>
    <row r="67" spans="1:26" ht="10" hidden="1">
      <c r="A67" s="78" t="s">
        <v>447</v>
      </c>
      <c r="B67" s="78" t="s">
        <v>448</v>
      </c>
      <c r="C67" s="78" t="s">
        <v>267</v>
      </c>
      <c r="D67" s="78" t="s">
        <v>267</v>
      </c>
      <c r="E67" s="86">
        <v>0.5</v>
      </c>
      <c r="F67" s="86">
        <v>-4.5999999999999996</v>
      </c>
      <c r="G67" s="86">
        <v>6.6</v>
      </c>
      <c r="H67" s="86">
        <v>3.7</v>
      </c>
      <c r="I67" s="86">
        <v>-0.3</v>
      </c>
      <c r="J67" s="86">
        <v>3.9</v>
      </c>
      <c r="K67" s="86">
        <v>0.1</v>
      </c>
      <c r="L67" s="86">
        <v>2.1</v>
      </c>
      <c r="M67" s="86">
        <v>1.8</v>
      </c>
      <c r="N67" s="86">
        <v>2.2000000000000002</v>
      </c>
      <c r="O67" s="86">
        <v>2.8</v>
      </c>
      <c r="P67" s="86">
        <v>0.6</v>
      </c>
      <c r="Q67" s="86">
        <v>-0.6</v>
      </c>
      <c r="R67" s="86">
        <v>4</v>
      </c>
      <c r="S67" s="82">
        <v>1.9</v>
      </c>
      <c r="T67" s="84">
        <v>2.6</v>
      </c>
      <c r="U67" s="84">
        <v>2.9</v>
      </c>
      <c r="V67" s="84">
        <v>2.6</v>
      </c>
      <c r="W67" s="84">
        <v>2.8</v>
      </c>
      <c r="X67" s="78" t="s">
        <v>449</v>
      </c>
      <c r="Y67" s="78" t="s">
        <v>450</v>
      </c>
      <c r="Z67" s="78" t="s">
        <v>345</v>
      </c>
    </row>
    <row r="68" spans="1:26" ht="10" hidden="1">
      <c r="A68" s="78" t="s">
        <v>451</v>
      </c>
      <c r="B68" s="78" t="s">
        <v>452</v>
      </c>
      <c r="C68" s="78" t="s">
        <v>267</v>
      </c>
      <c r="D68" s="78" t="s">
        <v>267</v>
      </c>
      <c r="E68" s="86">
        <v>8.5</v>
      </c>
      <c r="F68" s="86">
        <v>4.7</v>
      </c>
      <c r="G68" s="86">
        <v>5</v>
      </c>
      <c r="H68" s="86">
        <v>5.7</v>
      </c>
      <c r="I68" s="86">
        <v>5.0999999999999996</v>
      </c>
      <c r="J68" s="86">
        <v>5.3</v>
      </c>
      <c r="K68" s="86">
        <v>5.2</v>
      </c>
      <c r="L68" s="86">
        <v>4.9000000000000004</v>
      </c>
      <c r="M68" s="86">
        <v>4.7</v>
      </c>
      <c r="N68" s="86">
        <v>4.5</v>
      </c>
      <c r="O68" s="86">
        <v>4.5</v>
      </c>
      <c r="P68" s="86">
        <v>3.9</v>
      </c>
      <c r="Q68" s="86">
        <v>3.5</v>
      </c>
      <c r="R68" s="86">
        <v>3.8</v>
      </c>
      <c r="S68" s="82">
        <v>3.4</v>
      </c>
      <c r="T68" s="84">
        <v>3.2</v>
      </c>
      <c r="U68" s="88">
        <v>3.5</v>
      </c>
      <c r="V68" s="84">
        <v>3.4</v>
      </c>
      <c r="W68" s="84">
        <v>3.4</v>
      </c>
      <c r="X68" s="78" t="s">
        <v>453</v>
      </c>
      <c r="Y68" s="78" t="s">
        <v>267</v>
      </c>
      <c r="Z68" s="78" t="s">
        <v>345</v>
      </c>
    </row>
    <row r="69" spans="1:26" ht="10" hidden="1">
      <c r="A69" s="78" t="s">
        <v>454</v>
      </c>
      <c r="B69" s="78" t="s">
        <v>455</v>
      </c>
      <c r="C69" s="78" t="s">
        <v>267</v>
      </c>
      <c r="D69" s="78" t="s">
        <v>267</v>
      </c>
      <c r="E69" s="86">
        <v>5</v>
      </c>
      <c r="F69" s="86">
        <v>-4</v>
      </c>
      <c r="G69" s="86">
        <v>9.1999999999999993</v>
      </c>
      <c r="H69" s="86">
        <v>7</v>
      </c>
      <c r="I69" s="86">
        <v>2.5</v>
      </c>
      <c r="J69" s="86">
        <v>7.1</v>
      </c>
      <c r="K69" s="86">
        <v>2</v>
      </c>
      <c r="L69" s="86">
        <v>5.0999999999999996</v>
      </c>
      <c r="M69" s="86">
        <v>4.3</v>
      </c>
      <c r="N69" s="86">
        <v>4.4000000000000004</v>
      </c>
      <c r="O69" s="86">
        <v>5.0999999999999996</v>
      </c>
      <c r="P69" s="86">
        <v>2.2999999999999998</v>
      </c>
      <c r="Q69" s="86">
        <v>0.7</v>
      </c>
      <c r="R69" s="86">
        <v>6.3</v>
      </c>
      <c r="S69" s="82">
        <v>3.9</v>
      </c>
      <c r="T69" s="84">
        <v>3.8</v>
      </c>
      <c r="U69" s="84">
        <v>4.2</v>
      </c>
      <c r="V69" s="84">
        <v>3.8</v>
      </c>
      <c r="W69" s="84">
        <v>4</v>
      </c>
      <c r="X69" s="78" t="s">
        <v>456</v>
      </c>
      <c r="Y69" s="78" t="s">
        <v>267</v>
      </c>
      <c r="Z69" s="78" t="s">
        <v>345</v>
      </c>
    </row>
    <row r="70" spans="1:26" ht="10" hidden="1">
      <c r="A70" s="78" t="s">
        <v>457</v>
      </c>
      <c r="B70" s="78" t="s">
        <v>458</v>
      </c>
      <c r="C70" s="78" t="s">
        <v>267</v>
      </c>
      <c r="D70" s="78" t="s">
        <v>267</v>
      </c>
      <c r="E70" s="87">
        <v>5.1619999999999999</v>
      </c>
      <c r="F70" s="87">
        <v>-6.7839999999999998</v>
      </c>
      <c r="G70" s="87">
        <v>24.35</v>
      </c>
      <c r="H70" s="87">
        <v>17.411999999999999</v>
      </c>
      <c r="I70" s="87">
        <v>0.33600000000000002</v>
      </c>
      <c r="J70" s="87">
        <v>8.2159999999999993</v>
      </c>
      <c r="K70" s="87">
        <v>5.4160000000000004</v>
      </c>
      <c r="L70" s="87">
        <v>10.138</v>
      </c>
      <c r="M70" s="87">
        <v>5.891</v>
      </c>
      <c r="N70" s="87">
        <v>9.2629999999999999</v>
      </c>
      <c r="O70" s="87">
        <v>6.9649999999999999</v>
      </c>
      <c r="P70" s="87">
        <v>3.331</v>
      </c>
      <c r="Q70" s="87">
        <v>-0.77100000000000002</v>
      </c>
      <c r="R70" s="87">
        <v>16.565999999999999</v>
      </c>
      <c r="S70" s="86">
        <v>7.8</v>
      </c>
      <c r="T70" s="88">
        <v>5.0999999999999996</v>
      </c>
      <c r="U70" s="88">
        <v>7.1</v>
      </c>
      <c r="V70" s="88">
        <v>5.7</v>
      </c>
      <c r="W70" s="88">
        <v>5.7</v>
      </c>
      <c r="X70" s="78" t="s">
        <v>459</v>
      </c>
      <c r="Y70" s="78" t="s">
        <v>267</v>
      </c>
      <c r="Z70" s="78" t="s">
        <v>339</v>
      </c>
    </row>
    <row r="71" spans="1:26" ht="10" hidden="1">
      <c r="A71" s="78" t="s">
        <v>460</v>
      </c>
      <c r="B71" s="78" t="s">
        <v>461</v>
      </c>
      <c r="C71" s="78" t="s">
        <v>267</v>
      </c>
      <c r="D71" s="78" t="s">
        <v>267</v>
      </c>
      <c r="E71" s="87">
        <v>951.28916700000002</v>
      </c>
      <c r="F71" s="87">
        <v>1401.4366669999999</v>
      </c>
      <c r="G71" s="87">
        <v>1188.8166670000001</v>
      </c>
      <c r="H71" s="87">
        <v>1130.9575</v>
      </c>
      <c r="I71" s="87">
        <v>1290.9941670000001</v>
      </c>
      <c r="J71" s="87">
        <v>1251.0883329999999</v>
      </c>
      <c r="K71" s="87">
        <v>1191.614167</v>
      </c>
      <c r="L71" s="87">
        <v>1145.3191670000001</v>
      </c>
      <c r="M71" s="87">
        <v>1024.116667</v>
      </c>
      <c r="N71" s="87">
        <v>954.79083300000002</v>
      </c>
      <c r="O71" s="87">
        <v>929.25750000000005</v>
      </c>
      <c r="P71" s="87">
        <v>1102.0466670000001</v>
      </c>
      <c r="Q71" s="87">
        <v>1276.93</v>
      </c>
      <c r="R71" s="87">
        <v>1156.0616669999999</v>
      </c>
      <c r="S71" s="82">
        <v>1107.3</v>
      </c>
      <c r="T71" s="84">
        <v>1065</v>
      </c>
      <c r="U71" s="84">
        <v>1051</v>
      </c>
      <c r="V71" s="84">
        <v>1041</v>
      </c>
      <c r="W71" s="84">
        <v>1035</v>
      </c>
      <c r="X71" s="78" t="s">
        <v>462</v>
      </c>
      <c r="Y71" s="78" t="s">
        <v>267</v>
      </c>
      <c r="Z71" s="78" t="s">
        <v>317</v>
      </c>
    </row>
    <row r="72" spans="1:26" ht="10" hidden="1">
      <c r="A72" s="78" t="s">
        <v>463</v>
      </c>
      <c r="B72" s="78" t="s">
        <v>464</v>
      </c>
      <c r="C72" s="78" t="s">
        <v>267</v>
      </c>
      <c r="D72" s="78" t="s">
        <v>267</v>
      </c>
      <c r="E72" s="87">
        <v>1695</v>
      </c>
      <c r="F72" s="87">
        <v>1204</v>
      </c>
      <c r="G72" s="87">
        <v>1138</v>
      </c>
      <c r="H72" s="87">
        <v>1264.5</v>
      </c>
      <c r="I72" s="87">
        <v>1313.5</v>
      </c>
      <c r="J72" s="87">
        <v>1186.2</v>
      </c>
      <c r="K72" s="87">
        <v>1192.5999999999999</v>
      </c>
      <c r="L72" s="87">
        <v>1035.0999999999999</v>
      </c>
      <c r="M72" s="87">
        <v>1011.6</v>
      </c>
      <c r="N72" s="87">
        <v>929.8</v>
      </c>
      <c r="O72" s="87">
        <v>936.1</v>
      </c>
      <c r="P72" s="87">
        <v>1259.5</v>
      </c>
      <c r="Q72" s="87">
        <v>1164.5</v>
      </c>
      <c r="R72" s="87">
        <v>1134.8</v>
      </c>
      <c r="S72" s="82">
        <v>1086.0999999999999</v>
      </c>
      <c r="T72" s="84">
        <v>1058</v>
      </c>
      <c r="U72" s="84">
        <v>1046</v>
      </c>
      <c r="V72" s="84">
        <v>1038</v>
      </c>
      <c r="W72" s="84">
        <v>1027.5</v>
      </c>
      <c r="X72" s="78" t="s">
        <v>465</v>
      </c>
      <c r="Y72" s="78" t="s">
        <v>267</v>
      </c>
      <c r="Z72" s="78" t="s">
        <v>317</v>
      </c>
    </row>
    <row r="73" spans="1:26" ht="10" hidden="1">
      <c r="A73" s="78" t="s">
        <v>466</v>
      </c>
      <c r="B73" s="78" t="s">
        <v>467</v>
      </c>
      <c r="C73" s="78" t="s">
        <v>267</v>
      </c>
      <c r="D73" s="78" t="s">
        <v>267</v>
      </c>
      <c r="E73" s="83">
        <v>81.924999999999997</v>
      </c>
      <c r="F73" s="83">
        <v>56.412999999999997</v>
      </c>
      <c r="G73" s="83">
        <v>60.835000000000001</v>
      </c>
      <c r="H73" s="83">
        <v>64.825000000000003</v>
      </c>
      <c r="I73" s="83">
        <v>59.854999999999997</v>
      </c>
      <c r="J73" s="83">
        <v>61.847000000000001</v>
      </c>
      <c r="K73" s="83">
        <v>62.627000000000002</v>
      </c>
      <c r="L73" s="83">
        <v>63.552</v>
      </c>
      <c r="M73" s="83">
        <v>70.403000000000006</v>
      </c>
      <c r="N73" s="83">
        <v>73.846999999999994</v>
      </c>
      <c r="O73" s="83">
        <v>73.918999999999997</v>
      </c>
      <c r="P73" s="83">
        <v>58.962000000000003</v>
      </c>
      <c r="Q73" s="83">
        <v>51.197000000000003</v>
      </c>
      <c r="R73" s="86">
        <v>55.1</v>
      </c>
      <c r="S73" s="82">
        <v>55.2</v>
      </c>
      <c r="T73" s="84">
        <v>56.9</v>
      </c>
      <c r="U73" s="84">
        <v>58.3</v>
      </c>
      <c r="V73" s="84">
        <v>59.1</v>
      </c>
      <c r="W73" s="84">
        <v>59.1</v>
      </c>
      <c r="X73" s="78" t="s">
        <v>468</v>
      </c>
      <c r="Y73" s="78" t="s">
        <v>267</v>
      </c>
      <c r="Z73" s="78" t="s">
        <v>345</v>
      </c>
    </row>
    <row r="74" spans="1:26" ht="10" hidden="1">
      <c r="A74" s="78" t="s">
        <v>469</v>
      </c>
      <c r="B74" s="78" t="s">
        <v>470</v>
      </c>
      <c r="C74" s="78" t="s">
        <v>267</v>
      </c>
      <c r="D74" s="78" t="s">
        <v>267</v>
      </c>
      <c r="E74" s="87">
        <v>2.323</v>
      </c>
      <c r="F74" s="87">
        <v>1.1339999999999999</v>
      </c>
      <c r="G74" s="87">
        <v>1.218</v>
      </c>
      <c r="H74" s="87">
        <v>1.0820000000000001</v>
      </c>
      <c r="I74" s="87">
        <v>1.1160000000000001</v>
      </c>
      <c r="J74" s="87">
        <v>3.1459999999999999</v>
      </c>
      <c r="K74" s="87">
        <v>0.996</v>
      </c>
      <c r="L74" s="87">
        <v>0.63200000000000001</v>
      </c>
      <c r="M74" s="87">
        <v>0.40500000000000003</v>
      </c>
      <c r="N74" s="87">
        <v>0.40100000000000002</v>
      </c>
      <c r="O74" s="87">
        <v>3.4689999999999999</v>
      </c>
      <c r="P74" s="87">
        <v>1.157</v>
      </c>
      <c r="Q74" s="87">
        <v>-1.6539999999999999</v>
      </c>
      <c r="R74" s="86">
        <v>1.3</v>
      </c>
      <c r="S74" s="82">
        <v>1.5</v>
      </c>
      <c r="T74" s="88">
        <v>1.9</v>
      </c>
      <c r="U74" s="84">
        <v>1.7</v>
      </c>
      <c r="V74" s="84">
        <v>1.7</v>
      </c>
      <c r="W74" s="84">
        <v>1.6</v>
      </c>
      <c r="X74" s="78" t="s">
        <v>471</v>
      </c>
      <c r="Y74" s="78" t="s">
        <v>267</v>
      </c>
      <c r="Z74" s="78" t="s">
        <v>277</v>
      </c>
    </row>
    <row r="75" spans="1:26" ht="10" hidden="1">
      <c r="A75" s="78" t="s">
        <v>472</v>
      </c>
      <c r="B75" s="78" t="s">
        <v>473</v>
      </c>
      <c r="C75" s="78" t="s">
        <v>267</v>
      </c>
      <c r="D75" s="78" t="s">
        <v>267</v>
      </c>
      <c r="E75" s="87">
        <v>18.440999999999999</v>
      </c>
      <c r="F75" s="87">
        <v>19.295000000000002</v>
      </c>
      <c r="G75" s="87">
        <v>19.658000000000001</v>
      </c>
      <c r="H75" s="87">
        <v>22.513999999999999</v>
      </c>
      <c r="I75" s="87">
        <v>22.111000000000001</v>
      </c>
      <c r="J75" s="87">
        <v>22.027000000000001</v>
      </c>
      <c r="K75" s="87">
        <v>22.414999999999999</v>
      </c>
      <c r="L75" s="87">
        <v>21.617999999999999</v>
      </c>
      <c r="M75" s="87">
        <v>22.126000000000001</v>
      </c>
      <c r="N75" s="87">
        <v>23.062000000000001</v>
      </c>
      <c r="O75" s="87">
        <v>24.988</v>
      </c>
      <c r="P75" s="87">
        <v>24.425000000000001</v>
      </c>
      <c r="Q75" s="87">
        <v>23.966000000000001</v>
      </c>
      <c r="R75" s="86">
        <v>23.2</v>
      </c>
      <c r="S75" s="82">
        <v>23.6</v>
      </c>
      <c r="T75" s="88">
        <v>23.8</v>
      </c>
      <c r="U75" s="84">
        <v>23.9</v>
      </c>
      <c r="V75" s="88">
        <v>24.7</v>
      </c>
      <c r="W75" s="84">
        <v>25.3</v>
      </c>
      <c r="X75" s="78" t="s">
        <v>474</v>
      </c>
      <c r="Y75" s="78" t="s">
        <v>267</v>
      </c>
      <c r="Z75" s="78" t="s">
        <v>277</v>
      </c>
    </row>
    <row r="76" spans="1:26" ht="10" hidden="1">
      <c r="A76" s="78" t="s">
        <v>475</v>
      </c>
      <c r="B76" s="78" t="s">
        <v>476</v>
      </c>
      <c r="C76" s="78" t="s">
        <v>267</v>
      </c>
      <c r="D76" s="78" t="s">
        <v>267</v>
      </c>
      <c r="E76" s="87">
        <v>16.117000000000001</v>
      </c>
      <c r="F76" s="87">
        <v>18.161000000000001</v>
      </c>
      <c r="G76" s="87">
        <v>18.440000000000001</v>
      </c>
      <c r="H76" s="87">
        <v>18.143000000000001</v>
      </c>
      <c r="I76" s="87">
        <v>19.448</v>
      </c>
      <c r="J76" s="87">
        <v>18.881</v>
      </c>
      <c r="K76" s="87">
        <v>21.417999999999999</v>
      </c>
      <c r="L76" s="87">
        <v>20.986999999999998</v>
      </c>
      <c r="M76" s="87">
        <v>21.722000000000001</v>
      </c>
      <c r="N76" s="87">
        <v>22.661000000000001</v>
      </c>
      <c r="O76" s="87">
        <v>21.518999999999998</v>
      </c>
      <c r="P76" s="87">
        <v>23.268000000000001</v>
      </c>
      <c r="Q76" s="87">
        <v>25.620999999999999</v>
      </c>
      <c r="R76" s="86">
        <v>21.9</v>
      </c>
      <c r="S76" s="82">
        <v>22</v>
      </c>
      <c r="T76" s="88">
        <v>21.9</v>
      </c>
      <c r="U76" s="84">
        <v>22.2</v>
      </c>
      <c r="V76" s="84">
        <v>23</v>
      </c>
      <c r="W76" s="88">
        <v>23.7</v>
      </c>
      <c r="X76" s="78" t="s">
        <v>477</v>
      </c>
      <c r="Y76" s="78" t="s">
        <v>267</v>
      </c>
      <c r="Z76" s="78" t="s">
        <v>277</v>
      </c>
    </row>
    <row r="77" spans="1:26" ht="10" hidden="1">
      <c r="A77" s="78" t="s">
        <v>478</v>
      </c>
      <c r="B77" s="78" t="s">
        <v>479</v>
      </c>
      <c r="C77" s="78" t="s">
        <v>267</v>
      </c>
      <c r="D77" s="78" t="s">
        <v>267</v>
      </c>
      <c r="E77" s="87">
        <v>-1.018</v>
      </c>
      <c r="F77" s="87">
        <v>-1.2929999999999999</v>
      </c>
      <c r="G77" s="87">
        <v>-1.1619999999999999</v>
      </c>
      <c r="H77" s="87">
        <v>-1.425</v>
      </c>
      <c r="I77" s="87">
        <v>-1.107</v>
      </c>
      <c r="J77" s="87">
        <v>-1.19</v>
      </c>
      <c r="K77" s="87">
        <v>-1.1519999999999999</v>
      </c>
      <c r="L77" s="87">
        <v>-1.22</v>
      </c>
      <c r="M77" s="87">
        <v>-1.232</v>
      </c>
      <c r="N77" s="87">
        <v>-1.466</v>
      </c>
      <c r="O77" s="87">
        <v>-1.381</v>
      </c>
      <c r="P77" s="87">
        <v>-1.3160000000000001</v>
      </c>
      <c r="Q77" s="87">
        <v>-1.33</v>
      </c>
      <c r="R77" s="86">
        <v>-1.3</v>
      </c>
      <c r="S77" s="86">
        <v>-1.4</v>
      </c>
      <c r="T77" s="84">
        <v>-1.4</v>
      </c>
      <c r="U77" s="88">
        <v>-1.3</v>
      </c>
      <c r="V77" s="88">
        <v>-1.1000000000000001</v>
      </c>
      <c r="W77" s="88">
        <v>-1</v>
      </c>
      <c r="X77" s="78" t="s">
        <v>480</v>
      </c>
      <c r="Y77" s="78" t="s">
        <v>267</v>
      </c>
      <c r="Z77" s="78" t="s">
        <v>481</v>
      </c>
    </row>
    <row r="78" spans="1:26" ht="10" hidden="1">
      <c r="A78" s="78" t="s">
        <v>482</v>
      </c>
      <c r="B78" s="78" t="s">
        <v>483</v>
      </c>
      <c r="C78" s="78" t="s">
        <v>267</v>
      </c>
      <c r="D78" s="78" t="s">
        <v>267</v>
      </c>
      <c r="E78" s="87">
        <v>1.3049999999999999</v>
      </c>
      <c r="F78" s="87">
        <v>-0.159</v>
      </c>
      <c r="G78" s="87">
        <v>5.6000000000000001E-2</v>
      </c>
      <c r="H78" s="87">
        <v>2.9460000000000002</v>
      </c>
      <c r="I78" s="87">
        <v>1.5549999999999999</v>
      </c>
      <c r="J78" s="87">
        <v>1.956</v>
      </c>
      <c r="K78" s="87">
        <v>-0.156</v>
      </c>
      <c r="L78" s="87">
        <v>-0.58799999999999997</v>
      </c>
      <c r="M78" s="87">
        <v>-0.82799999999999996</v>
      </c>
      <c r="N78" s="87">
        <v>-1.0649999999999999</v>
      </c>
      <c r="O78" s="87">
        <v>2.0880000000000001</v>
      </c>
      <c r="P78" s="87">
        <v>-0.158</v>
      </c>
      <c r="Q78" s="87">
        <v>-2.984</v>
      </c>
      <c r="R78" s="86">
        <v>0</v>
      </c>
      <c r="S78" s="82">
        <v>0.1</v>
      </c>
      <c r="T78" s="84">
        <v>0.5</v>
      </c>
      <c r="U78" s="84">
        <v>0.4</v>
      </c>
      <c r="V78" s="84">
        <v>0.6</v>
      </c>
      <c r="W78" s="84">
        <v>0.6</v>
      </c>
      <c r="X78" s="78" t="s">
        <v>484</v>
      </c>
      <c r="Y78" s="78" t="s">
        <v>267</v>
      </c>
      <c r="Z78" s="78" t="s">
        <v>485</v>
      </c>
    </row>
    <row r="79" spans="1:26" ht="10" hidden="1">
      <c r="A79" s="78" t="s">
        <v>486</v>
      </c>
      <c r="B79" s="78" t="s">
        <v>487</v>
      </c>
      <c r="C79" s="78" t="s">
        <v>267</v>
      </c>
      <c r="D79" s="78" t="s">
        <v>267</v>
      </c>
      <c r="E79" s="87">
        <v>7.3140000000000001</v>
      </c>
      <c r="F79" s="87">
        <v>12.69</v>
      </c>
      <c r="G79" s="87">
        <v>15.042</v>
      </c>
      <c r="H79" s="87">
        <v>15.667999999999999</v>
      </c>
      <c r="I79" s="87">
        <v>16.574999999999999</v>
      </c>
      <c r="J79" s="87">
        <v>15.792</v>
      </c>
      <c r="K79" s="87">
        <v>17.396999999999998</v>
      </c>
      <c r="L79" s="87">
        <v>21.28</v>
      </c>
      <c r="M79" s="87">
        <v>23.123000000000001</v>
      </c>
      <c r="N79" s="87">
        <v>25.745999999999999</v>
      </c>
      <c r="O79" s="87">
        <v>27.161000000000001</v>
      </c>
      <c r="P79" s="87">
        <v>24.379000000000001</v>
      </c>
      <c r="Q79" s="87">
        <v>23.491</v>
      </c>
      <c r="R79" s="86">
        <v>22.6</v>
      </c>
      <c r="S79" s="82">
        <v>22</v>
      </c>
      <c r="T79" s="84">
        <v>21.8</v>
      </c>
      <c r="U79" s="84">
        <v>21.7</v>
      </c>
      <c r="V79" s="84">
        <v>21.7</v>
      </c>
      <c r="W79" s="84">
        <v>21.6</v>
      </c>
      <c r="X79" s="78" t="s">
        <v>488</v>
      </c>
      <c r="Y79" s="78" t="s">
        <v>267</v>
      </c>
      <c r="Z79" s="78" t="s">
        <v>489</v>
      </c>
    </row>
    <row r="80" spans="1:26" ht="10" hidden="1">
      <c r="A80" s="78" t="s">
        <v>490</v>
      </c>
      <c r="B80" s="78" t="s">
        <v>491</v>
      </c>
      <c r="C80" s="78" t="s">
        <v>267</v>
      </c>
      <c r="D80" s="78" t="s">
        <v>267</v>
      </c>
      <c r="E80" s="87">
        <v>21.204000000000001</v>
      </c>
      <c r="F80" s="87">
        <v>11.355</v>
      </c>
      <c r="G80" s="87">
        <v>17.783999999999999</v>
      </c>
      <c r="H80" s="87">
        <v>17.902000000000001</v>
      </c>
      <c r="I80" s="87">
        <v>14.673</v>
      </c>
      <c r="J80" s="87">
        <v>19.975000000000001</v>
      </c>
      <c r="K80" s="87">
        <v>9.734</v>
      </c>
      <c r="L80" s="87">
        <v>2.8639999999999999</v>
      </c>
      <c r="M80" s="87">
        <v>9.2349999999999994</v>
      </c>
      <c r="N80" s="87">
        <v>14.634</v>
      </c>
      <c r="O80" s="87">
        <v>9.5399999999999991</v>
      </c>
      <c r="P80" s="87">
        <v>16.981999999999999</v>
      </c>
      <c r="Q80" s="87">
        <v>3.7410000000000001</v>
      </c>
      <c r="R80" s="87">
        <v>3.8820000000000001</v>
      </c>
      <c r="S80" s="86">
        <v>4</v>
      </c>
      <c r="T80" s="88">
        <v>6</v>
      </c>
      <c r="U80" s="88">
        <v>8</v>
      </c>
      <c r="V80" s="88">
        <v>7</v>
      </c>
      <c r="W80" s="88">
        <v>7</v>
      </c>
      <c r="X80" s="78" t="s">
        <v>492</v>
      </c>
      <c r="Y80" s="78" t="s">
        <v>267</v>
      </c>
      <c r="Z80" s="78" t="s">
        <v>317</v>
      </c>
    </row>
    <row r="81" spans="1:255" ht="10" hidden="1">
      <c r="A81" s="78" t="s">
        <v>493</v>
      </c>
      <c r="B81" s="78" t="s">
        <v>494</v>
      </c>
      <c r="C81" s="78" t="s">
        <v>267</v>
      </c>
      <c r="D81" s="78" t="s">
        <v>267</v>
      </c>
      <c r="E81" s="87">
        <v>14.144</v>
      </c>
      <c r="F81" s="87">
        <v>27.027000000000001</v>
      </c>
      <c r="G81" s="87">
        <v>27.376999999999999</v>
      </c>
      <c r="H81" s="87">
        <v>25.425999999999998</v>
      </c>
      <c r="I81" s="87">
        <v>13.202</v>
      </c>
      <c r="J81" s="87">
        <v>10.977</v>
      </c>
      <c r="K81" s="87">
        <v>6.6829999999999998</v>
      </c>
      <c r="L81" s="87">
        <v>-0.64200000000000002</v>
      </c>
      <c r="M81" s="87">
        <v>3.06</v>
      </c>
      <c r="N81" s="87">
        <v>4.4029999999999996</v>
      </c>
      <c r="O81" s="87">
        <v>0.33200000000000002</v>
      </c>
      <c r="P81" s="87">
        <v>15.938000000000001</v>
      </c>
      <c r="Q81" s="87">
        <v>12.202999999999999</v>
      </c>
      <c r="R81" s="87">
        <v>14.862</v>
      </c>
      <c r="S81" s="86">
        <v>5</v>
      </c>
      <c r="T81" s="88">
        <v>5.5</v>
      </c>
      <c r="U81" s="88">
        <v>6.2</v>
      </c>
      <c r="V81" s="88">
        <v>6</v>
      </c>
      <c r="W81" s="88">
        <v>6.2</v>
      </c>
      <c r="X81" s="78" t="s">
        <v>495</v>
      </c>
      <c r="Y81" s="78" t="s">
        <v>267</v>
      </c>
      <c r="Z81" s="78" t="s">
        <v>339</v>
      </c>
    </row>
    <row r="82" spans="1:255" ht="10" hidden="1">
      <c r="A82" s="78" t="s">
        <v>496</v>
      </c>
      <c r="B82" s="78" t="s">
        <v>497</v>
      </c>
      <c r="C82" s="78" t="s">
        <v>267</v>
      </c>
      <c r="D82" s="78" t="s">
        <v>267</v>
      </c>
      <c r="E82" s="87">
        <v>11.875</v>
      </c>
      <c r="F82" s="87">
        <v>15.275</v>
      </c>
      <c r="G82" s="87">
        <v>9.4079999999999995</v>
      </c>
      <c r="H82" s="87">
        <v>8.5329999999999995</v>
      </c>
      <c r="I82" s="87">
        <v>7.7169999999999996</v>
      </c>
      <c r="J82" s="87">
        <v>6.7750000000000004</v>
      </c>
      <c r="K82" s="87">
        <v>6.2329999999999997</v>
      </c>
      <c r="L82" s="87">
        <v>5.9080000000000004</v>
      </c>
      <c r="M82" s="87">
        <v>5.5830000000000002</v>
      </c>
      <c r="N82" s="87">
        <v>5.992</v>
      </c>
      <c r="O82" s="87">
        <v>6.5579999999999998</v>
      </c>
      <c r="P82" s="87">
        <v>7.1669999999999998</v>
      </c>
      <c r="Q82" s="87">
        <v>5.65</v>
      </c>
      <c r="R82" s="87">
        <v>5.508</v>
      </c>
      <c r="S82" s="86">
        <v>5.9</v>
      </c>
      <c r="T82" s="88">
        <v>6.1</v>
      </c>
      <c r="U82" s="88">
        <v>6.5</v>
      </c>
      <c r="V82" s="88">
        <v>7.4</v>
      </c>
      <c r="W82" s="88">
        <v>7.5</v>
      </c>
      <c r="X82" s="78" t="s">
        <v>498</v>
      </c>
      <c r="Y82" s="78" t="s">
        <v>267</v>
      </c>
      <c r="Z82" s="78" t="s">
        <v>317</v>
      </c>
    </row>
    <row r="83" spans="1:255" ht="10" hidden="1">
      <c r="A83" s="78" t="s">
        <v>499</v>
      </c>
      <c r="B83" s="78" t="s">
        <v>500</v>
      </c>
      <c r="C83" s="78" t="s">
        <v>267</v>
      </c>
      <c r="D83" s="78" t="s">
        <v>267</v>
      </c>
      <c r="E83" s="87">
        <v>10.808</v>
      </c>
      <c r="F83" s="87">
        <v>13.3</v>
      </c>
      <c r="G83" s="87">
        <v>7.95</v>
      </c>
      <c r="H83" s="87">
        <v>7.9420000000000002</v>
      </c>
      <c r="I83" s="87">
        <v>5.8</v>
      </c>
      <c r="J83" s="87">
        <v>4.9669999999999996</v>
      </c>
      <c r="K83" s="87">
        <v>4.258</v>
      </c>
      <c r="L83" s="87">
        <v>3.883</v>
      </c>
      <c r="M83" s="87">
        <v>3.742</v>
      </c>
      <c r="N83" s="87">
        <v>4.5</v>
      </c>
      <c r="O83" s="87">
        <v>5.1920000000000002</v>
      </c>
      <c r="P83" s="87">
        <v>5.883</v>
      </c>
      <c r="Q83" s="87">
        <v>3.4750000000000001</v>
      </c>
      <c r="R83" s="87">
        <v>3.867</v>
      </c>
      <c r="S83" s="86">
        <v>4.3</v>
      </c>
      <c r="T83" s="88">
        <v>4.5</v>
      </c>
      <c r="U83" s="88">
        <v>4.9000000000000004</v>
      </c>
      <c r="V83" s="88">
        <v>6</v>
      </c>
      <c r="W83" s="88">
        <v>6.1</v>
      </c>
      <c r="X83" s="78" t="s">
        <v>501</v>
      </c>
      <c r="Y83" s="78" t="s">
        <v>267</v>
      </c>
      <c r="Z83" s="78" t="s">
        <v>317</v>
      </c>
    </row>
    <row r="84" spans="1:255" ht="10" hidden="1">
      <c r="A84" s="78" t="s">
        <v>502</v>
      </c>
      <c r="B84" s="78" t="s">
        <v>503</v>
      </c>
      <c r="C84" s="78" t="s">
        <v>267</v>
      </c>
      <c r="D84" s="78" t="s">
        <v>267</v>
      </c>
      <c r="E84" s="87">
        <v>13.116</v>
      </c>
      <c r="F84" s="87">
        <v>15.036</v>
      </c>
      <c r="G84" s="87">
        <v>5.0010000000000003</v>
      </c>
      <c r="H84" s="87">
        <v>5.1420000000000003</v>
      </c>
      <c r="I84" s="87">
        <v>4.7030000000000003</v>
      </c>
      <c r="J84" s="87">
        <v>4.1950000000000003</v>
      </c>
      <c r="K84" s="87">
        <v>3.976</v>
      </c>
      <c r="L84" s="87">
        <v>3.63</v>
      </c>
      <c r="M84" s="87">
        <v>3.3279999999999998</v>
      </c>
      <c r="N84" s="87">
        <v>4.1900000000000004</v>
      </c>
      <c r="O84" s="87">
        <v>4.7690000000000001</v>
      </c>
      <c r="P84" s="87">
        <v>4.7839999999999998</v>
      </c>
      <c r="Q84" s="87">
        <v>1.9830000000000001</v>
      </c>
      <c r="R84" s="87">
        <v>2.1579999999999999</v>
      </c>
      <c r="S84" s="82">
        <v>3.2</v>
      </c>
      <c r="T84" s="84">
        <v>3</v>
      </c>
      <c r="U84" s="88">
        <v>4</v>
      </c>
      <c r="V84" s="88">
        <v>5</v>
      </c>
      <c r="W84" s="88">
        <v>5.2</v>
      </c>
      <c r="X84" s="78" t="s">
        <v>504</v>
      </c>
      <c r="Y84" s="78" t="s">
        <v>267</v>
      </c>
      <c r="Z84" s="78" t="s">
        <v>252</v>
      </c>
    </row>
    <row r="85" spans="1:255" ht="10" hidden="1">
      <c r="A85" s="78" t="s">
        <v>505</v>
      </c>
      <c r="B85" s="78" t="s">
        <v>506</v>
      </c>
      <c r="C85" s="78" t="s">
        <v>267</v>
      </c>
      <c r="D85" s="78" t="s">
        <v>267</v>
      </c>
      <c r="E85" s="87">
        <v>13.423999999999999</v>
      </c>
      <c r="F85" s="87">
        <v>15.1</v>
      </c>
      <c r="G85" s="87">
        <v>8.9</v>
      </c>
      <c r="H85" s="87">
        <v>7.8</v>
      </c>
      <c r="I85" s="87">
        <v>6.85</v>
      </c>
      <c r="J85" s="87">
        <v>6.5919999999999996</v>
      </c>
      <c r="K85" s="87">
        <v>5.0670000000000002</v>
      </c>
      <c r="L85" s="87">
        <v>4.742</v>
      </c>
      <c r="M85" s="87">
        <v>4.9669999999999996</v>
      </c>
      <c r="N85" s="87">
        <v>5.1669999999999998</v>
      </c>
      <c r="O85" s="87">
        <v>5.3419999999999996</v>
      </c>
      <c r="P85" s="87">
        <v>5.5750000000000002</v>
      </c>
      <c r="Q85" s="87">
        <v>5.1749999999999998</v>
      </c>
      <c r="R85" s="87">
        <v>4.7830000000000004</v>
      </c>
      <c r="S85" s="86">
        <v>4.4000000000000004</v>
      </c>
      <c r="T85" s="84">
        <v>4.8</v>
      </c>
      <c r="U85" s="88">
        <v>5.5</v>
      </c>
      <c r="V85" s="84">
        <v>6.4</v>
      </c>
      <c r="W85" s="84">
        <v>6.7</v>
      </c>
      <c r="X85" s="78" t="s">
        <v>507</v>
      </c>
      <c r="Y85" s="78" t="s">
        <v>267</v>
      </c>
      <c r="Z85" s="78" t="s">
        <v>252</v>
      </c>
    </row>
    <row r="86" spans="1:255" s="85" customFormat="1" ht="11.25" customHeight="1">
      <c r="A86" s="81" t="s">
        <v>508</v>
      </c>
      <c r="B86" s="81" t="s">
        <v>509</v>
      </c>
      <c r="C86" s="81" t="s">
        <v>267</v>
      </c>
      <c r="D86" s="81" t="s">
        <v>267</v>
      </c>
      <c r="E86" s="83">
        <v>4.4560000000000004</v>
      </c>
      <c r="F86" s="83">
        <v>7.5090000000000003</v>
      </c>
      <c r="G86" s="83">
        <v>0.81</v>
      </c>
      <c r="H86" s="83">
        <v>2.2490000000000001</v>
      </c>
      <c r="I86" s="83">
        <v>4.056</v>
      </c>
      <c r="J86" s="83">
        <v>2.7839999999999998</v>
      </c>
      <c r="K86" s="83">
        <v>3.5070000000000001</v>
      </c>
      <c r="L86" s="83">
        <v>3.6019999999999999</v>
      </c>
      <c r="M86" s="83">
        <v>2.7490000000000001</v>
      </c>
      <c r="N86" s="83">
        <v>2.242</v>
      </c>
      <c r="O86" s="83">
        <v>2.5350000000000001</v>
      </c>
      <c r="P86" s="83">
        <v>4.6740000000000004</v>
      </c>
      <c r="Q86" s="83">
        <v>2.7570000000000001</v>
      </c>
      <c r="R86" s="83">
        <v>2.956</v>
      </c>
      <c r="S86" s="82">
        <v>4.4000000000000004</v>
      </c>
      <c r="T86" s="84">
        <v>3.1</v>
      </c>
      <c r="U86" s="84">
        <v>3</v>
      </c>
      <c r="V86" s="84">
        <v>3.1</v>
      </c>
      <c r="W86" s="84">
        <v>2.9</v>
      </c>
      <c r="X86" s="81" t="s">
        <v>510</v>
      </c>
      <c r="Y86" s="81" t="s">
        <v>267</v>
      </c>
      <c r="Z86" s="81" t="s">
        <v>424</v>
      </c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  <c r="DS86" s="72"/>
      <c r="DT86" s="72"/>
      <c r="DU86" s="72"/>
      <c r="DV86" s="72"/>
      <c r="DW86" s="72"/>
      <c r="DX86" s="72"/>
      <c r="DY86" s="72"/>
      <c r="DZ86" s="72"/>
      <c r="EA86" s="72"/>
      <c r="EB86" s="72"/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N86" s="72"/>
      <c r="EO86" s="72"/>
      <c r="EP86" s="72"/>
      <c r="EQ86" s="72"/>
      <c r="ER86" s="72"/>
      <c r="ES86" s="72"/>
      <c r="ET86" s="72"/>
      <c r="EU86" s="72"/>
      <c r="EV86" s="72"/>
      <c r="EW86" s="72"/>
      <c r="EX86" s="72"/>
      <c r="EY86" s="72"/>
      <c r="EZ86" s="72"/>
      <c r="FA86" s="72"/>
      <c r="FB86" s="72"/>
      <c r="FC86" s="72"/>
      <c r="FD86" s="72"/>
      <c r="FE86" s="72"/>
      <c r="FF86" s="72"/>
      <c r="FG86" s="72"/>
      <c r="FH86" s="72"/>
      <c r="FI86" s="72"/>
      <c r="FJ86" s="72"/>
      <c r="FK86" s="72"/>
      <c r="FL86" s="72"/>
      <c r="FM86" s="72"/>
      <c r="FN86" s="72"/>
      <c r="FO86" s="72"/>
      <c r="FP86" s="72"/>
      <c r="FQ86" s="72"/>
      <c r="FR86" s="72"/>
      <c r="FS86" s="72"/>
      <c r="FT86" s="72"/>
      <c r="FU86" s="72"/>
      <c r="FV86" s="72"/>
      <c r="FW86" s="72"/>
      <c r="FX86" s="72"/>
      <c r="FY86" s="72"/>
      <c r="FZ86" s="72"/>
      <c r="GA86" s="72"/>
      <c r="GB86" s="72"/>
      <c r="GC86" s="72"/>
      <c r="GD86" s="72"/>
      <c r="GE86" s="72"/>
      <c r="GF86" s="72"/>
      <c r="GG86" s="72"/>
      <c r="GH86" s="72"/>
      <c r="GI86" s="72"/>
      <c r="GJ86" s="72"/>
      <c r="GK86" s="72"/>
      <c r="GL86" s="72"/>
      <c r="GM86" s="72"/>
      <c r="GN86" s="72"/>
      <c r="GO86" s="72"/>
      <c r="GP86" s="72"/>
      <c r="GQ86" s="72"/>
      <c r="GR86" s="72"/>
      <c r="GS86" s="72"/>
      <c r="GT86" s="72"/>
      <c r="GU86" s="72"/>
      <c r="GV86" s="72"/>
      <c r="GW86" s="72"/>
      <c r="GX86" s="72"/>
      <c r="GY86" s="72"/>
      <c r="GZ86" s="72"/>
      <c r="HA86" s="72"/>
      <c r="HB86" s="72"/>
      <c r="HC86" s="72"/>
      <c r="HD86" s="72"/>
      <c r="HE86" s="72"/>
      <c r="HF86" s="72"/>
      <c r="HG86" s="72"/>
      <c r="HH86" s="72"/>
      <c r="HI86" s="72"/>
      <c r="HJ86" s="72"/>
      <c r="HK86" s="72"/>
      <c r="HL86" s="72"/>
      <c r="HM86" s="72"/>
      <c r="HN86" s="72"/>
      <c r="HO86" s="72"/>
      <c r="HP86" s="72"/>
      <c r="HQ86" s="72"/>
      <c r="HR86" s="72"/>
      <c r="HS86" s="72"/>
      <c r="HT86" s="72"/>
      <c r="HU86" s="72"/>
      <c r="HV86" s="72"/>
      <c r="HW86" s="72"/>
      <c r="HX86" s="72"/>
      <c r="HY86" s="72"/>
      <c r="HZ86" s="72"/>
      <c r="IA86" s="72"/>
      <c r="IB86" s="72"/>
      <c r="IC86" s="72"/>
      <c r="ID86" s="72"/>
      <c r="IE86" s="72"/>
      <c r="IF86" s="72"/>
      <c r="IG86" s="72"/>
      <c r="IH86" s="72"/>
      <c r="II86" s="72"/>
      <c r="IJ86" s="72"/>
      <c r="IK86" s="72"/>
      <c r="IL86" s="72"/>
      <c r="IM86" s="72"/>
      <c r="IN86" s="72"/>
      <c r="IO86" s="72"/>
      <c r="IP86" s="72"/>
      <c r="IQ86" s="72"/>
      <c r="IR86" s="72"/>
      <c r="IS86" s="72"/>
      <c r="IT86" s="72"/>
      <c r="IU86" s="72"/>
    </row>
    <row r="87" spans="1:255" s="85" customFormat="1" ht="10">
      <c r="A87" s="81" t="s">
        <v>511</v>
      </c>
      <c r="B87" s="81" t="s">
        <v>512</v>
      </c>
      <c r="C87" s="81" t="s">
        <v>267</v>
      </c>
      <c r="D87" s="81" t="s">
        <v>267</v>
      </c>
      <c r="E87" s="83">
        <v>6.5860000000000003</v>
      </c>
      <c r="F87" s="83">
        <v>3.9089999999999998</v>
      </c>
      <c r="G87" s="83">
        <v>1.456</v>
      </c>
      <c r="H87" s="83">
        <v>2.7509999999999999</v>
      </c>
      <c r="I87" s="83">
        <v>3.1429999999999998</v>
      </c>
      <c r="J87" s="83">
        <v>3.7250000000000001</v>
      </c>
      <c r="K87" s="83">
        <v>3.4820000000000002</v>
      </c>
      <c r="L87" s="83">
        <v>2.944</v>
      </c>
      <c r="M87" s="83">
        <v>2.6560000000000001</v>
      </c>
      <c r="N87" s="83">
        <v>2.09</v>
      </c>
      <c r="O87" s="83">
        <v>3.6059999999999999</v>
      </c>
      <c r="P87" s="83">
        <v>4.1390000000000002</v>
      </c>
      <c r="Q87" s="83">
        <v>2.8</v>
      </c>
      <c r="R87" s="83">
        <v>3.5150000000000001</v>
      </c>
      <c r="S87" s="82">
        <v>4.4000000000000004</v>
      </c>
      <c r="T87" s="84">
        <v>3.1</v>
      </c>
      <c r="U87" s="84">
        <v>3</v>
      </c>
      <c r="V87" s="84">
        <v>3</v>
      </c>
      <c r="W87" s="84">
        <v>2.9</v>
      </c>
      <c r="X87" s="81" t="s">
        <v>513</v>
      </c>
      <c r="Y87" s="81" t="s">
        <v>267</v>
      </c>
      <c r="Z87" s="81" t="s">
        <v>424</v>
      </c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7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  <c r="FO87" s="72"/>
      <c r="FP87" s="72"/>
      <c r="FQ87" s="72"/>
      <c r="FR87" s="72"/>
      <c r="FS87" s="72"/>
      <c r="FT87" s="72"/>
      <c r="FU87" s="72"/>
      <c r="FV87" s="72"/>
      <c r="FW87" s="72"/>
      <c r="FX87" s="72"/>
      <c r="FY87" s="72"/>
      <c r="FZ87" s="72"/>
      <c r="GA87" s="72"/>
      <c r="GB87" s="72"/>
      <c r="GC87" s="72"/>
      <c r="GD87" s="72"/>
      <c r="GE87" s="72"/>
      <c r="GF87" s="72"/>
      <c r="GG87" s="72"/>
      <c r="GH87" s="72"/>
      <c r="GI87" s="72"/>
      <c r="GJ87" s="72"/>
      <c r="GK87" s="72"/>
      <c r="GL87" s="72"/>
      <c r="GM87" s="72"/>
      <c r="GN87" s="72"/>
      <c r="GO87" s="72"/>
      <c r="GP87" s="72"/>
      <c r="GQ87" s="72"/>
      <c r="GR87" s="72"/>
      <c r="GS87" s="72"/>
      <c r="GT87" s="72"/>
      <c r="GU87" s="72"/>
      <c r="GV87" s="72"/>
      <c r="GW87" s="72"/>
      <c r="GX87" s="72"/>
      <c r="GY87" s="72"/>
      <c r="GZ87" s="72"/>
      <c r="HA87" s="72"/>
      <c r="HB87" s="72"/>
      <c r="HC87" s="72"/>
      <c r="HD87" s="72"/>
      <c r="HE87" s="72"/>
      <c r="HF87" s="72"/>
      <c r="HG87" s="72"/>
      <c r="HH87" s="72"/>
      <c r="HI87" s="72"/>
      <c r="HJ87" s="72"/>
      <c r="HK87" s="72"/>
      <c r="HL87" s="72"/>
      <c r="HM87" s="72"/>
      <c r="HN87" s="72"/>
      <c r="HO87" s="72"/>
      <c r="HP87" s="72"/>
      <c r="HQ87" s="72"/>
      <c r="HR87" s="72"/>
      <c r="HS87" s="72"/>
      <c r="HT87" s="72"/>
      <c r="HU87" s="72"/>
      <c r="HV87" s="72"/>
      <c r="HW87" s="72"/>
      <c r="HX87" s="72"/>
      <c r="HY87" s="72"/>
      <c r="HZ87" s="72"/>
      <c r="IA87" s="72"/>
      <c r="IB87" s="72"/>
      <c r="IC87" s="72"/>
      <c r="ID87" s="72"/>
      <c r="IE87" s="72"/>
      <c r="IF87" s="72"/>
      <c r="IG87" s="72"/>
      <c r="IH87" s="72"/>
      <c r="II87" s="72"/>
      <c r="IJ87" s="72"/>
      <c r="IK87" s="72"/>
      <c r="IL87" s="72"/>
      <c r="IM87" s="72"/>
      <c r="IN87" s="72"/>
      <c r="IO87" s="72"/>
      <c r="IP87" s="72"/>
      <c r="IQ87" s="72"/>
      <c r="IR87" s="72"/>
      <c r="IS87" s="72"/>
      <c r="IT87" s="72"/>
      <c r="IU87" s="72"/>
    </row>
    <row r="88" spans="1:255" s="85" customFormat="1" ht="10">
      <c r="A88" s="81" t="s">
        <v>514</v>
      </c>
      <c r="B88" s="81" t="s">
        <v>515</v>
      </c>
      <c r="C88" s="81" t="s">
        <v>267</v>
      </c>
      <c r="D88" s="81" t="s">
        <v>267</v>
      </c>
      <c r="E88" s="83">
        <v>3.827</v>
      </c>
      <c r="F88" s="83">
        <v>12.218999999999999</v>
      </c>
      <c r="G88" s="83">
        <v>-2.0680000000000001</v>
      </c>
      <c r="H88" s="83">
        <v>2.0270000000000001</v>
      </c>
      <c r="I88" s="83">
        <v>-0.45800000000000002</v>
      </c>
      <c r="J88" s="83">
        <v>-0.28499999999999998</v>
      </c>
      <c r="K88" s="83">
        <v>2.1960000000000002</v>
      </c>
      <c r="L88" s="83">
        <v>6.0490000000000004</v>
      </c>
      <c r="M88" s="83">
        <v>2.1539999999999999</v>
      </c>
      <c r="N88" s="83">
        <v>0.9</v>
      </c>
      <c r="O88" s="83">
        <v>1.429</v>
      </c>
      <c r="P88" s="83">
        <v>8.5660000000000007</v>
      </c>
      <c r="Q88" s="83">
        <v>-0.22500000000000001</v>
      </c>
      <c r="R88" s="83">
        <v>3.8340000000000001</v>
      </c>
      <c r="S88" s="82">
        <v>5.9</v>
      </c>
      <c r="T88" s="84">
        <v>2.4</v>
      </c>
      <c r="U88" s="84">
        <v>3.5</v>
      </c>
      <c r="V88" s="84">
        <v>3</v>
      </c>
      <c r="W88" s="84">
        <v>2.8</v>
      </c>
      <c r="X88" s="81" t="s">
        <v>516</v>
      </c>
      <c r="Y88" s="81" t="s">
        <v>267</v>
      </c>
      <c r="Z88" s="81" t="s">
        <v>424</v>
      </c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  <c r="DS88" s="72"/>
      <c r="DT88" s="72"/>
      <c r="DU88" s="72"/>
      <c r="DV88" s="72"/>
      <c r="DW88" s="72"/>
      <c r="DX88" s="72"/>
      <c r="DY88" s="72"/>
      <c r="DZ88" s="72"/>
      <c r="EA88" s="72"/>
      <c r="EB88" s="72"/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N88" s="72"/>
      <c r="EO88" s="72"/>
      <c r="EP88" s="72"/>
      <c r="EQ88" s="72"/>
      <c r="ER88" s="72"/>
      <c r="ES88" s="72"/>
      <c r="ET88" s="72"/>
      <c r="EU88" s="72"/>
      <c r="EV88" s="72"/>
      <c r="EW88" s="72"/>
      <c r="EX88" s="72"/>
      <c r="EY88" s="72"/>
      <c r="EZ88" s="72"/>
      <c r="FA88" s="72"/>
      <c r="FB88" s="72"/>
      <c r="FC88" s="72"/>
      <c r="FD88" s="72"/>
      <c r="FE88" s="72"/>
      <c r="FF88" s="72"/>
      <c r="FG88" s="72"/>
      <c r="FH88" s="72"/>
      <c r="FI88" s="72"/>
      <c r="FJ88" s="72"/>
      <c r="FK88" s="72"/>
      <c r="FL88" s="72"/>
      <c r="FM88" s="72"/>
      <c r="FN88" s="72"/>
      <c r="FO88" s="72"/>
      <c r="FP88" s="72"/>
      <c r="FQ88" s="72"/>
      <c r="FR88" s="72"/>
      <c r="FS88" s="72"/>
      <c r="FT88" s="72"/>
      <c r="FU88" s="72"/>
      <c r="FV88" s="72"/>
      <c r="FW88" s="72"/>
      <c r="FX88" s="72"/>
      <c r="FY88" s="72"/>
      <c r="FZ88" s="72"/>
      <c r="GA88" s="72"/>
      <c r="GB88" s="72"/>
      <c r="GC88" s="72"/>
      <c r="GD88" s="72"/>
      <c r="GE88" s="72"/>
      <c r="GF88" s="72"/>
      <c r="GG88" s="72"/>
      <c r="GH88" s="72"/>
      <c r="GI88" s="72"/>
      <c r="GJ88" s="72"/>
      <c r="GK88" s="72"/>
      <c r="GL88" s="72"/>
      <c r="GM88" s="72"/>
      <c r="GN88" s="72"/>
      <c r="GO88" s="72"/>
      <c r="GP88" s="72"/>
      <c r="GQ88" s="72"/>
      <c r="GR88" s="72"/>
      <c r="GS88" s="72"/>
      <c r="GT88" s="72"/>
      <c r="GU88" s="72"/>
      <c r="GV88" s="72"/>
      <c r="GW88" s="72"/>
      <c r="GX88" s="72"/>
      <c r="GY88" s="72"/>
      <c r="GZ88" s="72"/>
      <c r="HA88" s="72"/>
      <c r="HB88" s="72"/>
      <c r="HC88" s="72"/>
      <c r="HD88" s="72"/>
      <c r="HE88" s="72"/>
      <c r="HF88" s="72"/>
      <c r="HG88" s="72"/>
      <c r="HH88" s="72"/>
      <c r="HI88" s="72"/>
      <c r="HJ88" s="72"/>
      <c r="HK88" s="72"/>
      <c r="HL88" s="72"/>
      <c r="HM88" s="72"/>
      <c r="HN88" s="72"/>
      <c r="HO88" s="72"/>
      <c r="HP88" s="72"/>
      <c r="HQ88" s="72"/>
      <c r="HR88" s="72"/>
      <c r="HS88" s="72"/>
      <c r="HT88" s="72"/>
      <c r="HU88" s="72"/>
      <c r="HV88" s="72"/>
      <c r="HW88" s="72"/>
      <c r="HX88" s="72"/>
      <c r="HY88" s="72"/>
      <c r="HZ88" s="72"/>
      <c r="IA88" s="72"/>
      <c r="IB88" s="72"/>
      <c r="IC88" s="72"/>
      <c r="ID88" s="72"/>
      <c r="IE88" s="72"/>
      <c r="IF88" s="72"/>
      <c r="IG88" s="72"/>
      <c r="IH88" s="72"/>
      <c r="II88" s="72"/>
      <c r="IJ88" s="72"/>
      <c r="IK88" s="72"/>
      <c r="IL88" s="72"/>
      <c r="IM88" s="72"/>
      <c r="IN88" s="72"/>
      <c r="IO88" s="72"/>
      <c r="IP88" s="72"/>
      <c r="IQ88" s="72"/>
      <c r="IR88" s="72"/>
      <c r="IS88" s="72"/>
      <c r="IT88" s="72"/>
      <c r="IU88" s="72"/>
    </row>
    <row r="89" spans="1:255" s="85" customFormat="1" ht="10">
      <c r="A89" s="81" t="s">
        <v>517</v>
      </c>
      <c r="B89" s="81" t="s">
        <v>518</v>
      </c>
      <c r="C89" s="81" t="s">
        <v>267</v>
      </c>
      <c r="D89" s="81" t="s">
        <v>267</v>
      </c>
      <c r="E89" s="83">
        <v>7.0110000000000001</v>
      </c>
      <c r="F89" s="83">
        <v>-2.4940000000000002</v>
      </c>
      <c r="G89" s="83">
        <v>8.1150000000000002</v>
      </c>
      <c r="H89" s="83">
        <v>8.0399999999999991</v>
      </c>
      <c r="I89" s="83">
        <v>5.1429999999999998</v>
      </c>
      <c r="J89" s="83">
        <v>11.122999999999999</v>
      </c>
      <c r="K89" s="83">
        <v>9.2050000000000001</v>
      </c>
      <c r="L89" s="83">
        <v>6.0389999999999997</v>
      </c>
      <c r="M89" s="83">
        <v>6.6040000000000001</v>
      </c>
      <c r="N89" s="83">
        <v>5.71</v>
      </c>
      <c r="O89" s="82">
        <v>5.6</v>
      </c>
      <c r="P89" s="82">
        <v>-4.3</v>
      </c>
      <c r="Q89" s="82">
        <v>2.6</v>
      </c>
      <c r="R89" s="82">
        <v>6.9</v>
      </c>
      <c r="S89" s="82">
        <v>6.5</v>
      </c>
      <c r="T89" s="84">
        <v>5.5</v>
      </c>
      <c r="U89" s="84">
        <v>5.4</v>
      </c>
      <c r="V89" s="84">
        <v>5.4</v>
      </c>
      <c r="W89" s="84">
        <v>5.2</v>
      </c>
      <c r="X89" s="81" t="s">
        <v>519</v>
      </c>
      <c r="Y89" s="81" t="s">
        <v>267</v>
      </c>
      <c r="Z89" s="81" t="s">
        <v>520</v>
      </c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  <c r="DS89" s="72"/>
      <c r="DT89" s="72"/>
      <c r="DU89" s="72"/>
      <c r="DV89" s="72"/>
      <c r="DW89" s="72"/>
      <c r="DX89" s="72"/>
      <c r="DY89" s="72"/>
      <c r="DZ89" s="72"/>
      <c r="EA89" s="72"/>
      <c r="EB89" s="72"/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N89" s="72"/>
      <c r="EO89" s="72"/>
      <c r="EP89" s="72"/>
      <c r="EQ89" s="72"/>
      <c r="ER89" s="72"/>
      <c r="ES89" s="72"/>
      <c r="ET89" s="72"/>
      <c r="EU89" s="72"/>
      <c r="EV89" s="72"/>
      <c r="EW89" s="72"/>
      <c r="EX89" s="72"/>
      <c r="EY89" s="72"/>
      <c r="EZ89" s="72"/>
      <c r="FA89" s="72"/>
      <c r="FB89" s="72"/>
      <c r="FC89" s="72"/>
      <c r="FD89" s="72"/>
      <c r="FE89" s="72"/>
      <c r="FF89" s="72"/>
      <c r="FG89" s="72"/>
      <c r="FH89" s="72"/>
      <c r="FI89" s="72"/>
      <c r="FJ89" s="72"/>
      <c r="FK89" s="72"/>
      <c r="FL89" s="72"/>
      <c r="FM89" s="72"/>
      <c r="FN89" s="72"/>
      <c r="FO89" s="72"/>
      <c r="FP89" s="72"/>
      <c r="FQ89" s="72"/>
      <c r="FR89" s="72"/>
      <c r="FS89" s="72"/>
      <c r="FT89" s="72"/>
      <c r="FU89" s="72"/>
      <c r="FV89" s="72"/>
      <c r="FW89" s="72"/>
      <c r="FX89" s="72"/>
      <c r="FY89" s="72"/>
      <c r="FZ89" s="72"/>
      <c r="GA89" s="72"/>
      <c r="GB89" s="72"/>
      <c r="GC89" s="72"/>
      <c r="GD89" s="72"/>
      <c r="GE89" s="72"/>
      <c r="GF89" s="72"/>
      <c r="GG89" s="72"/>
      <c r="GH89" s="72"/>
      <c r="GI89" s="72"/>
      <c r="GJ89" s="72"/>
      <c r="GK89" s="72"/>
      <c r="GL89" s="72"/>
      <c r="GM89" s="72"/>
      <c r="GN89" s="72"/>
      <c r="GO89" s="72"/>
      <c r="GP89" s="72"/>
      <c r="GQ89" s="72"/>
      <c r="GR89" s="72"/>
      <c r="GS89" s="72"/>
      <c r="GT89" s="72"/>
      <c r="GU89" s="72"/>
      <c r="GV89" s="72"/>
      <c r="GW89" s="72"/>
      <c r="GX89" s="72"/>
      <c r="GY89" s="72"/>
      <c r="GZ89" s="72"/>
      <c r="HA89" s="72"/>
      <c r="HB89" s="72"/>
      <c r="HC89" s="72"/>
      <c r="HD89" s="72"/>
      <c r="HE89" s="72"/>
      <c r="HF89" s="72"/>
      <c r="HG89" s="72"/>
      <c r="HH89" s="72"/>
      <c r="HI89" s="72"/>
      <c r="HJ89" s="72"/>
      <c r="HK89" s="72"/>
      <c r="HL89" s="72"/>
      <c r="HM89" s="72"/>
      <c r="HN89" s="72"/>
      <c r="HO89" s="72"/>
      <c r="HP89" s="72"/>
      <c r="HQ89" s="72"/>
      <c r="HR89" s="72"/>
      <c r="HS89" s="72"/>
      <c r="HT89" s="72"/>
      <c r="HU89" s="72"/>
      <c r="HV89" s="72"/>
      <c r="HW89" s="72"/>
      <c r="HX89" s="72"/>
      <c r="HY89" s="72"/>
      <c r="HZ89" s="72"/>
      <c r="IA89" s="72"/>
      <c r="IB89" s="72"/>
      <c r="IC89" s="72"/>
      <c r="ID89" s="72"/>
      <c r="IE89" s="72"/>
      <c r="IF89" s="72"/>
      <c r="IG89" s="72"/>
      <c r="IH89" s="72"/>
      <c r="II89" s="72"/>
      <c r="IJ89" s="72"/>
      <c r="IK89" s="72"/>
      <c r="IL89" s="72"/>
      <c r="IM89" s="72"/>
      <c r="IN89" s="72"/>
      <c r="IO89" s="72"/>
      <c r="IP89" s="72"/>
      <c r="IQ89" s="72"/>
      <c r="IR89" s="72"/>
      <c r="IS89" s="72"/>
      <c r="IT89" s="72"/>
      <c r="IU89" s="72"/>
    </row>
    <row r="90" spans="1:255" ht="10" hidden="1">
      <c r="A90" s="78" t="s">
        <v>521</v>
      </c>
      <c r="B90" s="78" t="s">
        <v>522</v>
      </c>
      <c r="C90" s="78" t="s">
        <v>267</v>
      </c>
      <c r="D90" s="78" t="s">
        <v>267</v>
      </c>
      <c r="E90" s="87">
        <v>2.4460000000000002</v>
      </c>
      <c r="F90" s="87">
        <v>-9.3040000000000003</v>
      </c>
      <c r="G90" s="87">
        <v>7.2460000000000004</v>
      </c>
      <c r="H90" s="87">
        <v>5.6630000000000003</v>
      </c>
      <c r="I90" s="87">
        <v>1.044</v>
      </c>
      <c r="J90" s="87">
        <v>8.1129999999999995</v>
      </c>
      <c r="K90" s="87">
        <v>5.5049999999999999</v>
      </c>
      <c r="L90" s="87">
        <v>2.3530000000000002</v>
      </c>
      <c r="M90" s="87">
        <v>3.7530000000000001</v>
      </c>
      <c r="N90" s="87">
        <v>3.3919999999999999</v>
      </c>
      <c r="O90" s="86">
        <v>3</v>
      </c>
      <c r="P90" s="86">
        <v>-8.5</v>
      </c>
      <c r="Q90" s="86">
        <v>-0.1</v>
      </c>
      <c r="R90" s="86">
        <v>3.8</v>
      </c>
      <c r="S90" s="86">
        <v>2</v>
      </c>
      <c r="T90" s="88">
        <v>2.2999999999999998</v>
      </c>
      <c r="U90" s="88">
        <v>2.2999999999999998</v>
      </c>
      <c r="V90" s="88">
        <v>2.2999999999999998</v>
      </c>
      <c r="W90" s="88">
        <v>2.2999999999999998</v>
      </c>
      <c r="X90" s="78" t="s">
        <v>523</v>
      </c>
      <c r="Y90" s="78" t="s">
        <v>267</v>
      </c>
      <c r="Z90" s="78" t="s">
        <v>524</v>
      </c>
    </row>
    <row r="91" spans="1:255" ht="10" hidden="1">
      <c r="A91" s="78" t="s">
        <v>525</v>
      </c>
      <c r="B91" s="78" t="s">
        <v>526</v>
      </c>
      <c r="C91" s="78" t="s">
        <v>267</v>
      </c>
      <c r="D91" s="78" t="s">
        <v>267</v>
      </c>
      <c r="E91" s="87">
        <v>-18.416</v>
      </c>
      <c r="F91" s="87">
        <v>-34.090000000000003</v>
      </c>
      <c r="G91" s="87">
        <v>3.7610000000000001</v>
      </c>
      <c r="H91" s="87">
        <v>2.7389999999999999</v>
      </c>
      <c r="I91" s="87">
        <v>-8.1479999999999997</v>
      </c>
      <c r="J91" s="87">
        <v>4.7699999999999996</v>
      </c>
      <c r="K91" s="87">
        <v>4.3710000000000004</v>
      </c>
      <c r="L91" s="87">
        <v>6.0339999999999998</v>
      </c>
      <c r="M91" s="87">
        <v>15.457000000000001</v>
      </c>
      <c r="N91" s="87">
        <v>5.2389999999999999</v>
      </c>
      <c r="O91" s="87">
        <v>2.1480000000000001</v>
      </c>
      <c r="P91" s="87">
        <v>-16.93</v>
      </c>
      <c r="Q91" s="87">
        <v>-15.541</v>
      </c>
      <c r="R91" s="87">
        <v>8.9550000000000001</v>
      </c>
      <c r="S91" s="82">
        <v>9.6</v>
      </c>
      <c r="T91" s="84">
        <v>7</v>
      </c>
      <c r="U91" s="84">
        <v>3.7</v>
      </c>
      <c r="V91" s="84">
        <v>3.7</v>
      </c>
      <c r="W91" s="84">
        <v>2.8</v>
      </c>
      <c r="X91" s="78" t="s">
        <v>527</v>
      </c>
      <c r="Y91" s="78" t="s">
        <v>267</v>
      </c>
      <c r="Z91" s="78" t="s">
        <v>528</v>
      </c>
    </row>
    <row r="92" spans="1:255" ht="10" hidden="1">
      <c r="A92" s="78" t="s">
        <v>529</v>
      </c>
      <c r="B92" s="78" t="s">
        <v>530</v>
      </c>
      <c r="C92" s="78" t="s">
        <v>348</v>
      </c>
      <c r="D92" s="78" t="s">
        <v>267</v>
      </c>
      <c r="E92" s="87">
        <v>7.86</v>
      </c>
      <c r="F92" s="87">
        <v>5.66</v>
      </c>
      <c r="G92" s="87">
        <v>7.36</v>
      </c>
      <c r="H92" s="87">
        <v>8.23</v>
      </c>
      <c r="I92" s="87">
        <v>7.7</v>
      </c>
      <c r="J92" s="87">
        <v>8.77</v>
      </c>
      <c r="K92" s="87">
        <v>9.69</v>
      </c>
      <c r="L92" s="87">
        <v>10.5</v>
      </c>
      <c r="M92" s="87">
        <v>12.48</v>
      </c>
      <c r="N92" s="87">
        <v>14.48</v>
      </c>
      <c r="O92" s="87">
        <v>16.02</v>
      </c>
      <c r="P92" s="86">
        <v>12.9</v>
      </c>
      <c r="Q92" s="86">
        <v>11.6</v>
      </c>
      <c r="R92" s="86">
        <v>13.8</v>
      </c>
      <c r="S92" s="82">
        <v>15.5</v>
      </c>
      <c r="T92" s="84">
        <v>17.100000000000001</v>
      </c>
      <c r="U92" s="88">
        <v>18.399999999999999</v>
      </c>
      <c r="V92" s="84">
        <v>19.8</v>
      </c>
      <c r="W92" s="84">
        <v>21.2</v>
      </c>
      <c r="X92" s="78" t="s">
        <v>531</v>
      </c>
      <c r="Y92" s="78" t="s">
        <v>532</v>
      </c>
      <c r="Z92" s="78" t="s">
        <v>533</v>
      </c>
    </row>
    <row r="93" spans="1:255" s="85" customFormat="1" ht="10">
      <c r="A93" s="81" t="s">
        <v>534</v>
      </c>
      <c r="B93" s="81" t="s">
        <v>535</v>
      </c>
      <c r="C93" s="81" t="s">
        <v>267</v>
      </c>
      <c r="D93" s="81" t="s">
        <v>536</v>
      </c>
      <c r="E93" s="83">
        <v>45.954000000000001</v>
      </c>
      <c r="F93" s="83">
        <v>46.286999999999999</v>
      </c>
      <c r="G93" s="83">
        <v>46.616999999999997</v>
      </c>
      <c r="H93" s="83">
        <v>47.008000000000003</v>
      </c>
      <c r="I93" s="83">
        <v>47.343000000000004</v>
      </c>
      <c r="J93" s="83">
        <v>47.64</v>
      </c>
      <c r="K93" s="83">
        <v>47.823999999999998</v>
      </c>
      <c r="L93" s="83">
        <v>48.13</v>
      </c>
      <c r="M93" s="83">
        <v>48.34</v>
      </c>
      <c r="N93" s="82">
        <v>48.74</v>
      </c>
      <c r="O93" s="82">
        <v>49</v>
      </c>
      <c r="P93" s="82">
        <v>49.21</v>
      </c>
      <c r="Q93" s="82">
        <v>49.39</v>
      </c>
      <c r="R93" s="82">
        <v>49.51</v>
      </c>
      <c r="S93" s="82">
        <v>49.64</v>
      </c>
      <c r="T93" s="84">
        <v>49.79</v>
      </c>
      <c r="U93" s="84">
        <v>49.91</v>
      </c>
      <c r="V93" s="84">
        <v>50</v>
      </c>
      <c r="W93" s="84">
        <v>50</v>
      </c>
      <c r="X93" s="81" t="s">
        <v>537</v>
      </c>
      <c r="Y93" s="81" t="s">
        <v>267</v>
      </c>
      <c r="Z93" s="81" t="s">
        <v>538</v>
      </c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  <c r="DS93" s="72"/>
      <c r="DT93" s="72"/>
      <c r="DU93" s="72"/>
      <c r="DV93" s="72"/>
      <c r="DW93" s="72"/>
      <c r="DX93" s="72"/>
      <c r="DY93" s="72"/>
      <c r="DZ93" s="72"/>
      <c r="EA93" s="72"/>
      <c r="EB93" s="72"/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N93" s="72"/>
      <c r="EO93" s="72"/>
      <c r="EP93" s="72"/>
      <c r="EQ93" s="72"/>
      <c r="ER93" s="72"/>
      <c r="ES93" s="72"/>
      <c r="ET93" s="72"/>
      <c r="EU93" s="72"/>
      <c r="EV93" s="72"/>
      <c r="EW93" s="72"/>
      <c r="EX93" s="72"/>
      <c r="EY93" s="72"/>
      <c r="EZ93" s="72"/>
      <c r="FA93" s="72"/>
      <c r="FB93" s="72"/>
      <c r="FC93" s="72"/>
      <c r="FD93" s="72"/>
      <c r="FE93" s="72"/>
      <c r="FF93" s="72"/>
      <c r="FG93" s="72"/>
      <c r="FH93" s="72"/>
      <c r="FI93" s="72"/>
      <c r="FJ93" s="72"/>
      <c r="FK93" s="72"/>
      <c r="FL93" s="72"/>
      <c r="FM93" s="72"/>
      <c r="FN93" s="72"/>
      <c r="FO93" s="72"/>
      <c r="FP93" s="72"/>
      <c r="FQ93" s="72"/>
      <c r="FR93" s="72"/>
      <c r="FS93" s="72"/>
      <c r="FT93" s="72"/>
      <c r="FU93" s="72"/>
      <c r="FV93" s="72"/>
      <c r="FW93" s="72"/>
      <c r="FX93" s="72"/>
      <c r="FY93" s="72"/>
      <c r="FZ93" s="72"/>
      <c r="GA93" s="72"/>
      <c r="GB93" s="72"/>
      <c r="GC93" s="72"/>
      <c r="GD93" s="72"/>
      <c r="GE93" s="72"/>
      <c r="GF93" s="72"/>
      <c r="GG93" s="72"/>
      <c r="GH93" s="72"/>
      <c r="GI93" s="72"/>
      <c r="GJ93" s="72"/>
      <c r="GK93" s="72"/>
      <c r="GL93" s="72"/>
      <c r="GM93" s="72"/>
      <c r="GN93" s="72"/>
      <c r="GO93" s="72"/>
      <c r="GP93" s="72"/>
      <c r="GQ93" s="72"/>
      <c r="GR93" s="72"/>
      <c r="GS93" s="72"/>
      <c r="GT93" s="72"/>
      <c r="GU93" s="72"/>
      <c r="GV93" s="72"/>
      <c r="GW93" s="72"/>
      <c r="GX93" s="72"/>
      <c r="GY93" s="72"/>
      <c r="GZ93" s="72"/>
      <c r="HA93" s="72"/>
      <c r="HB93" s="72"/>
      <c r="HC93" s="72"/>
      <c r="HD93" s="72"/>
      <c r="HE93" s="72"/>
      <c r="HF93" s="72"/>
      <c r="HG93" s="72"/>
      <c r="HH93" s="72"/>
      <c r="HI93" s="72"/>
      <c r="HJ93" s="72"/>
      <c r="HK93" s="72"/>
      <c r="HL93" s="72"/>
      <c r="HM93" s="72"/>
      <c r="HN93" s="72"/>
      <c r="HO93" s="72"/>
      <c r="HP93" s="72"/>
      <c r="HQ93" s="72"/>
      <c r="HR93" s="72"/>
      <c r="HS93" s="72"/>
      <c r="HT93" s="72"/>
      <c r="HU93" s="72"/>
      <c r="HV93" s="72"/>
      <c r="HW93" s="72"/>
      <c r="HX93" s="72"/>
      <c r="HY93" s="72"/>
      <c r="HZ93" s="72"/>
      <c r="IA93" s="72"/>
      <c r="IB93" s="72"/>
      <c r="IC93" s="72"/>
      <c r="ID93" s="72"/>
      <c r="IE93" s="72"/>
      <c r="IF93" s="72"/>
      <c r="IG93" s="72"/>
      <c r="IH93" s="72"/>
      <c r="II93" s="72"/>
      <c r="IJ93" s="72"/>
      <c r="IK93" s="72"/>
      <c r="IL93" s="72"/>
      <c r="IM93" s="72"/>
      <c r="IN93" s="72"/>
      <c r="IO93" s="72"/>
      <c r="IP93" s="72"/>
      <c r="IQ93" s="72"/>
      <c r="IR93" s="72"/>
      <c r="IS93" s="72"/>
      <c r="IT93" s="72"/>
      <c r="IU93" s="72"/>
    </row>
    <row r="94" spans="1:255" ht="10" hidden="1">
      <c r="A94" s="78" t="s">
        <v>539</v>
      </c>
      <c r="B94" s="78" t="s">
        <v>540</v>
      </c>
      <c r="C94" s="78" t="s">
        <v>267</v>
      </c>
      <c r="D94" s="78" t="s">
        <v>536</v>
      </c>
      <c r="E94" s="87">
        <v>21.782</v>
      </c>
      <c r="F94" s="87">
        <v>21.428000000000001</v>
      </c>
      <c r="G94" s="87">
        <v>21.716999999999999</v>
      </c>
      <c r="H94" s="87">
        <v>22.134</v>
      </c>
      <c r="I94" s="87">
        <v>22.471</v>
      </c>
      <c r="J94" s="87">
        <v>22.920999999999999</v>
      </c>
      <c r="K94" s="87">
        <v>22.956</v>
      </c>
      <c r="L94" s="87">
        <v>23.417000000000002</v>
      </c>
      <c r="M94" s="87">
        <v>23.742999999999999</v>
      </c>
      <c r="N94" s="87">
        <v>23.978000000000002</v>
      </c>
      <c r="O94" s="87">
        <v>24.216000000000001</v>
      </c>
      <c r="P94" s="87">
        <v>24.347000000000001</v>
      </c>
      <c r="Q94" s="87">
        <v>24.393999999999998</v>
      </c>
      <c r="R94" s="87">
        <v>24.748000000000001</v>
      </c>
      <c r="S94" s="86">
        <v>25.07</v>
      </c>
      <c r="T94" s="88">
        <v>25.08</v>
      </c>
      <c r="U94" s="88">
        <v>25.08</v>
      </c>
      <c r="V94" s="88">
        <v>25.08</v>
      </c>
      <c r="W94" s="88">
        <v>25.08</v>
      </c>
      <c r="X94" s="78" t="s">
        <v>541</v>
      </c>
      <c r="Y94" s="78" t="s">
        <v>267</v>
      </c>
      <c r="Z94" s="78" t="s">
        <v>542</v>
      </c>
    </row>
    <row r="95" spans="1:255" ht="10" hidden="1">
      <c r="A95" s="78" t="s">
        <v>543</v>
      </c>
      <c r="B95" s="78" t="s">
        <v>544</v>
      </c>
      <c r="C95" s="78" t="s">
        <v>267</v>
      </c>
      <c r="D95" s="78" t="s">
        <v>267</v>
      </c>
      <c r="E95" s="87">
        <v>2.617</v>
      </c>
      <c r="F95" s="87">
        <v>6.95</v>
      </c>
      <c r="G95" s="87">
        <v>6.5830000000000002</v>
      </c>
      <c r="H95" s="87">
        <v>4.4249999999999998</v>
      </c>
      <c r="I95" s="87">
        <v>4.0170000000000003</v>
      </c>
      <c r="J95" s="87">
        <v>3.2829999999999999</v>
      </c>
      <c r="K95" s="87">
        <v>3.5670000000000002</v>
      </c>
      <c r="L95" s="87">
        <v>3.6829999999999998</v>
      </c>
      <c r="M95" s="87">
        <v>3.7330000000000001</v>
      </c>
      <c r="N95" s="87">
        <v>3.4670000000000001</v>
      </c>
      <c r="O95" s="87">
        <v>3.25</v>
      </c>
      <c r="P95" s="87">
        <v>3.1749999999999998</v>
      </c>
      <c r="Q95" s="87">
        <v>3.65</v>
      </c>
      <c r="R95" s="87">
        <v>3.7250000000000001</v>
      </c>
      <c r="S95" s="86">
        <v>3.5</v>
      </c>
      <c r="T95" s="88">
        <v>3.2</v>
      </c>
      <c r="U95" s="88">
        <v>3.1</v>
      </c>
      <c r="V95" s="88">
        <v>3</v>
      </c>
      <c r="W95" s="88">
        <v>3</v>
      </c>
      <c r="X95" s="78" t="s">
        <v>545</v>
      </c>
      <c r="Y95" s="78" t="s">
        <v>267</v>
      </c>
      <c r="Z95" s="78" t="s">
        <v>252</v>
      </c>
    </row>
    <row r="96" spans="1:255" ht="10" hidden="1">
      <c r="A96" s="78" t="s">
        <v>546</v>
      </c>
      <c r="B96" s="78" t="s">
        <v>547</v>
      </c>
      <c r="C96" s="78" t="s">
        <v>348</v>
      </c>
      <c r="D96" s="78" t="s">
        <v>267</v>
      </c>
      <c r="E96" s="87">
        <v>11582</v>
      </c>
      <c r="F96" s="87">
        <v>7723.8</v>
      </c>
      <c r="G96" s="87">
        <v>9906.4</v>
      </c>
      <c r="H96" s="87">
        <v>11346.7</v>
      </c>
      <c r="I96" s="87">
        <v>10658.1</v>
      </c>
      <c r="J96" s="87">
        <v>12089.2</v>
      </c>
      <c r="K96" s="87">
        <v>13461</v>
      </c>
      <c r="L96" s="87">
        <v>15000.5</v>
      </c>
      <c r="M96" s="87">
        <v>17477.599999999999</v>
      </c>
      <c r="N96" s="86">
        <v>19530</v>
      </c>
      <c r="O96" s="86">
        <v>21420</v>
      </c>
      <c r="P96" s="86">
        <v>18930</v>
      </c>
      <c r="Q96" s="86">
        <v>16890</v>
      </c>
      <c r="R96" s="86">
        <v>20490</v>
      </c>
      <c r="S96" s="82">
        <v>22840</v>
      </c>
      <c r="T96" s="84">
        <v>25140</v>
      </c>
      <c r="U96" s="84">
        <v>26940</v>
      </c>
      <c r="V96" s="84">
        <v>28470</v>
      </c>
      <c r="W96" s="84">
        <v>30080</v>
      </c>
      <c r="X96" s="78" t="s">
        <v>548</v>
      </c>
      <c r="Y96" s="78" t="s">
        <v>267</v>
      </c>
      <c r="Z96" s="78" t="s">
        <v>549</v>
      </c>
    </row>
    <row r="97" spans="1:255" ht="10" hidden="1">
      <c r="A97" s="78" t="s">
        <v>550</v>
      </c>
      <c r="B97" s="78" t="s">
        <v>551</v>
      </c>
      <c r="C97" s="78" t="s">
        <v>348</v>
      </c>
      <c r="D97" s="78" t="s">
        <v>267</v>
      </c>
      <c r="E97" s="87">
        <v>6207</v>
      </c>
      <c r="F97" s="87">
        <v>3886.5</v>
      </c>
      <c r="G97" s="87">
        <v>5232.2</v>
      </c>
      <c r="H97" s="87">
        <v>6214.5</v>
      </c>
      <c r="I97" s="87">
        <v>5959.7</v>
      </c>
      <c r="J97" s="87">
        <v>6857.4</v>
      </c>
      <c r="K97" s="87">
        <v>7371.7</v>
      </c>
      <c r="L97" s="87">
        <v>7892.4</v>
      </c>
      <c r="M97" s="87">
        <v>9401.5</v>
      </c>
      <c r="N97" s="86">
        <v>10640</v>
      </c>
      <c r="O97" s="86">
        <v>11650</v>
      </c>
      <c r="P97" s="86">
        <v>10360</v>
      </c>
      <c r="Q97" s="86">
        <v>9130</v>
      </c>
      <c r="R97" s="86">
        <v>10750</v>
      </c>
      <c r="S97" s="82">
        <v>12010</v>
      </c>
      <c r="T97" s="84">
        <v>13250</v>
      </c>
      <c r="U97" s="84">
        <v>14250</v>
      </c>
      <c r="V97" s="84">
        <v>15270</v>
      </c>
      <c r="W97" s="84">
        <v>16320</v>
      </c>
      <c r="X97" s="78" t="s">
        <v>552</v>
      </c>
      <c r="Y97" s="78" t="s">
        <v>267</v>
      </c>
      <c r="Z97" s="78" t="s">
        <v>553</v>
      </c>
    </row>
    <row r="98" spans="1:255" ht="10" hidden="1">
      <c r="A98" s="78" t="s">
        <v>554</v>
      </c>
      <c r="B98" s="78" t="s">
        <v>555</v>
      </c>
      <c r="C98" s="78" t="s">
        <v>342</v>
      </c>
      <c r="D98" s="78" t="s">
        <v>267</v>
      </c>
      <c r="E98" s="87">
        <v>15042.7</v>
      </c>
      <c r="F98" s="87">
        <v>14120.7</v>
      </c>
      <c r="G98" s="87">
        <v>15600.8</v>
      </c>
      <c r="H98" s="87">
        <v>17219</v>
      </c>
      <c r="I98" s="83">
        <v>18156.400000000001</v>
      </c>
      <c r="J98" s="87">
        <v>19648.2</v>
      </c>
      <c r="K98" s="87">
        <v>20195.8</v>
      </c>
      <c r="L98" s="87">
        <v>21589.5</v>
      </c>
      <c r="M98" s="87">
        <v>22688.1</v>
      </c>
      <c r="N98" s="82">
        <v>24070</v>
      </c>
      <c r="O98" s="82">
        <v>25900</v>
      </c>
      <c r="P98" s="82">
        <v>26550</v>
      </c>
      <c r="Q98" s="82">
        <v>26780</v>
      </c>
      <c r="R98" s="82">
        <v>28630</v>
      </c>
      <c r="S98" s="82">
        <v>30130</v>
      </c>
      <c r="T98" s="84">
        <v>31830</v>
      </c>
      <c r="U98" s="84">
        <v>33790</v>
      </c>
      <c r="V98" s="84">
        <v>35820</v>
      </c>
      <c r="W98" s="84">
        <v>38080</v>
      </c>
      <c r="X98" s="78" t="s">
        <v>556</v>
      </c>
      <c r="Y98" s="78" t="s">
        <v>267</v>
      </c>
      <c r="Z98" s="78" t="s">
        <v>345</v>
      </c>
    </row>
    <row r="99" spans="1:255" ht="10" hidden="1">
      <c r="A99" s="78" t="s">
        <v>557</v>
      </c>
      <c r="B99" s="78" t="s">
        <v>558</v>
      </c>
      <c r="C99" s="78" t="s">
        <v>267</v>
      </c>
      <c r="D99" s="78" t="s">
        <v>267</v>
      </c>
      <c r="E99" s="86">
        <v>3.7</v>
      </c>
      <c r="F99" s="86">
        <v>-7.5</v>
      </c>
      <c r="G99" s="86">
        <v>8.6999999999999993</v>
      </c>
      <c r="H99" s="87">
        <v>7.5839999999999996</v>
      </c>
      <c r="I99" s="87">
        <v>3.238</v>
      </c>
      <c r="J99" s="87">
        <v>6.4820000000000002</v>
      </c>
      <c r="K99" s="87">
        <v>2.407</v>
      </c>
      <c r="L99" s="87">
        <v>3.9540000000000002</v>
      </c>
      <c r="M99" s="87">
        <v>3.5059999999999998</v>
      </c>
      <c r="N99" s="86">
        <v>4.3</v>
      </c>
      <c r="O99" s="86">
        <v>4.5999999999999996</v>
      </c>
      <c r="P99" s="86">
        <v>1.9</v>
      </c>
      <c r="Q99" s="86">
        <v>0</v>
      </c>
      <c r="R99" s="86">
        <v>5.9</v>
      </c>
      <c r="S99" s="82">
        <v>3.7</v>
      </c>
      <c r="T99" s="84">
        <v>3.6</v>
      </c>
      <c r="U99" s="84">
        <v>3.9</v>
      </c>
      <c r="V99" s="84">
        <v>3.5</v>
      </c>
      <c r="W99" s="84">
        <v>3.9</v>
      </c>
      <c r="X99" s="78" t="s">
        <v>559</v>
      </c>
      <c r="Y99" s="78" t="s">
        <v>267</v>
      </c>
      <c r="Z99" s="78" t="s">
        <v>560</v>
      </c>
    </row>
    <row r="100" spans="1:255" s="85" customFormat="1" ht="10">
      <c r="A100" s="81" t="s">
        <v>561</v>
      </c>
      <c r="B100" s="81" t="s">
        <v>562</v>
      </c>
      <c r="C100" s="81" t="s">
        <v>248</v>
      </c>
      <c r="D100" s="81" t="s">
        <v>249</v>
      </c>
      <c r="E100" s="83">
        <v>322445</v>
      </c>
      <c r="F100" s="83">
        <v>328928</v>
      </c>
      <c r="G100" s="83">
        <v>347613.25</v>
      </c>
      <c r="H100" s="83">
        <v>364121</v>
      </c>
      <c r="I100" s="83">
        <v>383347.25</v>
      </c>
      <c r="J100" s="83">
        <v>408469.25</v>
      </c>
      <c r="K100" s="83">
        <v>442260.25</v>
      </c>
      <c r="L100" s="83">
        <v>477911</v>
      </c>
      <c r="M100" s="83">
        <v>499925</v>
      </c>
      <c r="N100" s="82">
        <v>520986.3</v>
      </c>
      <c r="O100" s="82">
        <v>545517.5</v>
      </c>
      <c r="P100" s="82">
        <v>577870.30000000005</v>
      </c>
      <c r="Q100" s="82">
        <v>602015.80000000005</v>
      </c>
      <c r="R100" s="82">
        <v>641273.30000000005</v>
      </c>
      <c r="S100" s="82">
        <v>687654.5</v>
      </c>
      <c r="T100" s="84">
        <v>732078.4</v>
      </c>
      <c r="U100" s="84">
        <v>778419.5</v>
      </c>
      <c r="V100" s="84">
        <v>828124.8</v>
      </c>
      <c r="W100" s="84">
        <v>879794.5</v>
      </c>
      <c r="X100" s="81" t="s">
        <v>563</v>
      </c>
      <c r="Y100" s="81" t="s">
        <v>267</v>
      </c>
      <c r="Z100" s="81" t="s">
        <v>564</v>
      </c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  <c r="DS100" s="72"/>
      <c r="DT100" s="72"/>
      <c r="DU100" s="72"/>
      <c r="DV100" s="72"/>
      <c r="DW100" s="72"/>
      <c r="DX100" s="72"/>
      <c r="DY100" s="72"/>
      <c r="DZ100" s="72"/>
      <c r="EA100" s="72"/>
      <c r="EB100" s="72"/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N100" s="72"/>
      <c r="EO100" s="72"/>
      <c r="EP100" s="72"/>
      <c r="EQ100" s="72"/>
      <c r="ER100" s="72"/>
      <c r="ES100" s="72"/>
      <c r="ET100" s="72"/>
      <c r="EU100" s="72"/>
      <c r="EV100" s="72"/>
      <c r="EW100" s="72"/>
      <c r="EX100" s="72"/>
      <c r="EY100" s="72"/>
      <c r="EZ100" s="72"/>
      <c r="FA100" s="72"/>
      <c r="FB100" s="72"/>
      <c r="FC100" s="72"/>
      <c r="FD100" s="72"/>
      <c r="FE100" s="72"/>
      <c r="FF100" s="72"/>
      <c r="FG100" s="72"/>
      <c r="FH100" s="72"/>
      <c r="FI100" s="72"/>
      <c r="FJ100" s="72"/>
      <c r="FK100" s="72"/>
      <c r="FL100" s="72"/>
      <c r="FM100" s="72"/>
      <c r="FN100" s="72"/>
      <c r="FO100" s="72"/>
      <c r="FP100" s="72"/>
      <c r="FQ100" s="72"/>
      <c r="FR100" s="72"/>
      <c r="FS100" s="72"/>
      <c r="FT100" s="72"/>
      <c r="FU100" s="72"/>
      <c r="FV100" s="72"/>
      <c r="FW100" s="72"/>
      <c r="FX100" s="72"/>
      <c r="FY100" s="72"/>
      <c r="FZ100" s="72"/>
      <c r="GA100" s="72"/>
      <c r="GB100" s="72"/>
      <c r="GC100" s="72"/>
      <c r="GD100" s="72"/>
      <c r="GE100" s="72"/>
      <c r="GF100" s="72"/>
      <c r="GG100" s="72"/>
      <c r="GH100" s="72"/>
      <c r="GI100" s="72"/>
      <c r="GJ100" s="72"/>
      <c r="GK100" s="72"/>
      <c r="GL100" s="72"/>
      <c r="GM100" s="72"/>
      <c r="GN100" s="72"/>
      <c r="GO100" s="72"/>
      <c r="GP100" s="72"/>
      <c r="GQ100" s="72"/>
      <c r="GR100" s="72"/>
      <c r="GS100" s="72"/>
      <c r="GT100" s="72"/>
      <c r="GU100" s="72"/>
      <c r="GV100" s="72"/>
      <c r="GW100" s="72"/>
      <c r="GX100" s="72"/>
      <c r="GY100" s="72"/>
      <c r="GZ100" s="72"/>
      <c r="HA100" s="72"/>
      <c r="HB100" s="72"/>
      <c r="HC100" s="72"/>
      <c r="HD100" s="72"/>
      <c r="HE100" s="72"/>
      <c r="HF100" s="72"/>
      <c r="HG100" s="72"/>
      <c r="HH100" s="72"/>
      <c r="HI100" s="72"/>
      <c r="HJ100" s="72"/>
      <c r="HK100" s="72"/>
      <c r="HL100" s="72"/>
      <c r="HM100" s="72"/>
      <c r="HN100" s="72"/>
      <c r="HO100" s="72"/>
      <c r="HP100" s="72"/>
      <c r="HQ100" s="72"/>
      <c r="HR100" s="72"/>
      <c r="HS100" s="72"/>
      <c r="HT100" s="72"/>
      <c r="HU100" s="72"/>
      <c r="HV100" s="72"/>
      <c r="HW100" s="72"/>
      <c r="HX100" s="72"/>
      <c r="HY100" s="72"/>
      <c r="HZ100" s="72"/>
      <c r="IA100" s="72"/>
      <c r="IB100" s="72"/>
      <c r="IC100" s="72"/>
      <c r="ID100" s="72"/>
      <c r="IE100" s="72"/>
      <c r="IF100" s="72"/>
      <c r="IG100" s="72"/>
      <c r="IH100" s="72"/>
      <c r="II100" s="72"/>
      <c r="IJ100" s="72"/>
      <c r="IK100" s="72"/>
      <c r="IL100" s="72"/>
      <c r="IM100" s="72"/>
      <c r="IN100" s="72"/>
      <c r="IO100" s="72"/>
      <c r="IP100" s="72"/>
      <c r="IQ100" s="72"/>
      <c r="IR100" s="72"/>
      <c r="IS100" s="72"/>
      <c r="IT100" s="72"/>
      <c r="IU100" s="72"/>
    </row>
    <row r="101" spans="1:255" ht="10" hidden="1">
      <c r="A101" s="78" t="s">
        <v>565</v>
      </c>
      <c r="B101" s="78" t="s">
        <v>566</v>
      </c>
      <c r="C101" s="78" t="s">
        <v>348</v>
      </c>
      <c r="D101" s="78" t="s">
        <v>536</v>
      </c>
      <c r="E101" s="87">
        <v>338960</v>
      </c>
      <c r="F101" s="87">
        <v>234710</v>
      </c>
      <c r="G101" s="87">
        <v>292400</v>
      </c>
      <c r="H101" s="87">
        <v>321960</v>
      </c>
      <c r="I101" s="87">
        <v>296940</v>
      </c>
      <c r="J101" s="87">
        <v>326490</v>
      </c>
      <c r="K101" s="87">
        <v>371140</v>
      </c>
      <c r="L101" s="87">
        <v>417270</v>
      </c>
      <c r="M101" s="87">
        <v>488150</v>
      </c>
      <c r="N101" s="87">
        <v>545650</v>
      </c>
      <c r="O101" s="87">
        <v>587050</v>
      </c>
      <c r="P101" s="87">
        <v>524360</v>
      </c>
      <c r="Q101" s="86">
        <v>471500</v>
      </c>
      <c r="R101" s="86">
        <v>554700</v>
      </c>
      <c r="S101" s="82">
        <v>621000</v>
      </c>
      <c r="T101" s="84">
        <v>687400</v>
      </c>
      <c r="U101" s="84">
        <v>740600</v>
      </c>
      <c r="V101" s="84">
        <v>795500</v>
      </c>
      <c r="W101" s="84">
        <v>850000</v>
      </c>
      <c r="X101" s="78" t="s">
        <v>567</v>
      </c>
      <c r="Y101" s="78" t="s">
        <v>267</v>
      </c>
      <c r="Z101" s="78" t="s">
        <v>568</v>
      </c>
    </row>
    <row r="102" spans="1:255" s="85" customFormat="1" ht="10">
      <c r="A102" s="81" t="s">
        <v>569</v>
      </c>
      <c r="B102" s="81" t="s">
        <v>570</v>
      </c>
      <c r="C102" s="81" t="s">
        <v>267</v>
      </c>
      <c r="D102" s="81" t="s">
        <v>267</v>
      </c>
      <c r="E102" s="83">
        <v>0.95</v>
      </c>
      <c r="F102" s="83">
        <v>-4.9509999999999996</v>
      </c>
      <c r="G102" s="83">
        <v>2.4529999999999998</v>
      </c>
      <c r="H102" s="83">
        <v>-0.32100000000000001</v>
      </c>
      <c r="I102" s="83">
        <v>0.89300000000000002</v>
      </c>
      <c r="J102" s="83">
        <v>3.3959999999999999</v>
      </c>
      <c r="K102" s="83">
        <v>4.9020000000000001</v>
      </c>
      <c r="L102" s="83">
        <v>4.6959999999999997</v>
      </c>
      <c r="M102" s="83">
        <v>2.2949999999999999</v>
      </c>
      <c r="N102" s="82">
        <v>2.6</v>
      </c>
      <c r="O102" s="82">
        <v>2.7</v>
      </c>
      <c r="P102" s="82">
        <v>1.3</v>
      </c>
      <c r="Q102" s="82">
        <v>1.6</v>
      </c>
      <c r="R102" s="82">
        <v>3.8</v>
      </c>
      <c r="S102" s="82">
        <v>3</v>
      </c>
      <c r="T102" s="84">
        <v>3.5</v>
      </c>
      <c r="U102" s="84">
        <v>3.8</v>
      </c>
      <c r="V102" s="84">
        <v>3.6</v>
      </c>
      <c r="W102" s="84">
        <v>3.7</v>
      </c>
      <c r="X102" s="81" t="s">
        <v>571</v>
      </c>
      <c r="Y102" s="81" t="s">
        <v>267</v>
      </c>
      <c r="Z102" s="81" t="s">
        <v>564</v>
      </c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  <c r="DS102" s="72"/>
      <c r="DT102" s="72"/>
      <c r="DU102" s="72"/>
      <c r="DV102" s="72"/>
      <c r="DW102" s="72"/>
      <c r="DX102" s="72"/>
      <c r="DY102" s="72"/>
      <c r="DZ102" s="72"/>
      <c r="EA102" s="72"/>
      <c r="EB102" s="72"/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N102" s="72"/>
      <c r="EO102" s="72"/>
      <c r="EP102" s="72"/>
      <c r="EQ102" s="72"/>
      <c r="ER102" s="72"/>
      <c r="ES102" s="72"/>
      <c r="ET102" s="72"/>
      <c r="EU102" s="72"/>
      <c r="EV102" s="72"/>
      <c r="EW102" s="72"/>
      <c r="EX102" s="72"/>
      <c r="EY102" s="72"/>
      <c r="EZ102" s="72"/>
      <c r="FA102" s="72"/>
      <c r="FB102" s="72"/>
      <c r="FC102" s="72"/>
      <c r="FD102" s="72"/>
      <c r="FE102" s="72"/>
      <c r="FF102" s="72"/>
      <c r="FG102" s="72"/>
      <c r="FH102" s="72"/>
      <c r="FI102" s="72"/>
      <c r="FJ102" s="72"/>
      <c r="FK102" s="72"/>
      <c r="FL102" s="72"/>
      <c r="FM102" s="72"/>
      <c r="FN102" s="72"/>
      <c r="FO102" s="72"/>
      <c r="FP102" s="72"/>
      <c r="FQ102" s="72"/>
      <c r="FR102" s="72"/>
      <c r="FS102" s="72"/>
      <c r="FT102" s="72"/>
      <c r="FU102" s="72"/>
      <c r="FV102" s="72"/>
      <c r="FW102" s="72"/>
      <c r="FX102" s="72"/>
      <c r="FY102" s="72"/>
      <c r="FZ102" s="72"/>
      <c r="GA102" s="72"/>
      <c r="GB102" s="72"/>
      <c r="GC102" s="72"/>
      <c r="GD102" s="72"/>
      <c r="GE102" s="72"/>
      <c r="GF102" s="72"/>
      <c r="GG102" s="72"/>
      <c r="GH102" s="72"/>
      <c r="GI102" s="72"/>
      <c r="GJ102" s="72"/>
      <c r="GK102" s="72"/>
      <c r="GL102" s="72"/>
      <c r="GM102" s="72"/>
      <c r="GN102" s="72"/>
      <c r="GO102" s="72"/>
      <c r="GP102" s="72"/>
      <c r="GQ102" s="72"/>
      <c r="GR102" s="72"/>
      <c r="GS102" s="72"/>
      <c r="GT102" s="72"/>
      <c r="GU102" s="72"/>
      <c r="GV102" s="72"/>
      <c r="GW102" s="72"/>
      <c r="GX102" s="72"/>
      <c r="GY102" s="72"/>
      <c r="GZ102" s="72"/>
      <c r="HA102" s="72"/>
      <c r="HB102" s="72"/>
      <c r="HC102" s="72"/>
      <c r="HD102" s="72"/>
      <c r="HE102" s="72"/>
      <c r="HF102" s="72"/>
      <c r="HG102" s="72"/>
      <c r="HH102" s="72"/>
      <c r="HI102" s="72"/>
      <c r="HJ102" s="72"/>
      <c r="HK102" s="72"/>
      <c r="HL102" s="72"/>
      <c r="HM102" s="72"/>
      <c r="HN102" s="72"/>
      <c r="HO102" s="72"/>
      <c r="HP102" s="72"/>
      <c r="HQ102" s="72"/>
      <c r="HR102" s="72"/>
      <c r="HS102" s="72"/>
      <c r="HT102" s="72"/>
      <c r="HU102" s="72"/>
      <c r="HV102" s="72"/>
      <c r="HW102" s="72"/>
      <c r="HX102" s="72"/>
      <c r="HY102" s="72"/>
      <c r="HZ102" s="72"/>
      <c r="IA102" s="72"/>
      <c r="IB102" s="72"/>
      <c r="IC102" s="72"/>
      <c r="ID102" s="72"/>
      <c r="IE102" s="72"/>
      <c r="IF102" s="72"/>
      <c r="IG102" s="72"/>
      <c r="IH102" s="72"/>
      <c r="II102" s="72"/>
      <c r="IJ102" s="72"/>
      <c r="IK102" s="72"/>
      <c r="IL102" s="72"/>
      <c r="IM102" s="72"/>
      <c r="IN102" s="72"/>
      <c r="IO102" s="72"/>
      <c r="IP102" s="72"/>
      <c r="IQ102" s="72"/>
      <c r="IR102" s="72"/>
      <c r="IS102" s="72"/>
      <c r="IT102" s="72"/>
      <c r="IU102" s="72"/>
    </row>
    <row r="103" spans="1:255" ht="10" hidden="1">
      <c r="A103" s="78" t="s">
        <v>572</v>
      </c>
      <c r="B103" s="78" t="s">
        <v>573</v>
      </c>
      <c r="C103" s="78" t="s">
        <v>348</v>
      </c>
      <c r="D103" s="78" t="s">
        <v>249</v>
      </c>
      <c r="E103" s="87">
        <v>-8.1820000000000004</v>
      </c>
      <c r="F103" s="87">
        <v>42.645000000000003</v>
      </c>
      <c r="G103" s="87">
        <v>24.478999999999999</v>
      </c>
      <c r="H103" s="87">
        <v>14.802</v>
      </c>
      <c r="I103" s="87">
        <v>8.4280000000000008</v>
      </c>
      <c r="J103" s="87">
        <v>7.5419999999999998</v>
      </c>
      <c r="K103" s="87">
        <v>15.584</v>
      </c>
      <c r="L103" s="87">
        <v>32.313000000000002</v>
      </c>
      <c r="M103" s="87">
        <v>18.606999999999999</v>
      </c>
      <c r="N103" s="87">
        <v>14.083</v>
      </c>
      <c r="O103" s="87">
        <v>21.77</v>
      </c>
      <c r="P103" s="87">
        <v>3.1960000000000002</v>
      </c>
      <c r="Q103" s="87">
        <v>32.79</v>
      </c>
      <c r="R103" s="87">
        <v>28.213000000000001</v>
      </c>
      <c r="S103" s="82">
        <v>27.640499999999999</v>
      </c>
      <c r="T103" s="84">
        <v>43.602899999999998</v>
      </c>
      <c r="U103" s="84">
        <v>40.406700000000001</v>
      </c>
      <c r="V103" s="84">
        <v>44.082999999999998</v>
      </c>
      <c r="W103" s="84">
        <v>38.669199999999996</v>
      </c>
      <c r="X103" s="78" t="s">
        <v>574</v>
      </c>
      <c r="Y103" s="78" t="s">
        <v>267</v>
      </c>
      <c r="Z103" s="78" t="s">
        <v>317</v>
      </c>
    </row>
    <row r="104" spans="1:255" ht="10" hidden="1">
      <c r="A104" s="78" t="s">
        <v>575</v>
      </c>
      <c r="B104" s="78" t="s">
        <v>576</v>
      </c>
      <c r="C104" s="78" t="s">
        <v>348</v>
      </c>
      <c r="D104" s="78" t="s">
        <v>249</v>
      </c>
      <c r="E104" s="87">
        <v>138.46199999999999</v>
      </c>
      <c r="F104" s="87">
        <v>134.14699999999999</v>
      </c>
      <c r="G104" s="87">
        <v>144.98400000000001</v>
      </c>
      <c r="H104" s="87">
        <v>178.15199999999999</v>
      </c>
      <c r="I104" s="87">
        <v>151.21</v>
      </c>
      <c r="J104" s="87">
        <v>164.21600000000001</v>
      </c>
      <c r="K104" s="87">
        <v>199.709</v>
      </c>
      <c r="L104" s="87">
        <v>260.24299999999999</v>
      </c>
      <c r="M104" s="87">
        <v>289.89299999999997</v>
      </c>
      <c r="N104" s="87">
        <v>336.57600000000002</v>
      </c>
      <c r="O104" s="87">
        <v>389.64600000000002</v>
      </c>
      <c r="P104" s="87">
        <v>434.69900000000001</v>
      </c>
      <c r="Q104" s="87">
        <v>358.21699999999998</v>
      </c>
      <c r="R104" s="87">
        <v>464.3</v>
      </c>
      <c r="S104" s="82">
        <v>558.75080000000003</v>
      </c>
      <c r="T104" s="84">
        <v>599.6866</v>
      </c>
      <c r="U104" s="84">
        <v>640.73739999999998</v>
      </c>
      <c r="V104" s="84">
        <v>688.60630000000003</v>
      </c>
      <c r="W104" s="84">
        <v>746.84410000000003</v>
      </c>
      <c r="X104" s="78" t="s">
        <v>577</v>
      </c>
      <c r="Y104" s="78" t="s">
        <v>267</v>
      </c>
      <c r="Z104" s="78" t="s">
        <v>578</v>
      </c>
    </row>
    <row r="105" spans="1:255" ht="10" hidden="1">
      <c r="A105" s="78" t="s">
        <v>579</v>
      </c>
      <c r="B105" s="78" t="s">
        <v>580</v>
      </c>
      <c r="C105" s="78" t="s">
        <v>348</v>
      </c>
      <c r="D105" s="78" t="s">
        <v>249</v>
      </c>
      <c r="E105" s="87">
        <v>-142.09899999999999</v>
      </c>
      <c r="F105" s="87">
        <v>-90.679000000000002</v>
      </c>
      <c r="G105" s="87">
        <v>-116.994</v>
      </c>
      <c r="H105" s="87">
        <v>-159.417</v>
      </c>
      <c r="I105" s="87">
        <v>-138.17400000000001</v>
      </c>
      <c r="J105" s="87">
        <v>-148.99299999999999</v>
      </c>
      <c r="K105" s="87">
        <v>-175.67099999999999</v>
      </c>
      <c r="L105" s="87">
        <v>-220.56700000000001</v>
      </c>
      <c r="M105" s="87">
        <v>-257.05200000000002</v>
      </c>
      <c r="N105" s="87">
        <v>-305.07900000000001</v>
      </c>
      <c r="O105" s="87">
        <v>-352.46899999999999</v>
      </c>
      <c r="P105" s="87">
        <v>-429.52499999999998</v>
      </c>
      <c r="Q105" s="87">
        <v>-320.35599999999999</v>
      </c>
      <c r="R105" s="87">
        <v>-422.42500000000001</v>
      </c>
      <c r="S105" s="82">
        <v>-534.49900000000002</v>
      </c>
      <c r="T105" s="84">
        <v>-569.274</v>
      </c>
      <c r="U105" s="84">
        <v>-607.95799999999997</v>
      </c>
      <c r="V105" s="84">
        <v>-660.19</v>
      </c>
      <c r="W105" s="84">
        <v>-729.58100000000002</v>
      </c>
      <c r="X105" s="78" t="s">
        <v>581</v>
      </c>
      <c r="Y105" s="78" t="s">
        <v>267</v>
      </c>
      <c r="Z105" s="78" t="s">
        <v>578</v>
      </c>
    </row>
    <row r="106" spans="1:255" ht="10" hidden="1">
      <c r="A106" s="78" t="s">
        <v>582</v>
      </c>
      <c r="B106" s="78" t="s">
        <v>583</v>
      </c>
      <c r="C106" s="78" t="s">
        <v>348</v>
      </c>
      <c r="D106" s="78" t="s">
        <v>249</v>
      </c>
      <c r="E106" s="87">
        <v>-3.637</v>
      </c>
      <c r="F106" s="87">
        <v>43.468000000000004</v>
      </c>
      <c r="G106" s="87">
        <v>27.99</v>
      </c>
      <c r="H106" s="87">
        <v>18.734000000000002</v>
      </c>
      <c r="I106" s="87">
        <v>13.035</v>
      </c>
      <c r="J106" s="87">
        <v>15.222</v>
      </c>
      <c r="K106" s="87">
        <v>24.039000000000001</v>
      </c>
      <c r="L106" s="87">
        <v>39.674999999999997</v>
      </c>
      <c r="M106" s="87">
        <v>32.840000000000003</v>
      </c>
      <c r="N106" s="87">
        <v>31.498000000000001</v>
      </c>
      <c r="O106" s="87">
        <v>37.177</v>
      </c>
      <c r="P106" s="87">
        <v>5.173</v>
      </c>
      <c r="Q106" s="87">
        <v>37.863</v>
      </c>
      <c r="R106" s="87">
        <v>41.877000000000002</v>
      </c>
      <c r="S106" s="82">
        <v>24.251899999999999</v>
      </c>
      <c r="T106" s="84">
        <v>30.412299999999998</v>
      </c>
      <c r="U106" s="84">
        <v>32.779000000000003</v>
      </c>
      <c r="V106" s="84">
        <v>28.416799999999999</v>
      </c>
      <c r="W106" s="84">
        <v>17.263500000000001</v>
      </c>
      <c r="X106" s="78" t="s">
        <v>584</v>
      </c>
      <c r="Y106" s="78" t="s">
        <v>267</v>
      </c>
      <c r="Z106" s="78" t="s">
        <v>578</v>
      </c>
    </row>
    <row r="107" spans="1:255" ht="10" hidden="1">
      <c r="A107" s="78" t="s">
        <v>585</v>
      </c>
      <c r="B107" s="78" t="s">
        <v>586</v>
      </c>
      <c r="C107" s="78" t="s">
        <v>348</v>
      </c>
      <c r="D107" s="78" t="s">
        <v>249</v>
      </c>
      <c r="E107" s="87">
        <v>26.972999999999999</v>
      </c>
      <c r="F107" s="87">
        <v>26.12</v>
      </c>
      <c r="G107" s="87">
        <v>27.016999999999999</v>
      </c>
      <c r="H107" s="87">
        <v>31.439</v>
      </c>
      <c r="I107" s="87">
        <v>30.161999999999999</v>
      </c>
      <c r="J107" s="87">
        <v>30.530999999999999</v>
      </c>
      <c r="K107" s="87">
        <v>34.959000000000003</v>
      </c>
      <c r="L107" s="87">
        <v>44.442</v>
      </c>
      <c r="M107" s="87">
        <v>49.725999999999999</v>
      </c>
      <c r="N107" s="87">
        <v>56.761000000000003</v>
      </c>
      <c r="O107" s="87">
        <v>72.918999999999997</v>
      </c>
      <c r="P107" s="87">
        <v>90.587000000000003</v>
      </c>
      <c r="Q107" s="87">
        <v>73.554000000000002</v>
      </c>
      <c r="R107" s="87">
        <v>82.706000000000003</v>
      </c>
      <c r="S107" s="82">
        <v>95.911000000000001</v>
      </c>
      <c r="T107" s="84">
        <v>108.824</v>
      </c>
      <c r="U107" s="84">
        <v>116.777</v>
      </c>
      <c r="V107" s="84">
        <v>129.20500000000001</v>
      </c>
      <c r="W107" s="84">
        <v>136.47999999999999</v>
      </c>
      <c r="X107" s="78" t="s">
        <v>587</v>
      </c>
      <c r="Y107" s="78" t="s">
        <v>267</v>
      </c>
      <c r="Z107" s="78" t="s">
        <v>588</v>
      </c>
    </row>
    <row r="108" spans="1:255" ht="10" hidden="1">
      <c r="A108" s="78" t="s">
        <v>589</v>
      </c>
      <c r="B108" s="78" t="s">
        <v>590</v>
      </c>
      <c r="C108" s="78" t="s">
        <v>348</v>
      </c>
      <c r="D108" s="78" t="s">
        <v>249</v>
      </c>
      <c r="E108" s="87">
        <v>-29.629000000000001</v>
      </c>
      <c r="F108" s="87">
        <v>-24.646999999999998</v>
      </c>
      <c r="G108" s="87">
        <v>-27.271999999999998</v>
      </c>
      <c r="H108" s="87">
        <v>-33.552</v>
      </c>
      <c r="I108" s="87">
        <v>-33.137999999999998</v>
      </c>
      <c r="J108" s="87">
        <v>-36.993000000000002</v>
      </c>
      <c r="K108" s="87">
        <v>-40.762</v>
      </c>
      <c r="L108" s="87">
        <v>-50.414000000000001</v>
      </c>
      <c r="M108" s="87">
        <v>-59.66</v>
      </c>
      <c r="N108" s="87">
        <v>-70.156000000000006</v>
      </c>
      <c r="O108" s="87">
        <v>-84.933999999999997</v>
      </c>
      <c r="P108" s="87">
        <v>-96.325999999999993</v>
      </c>
      <c r="Q108" s="87">
        <v>-80.19</v>
      </c>
      <c r="R108" s="87">
        <v>-93.906999999999996</v>
      </c>
      <c r="S108" s="82">
        <v>-102.093</v>
      </c>
      <c r="T108" s="84">
        <v>-106.89700000000001</v>
      </c>
      <c r="U108" s="84">
        <v>-120.755</v>
      </c>
      <c r="V108" s="84">
        <v>-127.17700000000001</v>
      </c>
      <c r="W108" s="84">
        <v>-133.80799999999999</v>
      </c>
      <c r="X108" s="78" t="s">
        <v>591</v>
      </c>
      <c r="Y108" s="78" t="s">
        <v>267</v>
      </c>
      <c r="Z108" s="78" t="s">
        <v>588</v>
      </c>
    </row>
    <row r="109" spans="1:255" ht="10" hidden="1">
      <c r="A109" s="78" t="s">
        <v>592</v>
      </c>
      <c r="B109" s="78" t="s">
        <v>593</v>
      </c>
      <c r="C109" s="78" t="s">
        <v>348</v>
      </c>
      <c r="D109" s="78" t="s">
        <v>249</v>
      </c>
      <c r="E109" s="87">
        <v>-2.6560000000000001</v>
      </c>
      <c r="F109" s="87">
        <v>1.4730000000000001</v>
      </c>
      <c r="G109" s="87">
        <v>-0.255</v>
      </c>
      <c r="H109" s="87">
        <v>-2.113</v>
      </c>
      <c r="I109" s="87">
        <v>-2.976</v>
      </c>
      <c r="J109" s="87">
        <v>-6.4619999999999997</v>
      </c>
      <c r="K109" s="87">
        <v>-5.8029999999999999</v>
      </c>
      <c r="L109" s="87">
        <v>-5.9720000000000004</v>
      </c>
      <c r="M109" s="87">
        <v>-9.9339999999999993</v>
      </c>
      <c r="N109" s="87">
        <v>-13.395</v>
      </c>
      <c r="O109" s="87">
        <v>-12.015000000000001</v>
      </c>
      <c r="P109" s="87">
        <v>-5.7389999999999999</v>
      </c>
      <c r="Q109" s="87">
        <v>-6.6360000000000001</v>
      </c>
      <c r="R109" s="87">
        <v>-11.201000000000001</v>
      </c>
      <c r="S109" s="82">
        <v>-6.1821000000000002</v>
      </c>
      <c r="T109" s="84">
        <v>1.927</v>
      </c>
      <c r="U109" s="84">
        <v>-3.9780000000000002</v>
      </c>
      <c r="V109" s="84">
        <v>2.0278</v>
      </c>
      <c r="W109" s="84">
        <v>2.6724999999999999</v>
      </c>
      <c r="X109" s="78" t="s">
        <v>594</v>
      </c>
      <c r="Y109" s="78" t="s">
        <v>267</v>
      </c>
      <c r="Z109" s="78" t="s">
        <v>578</v>
      </c>
    </row>
    <row r="110" spans="1:255" ht="10" hidden="1">
      <c r="A110" s="78" t="s">
        <v>595</v>
      </c>
      <c r="B110" s="78" t="s">
        <v>596</v>
      </c>
      <c r="C110" s="78" t="s">
        <v>348</v>
      </c>
      <c r="D110" s="78" t="s">
        <v>249</v>
      </c>
      <c r="E110" s="87">
        <v>3.82</v>
      </c>
      <c r="F110" s="87">
        <v>2.6960000000000002</v>
      </c>
      <c r="G110" s="87">
        <v>3.2789999999999999</v>
      </c>
      <c r="H110" s="87">
        <v>6.4130000000000003</v>
      </c>
      <c r="I110" s="87">
        <v>6.601</v>
      </c>
      <c r="J110" s="87">
        <v>6.8659999999999997</v>
      </c>
      <c r="K110" s="87">
        <v>7.1029999999999998</v>
      </c>
      <c r="L110" s="87">
        <v>9.3689999999999998</v>
      </c>
      <c r="M110" s="87">
        <v>10.176</v>
      </c>
      <c r="N110" s="87">
        <v>14.087999999999999</v>
      </c>
      <c r="O110" s="87">
        <v>18.914999999999999</v>
      </c>
      <c r="P110" s="87">
        <v>21.652000000000001</v>
      </c>
      <c r="Q110" s="87">
        <v>14.515000000000001</v>
      </c>
      <c r="R110" s="87">
        <v>15.88</v>
      </c>
      <c r="S110" s="82">
        <v>15.597899999999999</v>
      </c>
      <c r="T110" s="84">
        <v>16.412800000000001</v>
      </c>
      <c r="U110" s="84">
        <v>18.392600000000002</v>
      </c>
      <c r="V110" s="84">
        <v>20.1739</v>
      </c>
      <c r="W110" s="84">
        <v>23.932700000000001</v>
      </c>
      <c r="X110" s="78" t="s">
        <v>597</v>
      </c>
      <c r="Y110" s="78" t="s">
        <v>267</v>
      </c>
      <c r="Z110" s="78" t="s">
        <v>588</v>
      </c>
    </row>
    <row r="111" spans="1:255" ht="10" hidden="1">
      <c r="A111" s="78" t="s">
        <v>598</v>
      </c>
      <c r="B111" s="78" t="s">
        <v>599</v>
      </c>
      <c r="C111" s="78" t="s">
        <v>348</v>
      </c>
      <c r="D111" s="78" t="s">
        <v>249</v>
      </c>
      <c r="E111" s="87">
        <v>-6.3339999999999996</v>
      </c>
      <c r="F111" s="87">
        <v>-8.3130000000000006</v>
      </c>
      <c r="G111" s="87">
        <v>-8.4049999999999994</v>
      </c>
      <c r="H111" s="87">
        <v>-8.7970000000000006</v>
      </c>
      <c r="I111" s="87">
        <v>-7.8479999999999999</v>
      </c>
      <c r="J111" s="87">
        <v>-6.4669999999999996</v>
      </c>
      <c r="K111" s="87">
        <v>-6.85</v>
      </c>
      <c r="L111" s="87">
        <v>-8.3279999999999994</v>
      </c>
      <c r="M111" s="87">
        <v>-11.994999999999999</v>
      </c>
      <c r="N111" s="87">
        <v>-14.013999999999999</v>
      </c>
      <c r="O111" s="87">
        <v>-18.78</v>
      </c>
      <c r="P111" s="87">
        <v>-17.218</v>
      </c>
      <c r="Q111" s="87">
        <v>-12.237</v>
      </c>
      <c r="R111" s="87">
        <v>-15.111000000000001</v>
      </c>
      <c r="S111" s="82">
        <v>-2.4161000000000001</v>
      </c>
      <c r="T111" s="84">
        <v>-1.1627000000000001</v>
      </c>
      <c r="U111" s="84">
        <v>-2.5055000000000001</v>
      </c>
      <c r="V111" s="84">
        <v>-2.0024000000000002</v>
      </c>
      <c r="W111" s="84">
        <v>-0.40920000000000001</v>
      </c>
      <c r="X111" s="78" t="s">
        <v>600</v>
      </c>
      <c r="Y111" s="78" t="s">
        <v>267</v>
      </c>
      <c r="Z111" s="78" t="s">
        <v>588</v>
      </c>
    </row>
    <row r="112" spans="1:255" ht="10" hidden="1">
      <c r="A112" s="78" t="s">
        <v>601</v>
      </c>
      <c r="B112" s="78" t="s">
        <v>602</v>
      </c>
      <c r="C112" s="78" t="s">
        <v>348</v>
      </c>
      <c r="D112" s="78" t="s">
        <v>249</v>
      </c>
      <c r="E112" s="87">
        <v>-2.5139999999999998</v>
      </c>
      <c r="F112" s="87">
        <v>-5.617</v>
      </c>
      <c r="G112" s="87">
        <v>-5.1260000000000003</v>
      </c>
      <c r="H112" s="87">
        <v>-2.3839999999999999</v>
      </c>
      <c r="I112" s="87">
        <v>-1.2470000000000001</v>
      </c>
      <c r="J112" s="87">
        <v>0.39900000000000002</v>
      </c>
      <c r="K112" s="87">
        <v>0.253</v>
      </c>
      <c r="L112" s="87">
        <v>1.0409999999999999</v>
      </c>
      <c r="M112" s="87">
        <v>-1.819</v>
      </c>
      <c r="N112" s="87">
        <v>7.3999999999999996E-2</v>
      </c>
      <c r="O112" s="87">
        <v>0.13500000000000001</v>
      </c>
      <c r="P112" s="87">
        <v>4.4340000000000002</v>
      </c>
      <c r="Q112" s="87">
        <v>2.278</v>
      </c>
      <c r="R112" s="87">
        <v>0.76900000000000002</v>
      </c>
      <c r="S112" s="82">
        <v>13.181900000000001</v>
      </c>
      <c r="T112" s="84">
        <v>15.2501</v>
      </c>
      <c r="U112" s="84">
        <v>15.8871</v>
      </c>
      <c r="V112" s="84">
        <v>18.171399999999998</v>
      </c>
      <c r="W112" s="84">
        <v>23.523499999999999</v>
      </c>
      <c r="X112" s="78" t="s">
        <v>603</v>
      </c>
      <c r="Y112" s="78" t="s">
        <v>267</v>
      </c>
      <c r="Z112" s="78" t="s">
        <v>588</v>
      </c>
    </row>
    <row r="113" spans="1:26" ht="10" hidden="1">
      <c r="A113" s="78" t="s">
        <v>604</v>
      </c>
      <c r="B113" s="78" t="s">
        <v>605</v>
      </c>
      <c r="C113" s="78" t="s">
        <v>348</v>
      </c>
      <c r="D113" s="78" t="s">
        <v>249</v>
      </c>
      <c r="E113" s="87">
        <v>5.2889999999999997</v>
      </c>
      <c r="F113" s="87">
        <v>6.7359999999999998</v>
      </c>
      <c r="G113" s="87">
        <v>6.4219999999999997</v>
      </c>
      <c r="H113" s="87">
        <v>6.5010000000000003</v>
      </c>
      <c r="I113" s="87">
        <v>6.6870000000000003</v>
      </c>
      <c r="J113" s="87">
        <v>7.3140000000000001</v>
      </c>
      <c r="K113" s="87">
        <v>7.859</v>
      </c>
      <c r="L113" s="87">
        <v>9.1509999999999998</v>
      </c>
      <c r="M113" s="87">
        <v>10.005000000000001</v>
      </c>
      <c r="N113" s="87">
        <v>9.5869999999999997</v>
      </c>
      <c r="O113" s="87">
        <v>11.159000000000001</v>
      </c>
      <c r="P113" s="87">
        <v>14.07</v>
      </c>
      <c r="Q113" s="87">
        <v>12.701000000000001</v>
      </c>
      <c r="R113" s="87">
        <v>13.396000000000001</v>
      </c>
      <c r="S113" s="82">
        <v>14.972200000000001</v>
      </c>
      <c r="T113" s="84">
        <v>16.528500000000001</v>
      </c>
      <c r="U113" s="84">
        <v>17.751000000000001</v>
      </c>
      <c r="V113" s="84">
        <v>18.7943</v>
      </c>
      <c r="W113" s="84">
        <v>19.861000000000001</v>
      </c>
      <c r="X113" s="78" t="s">
        <v>606</v>
      </c>
      <c r="Y113" s="78" t="s">
        <v>267</v>
      </c>
      <c r="Z113" s="78" t="s">
        <v>578</v>
      </c>
    </row>
    <row r="114" spans="1:26" ht="10" hidden="1">
      <c r="A114" s="78" t="s">
        <v>607</v>
      </c>
      <c r="B114" s="78" t="s">
        <v>608</v>
      </c>
      <c r="C114" s="78" t="s">
        <v>348</v>
      </c>
      <c r="D114" s="78" t="s">
        <v>249</v>
      </c>
      <c r="E114" s="87">
        <v>-4.665</v>
      </c>
      <c r="F114" s="87">
        <v>-3.4159999999999999</v>
      </c>
      <c r="G114" s="87">
        <v>-4.5529999999999999</v>
      </c>
      <c r="H114" s="87">
        <v>-5.9329999999999998</v>
      </c>
      <c r="I114" s="87">
        <v>-7.0709999999999997</v>
      </c>
      <c r="J114" s="87">
        <v>-8.9329999999999998</v>
      </c>
      <c r="K114" s="87">
        <v>-10.763999999999999</v>
      </c>
      <c r="L114" s="87">
        <v>-11.583</v>
      </c>
      <c r="M114" s="87">
        <v>-12.487</v>
      </c>
      <c r="N114" s="87">
        <v>-13.68</v>
      </c>
      <c r="O114" s="87">
        <v>-14.686</v>
      </c>
      <c r="P114" s="87">
        <v>-14.743</v>
      </c>
      <c r="Q114" s="87">
        <v>-13.412000000000001</v>
      </c>
      <c r="R114" s="87">
        <v>-16.626999999999999</v>
      </c>
      <c r="S114" s="82">
        <v>-18.583300000000001</v>
      </c>
      <c r="T114" s="84">
        <v>-20.515000000000001</v>
      </c>
      <c r="U114" s="84">
        <v>-22.032299999999999</v>
      </c>
      <c r="V114" s="84">
        <v>-23.327400000000001</v>
      </c>
      <c r="W114" s="84">
        <v>-24.651399999999999</v>
      </c>
      <c r="X114" s="78" t="s">
        <v>609</v>
      </c>
      <c r="Y114" s="78" t="s">
        <v>267</v>
      </c>
      <c r="Z114" s="78" t="s">
        <v>588</v>
      </c>
    </row>
    <row r="115" spans="1:26" ht="10" hidden="1">
      <c r="A115" s="78" t="s">
        <v>610</v>
      </c>
      <c r="B115" s="78" t="s">
        <v>611</v>
      </c>
      <c r="C115" s="78" t="s">
        <v>348</v>
      </c>
      <c r="D115" s="78" t="s">
        <v>249</v>
      </c>
      <c r="E115" s="87">
        <v>0.624</v>
      </c>
      <c r="F115" s="87">
        <v>3.32</v>
      </c>
      <c r="G115" s="87">
        <v>1.869</v>
      </c>
      <c r="H115" s="87">
        <v>0.56799999999999995</v>
      </c>
      <c r="I115" s="87">
        <v>-0.38400000000000001</v>
      </c>
      <c r="J115" s="87">
        <v>-1.619</v>
      </c>
      <c r="K115" s="87">
        <v>-2.9049999999999998</v>
      </c>
      <c r="L115" s="87">
        <v>-2.4319999999999999</v>
      </c>
      <c r="M115" s="87">
        <v>-2.4820000000000002</v>
      </c>
      <c r="N115" s="87">
        <v>-4.093</v>
      </c>
      <c r="O115" s="87">
        <v>-3.5270000000000001</v>
      </c>
      <c r="P115" s="87">
        <v>-0.67300000000000004</v>
      </c>
      <c r="Q115" s="87">
        <v>-0.71099999999999997</v>
      </c>
      <c r="R115" s="87">
        <v>-3.2309999999999999</v>
      </c>
      <c r="S115" s="82">
        <v>-3.6112000000000002</v>
      </c>
      <c r="T115" s="84">
        <v>-3.9864999999999999</v>
      </c>
      <c r="U115" s="84">
        <v>-4.2813999999999997</v>
      </c>
      <c r="V115" s="84">
        <v>-4.5330000000000004</v>
      </c>
      <c r="W115" s="84">
        <v>-4.7903000000000002</v>
      </c>
      <c r="X115" s="78" t="s">
        <v>612</v>
      </c>
      <c r="Y115" s="78" t="s">
        <v>267</v>
      </c>
      <c r="Z115" s="78" t="s">
        <v>613</v>
      </c>
    </row>
    <row r="116" spans="1:26" ht="10" hidden="1">
      <c r="A116" s="78" t="s">
        <v>614</v>
      </c>
      <c r="B116" s="78" t="s">
        <v>615</v>
      </c>
      <c r="C116" s="78" t="s">
        <v>348</v>
      </c>
      <c r="D116" s="78" t="s">
        <v>249</v>
      </c>
      <c r="E116" s="87">
        <v>2.8450000000000002</v>
      </c>
      <c r="F116" s="87">
        <v>5.4119999999999999</v>
      </c>
      <c r="G116" s="87">
        <v>9.3330000000000002</v>
      </c>
      <c r="H116" s="87">
        <v>9.2829999999999995</v>
      </c>
      <c r="I116" s="87">
        <v>3.5270000000000001</v>
      </c>
      <c r="J116" s="87">
        <v>2.3919999999999999</v>
      </c>
      <c r="K116" s="87">
        <v>3.5259999999999998</v>
      </c>
      <c r="L116" s="87">
        <v>9.2469999999999999</v>
      </c>
      <c r="M116" s="87">
        <v>6.3090000000000002</v>
      </c>
      <c r="N116" s="87">
        <v>3.5870000000000002</v>
      </c>
      <c r="O116" s="87">
        <v>1.784</v>
      </c>
      <c r="P116" s="87">
        <v>3.3109999999999999</v>
      </c>
      <c r="Q116" s="87">
        <v>2.2490000000000001</v>
      </c>
      <c r="R116" s="87">
        <v>-0.15</v>
      </c>
      <c r="S116" s="82">
        <v>3.8149999999999999</v>
      </c>
      <c r="T116" s="84">
        <v>4.1580000000000004</v>
      </c>
      <c r="U116" s="84">
        <v>5.3810000000000002</v>
      </c>
      <c r="V116" s="84">
        <v>6.9909999999999997</v>
      </c>
      <c r="W116" s="84">
        <v>8.5169999999999995</v>
      </c>
      <c r="X116" s="78" t="s">
        <v>616</v>
      </c>
      <c r="Y116" s="78" t="s">
        <v>267</v>
      </c>
      <c r="Z116" s="78" t="s">
        <v>578</v>
      </c>
    </row>
    <row r="117" spans="1:26" ht="10" hidden="1">
      <c r="A117" s="78" t="s">
        <v>617</v>
      </c>
      <c r="B117" s="78" t="s">
        <v>618</v>
      </c>
      <c r="C117" s="78" t="s">
        <v>348</v>
      </c>
      <c r="D117" s="78" t="s">
        <v>249</v>
      </c>
      <c r="E117" s="87">
        <v>-4.45</v>
      </c>
      <c r="F117" s="87">
        <v>-4.2300000000000004</v>
      </c>
      <c r="G117" s="87">
        <v>-3.7949999999999999</v>
      </c>
      <c r="H117" s="87">
        <v>-4.4820000000000002</v>
      </c>
      <c r="I117" s="87">
        <v>-2.1970000000000001</v>
      </c>
      <c r="J117" s="87">
        <v>-3.024</v>
      </c>
      <c r="K117" s="87">
        <v>-4.1360000000000001</v>
      </c>
      <c r="L117" s="87">
        <v>-5.6509999999999998</v>
      </c>
      <c r="M117" s="87">
        <v>-6.3659999999999997</v>
      </c>
      <c r="N117" s="87">
        <v>-11.175000000000001</v>
      </c>
      <c r="O117" s="87">
        <v>-19.719000000000001</v>
      </c>
      <c r="P117" s="87">
        <v>-20.251000000000001</v>
      </c>
      <c r="Q117" s="87">
        <v>-17.196999999999999</v>
      </c>
      <c r="R117" s="87">
        <v>-19.23</v>
      </c>
      <c r="S117" s="82">
        <v>-20.318999999999999</v>
      </c>
      <c r="T117" s="84">
        <v>-22.977</v>
      </c>
      <c r="U117" s="84">
        <v>-24.89</v>
      </c>
      <c r="V117" s="84">
        <v>-26.885000000000002</v>
      </c>
      <c r="W117" s="84">
        <v>-30.988</v>
      </c>
      <c r="X117" s="78" t="s">
        <v>619</v>
      </c>
      <c r="Y117" s="78" t="s">
        <v>267</v>
      </c>
      <c r="Z117" s="78" t="s">
        <v>578</v>
      </c>
    </row>
    <row r="118" spans="1:26" ht="10" hidden="1">
      <c r="A118" s="78" t="s">
        <v>620</v>
      </c>
      <c r="B118" s="78" t="s">
        <v>621</v>
      </c>
      <c r="C118" s="78" t="s">
        <v>348</v>
      </c>
      <c r="D118" s="78" t="s">
        <v>249</v>
      </c>
      <c r="E118" s="87">
        <v>-1.605</v>
      </c>
      <c r="F118" s="87">
        <v>1.1819999999999999</v>
      </c>
      <c r="G118" s="87">
        <v>5.5380000000000003</v>
      </c>
      <c r="H118" s="87">
        <v>4.8010000000000002</v>
      </c>
      <c r="I118" s="87">
        <v>1.33</v>
      </c>
      <c r="J118" s="87">
        <v>-0.63200000000000001</v>
      </c>
      <c r="K118" s="87">
        <v>-0.61</v>
      </c>
      <c r="L118" s="87">
        <v>3.5960000000000001</v>
      </c>
      <c r="M118" s="87">
        <v>-5.7000000000000002E-2</v>
      </c>
      <c r="N118" s="87">
        <v>-7.5880000000000001</v>
      </c>
      <c r="O118" s="87">
        <v>-17.934999999999999</v>
      </c>
      <c r="P118" s="87">
        <v>-16.940000000000001</v>
      </c>
      <c r="Q118" s="87">
        <v>-14.948</v>
      </c>
      <c r="R118" s="87">
        <v>-19.38</v>
      </c>
      <c r="S118" s="82">
        <v>-16.504000000000001</v>
      </c>
      <c r="T118" s="84">
        <v>-18.818999999999999</v>
      </c>
      <c r="U118" s="84">
        <v>-19.507999999999999</v>
      </c>
      <c r="V118" s="84">
        <v>-19.893999999999998</v>
      </c>
      <c r="W118" s="84">
        <v>-22.471</v>
      </c>
      <c r="X118" s="78" t="s">
        <v>622</v>
      </c>
      <c r="Y118" s="78" t="s">
        <v>267</v>
      </c>
      <c r="Z118" s="78" t="s">
        <v>623</v>
      </c>
    </row>
    <row r="119" spans="1:26" ht="10" hidden="1">
      <c r="A119" s="78" t="s">
        <v>624</v>
      </c>
      <c r="B119" s="78" t="s">
        <v>625</v>
      </c>
      <c r="C119" s="78" t="s">
        <v>348</v>
      </c>
      <c r="D119" s="78" t="s">
        <v>249</v>
      </c>
      <c r="E119" s="87" t="s">
        <v>265</v>
      </c>
      <c r="F119" s="87" t="s">
        <v>265</v>
      </c>
      <c r="G119" s="87" t="s">
        <v>265</v>
      </c>
      <c r="H119" s="87" t="s">
        <v>265</v>
      </c>
      <c r="I119" s="87">
        <v>53.207999999999998</v>
      </c>
      <c r="J119" s="87">
        <v>62.658000000000001</v>
      </c>
      <c r="K119" s="87">
        <v>66.069999999999993</v>
      </c>
      <c r="L119" s="87">
        <v>87.766000000000005</v>
      </c>
      <c r="M119" s="87">
        <v>104.879</v>
      </c>
      <c r="N119" s="87">
        <v>115.773</v>
      </c>
      <c r="O119" s="87">
        <v>121.95699999999999</v>
      </c>
      <c r="P119" s="87">
        <v>94.679000000000002</v>
      </c>
      <c r="Q119" s="87">
        <v>117.732</v>
      </c>
      <c r="R119" s="87">
        <v>127.047</v>
      </c>
      <c r="S119" s="82">
        <v>130.86199999999999</v>
      </c>
      <c r="T119" s="84">
        <v>135.02000000000001</v>
      </c>
      <c r="U119" s="84">
        <v>140.40100000000001</v>
      </c>
      <c r="V119" s="84">
        <v>147.392</v>
      </c>
      <c r="W119" s="84">
        <v>155.90899999999999</v>
      </c>
      <c r="X119" s="78" t="s">
        <v>626</v>
      </c>
      <c r="Y119" s="78" t="s">
        <v>267</v>
      </c>
      <c r="Z119" s="78" t="s">
        <v>317</v>
      </c>
    </row>
    <row r="120" spans="1:26" ht="10" hidden="1">
      <c r="A120" s="78" t="s">
        <v>627</v>
      </c>
      <c r="B120" s="78" t="s">
        <v>628</v>
      </c>
      <c r="C120" s="78" t="s">
        <v>267</v>
      </c>
      <c r="D120" s="78" t="s">
        <v>267</v>
      </c>
      <c r="E120" s="87">
        <v>-1.5369999999999999</v>
      </c>
      <c r="F120" s="87">
        <v>11.928000000000001</v>
      </c>
      <c r="G120" s="87">
        <v>5.3010000000000002</v>
      </c>
      <c r="H120" s="87">
        <v>2.7749999999999999</v>
      </c>
      <c r="I120" s="87">
        <v>1.67</v>
      </c>
      <c r="J120" s="87">
        <v>1.31</v>
      </c>
      <c r="K120" s="87">
        <v>2.4209999999999998</v>
      </c>
      <c r="L120" s="87">
        <v>4.476</v>
      </c>
      <c r="M120" s="87">
        <v>2.202</v>
      </c>
      <c r="N120" s="87">
        <v>1.48</v>
      </c>
      <c r="O120" s="87">
        <v>2.0750000000000002</v>
      </c>
      <c r="P120" s="87">
        <v>0.34300000000000003</v>
      </c>
      <c r="Q120" s="87">
        <v>3.931</v>
      </c>
      <c r="R120" s="87">
        <v>2.7810000000000001</v>
      </c>
      <c r="S120" s="82">
        <v>2.4</v>
      </c>
      <c r="T120" s="84">
        <v>3.5</v>
      </c>
      <c r="U120" s="84">
        <v>3</v>
      </c>
      <c r="V120" s="84">
        <v>3.1</v>
      </c>
      <c r="W120" s="84">
        <v>2.6</v>
      </c>
      <c r="X120" s="78" t="s">
        <v>629</v>
      </c>
      <c r="Y120" s="78" t="s">
        <v>267</v>
      </c>
      <c r="Z120" s="78" t="s">
        <v>339</v>
      </c>
    </row>
    <row r="121" spans="1:26" ht="10" hidden="1">
      <c r="A121" s="78" t="s">
        <v>630</v>
      </c>
      <c r="B121" s="78" t="s">
        <v>631</v>
      </c>
      <c r="C121" s="78" t="s">
        <v>267</v>
      </c>
      <c r="D121" s="78" t="s">
        <v>267</v>
      </c>
      <c r="E121" s="87">
        <v>0.53500000000000003</v>
      </c>
      <c r="F121" s="87">
        <v>1.514</v>
      </c>
      <c r="G121" s="87">
        <v>2.0209999999999999</v>
      </c>
      <c r="H121" s="87">
        <v>1.74</v>
      </c>
      <c r="I121" s="87">
        <v>0.69899999999999995</v>
      </c>
      <c r="J121" s="87">
        <v>0.41499999999999998</v>
      </c>
      <c r="K121" s="87">
        <v>0.54800000000000004</v>
      </c>
      <c r="L121" s="87">
        <v>1.2809999999999999</v>
      </c>
      <c r="M121" s="87">
        <v>0.747</v>
      </c>
      <c r="N121" s="87">
        <v>0.377</v>
      </c>
      <c r="O121" s="87">
        <v>0.17</v>
      </c>
      <c r="P121" s="87">
        <v>0.35499999999999998</v>
      </c>
      <c r="Q121" s="87">
        <v>0.27</v>
      </c>
      <c r="R121" s="87">
        <v>-1.4999999999999999E-2</v>
      </c>
      <c r="S121" s="86">
        <v>0.3</v>
      </c>
      <c r="T121" s="88">
        <v>0.3</v>
      </c>
      <c r="U121" s="88">
        <v>0.4</v>
      </c>
      <c r="V121" s="88">
        <v>0.5</v>
      </c>
      <c r="W121" s="88">
        <v>0.6</v>
      </c>
      <c r="X121" s="78" t="s">
        <v>632</v>
      </c>
      <c r="Y121" s="78" t="s">
        <v>267</v>
      </c>
      <c r="Z121" s="78" t="s">
        <v>339</v>
      </c>
    </row>
    <row r="122" spans="1:26" ht="10" hidden="1">
      <c r="A122" s="78" t="s">
        <v>633</v>
      </c>
      <c r="B122" s="78" t="s">
        <v>634</v>
      </c>
      <c r="C122" s="78" t="s">
        <v>267</v>
      </c>
      <c r="D122" s="78" t="s">
        <v>267</v>
      </c>
      <c r="E122" s="87">
        <v>1.544</v>
      </c>
      <c r="F122" s="87">
        <v>5.1609999999999996</v>
      </c>
      <c r="G122" s="87">
        <v>7.0540000000000003</v>
      </c>
      <c r="H122" s="87">
        <v>5.8079999999999998</v>
      </c>
      <c r="I122" s="87">
        <v>2.4289999999999998</v>
      </c>
      <c r="J122" s="87">
        <v>1.452</v>
      </c>
      <c r="K122" s="87">
        <v>1.867</v>
      </c>
      <c r="L122" s="87">
        <v>4.3860000000000001</v>
      </c>
      <c r="M122" s="87">
        <v>2.5880000000000001</v>
      </c>
      <c r="N122" s="87">
        <v>1.3140000000000001</v>
      </c>
      <c r="O122" s="87">
        <v>0.59599999999999997</v>
      </c>
      <c r="P122" s="87">
        <v>1.2130000000000001</v>
      </c>
      <c r="Q122" s="87">
        <v>0.92700000000000005</v>
      </c>
      <c r="R122" s="87">
        <v>-5.1999999999999998E-2</v>
      </c>
      <c r="S122" s="86">
        <v>1.3</v>
      </c>
      <c r="T122" s="88">
        <v>1.3</v>
      </c>
      <c r="U122" s="88">
        <v>1.5</v>
      </c>
      <c r="V122" s="88">
        <v>1.9</v>
      </c>
      <c r="W122" s="88">
        <v>2.2000000000000002</v>
      </c>
      <c r="X122" s="78" t="s">
        <v>635</v>
      </c>
      <c r="Y122" s="78" t="s">
        <v>267</v>
      </c>
      <c r="Z122" s="78" t="s">
        <v>339</v>
      </c>
    </row>
    <row r="123" spans="1:26" ht="10" hidden="1">
      <c r="A123" s="78" t="s">
        <v>636</v>
      </c>
      <c r="B123" s="78" t="s">
        <v>637</v>
      </c>
      <c r="C123" s="78" t="s">
        <v>348</v>
      </c>
      <c r="D123" s="78" t="s">
        <v>267</v>
      </c>
      <c r="E123" s="87" t="s">
        <v>265</v>
      </c>
      <c r="F123" s="87" t="s">
        <v>265</v>
      </c>
      <c r="G123" s="87" t="s">
        <v>265</v>
      </c>
      <c r="H123" s="87" t="s">
        <v>265</v>
      </c>
      <c r="I123" s="87">
        <v>1123.9000000000001</v>
      </c>
      <c r="J123" s="87">
        <v>1315.2</v>
      </c>
      <c r="K123" s="87">
        <v>1381.5</v>
      </c>
      <c r="L123" s="87">
        <v>1823.5</v>
      </c>
      <c r="M123" s="87">
        <v>2169.6</v>
      </c>
      <c r="N123" s="87">
        <v>2375.4</v>
      </c>
      <c r="O123" s="87">
        <v>2489.1999999999998</v>
      </c>
      <c r="P123" s="87">
        <v>1924.1</v>
      </c>
      <c r="Q123" s="87">
        <v>2384</v>
      </c>
      <c r="R123" s="86">
        <v>2570</v>
      </c>
      <c r="S123" s="86">
        <v>2640</v>
      </c>
      <c r="T123" s="88">
        <v>2710</v>
      </c>
      <c r="U123" s="84">
        <v>2810</v>
      </c>
      <c r="V123" s="88">
        <v>2950</v>
      </c>
      <c r="W123" s="88">
        <v>3120</v>
      </c>
      <c r="X123" s="78" t="s">
        <v>638</v>
      </c>
      <c r="Y123" s="78" t="s">
        <v>267</v>
      </c>
      <c r="Z123" s="78" t="s">
        <v>339</v>
      </c>
    </row>
    <row r="124" spans="1:26" ht="10" hidden="1">
      <c r="A124" s="78" t="s">
        <v>639</v>
      </c>
      <c r="B124" s="78" t="s">
        <v>640</v>
      </c>
      <c r="C124" s="78" t="s">
        <v>267</v>
      </c>
      <c r="D124" s="78" t="s">
        <v>267</v>
      </c>
      <c r="E124" s="87" t="s">
        <v>265</v>
      </c>
      <c r="F124" s="87" t="s">
        <v>265</v>
      </c>
      <c r="G124" s="87" t="s">
        <v>265</v>
      </c>
      <c r="H124" s="87" t="s">
        <v>265</v>
      </c>
      <c r="I124" s="87">
        <v>10.545</v>
      </c>
      <c r="J124" s="87">
        <v>10.879</v>
      </c>
      <c r="K124" s="87">
        <v>10.263</v>
      </c>
      <c r="L124" s="87">
        <v>12.156000000000001</v>
      </c>
      <c r="M124" s="87">
        <v>12.414</v>
      </c>
      <c r="N124" s="87">
        <v>12.164</v>
      </c>
      <c r="O124" s="87">
        <v>11.622999999999999</v>
      </c>
      <c r="P124" s="87">
        <v>10.164999999999999</v>
      </c>
      <c r="Q124" s="87">
        <v>14.116</v>
      </c>
      <c r="R124" s="87">
        <v>12.523</v>
      </c>
      <c r="S124" s="82">
        <v>11.5</v>
      </c>
      <c r="T124" s="84">
        <v>10.8</v>
      </c>
      <c r="U124" s="84">
        <v>10.4</v>
      </c>
      <c r="V124" s="88">
        <v>10.4</v>
      </c>
      <c r="W124" s="88">
        <v>10.4</v>
      </c>
      <c r="X124" s="78" t="s">
        <v>641</v>
      </c>
      <c r="Y124" s="78" t="s">
        <v>267</v>
      </c>
      <c r="Z124" s="78" t="s">
        <v>339</v>
      </c>
    </row>
    <row r="125" spans="1:26" ht="10" hidden="1">
      <c r="A125" s="78" t="s">
        <v>642</v>
      </c>
      <c r="B125" s="78" t="s">
        <v>643</v>
      </c>
      <c r="C125" s="78" t="s">
        <v>348</v>
      </c>
      <c r="D125" s="78" t="s">
        <v>249</v>
      </c>
      <c r="E125" s="87">
        <v>147.10320300000001</v>
      </c>
      <c r="F125" s="87">
        <v>150.71139700000001</v>
      </c>
      <c r="G125" s="87">
        <v>138.82329899999999</v>
      </c>
      <c r="H125" s="87">
        <v>137.5907</v>
      </c>
      <c r="I125" s="87">
        <v>115.286699</v>
      </c>
      <c r="J125" s="82">
        <v>117.6057</v>
      </c>
      <c r="K125" s="82">
        <v>124.37609999999999</v>
      </c>
      <c r="L125" s="82">
        <v>154.72829999999999</v>
      </c>
      <c r="M125" s="82">
        <v>180.6866</v>
      </c>
      <c r="N125" s="82">
        <v>261.99599999999998</v>
      </c>
      <c r="O125" s="82">
        <v>379.99329999999998</v>
      </c>
      <c r="P125" s="82">
        <v>381.1782</v>
      </c>
      <c r="Q125" s="82">
        <v>371.05790000000002</v>
      </c>
      <c r="R125" s="82">
        <v>380.92720000000003</v>
      </c>
      <c r="S125" s="82">
        <v>415.31299999999999</v>
      </c>
      <c r="T125" s="84">
        <v>417.11630000000002</v>
      </c>
      <c r="U125" s="84">
        <v>431.40129999999999</v>
      </c>
      <c r="V125" s="84">
        <v>445.02460000000002</v>
      </c>
      <c r="W125" s="84">
        <v>469.65039999999999</v>
      </c>
      <c r="X125" s="78" t="s">
        <v>644</v>
      </c>
      <c r="Y125" s="78" t="s">
        <v>267</v>
      </c>
      <c r="Z125" s="78" t="s">
        <v>645</v>
      </c>
    </row>
    <row r="126" spans="1:26" ht="10" hidden="1">
      <c r="A126" s="78" t="s">
        <v>646</v>
      </c>
      <c r="B126" s="78" t="s">
        <v>647</v>
      </c>
      <c r="C126" s="78" t="s">
        <v>267</v>
      </c>
      <c r="D126" s="78" t="s">
        <v>267</v>
      </c>
      <c r="E126" s="87">
        <v>86.486000000000004</v>
      </c>
      <c r="F126" s="87">
        <v>92.179000000000002</v>
      </c>
      <c r="G126" s="87">
        <v>78.938999999999993</v>
      </c>
      <c r="H126" s="87">
        <v>63.509</v>
      </c>
      <c r="I126" s="87">
        <v>61.142000000000003</v>
      </c>
      <c r="J126" s="86">
        <v>58.3</v>
      </c>
      <c r="K126" s="86">
        <v>51.4</v>
      </c>
      <c r="L126" s="86">
        <v>49.2</v>
      </c>
      <c r="M126" s="86">
        <v>51.6</v>
      </c>
      <c r="N126" s="86">
        <v>64.3</v>
      </c>
      <c r="O126" s="86">
        <v>78.900000000000006</v>
      </c>
      <c r="P126" s="86">
        <v>69.7</v>
      </c>
      <c r="Q126" s="82">
        <v>83.1</v>
      </c>
      <c r="R126" s="82">
        <v>67.7</v>
      </c>
      <c r="S126" s="82">
        <v>61.9</v>
      </c>
      <c r="T126" s="84">
        <v>57.5</v>
      </c>
      <c r="U126" s="84">
        <v>55.6</v>
      </c>
      <c r="V126" s="84">
        <v>53.1</v>
      </c>
      <c r="W126" s="84">
        <v>51.8</v>
      </c>
      <c r="X126" s="78" t="s">
        <v>648</v>
      </c>
      <c r="Y126" s="78" t="s">
        <v>267</v>
      </c>
      <c r="Z126" s="78" t="s">
        <v>649</v>
      </c>
    </row>
    <row r="127" spans="1:26" ht="10" hidden="1">
      <c r="A127" s="78" t="s">
        <v>650</v>
      </c>
      <c r="B127" s="78" t="s">
        <v>651</v>
      </c>
      <c r="C127" s="78" t="s">
        <v>267</v>
      </c>
      <c r="D127" s="78" t="s">
        <v>267</v>
      </c>
      <c r="E127" s="87">
        <v>27.638999999999999</v>
      </c>
      <c r="F127" s="87">
        <v>42.155999999999999</v>
      </c>
      <c r="G127" s="87">
        <v>30.061</v>
      </c>
      <c r="H127" s="87">
        <v>25.795999999999999</v>
      </c>
      <c r="I127" s="87">
        <v>22.847999999999999</v>
      </c>
      <c r="J127" s="86">
        <v>20.399999999999999</v>
      </c>
      <c r="K127" s="86">
        <v>19.3</v>
      </c>
      <c r="L127" s="86">
        <v>21.4</v>
      </c>
      <c r="M127" s="86">
        <v>21.4</v>
      </c>
      <c r="N127" s="86">
        <v>27.5</v>
      </c>
      <c r="O127" s="86">
        <v>36.200000000000003</v>
      </c>
      <c r="P127" s="86">
        <v>40.9</v>
      </c>
      <c r="Q127" s="86">
        <v>44.5</v>
      </c>
      <c r="R127" s="86">
        <v>37.5</v>
      </c>
      <c r="S127" s="82">
        <v>36.6</v>
      </c>
      <c r="T127" s="84">
        <v>33.299999999999997</v>
      </c>
      <c r="U127" s="84">
        <v>32.1</v>
      </c>
      <c r="V127" s="84">
        <v>31.3</v>
      </c>
      <c r="W127" s="84">
        <v>31.2</v>
      </c>
      <c r="X127" s="78" t="s">
        <v>652</v>
      </c>
      <c r="Y127" s="78" t="s">
        <v>267</v>
      </c>
      <c r="Z127" s="78" t="s">
        <v>649</v>
      </c>
    </row>
    <row r="128" spans="1:26" ht="10" hidden="1">
      <c r="A128" s="78" t="s">
        <v>653</v>
      </c>
      <c r="B128" s="78" t="s">
        <v>654</v>
      </c>
      <c r="C128" s="78" t="s">
        <v>267</v>
      </c>
      <c r="D128" s="78" t="s">
        <v>267</v>
      </c>
      <c r="E128" s="87">
        <v>8.9169999999999998</v>
      </c>
      <c r="F128" s="83">
        <v>12.952999999999999</v>
      </c>
      <c r="G128" s="82">
        <v>25</v>
      </c>
      <c r="H128" s="86">
        <v>11.5</v>
      </c>
      <c r="I128" s="86">
        <v>14.2</v>
      </c>
      <c r="J128" s="86">
        <v>11.5</v>
      </c>
      <c r="K128" s="86">
        <v>8.8000000000000007</v>
      </c>
      <c r="L128" s="86">
        <v>7.7</v>
      </c>
      <c r="M128" s="86">
        <v>6.3</v>
      </c>
      <c r="N128" s="86">
        <v>7.3</v>
      </c>
      <c r="O128" s="86">
        <v>8.1999999999999993</v>
      </c>
      <c r="P128" s="86">
        <v>9</v>
      </c>
      <c r="Q128" s="86">
        <v>10.3</v>
      </c>
      <c r="R128" s="86">
        <v>7.3</v>
      </c>
      <c r="S128" s="82">
        <v>6.4</v>
      </c>
      <c r="T128" s="84">
        <v>6.3</v>
      </c>
      <c r="U128" s="84">
        <v>6.4</v>
      </c>
      <c r="V128" s="84">
        <v>6.6</v>
      </c>
      <c r="W128" s="84">
        <v>6.9</v>
      </c>
      <c r="X128" s="78" t="s">
        <v>655</v>
      </c>
      <c r="Y128" s="78" t="s">
        <v>267</v>
      </c>
      <c r="Z128" s="78" t="s">
        <v>656</v>
      </c>
    </row>
    <row r="129" spans="1:26" ht="10" hidden="1">
      <c r="A129" s="78" t="s">
        <v>657</v>
      </c>
      <c r="B129" s="78" t="s">
        <v>658</v>
      </c>
      <c r="C129" s="78" t="s">
        <v>267</v>
      </c>
      <c r="D129" s="78" t="s">
        <v>267</v>
      </c>
      <c r="E129" s="87">
        <v>-9.8490000000000002</v>
      </c>
      <c r="F129" s="87">
        <v>-10.875999999999999</v>
      </c>
      <c r="G129" s="87">
        <v>-4.3529999999999998</v>
      </c>
      <c r="H129" s="87">
        <v>4.0460000000000003</v>
      </c>
      <c r="I129" s="87">
        <v>-15.734</v>
      </c>
      <c r="J129" s="87">
        <v>-4.0090000000000003</v>
      </c>
      <c r="K129" s="87">
        <v>2.681</v>
      </c>
      <c r="L129" s="87">
        <v>10.478999999999999</v>
      </c>
      <c r="M129" s="87">
        <v>4.3959999999999999</v>
      </c>
      <c r="N129" s="87">
        <v>-1.5429999999999999</v>
      </c>
      <c r="O129" s="87">
        <v>0.55000000000000004</v>
      </c>
      <c r="P129" s="87">
        <v>2.7370000000000001</v>
      </c>
      <c r="Q129" s="87">
        <v>-13.867000000000001</v>
      </c>
      <c r="R129" s="87">
        <v>7.62</v>
      </c>
      <c r="S129" s="82">
        <v>17.899999999999999</v>
      </c>
      <c r="T129" s="84">
        <v>-0.4</v>
      </c>
      <c r="U129" s="84">
        <v>1.1000000000000001</v>
      </c>
      <c r="V129" s="84">
        <v>1.2</v>
      </c>
      <c r="W129" s="84">
        <v>2.6</v>
      </c>
      <c r="X129" s="78" t="s">
        <v>659</v>
      </c>
      <c r="Y129" s="78" t="s">
        <v>267</v>
      </c>
      <c r="Z129" s="78" t="s">
        <v>317</v>
      </c>
    </row>
    <row r="130" spans="1:26" ht="10" hidden="1">
      <c r="A130" s="78" t="s">
        <v>660</v>
      </c>
      <c r="B130" s="78" t="s">
        <v>661</v>
      </c>
      <c r="C130" s="78" t="s">
        <v>267</v>
      </c>
      <c r="D130" s="78" t="s">
        <v>267</v>
      </c>
      <c r="E130" s="87">
        <v>-7.4219999999999997</v>
      </c>
      <c r="F130" s="87">
        <v>-12.959</v>
      </c>
      <c r="G130" s="87">
        <v>3.577</v>
      </c>
      <c r="H130" s="87">
        <v>13.167999999999999</v>
      </c>
      <c r="I130" s="87">
        <v>-9.3019999999999996</v>
      </c>
      <c r="J130" s="87">
        <v>-3.2080000000000002</v>
      </c>
      <c r="K130" s="87">
        <v>6.8719999999999999</v>
      </c>
      <c r="L130" s="87">
        <v>14.606</v>
      </c>
      <c r="M130" s="87">
        <v>15.06</v>
      </c>
      <c r="N130" s="87">
        <v>8.2609999999999992</v>
      </c>
      <c r="O130" s="87">
        <v>7.3680000000000003</v>
      </c>
      <c r="P130" s="87">
        <v>14.843</v>
      </c>
      <c r="Q130" s="87">
        <v>-17.271000000000001</v>
      </c>
      <c r="R130" s="87">
        <v>16.318000000000001</v>
      </c>
      <c r="S130" s="82">
        <v>18.5</v>
      </c>
      <c r="T130" s="84">
        <v>-1.2</v>
      </c>
      <c r="U130" s="84">
        <v>0.7</v>
      </c>
      <c r="V130" s="84">
        <v>3.2</v>
      </c>
      <c r="W130" s="84">
        <v>4.5</v>
      </c>
      <c r="X130" s="78" t="s">
        <v>662</v>
      </c>
      <c r="Y130" s="78" t="s">
        <v>267</v>
      </c>
      <c r="Z130" s="78" t="s">
        <v>317</v>
      </c>
    </row>
    <row r="131" spans="1:26" ht="10" hidden="1">
      <c r="A131" s="78" t="s">
        <v>663</v>
      </c>
      <c r="B131" s="78" t="s">
        <v>664</v>
      </c>
      <c r="C131" s="78" t="s">
        <v>267</v>
      </c>
      <c r="D131" s="78" t="s">
        <v>267</v>
      </c>
      <c r="E131" s="87">
        <v>91.224000000000004</v>
      </c>
      <c r="F131" s="87">
        <v>93.406999999999996</v>
      </c>
      <c r="G131" s="87">
        <v>86.254999999999995</v>
      </c>
      <c r="H131" s="87">
        <v>79.302999999999997</v>
      </c>
      <c r="I131" s="87">
        <v>73.677999999999997</v>
      </c>
      <c r="J131" s="87">
        <v>73.069000000000003</v>
      </c>
      <c r="K131" s="87">
        <v>70.203000000000003</v>
      </c>
      <c r="L131" s="87">
        <v>67.674999999999997</v>
      </c>
      <c r="M131" s="87">
        <v>61.402999999999999</v>
      </c>
      <c r="N131" s="87">
        <v>55.841999999999999</v>
      </c>
      <c r="O131" s="87">
        <v>52.296999999999997</v>
      </c>
      <c r="P131" s="87">
        <v>46.783999999999999</v>
      </c>
      <c r="Q131" s="87">
        <v>48.709000000000003</v>
      </c>
      <c r="R131" s="87">
        <v>45.066000000000003</v>
      </c>
      <c r="S131" s="82">
        <v>44.8</v>
      </c>
      <c r="T131" s="84">
        <v>45.2</v>
      </c>
      <c r="U131" s="84">
        <v>45.4</v>
      </c>
      <c r="V131" s="84">
        <v>44.5</v>
      </c>
      <c r="W131" s="84">
        <v>43.7</v>
      </c>
      <c r="X131" s="78" t="s">
        <v>665</v>
      </c>
      <c r="Y131" s="78" t="s">
        <v>267</v>
      </c>
      <c r="Z131" s="78" t="s">
        <v>339</v>
      </c>
    </row>
    <row r="132" spans="1:26" ht="10"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</row>
    <row r="133" spans="1:26" ht="10">
      <c r="A133" s="78" t="s">
        <v>666</v>
      </c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DA195"/>
  <sheetViews>
    <sheetView showGridLines="0" zoomScaleNormal="100" workbookViewId="0">
      <selection activeCell="Q29" sqref="Q29"/>
    </sheetView>
  </sheetViews>
  <sheetFormatPr defaultColWidth="9" defaultRowHeight="14.15" customHeight="1"/>
  <cols>
    <col min="1" max="1" width="1.6640625" style="676" customWidth="1"/>
    <col min="2" max="2" width="2.33203125" style="676" customWidth="1"/>
    <col min="3" max="11" width="1.5" style="676" customWidth="1"/>
    <col min="12" max="22" width="9.1640625" style="676" customWidth="1"/>
    <col min="23" max="23" width="2" style="676" customWidth="1"/>
    <col min="24" max="29" width="1.83203125" style="676" customWidth="1"/>
    <col min="30" max="36" width="8.83203125" style="676" customWidth="1"/>
    <col min="37" max="37" width="4.08203125" style="676" customWidth="1"/>
    <col min="38" max="38" width="1.08203125" style="676" customWidth="1"/>
    <col min="39" max="39" width="0.83203125" style="677" customWidth="1"/>
    <col min="40" max="40" width="0.5" style="678" customWidth="1"/>
    <col min="41" max="41" width="2.1640625" style="676" customWidth="1"/>
    <col min="42" max="44" width="2.83203125" style="676" customWidth="1"/>
    <col min="45" max="45" width="2.5" style="676" customWidth="1"/>
    <col min="46" max="52" width="6.5" style="676" customWidth="1"/>
    <col min="53" max="53" width="2.83203125" style="676" customWidth="1"/>
    <col min="54" max="54" width="0.58203125" style="679" customWidth="1"/>
    <col min="55" max="55" width="1.1640625" style="676" customWidth="1"/>
    <col min="56" max="56" width="1.33203125" style="676" customWidth="1"/>
    <col min="57" max="58" width="2.83203125" style="676" customWidth="1"/>
    <col min="59" max="59" width="2.5" style="676" customWidth="1"/>
    <col min="60" max="60" width="2.33203125" style="676" customWidth="1"/>
    <col min="61" max="67" width="8.83203125" style="676" customWidth="1"/>
    <col min="68" max="68" width="10.58203125" style="676" customWidth="1"/>
    <col min="69" max="69" width="1.58203125" style="677" customWidth="1"/>
    <col min="70" max="70" width="1.1640625" style="676" customWidth="1"/>
    <col min="71" max="74" width="2.5" style="676" customWidth="1"/>
    <col min="75" max="75" width="5.33203125" style="676" customWidth="1"/>
    <col min="76" max="79" width="10" style="676" bestFit="1" customWidth="1"/>
    <col min="80" max="80" width="7.33203125" style="676" customWidth="1"/>
    <col min="81" max="81" width="9.08203125" style="676" bestFit="1" customWidth="1"/>
    <col min="82" max="82" width="10.6640625" style="676" customWidth="1"/>
    <col min="83" max="83" width="1.08203125" style="676" customWidth="1"/>
    <col min="84" max="84" width="1.08203125" style="677" customWidth="1"/>
    <col min="85" max="85" width="0.83203125" style="678" customWidth="1"/>
    <col min="86" max="88" width="2.08203125" style="676" customWidth="1"/>
    <col min="89" max="90" width="1" style="676" customWidth="1"/>
    <col min="91" max="91" width="9.08203125" style="676" customWidth="1"/>
    <col min="92" max="94" width="7.6640625" style="676" bestFit="1" customWidth="1"/>
    <col min="95" max="95" width="7.1640625" style="676" bestFit="1" customWidth="1"/>
    <col min="96" max="96" width="8" style="676" bestFit="1" customWidth="1"/>
    <col min="97" max="97" width="8.83203125" style="676" customWidth="1"/>
    <col min="98" max="98" width="1.5" style="677" customWidth="1"/>
    <col min="99" max="99" width="2.33203125" style="676" customWidth="1"/>
    <col min="100" max="100" width="2" style="676" customWidth="1"/>
    <col min="101" max="101" width="12.83203125" style="676" customWidth="1"/>
    <col min="102" max="105" width="9.6640625" style="676" customWidth="1"/>
    <col min="106" max="106" width="9.83203125" style="676" customWidth="1"/>
    <col min="107" max="16384" width="9" style="676"/>
  </cols>
  <sheetData>
    <row r="1" spans="2:105" ht="14.15" customHeight="1">
      <c r="B1" s="675" t="s">
        <v>1298</v>
      </c>
      <c r="P1" s="693"/>
      <c r="AL1" s="678"/>
    </row>
    <row r="2" spans="2:105" ht="14.15" customHeight="1">
      <c r="P2" s="693"/>
      <c r="T2" s="1312">
        <f>(T11-S11)*S5</f>
        <v>1727.5868822270909</v>
      </c>
      <c r="U2" s="1294"/>
      <c r="V2" s="1294"/>
      <c r="AL2" s="678"/>
      <c r="AO2" s="680" t="s">
        <v>1375</v>
      </c>
      <c r="BC2" s="681"/>
      <c r="BD2" s="680" t="s">
        <v>1386</v>
      </c>
      <c r="BE2" s="682"/>
      <c r="BF2" s="682"/>
      <c r="BG2" s="682"/>
      <c r="BH2" s="682"/>
      <c r="BI2" s="682"/>
      <c r="BJ2" s="682"/>
      <c r="BK2" s="682"/>
      <c r="BL2" s="682"/>
      <c r="BM2" s="682"/>
      <c r="BN2" s="682"/>
      <c r="BS2" s="680" t="s">
        <v>1386</v>
      </c>
      <c r="BZ2" s="693">
        <f>(BZ5/BX5)^(1/2)-1</f>
        <v>0.11484605164105832</v>
      </c>
    </row>
    <row r="3" spans="2:105" ht="12" customHeight="1" thickBot="1"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1122" t="s">
        <v>2143</v>
      </c>
      <c r="M3" s="684"/>
      <c r="N3" s="684"/>
      <c r="O3" s="684"/>
      <c r="P3" s="1087" t="s">
        <v>2160</v>
      </c>
      <c r="Q3" s="684"/>
      <c r="R3" s="684"/>
      <c r="S3" s="684"/>
      <c r="T3" s="684"/>
      <c r="U3" s="684"/>
      <c r="V3" s="684"/>
      <c r="AD3" s="1086" t="s">
        <v>2144</v>
      </c>
      <c r="AE3" s="1087" t="s">
        <v>2160</v>
      </c>
      <c r="AF3" s="684"/>
      <c r="AG3" s="684"/>
      <c r="AH3" s="684"/>
      <c r="AI3" s="684"/>
      <c r="AJ3" s="684"/>
      <c r="AL3" s="725"/>
      <c r="AO3" s="683"/>
      <c r="AP3" s="683"/>
      <c r="AQ3" s="683"/>
      <c r="AR3" s="683"/>
      <c r="AS3" s="683"/>
      <c r="AT3" s="1086" t="s">
        <v>2144</v>
      </c>
      <c r="AU3" s="1087" t="s">
        <v>2160</v>
      </c>
      <c r="AV3" s="684"/>
      <c r="AW3" s="684"/>
      <c r="AX3" s="684"/>
      <c r="AY3" s="684"/>
      <c r="AZ3" s="684"/>
      <c r="BA3" s="670"/>
      <c r="BC3" s="681"/>
      <c r="BD3" s="683"/>
      <c r="BE3" s="683"/>
      <c r="BF3" s="683"/>
      <c r="BG3" s="683"/>
      <c r="BH3" s="683"/>
      <c r="BI3" s="1086" t="s">
        <v>2144</v>
      </c>
      <c r="BJ3" s="1087" t="s">
        <v>2160</v>
      </c>
      <c r="BK3" s="684"/>
      <c r="BL3" s="684"/>
      <c r="BM3" s="684"/>
      <c r="BN3" s="684"/>
      <c r="BO3" s="684"/>
      <c r="CV3" s="1001"/>
      <c r="CW3" s="1001"/>
      <c r="CX3" s="1001"/>
      <c r="CY3" s="1025"/>
      <c r="CZ3" s="1026"/>
      <c r="DA3" s="787" t="s">
        <v>1868</v>
      </c>
    </row>
    <row r="4" spans="2:105" ht="12" customHeight="1" thickBot="1">
      <c r="B4" s="686" t="s">
        <v>1308</v>
      </c>
      <c r="C4" s="686"/>
      <c r="D4" s="686"/>
      <c r="E4" s="686"/>
      <c r="F4" s="686"/>
      <c r="G4" s="686"/>
      <c r="H4" s="686"/>
      <c r="I4" s="686"/>
      <c r="J4" s="686"/>
      <c r="K4" s="686"/>
      <c r="L4" s="1149" t="s">
        <v>2936</v>
      </c>
      <c r="M4" s="1148">
        <v>2009</v>
      </c>
      <c r="N4" s="1148">
        <v>2010</v>
      </c>
      <c r="O4" s="1148" t="s">
        <v>2161</v>
      </c>
      <c r="P4" s="1149" t="s">
        <v>2142</v>
      </c>
      <c r="Q4" s="1148">
        <v>2011</v>
      </c>
      <c r="R4" s="1148">
        <v>2012</v>
      </c>
      <c r="S4" s="1148">
        <v>2013</v>
      </c>
      <c r="T4" s="1148">
        <v>2014</v>
      </c>
      <c r="U4" s="1148">
        <v>2015</v>
      </c>
      <c r="V4" s="1148">
        <v>2016</v>
      </c>
      <c r="X4" s="732" t="s">
        <v>2138</v>
      </c>
      <c r="Y4" s="688"/>
      <c r="Z4" s="688"/>
      <c r="AA4" s="688"/>
      <c r="AB4" s="688"/>
      <c r="AC4" s="688"/>
      <c r="AD4" s="1148">
        <v>2010</v>
      </c>
      <c r="AE4" s="1149" t="s">
        <v>2939</v>
      </c>
      <c r="AF4" s="1148">
        <v>2012</v>
      </c>
      <c r="AG4" s="1148">
        <v>2013</v>
      </c>
      <c r="AH4" s="1148">
        <v>2014</v>
      </c>
      <c r="AI4" s="1148">
        <v>2015</v>
      </c>
      <c r="AJ4" s="1148">
        <v>2016</v>
      </c>
      <c r="AL4" s="1135"/>
      <c r="AO4" s="686" t="s">
        <v>1379</v>
      </c>
      <c r="AP4" s="686"/>
      <c r="AQ4" s="686"/>
      <c r="AR4" s="686"/>
      <c r="AS4" s="686"/>
      <c r="AT4" s="687" t="s">
        <v>2141</v>
      </c>
      <c r="AU4" s="1088" t="s">
        <v>2142</v>
      </c>
      <c r="AV4" s="1148">
        <v>2012</v>
      </c>
      <c r="AW4" s="1148">
        <v>2013</v>
      </c>
      <c r="AX4" s="1148">
        <v>2014</v>
      </c>
      <c r="AY4" s="1148">
        <v>2015</v>
      </c>
      <c r="AZ4" s="1148">
        <v>2016</v>
      </c>
      <c r="BA4" s="670"/>
      <c r="BC4" s="681"/>
      <c r="BD4" s="686" t="s">
        <v>1251</v>
      </c>
      <c r="BE4" s="686"/>
      <c r="BF4" s="686"/>
      <c r="BG4" s="686"/>
      <c r="BH4" s="686"/>
      <c r="BI4" s="687" t="s">
        <v>2141</v>
      </c>
      <c r="BJ4" s="1088" t="s">
        <v>2142</v>
      </c>
      <c r="BK4" s="1148">
        <v>2012</v>
      </c>
      <c r="BL4" s="1148">
        <v>2013</v>
      </c>
      <c r="BM4" s="1148">
        <v>2014</v>
      </c>
      <c r="BN4" s="1148">
        <v>2015</v>
      </c>
      <c r="BO4" s="1148">
        <v>2016</v>
      </c>
      <c r="BS4" s="686" t="s">
        <v>2163</v>
      </c>
      <c r="BT4" s="686"/>
      <c r="BU4" s="686"/>
      <c r="BV4" s="686"/>
      <c r="BW4" s="686"/>
      <c r="BX4" s="1148">
        <v>2008</v>
      </c>
      <c r="BY4" s="1148">
        <v>2009</v>
      </c>
      <c r="BZ4" s="1148">
        <v>2010</v>
      </c>
      <c r="CA4" s="1148" t="s">
        <v>1464</v>
      </c>
      <c r="CH4" s="689" t="s">
        <v>1699</v>
      </c>
      <c r="CI4" s="689"/>
      <c r="CJ4" s="689"/>
      <c r="CK4" s="689"/>
      <c r="CL4" s="689"/>
      <c r="CM4" s="668">
        <v>1857.0596851085272</v>
      </c>
      <c r="CN4" s="668">
        <v>1878.2849593394158</v>
      </c>
      <c r="CO4" s="668">
        <v>1945.4521817385157</v>
      </c>
      <c r="CP4" s="668">
        <v>1893.5989420621529</v>
      </c>
      <c r="CV4" s="957" t="s">
        <v>2307</v>
      </c>
      <c r="CW4" s="957"/>
      <c r="CX4" s="957" t="s">
        <v>2308</v>
      </c>
      <c r="CY4" s="1027"/>
      <c r="CZ4" s="670"/>
      <c r="DA4" s="792">
        <f>Multiple!F8</f>
        <v>9.2157035357001735</v>
      </c>
    </row>
    <row r="5" spans="2:105" ht="12" customHeight="1">
      <c r="B5" s="689" t="s">
        <v>213</v>
      </c>
      <c r="C5" s="689"/>
      <c r="D5" s="689"/>
      <c r="E5" s="689"/>
      <c r="F5" s="689"/>
      <c r="G5" s="689"/>
      <c r="H5" s="689"/>
      <c r="I5" s="689"/>
      <c r="J5" s="689"/>
      <c r="K5" s="689"/>
      <c r="L5" s="1089">
        <f>DCF!E6</f>
        <v>1491976.22114</v>
      </c>
      <c r="M5" s="669">
        <f>DCF!F6</f>
        <v>2663947.8663639999</v>
      </c>
      <c r="N5" s="669">
        <f>DCF!G6</f>
        <v>3046678.6757970001</v>
      </c>
      <c r="O5" s="669">
        <f>DCF!H6</f>
        <v>1606909.618359</v>
      </c>
      <c r="P5" s="1089">
        <f>DCF!I6</f>
        <v>1826768.9985385463</v>
      </c>
      <c r="Q5" s="669">
        <f>DCF!J6</f>
        <v>3433678.6168975462</v>
      </c>
      <c r="R5" s="669">
        <f>DCF!K6</f>
        <v>3874341.5840919763</v>
      </c>
      <c r="S5" s="669">
        <f>DCF!L6</f>
        <v>4226781.2635950102</v>
      </c>
      <c r="T5" s="669">
        <f>DCF!M6</f>
        <v>4456133.2940086992</v>
      </c>
      <c r="U5" s="669">
        <f>DCF!N6</f>
        <v>4697930.3388611386</v>
      </c>
      <c r="V5" s="669">
        <f>DCF!O6</f>
        <v>4952847.6848899331</v>
      </c>
      <c r="X5" s="689" t="s">
        <v>2139</v>
      </c>
      <c r="Y5" s="689"/>
      <c r="Z5" s="689"/>
      <c r="AA5" s="689"/>
      <c r="AB5" s="689"/>
      <c r="AC5" s="689"/>
      <c r="AD5" s="668">
        <f t="shared" ref="AD5:AJ5" si="0">SUM(AD19:AD20)</f>
        <v>230030</v>
      </c>
      <c r="AE5" s="1089">
        <f t="shared" si="0"/>
        <v>243710</v>
      </c>
      <c r="AF5" s="668">
        <f t="shared" si="0"/>
        <v>263140</v>
      </c>
      <c r="AG5" s="668">
        <f t="shared" si="0"/>
        <v>279940</v>
      </c>
      <c r="AH5" s="668">
        <f t="shared" si="0"/>
        <v>295130</v>
      </c>
      <c r="AI5" s="668">
        <f t="shared" si="0"/>
        <v>311144.23412159743</v>
      </c>
      <c r="AJ5" s="668">
        <f t="shared" si="0"/>
        <v>328027.42664966435</v>
      </c>
      <c r="AL5" s="1136"/>
      <c r="AO5" s="676" t="s">
        <v>1218</v>
      </c>
      <c r="AT5" s="670">
        <f>'SG&amp;A'!G78</f>
        <v>31</v>
      </c>
      <c r="AU5" s="1090">
        <f>'SG&amp;A'!H78</f>
        <v>31</v>
      </c>
      <c r="AV5" s="670">
        <f>'SG&amp;A'!I78</f>
        <v>32</v>
      </c>
      <c r="AW5" s="670">
        <f>'SG&amp;A'!J78</f>
        <v>33</v>
      </c>
      <c r="AX5" s="670">
        <f>'SG&amp;A'!K78</f>
        <v>33</v>
      </c>
      <c r="AY5" s="670">
        <f>'SG&amp;A'!L78</f>
        <v>33</v>
      </c>
      <c r="AZ5" s="670">
        <f>'SG&amp;A'!M78</f>
        <v>33</v>
      </c>
      <c r="BA5" s="670"/>
      <c r="BC5" s="682"/>
      <c r="BD5" s="690" t="s">
        <v>1340</v>
      </c>
      <c r="BE5" s="690"/>
      <c r="BF5" s="690"/>
      <c r="BG5" s="690"/>
      <c r="BH5" s="690"/>
      <c r="BI5" s="669">
        <f>O5</f>
        <v>1606909.618359</v>
      </c>
      <c r="BJ5" s="1089">
        <f>P5</f>
        <v>1826768.9985385463</v>
      </c>
      <c r="BK5" s="669">
        <f>R5</f>
        <v>3874341.5840919763</v>
      </c>
      <c r="BL5" s="669">
        <f t="shared" ref="BL5:BO5" si="1">S5</f>
        <v>4226781.2635950102</v>
      </c>
      <c r="BM5" s="669">
        <f t="shared" si="1"/>
        <v>4456133.2940086992</v>
      </c>
      <c r="BN5" s="669">
        <f t="shared" si="1"/>
        <v>4697930.3388611386</v>
      </c>
      <c r="BO5" s="669">
        <f t="shared" si="1"/>
        <v>4952847.6848899331</v>
      </c>
      <c r="BS5" s="689" t="s">
        <v>1340</v>
      </c>
      <c r="BT5" s="689"/>
      <c r="BU5" s="689"/>
      <c r="BV5" s="692">
        <f>매출추정!F178*1000</f>
        <v>2286000</v>
      </c>
      <c r="BW5" s="689"/>
      <c r="BX5" s="668">
        <f>보고서용!L40</f>
        <v>2451302.1871400001</v>
      </c>
      <c r="BY5" s="668">
        <f>보고서용!M40</f>
        <v>2663947.8663639999</v>
      </c>
      <c r="BZ5" s="668">
        <f>보고서용!N40</f>
        <v>3046678.6757970001</v>
      </c>
      <c r="CA5" s="668">
        <f>O40</f>
        <v>1606909.618359</v>
      </c>
      <c r="CI5" s="676" t="s">
        <v>1487</v>
      </c>
      <c r="CM5" s="670">
        <v>1682.001007751938</v>
      </c>
      <c r="CN5" s="670">
        <v>1695.0073321167881</v>
      </c>
      <c r="CO5" s="670">
        <v>1734.7739010600706</v>
      </c>
      <c r="CP5" s="785">
        <v>1703.9274136429322</v>
      </c>
      <c r="CV5" s="957"/>
      <c r="CW5" s="957"/>
      <c r="CX5" s="957" t="s">
        <v>2309</v>
      </c>
      <c r="CY5" s="1027"/>
      <c r="CZ5" s="670"/>
      <c r="DA5" s="792">
        <f>Multiple!F9</f>
        <v>9.1374373273317602</v>
      </c>
    </row>
    <row r="6" spans="2:105" ht="15.75" customHeight="1">
      <c r="B6" s="706" t="s">
        <v>1916</v>
      </c>
      <c r="C6" s="707"/>
      <c r="D6" s="707"/>
      <c r="E6" s="707"/>
      <c r="F6" s="707"/>
      <c r="G6" s="707"/>
      <c r="H6" s="707"/>
      <c r="I6" s="707"/>
      <c r="J6" s="707"/>
      <c r="K6" s="707"/>
      <c r="L6" s="1098"/>
      <c r="M6" s="703"/>
      <c r="N6" s="703">
        <f>N5/M5-1</f>
        <v>0.14367053284544418</v>
      </c>
      <c r="O6" s="703"/>
      <c r="P6" s="1098"/>
      <c r="Q6" s="703">
        <f>Q5/N5-1</f>
        <v>0.1270235499972141</v>
      </c>
      <c r="R6" s="703">
        <f>R5/Q5-1</f>
        <v>0.12833553059563418</v>
      </c>
      <c r="S6" s="703">
        <f t="shared" ref="S6:V6" si="2">S5/R5-1</f>
        <v>9.0967632010081179E-2</v>
      </c>
      <c r="T6" s="703">
        <f t="shared" si="2"/>
        <v>5.4261627491605235E-2</v>
      </c>
      <c r="U6" s="703">
        <f t="shared" si="2"/>
        <v>5.4261627491605013E-2</v>
      </c>
      <c r="V6" s="703">
        <f t="shared" si="2"/>
        <v>5.4261627491605458E-2</v>
      </c>
      <c r="Y6" s="739" t="s">
        <v>10</v>
      </c>
      <c r="Z6" s="739"/>
      <c r="AA6" s="739"/>
      <c r="AB6" s="739"/>
      <c r="AC6" s="739"/>
      <c r="AD6" s="730"/>
      <c r="AE6" s="1091">
        <f t="shared" ref="AE6:AJ6" si="3">AE5/AD5-1</f>
        <v>5.9470503847324219E-2</v>
      </c>
      <c r="AF6" s="730">
        <f t="shared" si="3"/>
        <v>7.9725903738049331E-2</v>
      </c>
      <c r="AG6" s="730">
        <f t="shared" si="3"/>
        <v>6.3844341415216332E-2</v>
      </c>
      <c r="AH6" s="730">
        <f t="shared" si="3"/>
        <v>5.4261627491605235E-2</v>
      </c>
      <c r="AI6" s="730">
        <f t="shared" si="3"/>
        <v>5.4261627491605235E-2</v>
      </c>
      <c r="AJ6" s="730">
        <f t="shared" si="3"/>
        <v>5.4261627491605235E-2</v>
      </c>
      <c r="AL6" s="1137"/>
      <c r="AO6" s="676" t="s">
        <v>1373</v>
      </c>
      <c r="AT6" s="670">
        <f>'SG&amp;A'!G79</f>
        <v>152</v>
      </c>
      <c r="AU6" s="1090">
        <f>'SG&amp;A'!H79</f>
        <v>152</v>
      </c>
      <c r="AV6" s="670">
        <f>'SG&amp;A'!I79</f>
        <v>157</v>
      </c>
      <c r="AW6" s="670">
        <f>'SG&amp;A'!J79</f>
        <v>162</v>
      </c>
      <c r="AX6" s="670">
        <f>'SG&amp;A'!K79</f>
        <v>162</v>
      </c>
      <c r="AY6" s="670">
        <f>'SG&amp;A'!L79</f>
        <v>162</v>
      </c>
      <c r="AZ6" s="670">
        <f>'SG&amp;A'!M79</f>
        <v>162</v>
      </c>
      <c r="BA6" s="670"/>
      <c r="BC6" s="682"/>
      <c r="BD6" s="691"/>
      <c r="BE6" s="691"/>
      <c r="BF6" s="691"/>
      <c r="BG6" s="691"/>
      <c r="BH6" s="691"/>
      <c r="BI6" s="672"/>
      <c r="BJ6" s="1092"/>
      <c r="BK6" s="672"/>
      <c r="BL6" s="672"/>
      <c r="BM6" s="672"/>
      <c r="BN6" s="672"/>
      <c r="BO6" s="672"/>
      <c r="BS6" s="635"/>
      <c r="BT6" s="1275" t="s">
        <v>2937</v>
      </c>
      <c r="BU6" s="707"/>
      <c r="BV6" s="707"/>
      <c r="BW6" s="707"/>
      <c r="BX6" s="731">
        <f>BX5/BV5-1</f>
        <v>7.2310668040244996E-2</v>
      </c>
      <c r="BY6" s="731">
        <f>BY5/BX5-1</f>
        <v>8.674804776807199E-2</v>
      </c>
      <c r="BZ6" s="731">
        <f>BZ5/BY5-1</f>
        <v>0.14367053284544418</v>
      </c>
      <c r="CA6" s="731">
        <v>0.13162649180211261</v>
      </c>
      <c r="CD6" s="693"/>
      <c r="CI6" s="676" t="s">
        <v>770</v>
      </c>
      <c r="CM6" s="670">
        <v>17.743971930232558</v>
      </c>
      <c r="CN6" s="670">
        <v>13.604437441605839</v>
      </c>
      <c r="CO6" s="670">
        <v>13.873679971731448</v>
      </c>
      <c r="CP6" s="785">
        <v>15.07402978118995</v>
      </c>
      <c r="CV6" s="957"/>
      <c r="CW6" s="957"/>
      <c r="CX6" s="957" t="s">
        <v>2310</v>
      </c>
      <c r="CY6" s="1027"/>
      <c r="CZ6" s="670"/>
      <c r="DA6" s="792">
        <f>Multiple!F10</f>
        <v>11.81909240638133</v>
      </c>
    </row>
    <row r="7" spans="2:105" ht="12" customHeight="1" thickBot="1">
      <c r="B7" s="676" t="s">
        <v>703</v>
      </c>
      <c r="L7" s="1090">
        <f>DCF!E8</f>
        <v>1113092.579931</v>
      </c>
      <c r="M7" s="671">
        <f>DCF!F8</f>
        <v>2005984.3105349999</v>
      </c>
      <c r="N7" s="671">
        <f>DCF!G8</f>
        <v>2286620.4427060001</v>
      </c>
      <c r="O7" s="671">
        <f>DCF!H8</f>
        <v>1195964.884535</v>
      </c>
      <c r="P7" s="1090">
        <f>DCF!I8</f>
        <v>1356934.8915909547</v>
      </c>
      <c r="Q7" s="671">
        <f>DCF!J8</f>
        <v>2552899.7761259545</v>
      </c>
      <c r="R7" s="671">
        <f>DCF!K8</f>
        <v>2866586.5397059345</v>
      </c>
      <c r="S7" s="671">
        <f>DCF!L8</f>
        <v>3115027.9627999715</v>
      </c>
      <c r="T7" s="671">
        <f>DCF!M8</f>
        <v>3271060.4997817618</v>
      </c>
      <c r="U7" s="671">
        <f>DCF!N8</f>
        <v>3434854.5432893671</v>
      </c>
      <c r="V7" s="671">
        <f>DCF!O8</f>
        <v>3606792.9868971063</v>
      </c>
      <c r="X7" s="691"/>
      <c r="Y7" s="691"/>
      <c r="Z7" s="691"/>
      <c r="AA7" s="691"/>
      <c r="AB7" s="691"/>
      <c r="AC7" s="691"/>
      <c r="AD7" s="691"/>
      <c r="AE7" s="1092"/>
      <c r="AF7" s="672"/>
      <c r="AG7" s="672"/>
      <c r="AH7" s="672"/>
      <c r="AI7" s="672"/>
      <c r="AJ7" s="672"/>
      <c r="AL7" s="1137"/>
      <c r="AO7" s="676" t="s">
        <v>1374</v>
      </c>
      <c r="AT7" s="670">
        <f>'SG&amp;A'!G80</f>
        <v>221</v>
      </c>
      <c r="AU7" s="1090">
        <f>'SG&amp;A'!H80</f>
        <v>233</v>
      </c>
      <c r="AV7" s="670">
        <f>'SG&amp;A'!I80</f>
        <v>258</v>
      </c>
      <c r="AW7" s="670">
        <f>'SG&amp;A'!J80</f>
        <v>274</v>
      </c>
      <c r="AX7" s="670">
        <f>'SG&amp;A'!K80</f>
        <v>285</v>
      </c>
      <c r="AY7" s="670">
        <f>'SG&amp;A'!L80</f>
        <v>295</v>
      </c>
      <c r="AZ7" s="670">
        <f>'SG&amp;A'!M80</f>
        <v>303</v>
      </c>
      <c r="BA7" s="670"/>
      <c r="BC7" s="682"/>
      <c r="BD7" s="697" t="s">
        <v>1390</v>
      </c>
      <c r="BE7" s="697"/>
      <c r="BF7" s="697"/>
      <c r="BG7" s="697"/>
      <c r="BH7" s="697"/>
      <c r="BI7" s="774">
        <f>O63</f>
        <v>113601.57813046199</v>
      </c>
      <c r="BJ7" s="1097">
        <f>P63</f>
        <v>122275.57677699625</v>
      </c>
      <c r="BK7" s="774">
        <f>R63</f>
        <v>259330.73760554707</v>
      </c>
      <c r="BL7" s="774">
        <f>S63</f>
        <v>282921.44071295136</v>
      </c>
      <c r="BM7" s="774">
        <f>T63</f>
        <v>298273.21853830584</v>
      </c>
      <c r="BN7" s="774">
        <f>U63</f>
        <v>314458.00881335349</v>
      </c>
      <c r="BO7" s="774">
        <f>V63</f>
        <v>331521.01214933564</v>
      </c>
      <c r="BS7" s="691"/>
      <c r="BT7" s="691"/>
      <c r="BU7" s="691"/>
      <c r="BV7" s="691"/>
      <c r="BW7" s="691"/>
      <c r="BX7" s="691"/>
      <c r="BY7" s="691"/>
      <c r="BZ7" s="691"/>
      <c r="CA7" s="691"/>
      <c r="CH7" s="704"/>
      <c r="CI7" s="704" t="s">
        <v>755</v>
      </c>
      <c r="CJ7" s="704"/>
      <c r="CK7" s="704"/>
      <c r="CL7" s="704"/>
      <c r="CM7" s="770">
        <v>157.3147054263566</v>
      </c>
      <c r="CN7" s="770">
        <v>169.6731897810219</v>
      </c>
      <c r="CO7" s="770">
        <v>196.80460070671379</v>
      </c>
      <c r="CP7" s="801">
        <v>174.59749863803077</v>
      </c>
      <c r="CV7" s="978"/>
      <c r="CW7" s="978"/>
      <c r="CX7" s="978"/>
      <c r="CY7" s="1028"/>
      <c r="CZ7" s="672"/>
      <c r="DA7" s="1029"/>
    </row>
    <row r="8" spans="2:105" ht="15.75" customHeight="1" thickBot="1">
      <c r="B8" s="694" t="s">
        <v>700</v>
      </c>
      <c r="C8" s="695"/>
      <c r="D8" s="695"/>
      <c r="E8" s="695"/>
      <c r="F8" s="695"/>
      <c r="G8" s="695"/>
      <c r="H8" s="695"/>
      <c r="I8" s="695"/>
      <c r="J8" s="695"/>
      <c r="K8" s="695"/>
      <c r="L8" s="1119">
        <f>DCF!E9</f>
        <v>0.74605249343752955</v>
      </c>
      <c r="M8" s="696">
        <f>DCF!F9</f>
        <v>0.75301184976752233</v>
      </c>
      <c r="N8" s="696">
        <f>DCF!G9</f>
        <v>0.75052891559292134</v>
      </c>
      <c r="O8" s="696">
        <f>DCF!H9</f>
        <v>0.74426394046750255</v>
      </c>
      <c r="P8" s="1119">
        <f>DCF!I9</f>
        <v>0.74280595558416596</v>
      </c>
      <c r="Q8" s="696">
        <f>DCF!J9</f>
        <v>0.74348827044057852</v>
      </c>
      <c r="R8" s="696">
        <f>DCF!K9</f>
        <v>0.73988998581749266</v>
      </c>
      <c r="S8" s="696">
        <f>DCF!L9</f>
        <v>0.73697401605081936</v>
      </c>
      <c r="T8" s="696">
        <f>DCF!M9</f>
        <v>0.73405804628414606</v>
      </c>
      <c r="U8" s="696">
        <f>DCF!N9</f>
        <v>0.73114207651747276</v>
      </c>
      <c r="V8" s="696">
        <f>DCF!O9</f>
        <v>0.72822610675079946</v>
      </c>
      <c r="X8" s="689" t="s">
        <v>1341</v>
      </c>
      <c r="Y8" s="689"/>
      <c r="Z8" s="689"/>
      <c r="AA8" s="689"/>
      <c r="AB8" s="689"/>
      <c r="AC8" s="689"/>
      <c r="AD8" s="742">
        <f>매출추정!F25</f>
        <v>0.13263487371212451</v>
      </c>
      <c r="AE8" s="1093">
        <f>매출추정!I25</f>
        <v>0.14089198707059811</v>
      </c>
      <c r="AF8" s="742">
        <f>매출추정!J25</f>
        <v>0.147234992174963</v>
      </c>
      <c r="AG8" s="742">
        <f>매출추정!K25</f>
        <v>0.15098882844877509</v>
      </c>
      <c r="AH8" s="742">
        <f>매출추정!L25</f>
        <v>0.15098882844877509</v>
      </c>
      <c r="AI8" s="742">
        <f>매출추정!M25</f>
        <v>0.15098882844877509</v>
      </c>
      <c r="AJ8" s="742">
        <f>매출추정!N25</f>
        <v>0.15098882844877509</v>
      </c>
      <c r="AL8" s="1138"/>
      <c r="AO8" s="676" t="s">
        <v>1228</v>
      </c>
      <c r="AT8" s="670">
        <f>'SG&amp;A'!G81</f>
        <v>2412</v>
      </c>
      <c r="AU8" s="1090">
        <f>'SG&amp;A'!H81</f>
        <v>2508</v>
      </c>
      <c r="AV8" s="670">
        <f>'SG&amp;A'!I81</f>
        <v>2708</v>
      </c>
      <c r="AW8" s="670">
        <f>'SG&amp;A'!J81</f>
        <v>2836</v>
      </c>
      <c r="AX8" s="670">
        <f>'SG&amp;A'!K81</f>
        <v>2924</v>
      </c>
      <c r="AY8" s="670">
        <f>'SG&amp;A'!L81</f>
        <v>3004</v>
      </c>
      <c r="AZ8" s="670">
        <f>'SG&amp;A'!M81</f>
        <v>3068</v>
      </c>
      <c r="BA8" s="670"/>
      <c r="BC8" s="682"/>
      <c r="BD8" s="699" t="s">
        <v>1391</v>
      </c>
      <c r="BE8" s="700"/>
      <c r="BF8" s="700"/>
      <c r="BG8" s="700"/>
      <c r="BH8" s="700"/>
      <c r="BI8" s="775">
        <f t="shared" ref="BI8" si="4">BI7/BI5</f>
        <v>7.0695686199497398E-2</v>
      </c>
      <c r="BJ8" s="1098">
        <f t="shared" ref="BJ8:BO8" si="5">BJ7/BJ5</f>
        <v>6.6935434570446123E-2</v>
      </c>
      <c r="BK8" s="775">
        <f t="shared" si="5"/>
        <v>6.6935434570446123E-2</v>
      </c>
      <c r="BL8" s="775">
        <f t="shared" si="5"/>
        <v>6.6935434570446109E-2</v>
      </c>
      <c r="BM8" s="775">
        <f t="shared" si="5"/>
        <v>6.6935434570446123E-2</v>
      </c>
      <c r="BN8" s="775">
        <f t="shared" si="5"/>
        <v>6.6935434570446109E-2</v>
      </c>
      <c r="BO8" s="775">
        <f t="shared" si="5"/>
        <v>6.6935434570446123E-2</v>
      </c>
      <c r="BS8" s="1276" t="s">
        <v>2938</v>
      </c>
      <c r="BT8" s="1128"/>
      <c r="BU8" s="1128"/>
      <c r="BV8" s="1128"/>
      <c r="BW8" s="1128"/>
      <c r="BX8" s="668">
        <f>매출추정!G95*10</f>
        <v>217080</v>
      </c>
      <c r="BY8" s="668">
        <f>매출추정!H95*10</f>
        <v>219870</v>
      </c>
      <c r="BZ8" s="668">
        <f>매출추정!I95*10</f>
        <v>230030</v>
      </c>
      <c r="CA8" s="668"/>
      <c r="CV8" s="1004" t="s">
        <v>2311</v>
      </c>
      <c r="CW8" s="1004"/>
      <c r="CX8" s="1004"/>
      <c r="CY8" s="1030"/>
      <c r="CZ8" s="767"/>
      <c r="DA8" s="1031">
        <f>Multiple!F12</f>
        <v>10.05741108980442</v>
      </c>
    </row>
    <row r="9" spans="2:105" ht="12" customHeight="1" thickBot="1">
      <c r="B9" s="689" t="s">
        <v>721</v>
      </c>
      <c r="C9" s="689"/>
      <c r="D9" s="689"/>
      <c r="E9" s="689"/>
      <c r="F9" s="689"/>
      <c r="G9" s="689"/>
      <c r="H9" s="689"/>
      <c r="I9" s="689"/>
      <c r="J9" s="689"/>
      <c r="K9" s="689"/>
      <c r="L9" s="1089">
        <f>DCF!E10</f>
        <v>378883.64120900002</v>
      </c>
      <c r="M9" s="669">
        <f>DCF!F10</f>
        <v>657963.55582899996</v>
      </c>
      <c r="N9" s="669">
        <f>DCF!G10</f>
        <v>760058.233091</v>
      </c>
      <c r="O9" s="669">
        <f>DCF!H10</f>
        <v>410944.733824</v>
      </c>
      <c r="P9" s="1089">
        <f>DCF!I10</f>
        <v>469834.10694759153</v>
      </c>
      <c r="Q9" s="669">
        <f>DCF!J10</f>
        <v>880778.84077159176</v>
      </c>
      <c r="R9" s="669">
        <f>DCF!K10</f>
        <v>1007755.0443860418</v>
      </c>
      <c r="S9" s="669">
        <f>DCF!L10</f>
        <v>1111753.3007950387</v>
      </c>
      <c r="T9" s="669">
        <f>DCF!M10</f>
        <v>1185072.7942269375</v>
      </c>
      <c r="U9" s="669">
        <f>DCF!N10</f>
        <v>1263075.7955717715</v>
      </c>
      <c r="V9" s="669">
        <f>DCF!O10</f>
        <v>1346054.6979928268</v>
      </c>
      <c r="Y9" s="739" t="s">
        <v>10</v>
      </c>
      <c r="Z9" s="739"/>
      <c r="AA9" s="739"/>
      <c r="AB9" s="739"/>
      <c r="AC9" s="739"/>
      <c r="AD9" s="739"/>
      <c r="AE9" s="1091"/>
      <c r="AF9" s="730">
        <f>AF8/AE8-1</f>
        <v>4.5020339596648196E-2</v>
      </c>
      <c r="AG9" s="730">
        <f t="shared" ref="AG9:AJ9" si="6">AG8/AF8-1</f>
        <v>2.5495544356407551E-2</v>
      </c>
      <c r="AH9" s="730">
        <f t="shared" si="6"/>
        <v>0</v>
      </c>
      <c r="AI9" s="730">
        <f t="shared" si="6"/>
        <v>0</v>
      </c>
      <c r="AJ9" s="730">
        <f t="shared" si="6"/>
        <v>0</v>
      </c>
      <c r="AL9" s="776"/>
      <c r="AO9" s="1142" t="s">
        <v>2166</v>
      </c>
      <c r="AP9" s="1142"/>
      <c r="AQ9" s="1142"/>
      <c r="AR9" s="1142"/>
      <c r="AS9" s="1142"/>
      <c r="AT9" s="713">
        <f>SUM(AT5:AT8)</f>
        <v>2816</v>
      </c>
      <c r="AU9" s="1105">
        <f>SUM(AU5:AU8)</f>
        <v>2924</v>
      </c>
      <c r="AV9" s="713">
        <f t="shared" ref="AV9:AZ9" si="7">SUM(AV5:AV8)</f>
        <v>3155</v>
      </c>
      <c r="AW9" s="713">
        <f t="shared" si="7"/>
        <v>3305</v>
      </c>
      <c r="AX9" s="713">
        <f t="shared" si="7"/>
        <v>3404</v>
      </c>
      <c r="AY9" s="713">
        <f t="shared" si="7"/>
        <v>3494</v>
      </c>
      <c r="AZ9" s="713">
        <f t="shared" si="7"/>
        <v>3566</v>
      </c>
      <c r="BA9" s="670"/>
      <c r="BC9" s="682"/>
      <c r="BD9" s="682"/>
      <c r="BE9" s="682" t="s">
        <v>1387</v>
      </c>
      <c r="BF9" s="682"/>
      <c r="BG9" s="682"/>
      <c r="BH9" s="682"/>
      <c r="BI9" s="776">
        <f>O64</f>
        <v>34959.809000000001</v>
      </c>
      <c r="BJ9" s="1099">
        <f>P64</f>
        <v>32844.328702049243</v>
      </c>
      <c r="BK9" s="776">
        <f>R64</f>
        <v>69658.587699779149</v>
      </c>
      <c r="BL9" s="776">
        <f>S64</f>
        <v>75995.264471994611</v>
      </c>
      <c r="BM9" s="776">
        <f>T64</f>
        <v>80118.891203900013</v>
      </c>
      <c r="BN9" s="776">
        <f>U64</f>
        <v>84466.272633446468</v>
      </c>
      <c r="BO9" s="776">
        <f>V64</f>
        <v>89049.550054686915</v>
      </c>
      <c r="BT9" s="698" t="s">
        <v>2164</v>
      </c>
      <c r="BU9" s="698"/>
      <c r="BV9" s="698"/>
      <c r="BW9" s="698"/>
      <c r="BX9" s="730">
        <f>BX5/(BX8*100)</f>
        <v>0.11292160434586328</v>
      </c>
      <c r="BY9" s="730">
        <f t="shared" ref="BY9:BZ9" si="8">BY5/(BY8*100)</f>
        <v>0.12116013400482102</v>
      </c>
      <c r="BZ9" s="730">
        <f t="shared" si="8"/>
        <v>0.1324470145544929</v>
      </c>
      <c r="CA9" s="730"/>
      <c r="CV9" s="1003" t="s">
        <v>2312</v>
      </c>
      <c r="CW9" s="1003"/>
      <c r="CX9" s="1003"/>
      <c r="CY9" s="1032"/>
      <c r="CZ9" s="1033"/>
      <c r="DA9" s="1032" t="str">
        <f>Multiple!F13</f>
        <v>9.14~ 11.82</v>
      </c>
    </row>
    <row r="10" spans="2:105" ht="12" customHeight="1" thickBot="1">
      <c r="B10" s="676" t="s">
        <v>722</v>
      </c>
      <c r="L10" s="1090">
        <f>DCF!E11</f>
        <v>330026.20809700002</v>
      </c>
      <c r="M10" s="671">
        <f>DCF!F11</f>
        <v>476792.342</v>
      </c>
      <c r="N10" s="671">
        <f>DCF!G11</f>
        <v>545797.12099999993</v>
      </c>
      <c r="O10" s="671">
        <f>DCF!H11</f>
        <v>284644.701</v>
      </c>
      <c r="P10" s="1090">
        <f>DCF!I11</f>
        <v>303638.23449101381</v>
      </c>
      <c r="Q10" s="671">
        <f>DCF!J11</f>
        <v>588282.93549101381</v>
      </c>
      <c r="R10" s="671">
        <f>DCF!K11</f>
        <v>648065.32055791211</v>
      </c>
      <c r="S10" s="671">
        <f>DCF!L11</f>
        <v>699825.44211068831</v>
      </c>
      <c r="T10" s="671">
        <f>DCF!M11</f>
        <v>739620.43811773637</v>
      </c>
      <c r="U10" s="671">
        <f>DCF!N11</f>
        <v>781180.7636663185</v>
      </c>
      <c r="V10" s="671">
        <f>DCF!O11</f>
        <v>822343.30504078115</v>
      </c>
      <c r="X10" s="691"/>
      <c r="Y10" s="691"/>
      <c r="Z10" s="691"/>
      <c r="AA10" s="691"/>
      <c r="AB10" s="691"/>
      <c r="AC10" s="691"/>
      <c r="AD10" s="691"/>
      <c r="AE10" s="1092"/>
      <c r="AF10" s="672"/>
      <c r="AG10" s="672"/>
      <c r="AH10" s="672"/>
      <c r="AI10" s="672"/>
      <c r="AJ10" s="672"/>
      <c r="AL10" s="1139"/>
      <c r="AU10" s="670"/>
      <c r="AV10" s="670"/>
      <c r="AW10" s="670"/>
      <c r="AX10" s="670"/>
      <c r="AY10" s="670"/>
      <c r="AZ10" s="670"/>
      <c r="BA10" s="670"/>
      <c r="BC10" s="682"/>
      <c r="BF10" s="700" t="s">
        <v>1392</v>
      </c>
      <c r="BG10" s="700"/>
      <c r="BH10" s="700"/>
      <c r="BI10" s="775">
        <f>BI9/BI$5</f>
        <v>2.1755927402875016E-2</v>
      </c>
      <c r="BJ10" s="1098">
        <f>BJ9/BJ$5</f>
        <v>1.7979464687831574E-2</v>
      </c>
      <c r="BK10" s="775">
        <f t="shared" ref="BK10:BO10" si="9">BK9/BK$5</f>
        <v>1.797946468783158E-2</v>
      </c>
      <c r="BL10" s="775">
        <f t="shared" si="9"/>
        <v>1.7979464687831577E-2</v>
      </c>
      <c r="BM10" s="775">
        <f t="shared" si="9"/>
        <v>1.7979464687831577E-2</v>
      </c>
      <c r="BN10" s="775">
        <f t="shared" si="9"/>
        <v>1.7979464687831577E-2</v>
      </c>
      <c r="BO10" s="775">
        <f t="shared" si="9"/>
        <v>1.7979464687831574E-2</v>
      </c>
      <c r="CH10" s="686" t="s">
        <v>1711</v>
      </c>
      <c r="CI10" s="686"/>
      <c r="CJ10" s="686"/>
      <c r="CK10" s="686"/>
      <c r="CL10" s="686"/>
      <c r="CM10" s="1148">
        <v>2008</v>
      </c>
      <c r="CN10" s="1148">
        <v>2009</v>
      </c>
      <c r="CO10" s="1148">
        <v>2010</v>
      </c>
      <c r="CP10" s="1148" t="s">
        <v>1464</v>
      </c>
      <c r="CV10" s="957"/>
      <c r="CW10" s="957"/>
      <c r="CX10" s="957"/>
      <c r="CY10" s="1027"/>
      <c r="CZ10" s="670"/>
      <c r="DA10" s="670"/>
    </row>
    <row r="11" spans="2:105" ht="12" customHeight="1">
      <c r="B11" s="694" t="s">
        <v>1331</v>
      </c>
      <c r="C11" s="695"/>
      <c r="D11" s="695"/>
      <c r="E11" s="695"/>
      <c r="F11" s="695"/>
      <c r="G11" s="695"/>
      <c r="H11" s="695"/>
      <c r="I11" s="695"/>
      <c r="J11" s="695"/>
      <c r="K11" s="695"/>
      <c r="L11" s="1119">
        <f>DCF!E12</f>
        <v>0.22120071581625558</v>
      </c>
      <c r="M11" s="696">
        <f>DCF!F12</f>
        <v>0.17897960692855822</v>
      </c>
      <c r="N11" s="696">
        <f>DCF!G12</f>
        <v>0.17914495720728454</v>
      </c>
      <c r="O11" s="696">
        <f>DCF!H12</f>
        <v>0.17713796578720054</v>
      </c>
      <c r="P11" s="1119">
        <f>DCF!I12</f>
        <v>0.16621599925000413</v>
      </c>
      <c r="Q11" s="696">
        <f>DCF!J12</f>
        <v>0.17132731426756209</v>
      </c>
      <c r="R11" s="696">
        <f>DCF!K12</f>
        <v>0.16727108503258065</v>
      </c>
      <c r="S11" s="696">
        <f>DCF!L12</f>
        <v>0.1655693537156131</v>
      </c>
      <c r="T11" s="696">
        <f>DCF!M12</f>
        <v>0.1659780777007189</v>
      </c>
      <c r="U11" s="696">
        <f>DCF!N12</f>
        <v>0.16628189592434239</v>
      </c>
      <c r="V11" s="696">
        <f>DCF!O12</f>
        <v>0.16603444268023276</v>
      </c>
      <c r="X11" s="689" t="s">
        <v>2140</v>
      </c>
      <c r="Y11" s="689"/>
      <c r="Z11" s="689"/>
      <c r="AA11" s="689"/>
      <c r="AB11" s="689"/>
      <c r="AC11" s="689"/>
      <c r="AD11" s="668">
        <f>N5</f>
        <v>3046678.6757970001</v>
      </c>
      <c r="AE11" s="1089">
        <f>P5</f>
        <v>1826768.9985385463</v>
      </c>
      <c r="AF11" s="668">
        <f>R5</f>
        <v>3874341.5840919763</v>
      </c>
      <c r="AG11" s="668">
        <f>S5</f>
        <v>4226781.2635950102</v>
      </c>
      <c r="AH11" s="668">
        <f>T5</f>
        <v>4456133.2940086992</v>
      </c>
      <c r="AI11" s="668">
        <f>U5</f>
        <v>4697930.3388611386</v>
      </c>
      <c r="AJ11" s="668">
        <f>V5</f>
        <v>4952847.6848899331</v>
      </c>
      <c r="AL11" s="1138"/>
      <c r="AU11" s="670"/>
      <c r="AV11" s="670"/>
      <c r="AW11" s="670"/>
      <c r="AX11" s="670"/>
      <c r="AY11" s="670"/>
      <c r="AZ11" s="670"/>
      <c r="BA11" s="670"/>
      <c r="BC11" s="682"/>
      <c r="BD11" s="682"/>
      <c r="BE11" s="682" t="s">
        <v>2177</v>
      </c>
      <c r="BF11" s="682"/>
      <c r="BG11" s="682"/>
      <c r="BH11" s="682"/>
      <c r="BI11" s="776">
        <f>O65</f>
        <v>28924.373130461998</v>
      </c>
      <c r="BJ11" s="1099">
        <f>P65</f>
        <v>32881.84197369383</v>
      </c>
      <c r="BK11" s="776">
        <f>R65</f>
        <v>69738.148513655571</v>
      </c>
      <c r="BL11" s="776">
        <f>S65</f>
        <v>76082.062744710172</v>
      </c>
      <c r="BM11" s="776">
        <f>T65</f>
        <v>80210.39929215658</v>
      </c>
      <c r="BN11" s="776">
        <f>U65</f>
        <v>84562.746099500495</v>
      </c>
      <c r="BO11" s="776">
        <f>V65</f>
        <v>89151.258328018783</v>
      </c>
      <c r="BS11" s="702" t="s">
        <v>2956</v>
      </c>
      <c r="BT11" s="702"/>
      <c r="BU11" s="702"/>
      <c r="BV11" s="702"/>
      <c r="BW11" s="702"/>
      <c r="BX11" s="1129">
        <f>BX5/BX12</f>
        <v>9501.1712679844968</v>
      </c>
      <c r="BY11" s="1129">
        <f>BY5/BY12</f>
        <v>9722.4374684817521</v>
      </c>
      <c r="BZ11" s="1129">
        <f>BZ5/BZ12</f>
        <v>10765.649031084806</v>
      </c>
      <c r="CA11" s="1129">
        <f>CA5/CA12</f>
        <v>5447.151248674576</v>
      </c>
      <c r="CH11" s="676" t="s">
        <v>1713</v>
      </c>
      <c r="CM11" s="830">
        <f>BX8/1000</f>
        <v>217.08</v>
      </c>
      <c r="CN11" s="830">
        <f>BY8/1000</f>
        <v>219.87</v>
      </c>
      <c r="CO11" s="830">
        <f>BZ8/1000</f>
        <v>230.03</v>
      </c>
      <c r="CP11" s="830"/>
      <c r="CV11" s="957"/>
      <c r="CW11" s="957"/>
      <c r="CX11" s="957"/>
      <c r="CY11" s="1027"/>
      <c r="CZ11" s="670"/>
      <c r="DA11" s="670"/>
    </row>
    <row r="12" spans="2:105" ht="12" customHeight="1" thickBot="1">
      <c r="B12" s="689" t="s">
        <v>724</v>
      </c>
      <c r="C12" s="689"/>
      <c r="D12" s="689"/>
      <c r="E12" s="689"/>
      <c r="F12" s="689"/>
      <c r="G12" s="689"/>
      <c r="H12" s="689"/>
      <c r="I12" s="689"/>
      <c r="J12" s="689"/>
      <c r="K12" s="689"/>
      <c r="L12" s="1089">
        <f>DCF!E13</f>
        <v>48857.433111999999</v>
      </c>
      <c r="M12" s="669">
        <f>DCF!F13</f>
        <v>181171.21382899996</v>
      </c>
      <c r="N12" s="669">
        <f>DCF!G13</f>
        <v>214261.11209100008</v>
      </c>
      <c r="O12" s="669">
        <f>DCF!H13</f>
        <v>126300.03282399999</v>
      </c>
      <c r="P12" s="1089">
        <f>DCF!I13</f>
        <v>166195.87245657772</v>
      </c>
      <c r="Q12" s="669">
        <f>DCF!J13</f>
        <v>292495.90528057795</v>
      </c>
      <c r="R12" s="669">
        <f>DCF!K13</f>
        <v>359689.7238281297</v>
      </c>
      <c r="S12" s="669">
        <f>DCF!L13</f>
        <v>411927.85868435039</v>
      </c>
      <c r="T12" s="669">
        <f>DCF!M13</f>
        <v>445452.35610920109</v>
      </c>
      <c r="U12" s="669">
        <f>DCF!N13</f>
        <v>481895.03190545295</v>
      </c>
      <c r="V12" s="669">
        <f>DCF!O13</f>
        <v>523711.39295204566</v>
      </c>
      <c r="X12" s="635"/>
      <c r="Y12" s="1130" t="s">
        <v>10</v>
      </c>
      <c r="Z12" s="1130"/>
      <c r="AA12" s="1130"/>
      <c r="AB12" s="1130"/>
      <c r="AC12" s="1130"/>
      <c r="AD12" s="1130"/>
      <c r="AE12" s="1091">
        <f>매출추정!K15</f>
        <v>0.1270235499972141</v>
      </c>
      <c r="AF12" s="731">
        <f>매출추정!L15</f>
        <v>0.12833553059563418</v>
      </c>
      <c r="AG12" s="731">
        <f>매출추정!M15</f>
        <v>9.0967632010081179E-2</v>
      </c>
      <c r="AH12" s="731">
        <f>매출추정!N15</f>
        <v>5.4261627491605235E-2</v>
      </c>
      <c r="AI12" s="731">
        <f>매출추정!O15</f>
        <v>5.4261627491605013E-2</v>
      </c>
      <c r="AJ12" s="731">
        <f>매출추정!P15</f>
        <v>5.4261627491605458E-2</v>
      </c>
      <c r="AL12" s="776"/>
      <c r="AU12" s="670"/>
      <c r="AV12" s="670"/>
      <c r="AW12" s="670"/>
      <c r="AX12" s="670"/>
      <c r="AY12" s="670"/>
      <c r="AZ12" s="670"/>
      <c r="BA12" s="670"/>
      <c r="BC12" s="682"/>
      <c r="BF12" s="700" t="s">
        <v>1392</v>
      </c>
      <c r="BG12" s="700"/>
      <c r="BH12" s="700"/>
      <c r="BI12" s="775">
        <f>BI11/BI$5</f>
        <v>1.7999999999999999E-2</v>
      </c>
      <c r="BJ12" s="1098">
        <f>BJ11/BJ$5</f>
        <v>1.7999999999999999E-2</v>
      </c>
      <c r="BK12" s="775">
        <f t="shared" ref="BK12" si="10">BK11/BK$5</f>
        <v>1.7999999999999999E-2</v>
      </c>
      <c r="BL12" s="775">
        <f t="shared" ref="BL12" si="11">BL11/BL$5</f>
        <v>1.7999999999999999E-2</v>
      </c>
      <c r="BM12" s="775">
        <f t="shared" ref="BM12" si="12">BM11/BM$5</f>
        <v>1.7999999999999999E-2</v>
      </c>
      <c r="BN12" s="775">
        <f t="shared" ref="BN12" si="13">BN11/BN$5</f>
        <v>1.7999999999999999E-2</v>
      </c>
      <c r="BO12" s="775">
        <f t="shared" ref="BO12" si="14">BO11/BO$5</f>
        <v>1.7999999999999999E-2</v>
      </c>
      <c r="BS12" s="635"/>
      <c r="BT12" s="635" t="s">
        <v>2957</v>
      </c>
      <c r="BU12" s="635"/>
      <c r="BV12" s="635"/>
      <c r="BW12" s="635"/>
      <c r="BX12" s="671">
        <f>매출추정!G143</f>
        <v>258</v>
      </c>
      <c r="BY12" s="671">
        <f>매출추정!H143</f>
        <v>274</v>
      </c>
      <c r="BZ12" s="671">
        <f>매출추정!I143</f>
        <v>283</v>
      </c>
      <c r="CA12" s="671">
        <f>매출추정!K143</f>
        <v>295</v>
      </c>
      <c r="CH12" s="676" t="s">
        <v>1704</v>
      </c>
      <c r="CM12" s="830">
        <f>BX5/1000</f>
        <v>2451.3021871400001</v>
      </c>
      <c r="CN12" s="830">
        <f>BY5/1000</f>
        <v>2663.9478663639998</v>
      </c>
      <c r="CO12" s="830">
        <f>BZ5/1000</f>
        <v>3046.6786757969999</v>
      </c>
      <c r="CP12" s="830">
        <f>CA5/1000</f>
        <v>1606.909618359</v>
      </c>
      <c r="CV12" s="1002" t="s">
        <v>2313</v>
      </c>
      <c r="CW12" s="1002"/>
      <c r="CX12" s="1001"/>
      <c r="CY12" s="687" t="s">
        <v>2314</v>
      </c>
      <c r="CZ12" s="687" t="s">
        <v>2315</v>
      </c>
      <c r="DA12" s="687" t="s">
        <v>2316</v>
      </c>
    </row>
    <row r="13" spans="2:105" ht="12" customHeight="1" thickBot="1">
      <c r="B13" s="700" t="s">
        <v>725</v>
      </c>
      <c r="C13" s="698"/>
      <c r="D13" s="698"/>
      <c r="E13" s="698"/>
      <c r="F13" s="698"/>
      <c r="G13" s="698"/>
      <c r="H13" s="698"/>
      <c r="I13" s="698"/>
      <c r="J13" s="698"/>
      <c r="K13" s="698"/>
      <c r="L13" s="1098">
        <f>DCF!E14</f>
        <v>3.2746790746214879E-2</v>
      </c>
      <c r="M13" s="703">
        <f>DCF!F14</f>
        <v>6.8008543303919464E-2</v>
      </c>
      <c r="N13" s="703">
        <f>DCF!G14</f>
        <v>7.03261271997941E-2</v>
      </c>
      <c r="O13" s="703">
        <f>DCF!H14</f>
        <v>7.8598093745296929E-2</v>
      </c>
      <c r="P13" s="1098">
        <f>DCF!I14</f>
        <v>9.0978045165829899E-2</v>
      </c>
      <c r="Q13" s="703">
        <f>DCF!J14</f>
        <v>8.5184415291859397E-2</v>
      </c>
      <c r="R13" s="703">
        <f>DCF!K14</f>
        <v>9.2838929149926683E-2</v>
      </c>
      <c r="S13" s="703">
        <f>DCF!L14</f>
        <v>9.745663023356757E-2</v>
      </c>
      <c r="T13" s="703">
        <f>DCF!M14</f>
        <v>9.9963876015135081E-2</v>
      </c>
      <c r="U13" s="703">
        <f>DCF!N14</f>
        <v>0.10257602755818487</v>
      </c>
      <c r="V13" s="703">
        <f>DCF!O14</f>
        <v>0.10573945056896779</v>
      </c>
      <c r="X13" s="691"/>
      <c r="Y13" s="691"/>
      <c r="Z13" s="691"/>
      <c r="AA13" s="691"/>
      <c r="AB13" s="691"/>
      <c r="AC13" s="691"/>
      <c r="AD13" s="691"/>
      <c r="AE13" s="1132"/>
      <c r="AF13" s="1133"/>
      <c r="AG13" s="1133"/>
      <c r="AH13" s="1133"/>
      <c r="AI13" s="1133"/>
      <c r="AJ13" s="1133"/>
      <c r="AL13" s="1136"/>
      <c r="AO13" s="680" t="s">
        <v>1376</v>
      </c>
      <c r="AU13" s="670"/>
      <c r="AV13" s="670"/>
      <c r="AW13" s="670"/>
      <c r="AX13" s="670"/>
      <c r="AY13" s="670"/>
      <c r="AZ13" s="670"/>
      <c r="BA13" s="670"/>
      <c r="BC13" s="681"/>
      <c r="BD13" s="682"/>
      <c r="BE13" s="682" t="s">
        <v>1388</v>
      </c>
      <c r="BF13" s="682"/>
      <c r="BG13" s="682"/>
      <c r="BH13" s="682"/>
      <c r="BI13" s="776">
        <f>O66</f>
        <v>29252.152999999998</v>
      </c>
      <c r="BJ13" s="1099">
        <f>P66</f>
        <v>36235.334686570968</v>
      </c>
      <c r="BK13" s="776">
        <f>R66</f>
        <v>76850.474308457022</v>
      </c>
      <c r="BL13" s="776">
        <f>S66</f>
        <v>83841.379975148928</v>
      </c>
      <c r="BM13" s="776">
        <f>T66</f>
        <v>88390.749703742593</v>
      </c>
      <c r="BN13" s="776">
        <f>U66</f>
        <v>93186.975637870783</v>
      </c>
      <c r="BO13" s="776">
        <f>V66</f>
        <v>98243.452597002208</v>
      </c>
      <c r="BS13" s="704"/>
      <c r="BT13" s="705"/>
      <c r="BU13" s="705"/>
      <c r="BV13" s="705"/>
      <c r="BW13" s="705"/>
      <c r="BX13" s="793"/>
      <c r="BY13" s="737"/>
      <c r="BZ13" s="737"/>
      <c r="CA13" s="737"/>
      <c r="CB13" s="670"/>
      <c r="CH13" s="809" t="s">
        <v>1712</v>
      </c>
      <c r="CI13" s="809"/>
      <c r="CJ13" s="809"/>
      <c r="CK13" s="809"/>
      <c r="CL13" s="809"/>
      <c r="CM13" s="831">
        <f>BX9</f>
        <v>0.11292160434586328</v>
      </c>
      <c r="CN13" s="831">
        <f>BY9</f>
        <v>0.12116013400482102</v>
      </c>
      <c r="CO13" s="831">
        <f>BZ9</f>
        <v>0.1324470145544929</v>
      </c>
      <c r="CP13" s="810"/>
      <c r="CV13" s="668" t="s">
        <v>1868</v>
      </c>
      <c r="CW13" s="668"/>
      <c r="CX13" s="1000"/>
      <c r="CY13" s="1034">
        <f>Multiple!D17</f>
        <v>9.1374373273317602</v>
      </c>
      <c r="CZ13" s="1035">
        <f>Multiple!E17</f>
        <v>10.05741108980442</v>
      </c>
      <c r="DA13" s="1035">
        <f>Multiple!F17</f>
        <v>11.81909240638133</v>
      </c>
    </row>
    <row r="14" spans="2:105" ht="15.75" customHeight="1" thickBot="1">
      <c r="B14" s="676" t="s">
        <v>1299</v>
      </c>
      <c r="L14" s="1090">
        <f t="shared" ref="L14:M14" si="15">L12+L18+L19</f>
        <v>120497.336037</v>
      </c>
      <c r="M14" s="671">
        <f t="shared" si="15"/>
        <v>216741.89682899995</v>
      </c>
      <c r="N14" s="671">
        <f>N12+N18+N19</f>
        <v>250858.70809100007</v>
      </c>
      <c r="O14" s="671">
        <f>O12+O18+O19</f>
        <v>146056.466824</v>
      </c>
      <c r="P14" s="1090">
        <f t="shared" ref="P14:V14" si="16">P12+P18+P19</f>
        <v>186569.62727960266</v>
      </c>
      <c r="Q14" s="671">
        <f t="shared" si="16"/>
        <v>332626.09410360287</v>
      </c>
      <c r="R14" s="671">
        <f t="shared" si="16"/>
        <v>401402.29167069501</v>
      </c>
      <c r="S14" s="671">
        <f t="shared" si="16"/>
        <v>454167.9337943602</v>
      </c>
      <c r="T14" s="671">
        <f t="shared" si="16"/>
        <v>487769.55673366494</v>
      </c>
      <c r="U14" s="671">
        <f t="shared" si="16"/>
        <v>525129.63844542846</v>
      </c>
      <c r="V14" s="671">
        <f t="shared" si="16"/>
        <v>566733.94506115327</v>
      </c>
      <c r="X14" s="689" t="s">
        <v>2162</v>
      </c>
      <c r="Y14" s="689"/>
      <c r="Z14" s="689"/>
      <c r="AA14" s="689"/>
      <c r="AB14" s="689"/>
      <c r="AC14" s="689"/>
      <c r="AD14" s="668">
        <f>매출추정!H16</f>
        <v>283</v>
      </c>
      <c r="AE14" s="1089">
        <f>매출추정!H130</f>
        <v>307</v>
      </c>
      <c r="AF14" s="668">
        <f>매출추정!J130</f>
        <v>332</v>
      </c>
      <c r="AG14" s="668">
        <f>매출추정!K130</f>
        <v>348</v>
      </c>
      <c r="AH14" s="668">
        <f>매출추정!L130</f>
        <v>359</v>
      </c>
      <c r="AI14" s="668">
        <f>매출추정!M130</f>
        <v>369</v>
      </c>
      <c r="AJ14" s="668">
        <f>매출추정!N130</f>
        <v>377</v>
      </c>
      <c r="AL14" s="1140"/>
      <c r="AO14" s="683"/>
      <c r="AP14" s="683"/>
      <c r="AQ14" s="683"/>
      <c r="AR14" s="683"/>
      <c r="AS14" s="683"/>
      <c r="AT14" s="1086" t="s">
        <v>2144</v>
      </c>
      <c r="AU14" s="1087" t="s">
        <v>2160</v>
      </c>
      <c r="AV14" s="684"/>
      <c r="AW14" s="684"/>
      <c r="AX14" s="684"/>
      <c r="AY14" s="684"/>
      <c r="AZ14" s="684"/>
      <c r="BA14" s="670"/>
      <c r="BC14" s="681"/>
      <c r="BF14" s="700" t="s">
        <v>1392</v>
      </c>
      <c r="BG14" s="700"/>
      <c r="BH14" s="700"/>
      <c r="BI14" s="775">
        <f>BI13/BI$5</f>
        <v>1.8203981521918284E-2</v>
      </c>
      <c r="BJ14" s="1098">
        <f>BJ13/BJ$5</f>
        <v>1.9835750834155823E-2</v>
      </c>
      <c r="BK14" s="775">
        <f t="shared" ref="BK14" si="17">BK13/BK$5</f>
        <v>1.9835750834155827E-2</v>
      </c>
      <c r="BL14" s="775">
        <f t="shared" ref="BL14" si="18">BL13/BL$5</f>
        <v>1.9835750834155823E-2</v>
      </c>
      <c r="BM14" s="775">
        <f t="shared" ref="BM14" si="19">BM13/BM$5</f>
        <v>1.9835750834155823E-2</v>
      </c>
      <c r="BN14" s="775">
        <f t="shared" ref="BN14" si="20">BN13/BN$5</f>
        <v>1.9835750834155823E-2</v>
      </c>
      <c r="BO14" s="775">
        <f t="shared" ref="BO14" si="21">BO13/BO$5</f>
        <v>1.983575083415582E-2</v>
      </c>
      <c r="BX14" s="670"/>
      <c r="BY14" s="670"/>
      <c r="BZ14" s="670"/>
      <c r="CA14" s="670"/>
      <c r="CB14" s="670"/>
      <c r="CH14" s="704" t="s">
        <v>1710</v>
      </c>
      <c r="CI14" s="704"/>
      <c r="CJ14" s="704"/>
      <c r="CK14" s="704"/>
      <c r="CL14" s="704"/>
      <c r="CM14" s="772">
        <f>BX6</f>
        <v>7.2310668040244996E-2</v>
      </c>
      <c r="CN14" s="772">
        <f>BY6</f>
        <v>8.674804776807199E-2</v>
      </c>
      <c r="CO14" s="772">
        <f>BZ6</f>
        <v>0.14367053284544418</v>
      </c>
      <c r="CP14" s="770"/>
      <c r="CV14" s="1292" t="s">
        <v>2964</v>
      </c>
      <c r="CW14" s="672"/>
      <c r="CX14" s="978"/>
      <c r="CY14" s="1028">
        <f>Multiple!D18</f>
        <v>332626.09410360287</v>
      </c>
      <c r="CZ14" s="672">
        <f>Multiple!E18</f>
        <v>332626.09410360287</v>
      </c>
      <c r="DA14" s="672">
        <f>Multiple!F18</f>
        <v>332626.09410360287</v>
      </c>
    </row>
    <row r="15" spans="2:105" ht="12" customHeight="1" thickBot="1">
      <c r="B15" s="706" t="s">
        <v>1332</v>
      </c>
      <c r="C15" s="707"/>
      <c r="D15" s="707"/>
      <c r="E15" s="707"/>
      <c r="F15" s="707"/>
      <c r="G15" s="707"/>
      <c r="H15" s="707"/>
      <c r="I15" s="707"/>
      <c r="J15" s="707"/>
      <c r="K15" s="707"/>
      <c r="L15" s="1098">
        <f t="shared" ref="L15:V15" si="22">L14/L5</f>
        <v>8.0763576744493637E-2</v>
      </c>
      <c r="M15" s="703">
        <f t="shared" si="22"/>
        <v>8.136116309394191E-2</v>
      </c>
      <c r="N15" s="703">
        <f t="shared" si="22"/>
        <v>8.2338419894371156E-2</v>
      </c>
      <c r="O15" s="703">
        <f t="shared" si="22"/>
        <v>9.0892770293549585E-2</v>
      </c>
      <c r="P15" s="1098">
        <f t="shared" si="22"/>
        <v>0.10213093578271927</v>
      </c>
      <c r="Q15" s="703">
        <f t="shared" si="22"/>
        <v>9.6871644441826846E-2</v>
      </c>
      <c r="R15" s="703">
        <f t="shared" si="22"/>
        <v>0.10360529214017949</v>
      </c>
      <c r="S15" s="703">
        <f t="shared" si="22"/>
        <v>0.10745006790535362</v>
      </c>
      <c r="T15" s="703">
        <f t="shared" si="22"/>
        <v>0.10946027072158598</v>
      </c>
      <c r="U15" s="703">
        <f t="shared" si="22"/>
        <v>0.11177893254431039</v>
      </c>
      <c r="V15" s="703">
        <f t="shared" si="22"/>
        <v>0.11442587802369451</v>
      </c>
      <c r="X15" s="704"/>
      <c r="Y15" s="743" t="s">
        <v>10</v>
      </c>
      <c r="Z15" s="743"/>
      <c r="AA15" s="743"/>
      <c r="AB15" s="743"/>
      <c r="AC15" s="743"/>
      <c r="AD15" s="743"/>
      <c r="AE15" s="1094">
        <f>AE14/AD14-1</f>
        <v>8.4805653710247286E-2</v>
      </c>
      <c r="AF15" s="737">
        <f>AF14/AE14-1</f>
        <v>8.1433224755700362E-2</v>
      </c>
      <c r="AG15" s="737">
        <f>AG14/AF14-1</f>
        <v>4.8192771084337283E-2</v>
      </c>
      <c r="AH15" s="737">
        <f t="shared" ref="AH15:AJ15" si="23">AH14/AG14-1</f>
        <v>3.1609195402298784E-2</v>
      </c>
      <c r="AI15" s="737">
        <f t="shared" si="23"/>
        <v>2.7855153203342642E-2</v>
      </c>
      <c r="AJ15" s="737">
        <f t="shared" si="23"/>
        <v>2.1680216802167918E-2</v>
      </c>
      <c r="AL15" s="1141"/>
      <c r="AO15" s="686" t="s">
        <v>1378</v>
      </c>
      <c r="AP15" s="686"/>
      <c r="AQ15" s="686"/>
      <c r="AR15" s="686"/>
      <c r="AS15" s="686"/>
      <c r="AT15" s="687" t="s">
        <v>2141</v>
      </c>
      <c r="AU15" s="1088" t="s">
        <v>2142</v>
      </c>
      <c r="AV15" s="1148">
        <v>2012</v>
      </c>
      <c r="AW15" s="1148">
        <v>2013</v>
      </c>
      <c r="AX15" s="1148">
        <v>2014</v>
      </c>
      <c r="AY15" s="1148">
        <v>2015</v>
      </c>
      <c r="AZ15" s="1148">
        <v>2016</v>
      </c>
      <c r="BA15" s="670"/>
      <c r="BC15" s="681"/>
      <c r="BD15" s="682"/>
      <c r="BE15" s="682" t="s">
        <v>1389</v>
      </c>
      <c r="BF15" s="682"/>
      <c r="BG15" s="682"/>
      <c r="BH15" s="682"/>
      <c r="BI15" s="776">
        <f>O67</f>
        <v>20465.242999999999</v>
      </c>
      <c r="BJ15" s="1099">
        <f>P67</f>
        <v>20314.071414682207</v>
      </c>
      <c r="BK15" s="776">
        <f>R67</f>
        <v>43083.527083655332</v>
      </c>
      <c r="BL15" s="776">
        <f>S67</f>
        <v>47002.73352109766</v>
      </c>
      <c r="BM15" s="776">
        <f>T67</f>
        <v>49553.178338506645</v>
      </c>
      <c r="BN15" s="776">
        <f>U67</f>
        <v>52242.014442535772</v>
      </c>
      <c r="BO15" s="776">
        <f>V67</f>
        <v>55076.751169627707</v>
      </c>
      <c r="BS15" s="110" t="s">
        <v>42</v>
      </c>
      <c r="BT15" s="94"/>
      <c r="BU15" s="94"/>
      <c r="BV15" s="94"/>
      <c r="BW15" s="94"/>
      <c r="BX15" s="746">
        <v>2009</v>
      </c>
      <c r="BY15" s="746">
        <v>2010</v>
      </c>
      <c r="BZ15" s="670"/>
      <c r="CA15" s="670"/>
      <c r="CB15" s="670"/>
      <c r="CV15" s="671" t="s">
        <v>2317</v>
      </c>
      <c r="CW15" s="671"/>
      <c r="CX15" s="979"/>
      <c r="CY15" s="1036">
        <f>Multiple!D19</f>
        <v>47600.788291000004</v>
      </c>
      <c r="CZ15" s="1036">
        <f>Multiple!E19</f>
        <v>47600.788291000004</v>
      </c>
      <c r="DA15" s="1036">
        <f>Multiple!F19</f>
        <v>47600.788291000004</v>
      </c>
    </row>
    <row r="16" spans="2:105" ht="12" customHeight="1" thickBot="1">
      <c r="B16" s="691" t="s">
        <v>1300</v>
      </c>
      <c r="C16" s="691"/>
      <c r="D16" s="691"/>
      <c r="E16" s="691"/>
      <c r="F16" s="691"/>
      <c r="G16" s="691"/>
      <c r="H16" s="691"/>
      <c r="I16" s="691"/>
      <c r="J16" s="691"/>
      <c r="K16" s="691"/>
      <c r="L16" s="1092">
        <f>DCF!E15</f>
        <v>13404.994105800002</v>
      </c>
      <c r="M16" s="672">
        <f>DCF!F15</f>
        <v>43819.233746617989</v>
      </c>
      <c r="N16" s="672">
        <f>DCF!G15</f>
        <v>51824.78912602202</v>
      </c>
      <c r="O16" s="672">
        <f>DCF!H15</f>
        <v>30564.607943408053</v>
      </c>
      <c r="P16" s="1092">
        <f>DCF!I15</f>
        <v>40193.001134491809</v>
      </c>
      <c r="Q16" s="672">
        <f>DCF!J15</f>
        <v>70757.609077899862</v>
      </c>
      <c r="R16" s="672">
        <f>DCF!K15</f>
        <v>79109.739242188545</v>
      </c>
      <c r="S16" s="672">
        <f>DCF!L15</f>
        <v>90602.12891055709</v>
      </c>
      <c r="T16" s="672">
        <f>DCF!M15</f>
        <v>97977.518344024254</v>
      </c>
      <c r="U16" s="672">
        <f>DCF!N15</f>
        <v>105994.90701919966</v>
      </c>
      <c r="V16" s="672">
        <f>DCF!O15</f>
        <v>115194.50644945005</v>
      </c>
      <c r="AL16" s="1136"/>
      <c r="AO16" s="676" t="s">
        <v>1385</v>
      </c>
      <c r="AU16" s="1090">
        <f>'SG&amp;A'!H83</f>
        <v>12</v>
      </c>
      <c r="AV16" s="670">
        <f>'SG&amp;A'!I83</f>
        <v>25</v>
      </c>
      <c r="AW16" s="670">
        <f>'SG&amp;A'!J83</f>
        <v>16</v>
      </c>
      <c r="AX16" s="670">
        <f>'SG&amp;A'!K83</f>
        <v>11</v>
      </c>
      <c r="AY16" s="670">
        <f>'SG&amp;A'!L83</f>
        <v>10</v>
      </c>
      <c r="AZ16" s="670">
        <f>'SG&amp;A'!M83</f>
        <v>8</v>
      </c>
      <c r="BA16" s="670"/>
      <c r="BC16" s="682"/>
      <c r="BD16" s="708"/>
      <c r="BE16" s="709"/>
      <c r="BF16" s="709" t="s">
        <v>1392</v>
      </c>
      <c r="BG16" s="709"/>
      <c r="BH16" s="709"/>
      <c r="BI16" s="777">
        <f>BI15/BI$5</f>
        <v>1.2735777274704105E-2</v>
      </c>
      <c r="BJ16" s="1100">
        <f>BJ15/BJ$5</f>
        <v>1.1120219048458722E-2</v>
      </c>
      <c r="BK16" s="777">
        <f t="shared" ref="BK16" si="24">BK15/BK$5</f>
        <v>1.1120219048458722E-2</v>
      </c>
      <c r="BL16" s="777">
        <f t="shared" ref="BL16" si="25">BL15/BL$5</f>
        <v>1.1120219048458722E-2</v>
      </c>
      <c r="BM16" s="777">
        <f t="shared" ref="BM16" si="26">BM15/BM$5</f>
        <v>1.1120219048458722E-2</v>
      </c>
      <c r="BN16" s="777">
        <f t="shared" ref="BN16" si="27">BN15/BN$5</f>
        <v>1.1120219048458722E-2</v>
      </c>
      <c r="BO16" s="777">
        <f t="shared" ref="BO16" si="28">BO15/BO$5</f>
        <v>1.112021904845872E-2</v>
      </c>
      <c r="BS16" s="676" t="s">
        <v>1467</v>
      </c>
      <c r="BX16" s="771">
        <v>0.222</v>
      </c>
      <c r="BY16" s="771">
        <v>0.223</v>
      </c>
      <c r="BZ16" s="670"/>
      <c r="CA16" s="670"/>
      <c r="CB16" s="670"/>
      <c r="CV16" s="672" t="s">
        <v>2965</v>
      </c>
      <c r="CW16" s="672"/>
      <c r="CX16" s="978"/>
      <c r="CY16" s="1028">
        <f>Multiple!D20</f>
        <v>3086950.8765978273</v>
      </c>
      <c r="CZ16" s="1028">
        <f>Multiple!E20</f>
        <v>3392958.1558869039</v>
      </c>
      <c r="DA16" s="1028">
        <f>Multiple!F20</f>
        <v>3978939.3312751739</v>
      </c>
    </row>
    <row r="17" spans="2:105" ht="12" customHeight="1" thickBot="1">
      <c r="B17" s="689" t="s">
        <v>730</v>
      </c>
      <c r="C17" s="689"/>
      <c r="D17" s="689"/>
      <c r="E17" s="689"/>
      <c r="F17" s="689"/>
      <c r="G17" s="689"/>
      <c r="H17" s="689"/>
      <c r="I17" s="689"/>
      <c r="J17" s="689"/>
      <c r="K17" s="689"/>
      <c r="L17" s="1089">
        <f>DCF!E19</f>
        <v>35452.439006199995</v>
      </c>
      <c r="M17" s="669">
        <f>DCF!F19</f>
        <v>137351.98008238198</v>
      </c>
      <c r="N17" s="669">
        <f>DCF!G19</f>
        <v>162436.32296497806</v>
      </c>
      <c r="O17" s="669">
        <f>DCF!H19</f>
        <v>95735.424880591949</v>
      </c>
      <c r="P17" s="1089">
        <f>DCF!I19</f>
        <v>126002.87132208591</v>
      </c>
      <c r="Q17" s="669">
        <f>DCF!J19</f>
        <v>221738.29620267809</v>
      </c>
      <c r="R17" s="669">
        <f>DCF!K19</f>
        <v>280579.98458594119</v>
      </c>
      <c r="S17" s="669">
        <f>DCF!L19</f>
        <v>321325.72977379331</v>
      </c>
      <c r="T17" s="669">
        <f>DCF!M19</f>
        <v>347474.83776517684</v>
      </c>
      <c r="U17" s="669">
        <f>DCF!N19</f>
        <v>375900.12488625327</v>
      </c>
      <c r="V17" s="669">
        <f>DCF!O19</f>
        <v>408516.88650259562</v>
      </c>
      <c r="AL17" s="1140"/>
      <c r="AO17" s="691"/>
      <c r="AP17" s="691"/>
      <c r="AQ17" s="691"/>
      <c r="AR17" s="691"/>
      <c r="AS17" s="691"/>
      <c r="AT17" s="691"/>
      <c r="AU17" s="1092"/>
      <c r="AV17" s="672"/>
      <c r="AW17" s="672"/>
      <c r="AX17" s="672"/>
      <c r="AY17" s="672"/>
      <c r="AZ17" s="672"/>
      <c r="BA17" s="670"/>
      <c r="BC17" s="682"/>
      <c r="BD17" s="682"/>
      <c r="BE17" s="682"/>
      <c r="BF17" s="682"/>
      <c r="BG17" s="682"/>
      <c r="BH17" s="682"/>
      <c r="BI17" s="682"/>
      <c r="BJ17" s="776"/>
      <c r="BK17" s="776"/>
      <c r="BL17" s="776"/>
      <c r="BM17" s="776"/>
      <c r="BN17" s="776"/>
      <c r="BO17" s="670"/>
      <c r="BS17" s="676" t="s">
        <v>1468</v>
      </c>
      <c r="BX17" s="771">
        <v>0.29199999999999998</v>
      </c>
      <c r="BY17" s="771">
        <v>0.28299999999999997</v>
      </c>
      <c r="BZ17" s="670"/>
      <c r="CA17" s="670"/>
      <c r="CB17" s="670"/>
      <c r="CH17" s="110" t="s">
        <v>1308</v>
      </c>
      <c r="CI17" s="94"/>
      <c r="CJ17" s="94"/>
      <c r="CK17" s="94"/>
      <c r="CL17" s="94"/>
      <c r="CM17" s="1148">
        <v>2008</v>
      </c>
      <c r="CN17" s="1148">
        <v>2009</v>
      </c>
      <c r="CO17" s="1148">
        <v>2010</v>
      </c>
      <c r="CP17" s="1148" t="s">
        <v>2963</v>
      </c>
      <c r="CV17" s="670" t="s">
        <v>2318</v>
      </c>
      <c r="CW17" s="670"/>
      <c r="CX17" s="957"/>
      <c r="CY17" s="1027">
        <f>Multiple!D21</f>
        <v>1013741.075</v>
      </c>
      <c r="CZ17" s="670">
        <f>Multiple!E21</f>
        <v>1013741.075</v>
      </c>
      <c r="DA17" s="670">
        <f>Multiple!F21</f>
        <v>1013741.075</v>
      </c>
    </row>
    <row r="18" spans="2:105" ht="12" customHeight="1">
      <c r="B18" s="676" t="s">
        <v>732</v>
      </c>
      <c r="L18" s="1090">
        <f>DCF!E21</f>
        <v>19307.619867000001</v>
      </c>
      <c r="M18" s="671">
        <f>DCF!F21</f>
        <v>35250.284</v>
      </c>
      <c r="N18" s="671">
        <f>DCF!G21</f>
        <v>36189.728000000003</v>
      </c>
      <c r="O18" s="671">
        <f>DCF!H21</f>
        <v>19527.25</v>
      </c>
      <c r="P18" s="1090">
        <f>DCF!I21</f>
        <v>19981.129679824939</v>
      </c>
      <c r="Q18" s="671">
        <f>DCF!J21</f>
        <v>39508.379679824939</v>
      </c>
      <c r="R18" s="671">
        <f>DCF!K21</f>
        <v>40901.901556165321</v>
      </c>
      <c r="S18" s="671">
        <f>DCF!L21</f>
        <v>41375.188023609779</v>
      </c>
      <c r="T18" s="671">
        <f>DCF!M21</f>
        <v>41416.39768014384</v>
      </c>
      <c r="U18" s="671">
        <f>DCF!N21</f>
        <v>42308.370678765932</v>
      </c>
      <c r="V18" s="671">
        <f>DCF!O21</f>
        <v>42465.173174223091</v>
      </c>
      <c r="AL18" s="678"/>
      <c r="AO18" s="676" t="s">
        <v>1374</v>
      </c>
      <c r="AU18" s="1090">
        <f>'SG&amp;A'!H86</f>
        <v>12</v>
      </c>
      <c r="AV18" s="670">
        <f>'SG&amp;A'!I86</f>
        <v>25</v>
      </c>
      <c r="AW18" s="670">
        <f>'SG&amp;A'!J86</f>
        <v>16</v>
      </c>
      <c r="AX18" s="670">
        <f>'SG&amp;A'!K86</f>
        <v>11</v>
      </c>
      <c r="AY18" s="670">
        <f>'SG&amp;A'!L86</f>
        <v>10</v>
      </c>
      <c r="AZ18" s="670">
        <f>'SG&amp;A'!M86</f>
        <v>8</v>
      </c>
      <c r="BA18" s="670"/>
      <c r="BC18" s="682"/>
      <c r="BD18" s="682"/>
      <c r="BE18" s="682"/>
      <c r="BF18" s="682"/>
      <c r="BG18" s="682"/>
      <c r="BH18" s="682"/>
      <c r="BI18" s="682"/>
      <c r="BJ18" s="776"/>
      <c r="BK18" s="776"/>
      <c r="BL18" s="776"/>
      <c r="BM18" s="776"/>
      <c r="BN18" s="776"/>
      <c r="BO18" s="670"/>
      <c r="BS18" s="676" t="s">
        <v>1469</v>
      </c>
      <c r="BX18" s="771">
        <v>0.151</v>
      </c>
      <c r="BY18" s="771">
        <v>0.155</v>
      </c>
      <c r="BZ18" s="670"/>
      <c r="CA18" s="670"/>
      <c r="CB18" s="670"/>
      <c r="CH18" s="676" t="s">
        <v>2959</v>
      </c>
      <c r="CM18" s="670">
        <f>BX99</f>
        <v>22414.496999999999</v>
      </c>
      <c r="CN18" s="670">
        <f>BY99</f>
        <v>30475.749000000003</v>
      </c>
      <c r="CO18" s="670">
        <f>BZ99</f>
        <v>26509.004999999997</v>
      </c>
      <c r="CP18" s="671">
        <f>BI79</f>
        <v>24727.965076</v>
      </c>
      <c r="CV18" s="673" t="s">
        <v>2319</v>
      </c>
      <c r="CW18" s="673"/>
      <c r="CX18" s="999"/>
      <c r="CY18" s="1037">
        <f>Multiple!D22</f>
        <v>2073209.8015978273</v>
      </c>
      <c r="CZ18" s="1037">
        <f>Multiple!E22</f>
        <v>2379217.0808869042</v>
      </c>
      <c r="DA18" s="1037">
        <f>Multiple!F22</f>
        <v>2965198.2562751742</v>
      </c>
    </row>
    <row r="19" spans="2:105" ht="12" customHeight="1" thickBot="1">
      <c r="B19" s="676" t="s">
        <v>733</v>
      </c>
      <c r="L19" s="1090">
        <f>DCF!E22</f>
        <v>52332.283058000001</v>
      </c>
      <c r="M19" s="671">
        <f>DCF!F22</f>
        <v>320.399</v>
      </c>
      <c r="N19" s="671">
        <f>DCF!G22</f>
        <v>407.86799999999999</v>
      </c>
      <c r="O19" s="671">
        <f>DCF!H22</f>
        <v>229.184</v>
      </c>
      <c r="P19" s="1090">
        <f>DCF!I22</f>
        <v>392.62514320000002</v>
      </c>
      <c r="Q19" s="671">
        <f>DCF!J22</f>
        <v>621.80914319999999</v>
      </c>
      <c r="R19" s="671">
        <f>DCF!K22</f>
        <v>810.6662864000001</v>
      </c>
      <c r="S19" s="671">
        <f>DCF!L22</f>
        <v>864.88708640000004</v>
      </c>
      <c r="T19" s="671">
        <f>DCF!M22</f>
        <v>900.80294432000005</v>
      </c>
      <c r="U19" s="671">
        <f>DCF!N22</f>
        <v>926.23586120959999</v>
      </c>
      <c r="V19" s="671">
        <f>DCF!O22</f>
        <v>557.37893488460793</v>
      </c>
      <c r="Y19" s="676" t="s">
        <v>1334</v>
      </c>
      <c r="AD19" s="670">
        <f>매출추정!G327*10</f>
        <v>163810</v>
      </c>
      <c r="AE19" s="1090">
        <f>매출추정!H327*10</f>
        <v>174870</v>
      </c>
      <c r="AF19" s="670">
        <f>매출추정!I327*10</f>
        <v>191580</v>
      </c>
      <c r="AG19" s="670">
        <f>매출추정!J327*10</f>
        <v>205550</v>
      </c>
      <c r="AH19" s="670">
        <f>매출추정!K327*10</f>
        <v>217810</v>
      </c>
      <c r="AI19" s="670">
        <f>매출추정!L327*10</f>
        <v>229628.72508394651</v>
      </c>
      <c r="AJ19" s="670">
        <f>매출추정!M327*10</f>
        <v>242088.75342582384</v>
      </c>
      <c r="AL19" s="678"/>
      <c r="AO19" s="676" t="s">
        <v>1228</v>
      </c>
      <c r="AU19" s="1090">
        <f>'SG&amp;A'!H87</f>
        <v>96</v>
      </c>
      <c r="AV19" s="670">
        <f>'SG&amp;A'!I87</f>
        <v>200</v>
      </c>
      <c r="AW19" s="670">
        <f>'SG&amp;A'!J87</f>
        <v>128</v>
      </c>
      <c r="AX19" s="670">
        <f>'SG&amp;A'!K87</f>
        <v>88</v>
      </c>
      <c r="AY19" s="670">
        <f>'SG&amp;A'!L87</f>
        <v>80</v>
      </c>
      <c r="AZ19" s="670">
        <f>'SG&amp;A'!M87</f>
        <v>64</v>
      </c>
      <c r="BA19" s="670"/>
      <c r="BC19" s="682"/>
      <c r="BD19" s="682"/>
      <c r="BE19" s="682"/>
      <c r="BF19" s="682"/>
      <c r="BG19" s="682"/>
      <c r="BH19" s="682"/>
      <c r="BI19" s="682"/>
      <c r="BJ19" s="776"/>
      <c r="BK19" s="776"/>
      <c r="BL19" s="776"/>
      <c r="BM19" s="776"/>
      <c r="BN19" s="776"/>
      <c r="BO19" s="670"/>
      <c r="BS19" s="676" t="s">
        <v>1470</v>
      </c>
      <c r="BX19" s="771">
        <v>0.1</v>
      </c>
      <c r="BY19" s="771">
        <v>0.10299999999999999</v>
      </c>
      <c r="BZ19" s="670"/>
      <c r="CA19" s="670"/>
      <c r="CB19" s="670"/>
      <c r="CH19" s="676" t="s">
        <v>2960</v>
      </c>
      <c r="CM19" s="670">
        <f t="shared" ref="CM19:CO20" si="29">BX105</f>
        <v>226.23500000000001</v>
      </c>
      <c r="CN19" s="670">
        <f t="shared" si="29"/>
        <v>265.63112000000001</v>
      </c>
      <c r="CO19" s="670">
        <f t="shared" si="29"/>
        <v>925.31628000000001</v>
      </c>
      <c r="CP19" s="671">
        <f>BI85</f>
        <v>666.19668000000001</v>
      </c>
      <c r="CV19" s="998" t="s">
        <v>2320</v>
      </c>
      <c r="CW19" s="998"/>
      <c r="CX19" s="998"/>
      <c r="CY19" s="1038">
        <f>Multiple!D23</f>
        <v>87819.175428683098</v>
      </c>
      <c r="CZ19" s="1038">
        <f>Multiple!E23</f>
        <v>100781.34979310592</v>
      </c>
      <c r="DA19" s="1038">
        <f>Multiple!F23</f>
        <v>125602.94942073058</v>
      </c>
    </row>
    <row r="20" spans="2:105" ht="12" customHeight="1" thickBot="1">
      <c r="B20" s="676" t="s">
        <v>1301</v>
      </c>
      <c r="L20" s="1090">
        <f>-DCF!E23</f>
        <v>5339.888426999998</v>
      </c>
      <c r="M20" s="671">
        <f>-DCF!F23</f>
        <v>-1872.5297150000406</v>
      </c>
      <c r="N20" s="671">
        <f>-DCF!G23</f>
        <v>-92827.329486999981</v>
      </c>
      <c r="O20" s="671">
        <f>-DCF!H23</f>
        <v>-90591.812080000003</v>
      </c>
      <c r="P20" s="1090">
        <f>-DCF!I23</f>
        <v>120094.77380928386</v>
      </c>
      <c r="Q20" s="671">
        <f>-DCF!J23</f>
        <v>29502.961729283852</v>
      </c>
      <c r="R20" s="671">
        <f>-DCF!K23</f>
        <v>-15150.983492713887</v>
      </c>
      <c r="S20" s="671">
        <f>-DCF!L23</f>
        <v>-2382.7775589782977</v>
      </c>
      <c r="T20" s="671">
        <f>-DCF!M23</f>
        <v>-169.44132073549554</v>
      </c>
      <c r="U20" s="671">
        <f>-DCF!N23</f>
        <v>-1580.2435116044362</v>
      </c>
      <c r="V20" s="671">
        <f>-DCF!O23</f>
        <v>-1684.6710887451773</v>
      </c>
      <c r="Y20" s="676" t="s">
        <v>1336</v>
      </c>
      <c r="AD20" s="670">
        <f>매출추정!G328*10</f>
        <v>66220</v>
      </c>
      <c r="AE20" s="1090">
        <f>매출추정!H328*10</f>
        <v>68840</v>
      </c>
      <c r="AF20" s="670">
        <f>매출추정!I328*10</f>
        <v>71560</v>
      </c>
      <c r="AG20" s="670">
        <f>매출추정!J328*10</f>
        <v>74390</v>
      </c>
      <c r="AH20" s="670">
        <f>매출추정!K328*10</f>
        <v>77320</v>
      </c>
      <c r="AI20" s="670">
        <f>매출추정!L328*10</f>
        <v>81515.509037650918</v>
      </c>
      <c r="AJ20" s="670">
        <f>매출추정!M328*10</f>
        <v>85938.673223840509</v>
      </c>
      <c r="AO20" s="701" t="s">
        <v>1781</v>
      </c>
      <c r="AP20" s="701"/>
      <c r="AQ20" s="701"/>
      <c r="AR20" s="701"/>
      <c r="AS20" s="701"/>
      <c r="AT20" s="701"/>
      <c r="AU20" s="1095">
        <f>SUM(AU18:AU19)</f>
        <v>108</v>
      </c>
      <c r="AV20" s="769">
        <f t="shared" ref="AV20:AZ20" si="30">SUM(AV18:AV19)</f>
        <v>225</v>
      </c>
      <c r="AW20" s="769">
        <f t="shared" si="30"/>
        <v>144</v>
      </c>
      <c r="AX20" s="769">
        <f t="shared" si="30"/>
        <v>99</v>
      </c>
      <c r="AY20" s="769">
        <f t="shared" si="30"/>
        <v>90</v>
      </c>
      <c r="AZ20" s="769">
        <f t="shared" si="30"/>
        <v>72</v>
      </c>
      <c r="BA20" s="670"/>
      <c r="BC20" s="682"/>
      <c r="BD20" s="682"/>
      <c r="BE20" s="682"/>
      <c r="BF20" s="682"/>
      <c r="BG20" s="682"/>
      <c r="BH20" s="682"/>
      <c r="BI20" s="682"/>
      <c r="BJ20" s="776"/>
      <c r="BK20" s="776"/>
      <c r="BL20" s="776"/>
      <c r="BM20" s="776"/>
      <c r="BN20" s="776"/>
      <c r="BO20" s="670"/>
      <c r="BS20" s="676" t="s">
        <v>1471</v>
      </c>
      <c r="BX20" s="771">
        <v>7.2999999999999995E-2</v>
      </c>
      <c r="BY20" s="771">
        <v>6.4000000000000001E-2</v>
      </c>
      <c r="BZ20" s="670"/>
      <c r="CA20" s="670"/>
      <c r="CB20" s="670"/>
      <c r="CH20" s="676" t="s">
        <v>2961</v>
      </c>
      <c r="CM20" s="670">
        <f t="shared" si="29"/>
        <v>3432.579956</v>
      </c>
      <c r="CN20" s="670">
        <f t="shared" si="29"/>
        <v>10038.551619000002</v>
      </c>
      <c r="CO20" s="670">
        <f t="shared" si="29"/>
        <v>8657.6025850000005</v>
      </c>
      <c r="CP20" s="671">
        <f>BI86</f>
        <v>6160.8624950000003</v>
      </c>
    </row>
    <row r="21" spans="2:105" ht="12" customHeight="1" thickBot="1">
      <c r="B21" s="676" t="s">
        <v>735</v>
      </c>
      <c r="L21" s="1090">
        <f>-DCF!E24</f>
        <v>-26073.311956000001</v>
      </c>
      <c r="M21" s="671">
        <f>-DCF!F24</f>
        <v>-40779.931739000007</v>
      </c>
      <c r="N21" s="671">
        <f>-DCF!G24</f>
        <v>-36091.923864999997</v>
      </c>
      <c r="O21" s="671">
        <f>-DCF!H24</f>
        <v>-31555.024251000003</v>
      </c>
      <c r="P21" s="1090">
        <f>-DCF!I24</f>
        <v>-41857.80866779654</v>
      </c>
      <c r="Q21" s="671">
        <f>-DCF!J24</f>
        <v>-73412.832918796543</v>
      </c>
      <c r="R21" s="671">
        <f>-DCF!K24</f>
        <v>-90356.290885326482</v>
      </c>
      <c r="S21" s="671">
        <f>-DCF!L24</f>
        <v>-72026.267593832832</v>
      </c>
      <c r="T21" s="671">
        <f>-DCF!M24</f>
        <v>-62083.911595302285</v>
      </c>
      <c r="U21" s="671">
        <f>-DCF!N24</f>
        <v>-62075.786771311476</v>
      </c>
      <c r="V21" s="671">
        <f>-DCF!O24</f>
        <v>-59049.76344633277</v>
      </c>
      <c r="AU21" s="670"/>
      <c r="AV21" s="670"/>
      <c r="AW21" s="670"/>
      <c r="AX21" s="670"/>
      <c r="AY21" s="670"/>
      <c r="AZ21" s="670"/>
      <c r="BA21" s="670"/>
      <c r="BC21" s="682"/>
      <c r="BD21" s="680" t="s">
        <v>1394</v>
      </c>
      <c r="BJ21" s="670"/>
      <c r="BK21" s="670"/>
      <c r="BL21" s="670"/>
      <c r="BM21" s="670"/>
      <c r="BN21" s="670"/>
      <c r="BO21" s="670"/>
      <c r="BS21" s="676" t="s">
        <v>1466</v>
      </c>
      <c r="BX21" s="771">
        <v>5.8000000000000003E-2</v>
      </c>
      <c r="BY21" s="771">
        <v>7.0000000000000007E-2</v>
      </c>
      <c r="BZ21" s="670"/>
      <c r="CA21" s="670"/>
      <c r="CB21" s="670"/>
      <c r="CH21" s="758" t="s">
        <v>2962</v>
      </c>
      <c r="CI21" s="758"/>
      <c r="CJ21" s="758"/>
      <c r="CK21" s="758"/>
      <c r="CL21" s="758"/>
      <c r="CM21" s="791">
        <f>SUM(CM18:CM20)</f>
        <v>26073.311956000001</v>
      </c>
      <c r="CN21" s="791">
        <f t="shared" ref="CN21:CP21" si="31">SUM(CN18:CN20)</f>
        <v>40779.931739000007</v>
      </c>
      <c r="CO21" s="791">
        <f t="shared" si="31"/>
        <v>36091.923864999997</v>
      </c>
      <c r="CP21" s="791">
        <f t="shared" si="31"/>
        <v>31555.024251000003</v>
      </c>
    </row>
    <row r="22" spans="2:105" ht="12" customHeight="1" thickBot="1">
      <c r="B22" s="710" t="s">
        <v>1311</v>
      </c>
      <c r="C22" s="710"/>
      <c r="D22" s="710"/>
      <c r="E22" s="710"/>
      <c r="F22" s="710"/>
      <c r="G22" s="710"/>
      <c r="H22" s="710"/>
      <c r="I22" s="710"/>
      <c r="J22" s="710"/>
      <c r="K22" s="710"/>
      <c r="L22" s="1120">
        <f>DCF!E25</f>
        <v>86358.918402199997</v>
      </c>
      <c r="M22" s="673">
        <f>DCF!F25</f>
        <v>130270.20162838192</v>
      </c>
      <c r="N22" s="673">
        <f>DCF!G25</f>
        <v>70114.665612978104</v>
      </c>
      <c r="O22" s="673">
        <f>DCF!H25</f>
        <v>-6654.9774504080488</v>
      </c>
      <c r="P22" s="1120">
        <f>DCF!I25</f>
        <v>224613.59128659812</v>
      </c>
      <c r="Q22" s="673">
        <f>DCF!J25</f>
        <v>217958.61383619034</v>
      </c>
      <c r="R22" s="673">
        <f>DCF!K25</f>
        <v>216785.27805046612</v>
      </c>
      <c r="S22" s="673">
        <f>DCF!L25</f>
        <v>289156.75973099191</v>
      </c>
      <c r="T22" s="673">
        <f>DCF!M25</f>
        <v>327538.68547360291</v>
      </c>
      <c r="U22" s="673">
        <f>DCF!N25</f>
        <v>355478.70114331285</v>
      </c>
      <c r="V22" s="673">
        <f>DCF!O25</f>
        <v>390805.0040766254</v>
      </c>
      <c r="AD22" s="1086" t="s">
        <v>2144</v>
      </c>
      <c r="AE22" s="1087" t="s">
        <v>2160</v>
      </c>
      <c r="AF22" s="684"/>
      <c r="AG22" s="684"/>
      <c r="AH22" s="684"/>
      <c r="AI22" s="684"/>
      <c r="AJ22" s="684"/>
      <c r="AU22" s="670"/>
      <c r="AV22" s="670"/>
      <c r="AW22" s="670"/>
      <c r="AX22" s="670"/>
      <c r="AY22" s="670"/>
      <c r="AZ22" s="670"/>
      <c r="BA22" s="670"/>
      <c r="BC22" s="682"/>
      <c r="BJ22" s="670"/>
      <c r="BK22" s="670"/>
      <c r="BL22" s="670"/>
      <c r="BM22" s="670"/>
      <c r="BN22" s="670"/>
      <c r="BO22" s="670"/>
      <c r="BS22" s="704" t="s">
        <v>1472</v>
      </c>
      <c r="BT22" s="704"/>
      <c r="BU22" s="704"/>
      <c r="BV22" s="704"/>
      <c r="BW22" s="704"/>
      <c r="BX22" s="772">
        <v>0.104</v>
      </c>
      <c r="BY22" s="772">
        <v>0.10299999999999999</v>
      </c>
      <c r="BZ22" s="670"/>
      <c r="CA22" s="670"/>
      <c r="CB22" s="670"/>
    </row>
    <row r="23" spans="2:105" ht="12" customHeight="1" thickBot="1">
      <c r="B23" s="676" t="s">
        <v>1302</v>
      </c>
      <c r="L23" s="1121"/>
      <c r="M23" s="711"/>
      <c r="N23" s="711"/>
      <c r="O23" s="711"/>
      <c r="P23" s="1121">
        <f>DCF!E39</f>
        <v>0.95290190722531376</v>
      </c>
      <c r="Q23" s="711"/>
      <c r="R23" s="711">
        <f>DCF!F39</f>
        <v>0.86525593828648917</v>
      </c>
      <c r="S23" s="711">
        <f>DCF!G39</f>
        <v>0.78567146635273788</v>
      </c>
      <c r="T23" s="711">
        <f>DCF!H39</f>
        <v>0.71340701141363083</v>
      </c>
      <c r="U23" s="711">
        <f>DCF!I39</f>
        <v>0.64778929327392509</v>
      </c>
      <c r="V23" s="711">
        <f>DCF!J39</f>
        <v>0.58820695867401662</v>
      </c>
      <c r="X23" s="732" t="s">
        <v>2138</v>
      </c>
      <c r="Y23" s="1039"/>
      <c r="Z23" s="1039"/>
      <c r="AA23" s="1039"/>
      <c r="AB23" s="1039"/>
      <c r="AC23" s="1039"/>
      <c r="AD23" s="1148" t="s">
        <v>2141</v>
      </c>
      <c r="AE23" s="1149" t="s">
        <v>2188</v>
      </c>
      <c r="AF23" s="1148">
        <v>2012</v>
      </c>
      <c r="AG23" s="1148">
        <v>2013</v>
      </c>
      <c r="AH23" s="1148">
        <v>2014</v>
      </c>
      <c r="AI23" s="1148">
        <v>2015</v>
      </c>
      <c r="AJ23" s="1148">
        <v>2016</v>
      </c>
      <c r="AU23" s="670"/>
      <c r="AV23" s="670"/>
      <c r="AW23" s="670"/>
      <c r="AX23" s="670"/>
      <c r="AY23" s="670"/>
      <c r="AZ23" s="670"/>
      <c r="BA23" s="670"/>
      <c r="BC23" s="682"/>
      <c r="BJ23" s="670"/>
      <c r="BK23" s="670"/>
      <c r="BL23" s="670"/>
      <c r="BM23" s="725" t="s">
        <v>1562</v>
      </c>
      <c r="BN23" s="725"/>
      <c r="BO23" s="670"/>
      <c r="BX23" s="670"/>
      <c r="BY23" s="670"/>
      <c r="BZ23" s="670"/>
      <c r="CA23" s="670"/>
      <c r="CB23" s="670"/>
      <c r="CV23" s="1002" t="s">
        <v>2313</v>
      </c>
      <c r="CW23" s="1002"/>
      <c r="CX23" s="1044"/>
      <c r="CY23" s="1044" t="s">
        <v>2321</v>
      </c>
      <c r="CZ23" s="1044" t="s">
        <v>2322</v>
      </c>
      <c r="DA23" s="1044" t="s">
        <v>2323</v>
      </c>
    </row>
    <row r="24" spans="2:105" ht="15" customHeight="1" thickBot="1">
      <c r="B24" s="712" t="s">
        <v>1312</v>
      </c>
      <c r="C24" s="712"/>
      <c r="D24" s="712"/>
      <c r="E24" s="712"/>
      <c r="F24" s="712"/>
      <c r="G24" s="712"/>
      <c r="H24" s="712"/>
      <c r="I24" s="712"/>
      <c r="J24" s="712"/>
      <c r="K24" s="712"/>
      <c r="L24" s="1105"/>
      <c r="M24" s="713"/>
      <c r="N24" s="713"/>
      <c r="O24" s="713"/>
      <c r="P24" s="1105">
        <f>DCF!E40</f>
        <v>214034.71952572645</v>
      </c>
      <c r="Q24" s="713"/>
      <c r="R24" s="713">
        <f>DCF!F40</f>
        <v>187574.74916625352</v>
      </c>
      <c r="S24" s="713">
        <f>DCF!G40</f>
        <v>227182.21542365471</v>
      </c>
      <c r="T24" s="713">
        <f>DCF!H40</f>
        <v>233668.39472607226</v>
      </c>
      <c r="U24" s="713">
        <f>DCF!I40</f>
        <v>230275.29658755945</v>
      </c>
      <c r="V24" s="713">
        <f>DCF!J40</f>
        <v>229874.22288249849</v>
      </c>
      <c r="X24" s="689" t="s">
        <v>1340</v>
      </c>
      <c r="Y24" s="689"/>
      <c r="Z24" s="689"/>
      <c r="AA24" s="689"/>
      <c r="AB24" s="689"/>
      <c r="AC24" s="689"/>
      <c r="AD24" s="668">
        <f>O5</f>
        <v>1606909.618359</v>
      </c>
      <c r="AE24" s="1089">
        <f t="shared" ref="AE24:AJ24" si="32">AE11</f>
        <v>1826768.9985385463</v>
      </c>
      <c r="AF24" s="668">
        <f t="shared" si="32"/>
        <v>3874341.5840919763</v>
      </c>
      <c r="AG24" s="668">
        <f t="shared" si="32"/>
        <v>4226781.2635950102</v>
      </c>
      <c r="AH24" s="668">
        <f t="shared" si="32"/>
        <v>4456133.2940086992</v>
      </c>
      <c r="AI24" s="668">
        <f t="shared" si="32"/>
        <v>4697930.3388611386</v>
      </c>
      <c r="AJ24" s="668">
        <f t="shared" si="32"/>
        <v>4952847.6848899331</v>
      </c>
      <c r="AO24" s="680" t="s">
        <v>1377</v>
      </c>
      <c r="AU24" s="670"/>
      <c r="AV24" s="670"/>
      <c r="AW24" s="670"/>
      <c r="AX24" s="670"/>
      <c r="AY24" s="670"/>
      <c r="AZ24" s="670"/>
      <c r="BA24" s="670"/>
      <c r="BC24" s="681"/>
      <c r="BD24" s="715" t="s">
        <v>1396</v>
      </c>
      <c r="BE24" s="716"/>
      <c r="BF24" s="716"/>
      <c r="BG24" s="716"/>
      <c r="BH24" s="716"/>
      <c r="BI24" s="716"/>
      <c r="BJ24" s="726"/>
      <c r="BK24" s="726" t="s">
        <v>1563</v>
      </c>
      <c r="BL24" s="726" t="s">
        <v>1313</v>
      </c>
      <c r="BM24" s="726" t="s">
        <v>2942</v>
      </c>
      <c r="BN24" s="726" t="s">
        <v>2941</v>
      </c>
      <c r="BO24" s="670"/>
      <c r="BX24" s="670"/>
      <c r="BY24" s="670"/>
      <c r="BZ24" s="670"/>
      <c r="CA24" s="670"/>
      <c r="CB24" s="670"/>
      <c r="CV24" s="1293" t="s">
        <v>2966</v>
      </c>
      <c r="CW24" s="689"/>
      <c r="CX24" s="668"/>
      <c r="CY24" s="668">
        <f>Multiple!D68</f>
        <v>2962245.0641249185</v>
      </c>
      <c r="CZ24" s="668">
        <f>Multiple!E68</f>
        <v>14396149.94572312</v>
      </c>
      <c r="DA24" s="668">
        <f>Multiple!F68</f>
        <v>4227548.4489865061</v>
      </c>
    </row>
    <row r="25" spans="2:105" ht="12" customHeight="1">
      <c r="X25" s="691"/>
      <c r="Y25" s="691"/>
      <c r="Z25" s="691"/>
      <c r="AA25" s="691"/>
      <c r="AB25" s="691"/>
      <c r="AC25" s="691"/>
      <c r="AD25" s="691"/>
      <c r="AE25" s="1092"/>
      <c r="AF25" s="672"/>
      <c r="AG25" s="672"/>
      <c r="AH25" s="672"/>
      <c r="AI25" s="672"/>
      <c r="AJ25" s="672"/>
      <c r="AU25" s="670"/>
      <c r="AV25" s="670"/>
      <c r="AW25" s="670"/>
      <c r="AX25" s="670"/>
      <c r="AY25" s="670"/>
      <c r="AZ25" s="670"/>
      <c r="BA25" s="670"/>
      <c r="BC25" s="682"/>
      <c r="BD25" s="676" t="s">
        <v>1387</v>
      </c>
      <c r="BJ25" s="670"/>
      <c r="BK25" s="778">
        <f>'SG&amp;A'!E45</f>
        <v>1.5047130803918986E-2</v>
      </c>
      <c r="BL25" s="778">
        <f>'SG&amp;A'!F45</f>
        <v>1.8551612432582628E-2</v>
      </c>
      <c r="BM25" s="778">
        <f>'SG&amp;A'!G45</f>
        <v>2.1755927402875016E-2</v>
      </c>
      <c r="BN25" s="778">
        <f>AVERAGE(BK25:BM25)</f>
        <v>1.8451556879792209E-2</v>
      </c>
      <c r="BO25" s="670"/>
      <c r="BX25" s="670"/>
      <c r="BY25" s="670"/>
      <c r="BZ25" s="670"/>
      <c r="CA25" s="670"/>
      <c r="CB25" s="670"/>
      <c r="CW25" s="676" t="s">
        <v>1912</v>
      </c>
      <c r="CX25" s="670"/>
      <c r="CY25" s="670">
        <f>Multiple!D69</f>
        <v>3100420.0412371135</v>
      </c>
      <c r="CZ25" s="670">
        <f>Multiple!E69</f>
        <v>13277780.512195121</v>
      </c>
      <c r="DA25" s="670">
        <f>Multiple!F69</f>
        <v>4051688.2032520324</v>
      </c>
    </row>
    <row r="26" spans="2:105" ht="12" customHeight="1" thickBot="1">
      <c r="Q26" s="676">
        <v>307</v>
      </c>
      <c r="R26" s="676">
        <v>332</v>
      </c>
      <c r="S26" s="676">
        <v>348</v>
      </c>
      <c r="T26" s="676">
        <v>359</v>
      </c>
      <c r="U26" s="676">
        <v>369</v>
      </c>
      <c r="V26" s="676">
        <v>377</v>
      </c>
      <c r="X26" s="689" t="s">
        <v>1344</v>
      </c>
      <c r="Y26" s="689"/>
      <c r="Z26" s="689"/>
      <c r="AA26" s="689"/>
      <c r="AB26" s="689"/>
      <c r="AC26" s="689"/>
      <c r="AD26" s="668">
        <f>O7</f>
        <v>1195964.884535</v>
      </c>
      <c r="AE26" s="1089">
        <f>P7</f>
        <v>1356934.8915909547</v>
      </c>
      <c r="AF26" s="668">
        <f>R7</f>
        <v>2866586.5397059345</v>
      </c>
      <c r="AG26" s="668">
        <f>S7</f>
        <v>3115027.9627999715</v>
      </c>
      <c r="AH26" s="668">
        <f>T7</f>
        <v>3271060.4997817618</v>
      </c>
      <c r="AI26" s="668">
        <f>U7</f>
        <v>3434854.5432893671</v>
      </c>
      <c r="AJ26" s="668">
        <f>V7</f>
        <v>3606792.9868971063</v>
      </c>
      <c r="AO26" s="683"/>
      <c r="AP26" s="683"/>
      <c r="AQ26" s="683"/>
      <c r="AR26" s="683"/>
      <c r="AS26" s="683"/>
      <c r="AT26" s="1086" t="s">
        <v>2144</v>
      </c>
      <c r="AU26" s="1087" t="s">
        <v>2160</v>
      </c>
      <c r="AV26" s="684"/>
      <c r="AW26" s="684"/>
      <c r="AX26" s="684"/>
      <c r="AY26" s="684"/>
      <c r="AZ26" s="684"/>
      <c r="BA26" s="670"/>
      <c r="BC26" s="681"/>
      <c r="BD26" s="676" t="s">
        <v>1393</v>
      </c>
      <c r="BJ26" s="670"/>
      <c r="BK26" s="778">
        <f>'SG&amp;A'!E47</f>
        <v>2.0483172996353272E-2</v>
      </c>
      <c r="BL26" s="778">
        <f>'SG&amp;A'!F47</f>
        <v>2.0130303365173928E-2</v>
      </c>
      <c r="BM26" s="778">
        <f>'SG&amp;A'!G47</f>
        <v>1.8203981521918284E-2</v>
      </c>
      <c r="BN26" s="778">
        <f t="shared" ref="BN26:BN27" si="33">AVERAGE(BK26:BM26)</f>
        <v>1.9605819294481828E-2</v>
      </c>
      <c r="BO26" s="670"/>
      <c r="BS26" s="686" t="s">
        <v>1465</v>
      </c>
      <c r="BT26" s="686"/>
      <c r="BU26" s="686"/>
      <c r="BV26" s="686"/>
      <c r="BW26" s="1274"/>
      <c r="BX26" s="1148">
        <v>2008</v>
      </c>
      <c r="BY26" s="1148">
        <v>2009</v>
      </c>
      <c r="BZ26" s="1148">
        <v>2010</v>
      </c>
      <c r="CA26" s="670"/>
      <c r="CB26" s="670"/>
      <c r="CW26" s="676" t="s">
        <v>1913</v>
      </c>
      <c r="CX26" s="670"/>
      <c r="CY26" s="670">
        <f>Multiple!D70</f>
        <v>654421</v>
      </c>
      <c r="CZ26" s="670">
        <f>Multiple!E70</f>
        <v>3364803.5897820001</v>
      </c>
      <c r="DA26" s="670">
        <f>Multiple!F70</f>
        <v>337865.62400000001</v>
      </c>
    </row>
    <row r="27" spans="2:105" ht="12" customHeight="1" thickBot="1">
      <c r="B27" s="680" t="s">
        <v>2993</v>
      </c>
      <c r="R27" s="676">
        <f>R26-Q26</f>
        <v>25</v>
      </c>
      <c r="S27" s="676">
        <f>S26-R26</f>
        <v>16</v>
      </c>
      <c r="T27" s="676">
        <f t="shared" ref="T27:V27" si="34">T26-S26</f>
        <v>11</v>
      </c>
      <c r="U27" s="676">
        <f t="shared" si="34"/>
        <v>10</v>
      </c>
      <c r="V27" s="676">
        <f t="shared" si="34"/>
        <v>8</v>
      </c>
      <c r="X27" s="705" t="s">
        <v>1343</v>
      </c>
      <c r="Y27" s="705"/>
      <c r="Z27" s="705"/>
      <c r="AA27" s="705"/>
      <c r="AB27" s="705"/>
      <c r="AC27" s="705"/>
      <c r="AD27" s="737">
        <f>AD26/AD24</f>
        <v>0.74426394046750255</v>
      </c>
      <c r="AE27" s="1094">
        <f>AE26/AE24</f>
        <v>0.74280595558416596</v>
      </c>
      <c r="AF27" s="737">
        <f t="shared" ref="AF27:AJ27" si="35">AF26/AF24</f>
        <v>0.73988998581749266</v>
      </c>
      <c r="AG27" s="737">
        <f t="shared" si="35"/>
        <v>0.73697401605081936</v>
      </c>
      <c r="AH27" s="737">
        <f t="shared" si="35"/>
        <v>0.73405804628414606</v>
      </c>
      <c r="AI27" s="737">
        <f t="shared" si="35"/>
        <v>0.73114207651747276</v>
      </c>
      <c r="AJ27" s="737">
        <f t="shared" si="35"/>
        <v>0.72822610675079946</v>
      </c>
      <c r="AO27" s="686" t="s">
        <v>1251</v>
      </c>
      <c r="AP27" s="686"/>
      <c r="AQ27" s="686"/>
      <c r="AR27" s="686"/>
      <c r="AS27" s="686"/>
      <c r="AT27" s="687" t="s">
        <v>2141</v>
      </c>
      <c r="AU27" s="1088" t="s">
        <v>2142</v>
      </c>
      <c r="AV27" s="1148">
        <v>2012</v>
      </c>
      <c r="AW27" s="1148">
        <v>2013</v>
      </c>
      <c r="AX27" s="1148">
        <v>2014</v>
      </c>
      <c r="AY27" s="1148">
        <v>2015</v>
      </c>
      <c r="AZ27" s="1148">
        <v>2016</v>
      </c>
      <c r="BA27" s="670"/>
      <c r="BC27" s="681"/>
      <c r="BD27" s="704" t="s">
        <v>1389</v>
      </c>
      <c r="BE27" s="704"/>
      <c r="BF27" s="704"/>
      <c r="BG27" s="704"/>
      <c r="BH27" s="704"/>
      <c r="BI27" s="704"/>
      <c r="BJ27" s="770"/>
      <c r="BK27" s="779">
        <f>'SG&amp;A'!E48</f>
        <v>1.0488292715028028E-2</v>
      </c>
      <c r="BL27" s="779">
        <f>'SG&amp;A'!F48</f>
        <v>1.0820667522930007E-2</v>
      </c>
      <c r="BM27" s="779">
        <f>'SG&amp;A'!G48</f>
        <v>1.2735777274704105E-2</v>
      </c>
      <c r="BN27" s="779">
        <f t="shared" si="33"/>
        <v>1.1348245837554047E-2</v>
      </c>
      <c r="BO27" s="670"/>
      <c r="BS27" s="676" t="s">
        <v>3002</v>
      </c>
      <c r="BX27" s="771">
        <f>매출추정!G180</f>
        <v>0.11263128800442233</v>
      </c>
      <c r="BY27" s="771">
        <f>매출추정!H180</f>
        <v>0.12125346795833902</v>
      </c>
      <c r="BZ27" s="771">
        <f>매출추정!I180</f>
        <v>0.13263487371212451</v>
      </c>
      <c r="CA27" s="670"/>
      <c r="CB27" s="670"/>
      <c r="CQ27" s="1045"/>
      <c r="CW27" s="676" t="s">
        <v>1914</v>
      </c>
      <c r="CX27" s="670"/>
      <c r="CY27" s="670">
        <f>Multiple!D71</f>
        <v>792595.97711219511</v>
      </c>
      <c r="CZ27" s="670">
        <f>Multiple!E71</f>
        <v>2246434.156254</v>
      </c>
      <c r="DA27" s="670">
        <f>Multiple!F71</f>
        <v>162005.37826552583</v>
      </c>
    </row>
    <row r="28" spans="2:105" ht="12" customHeight="1">
      <c r="B28" s="717" t="s">
        <v>1320</v>
      </c>
      <c r="C28" s="717"/>
      <c r="D28" s="717"/>
      <c r="E28" s="717"/>
      <c r="F28" s="717"/>
      <c r="G28" s="717"/>
      <c r="H28" s="717"/>
      <c r="I28" s="717"/>
      <c r="J28" s="717"/>
      <c r="K28" s="717"/>
      <c r="L28" s="717"/>
      <c r="M28" s="718"/>
      <c r="N28" s="718">
        <f>DCF!E50</f>
        <v>1322609.5983117649</v>
      </c>
      <c r="AE28" s="670"/>
      <c r="AF28" s="670"/>
      <c r="AG28" s="670"/>
      <c r="AH28" s="670"/>
      <c r="AI28" s="670"/>
      <c r="AJ28" s="670"/>
      <c r="AO28" s="676" t="s">
        <v>1218</v>
      </c>
      <c r="AT28" s="670">
        <f>('SG&amp;A'!G89/1000000)/2</f>
        <v>209.32949422403925</v>
      </c>
      <c r="AU28" s="1090">
        <f>('SG&amp;A'!H89/1000000)/2</f>
        <v>209.32949422403925</v>
      </c>
      <c r="AV28" s="670">
        <f>('SG&amp;A'!I89/1000000)</f>
        <v>442.52255078961895</v>
      </c>
      <c r="AW28" s="670">
        <f>('SG&amp;A'!J89/1000000)</f>
        <v>466.41876853225841</v>
      </c>
      <c r="AX28" s="670">
        <f>('SG&amp;A'!K89/1000000)</f>
        <v>491.60538203300035</v>
      </c>
      <c r="AY28" s="670">
        <f>('SG&amp;A'!L89/1000000)</f>
        <v>517.16886189871639</v>
      </c>
      <c r="AZ28" s="670">
        <f>('SG&amp;A'!M89/1000000)</f>
        <v>544.06164271744967</v>
      </c>
      <c r="BA28" s="670"/>
      <c r="BC28" s="682"/>
      <c r="BJ28" s="670"/>
      <c r="BK28" s="670"/>
      <c r="BL28" s="670"/>
      <c r="BM28" s="670"/>
      <c r="BN28" s="670"/>
      <c r="BO28" s="670"/>
      <c r="BS28" s="676" t="s">
        <v>186</v>
      </c>
      <c r="BX28" s="771">
        <f>매출추정!G183</f>
        <v>3.0353051693477059E-2</v>
      </c>
      <c r="BY28" s="771">
        <f>매출추정!H183</f>
        <v>2.7687547760494834E-2</v>
      </c>
      <c r="BZ28" s="771">
        <f>매출추정!I183</f>
        <v>2.3605604186671302E-2</v>
      </c>
      <c r="CA28" s="670"/>
      <c r="CB28" s="670"/>
      <c r="CV28" s="691"/>
      <c r="CW28" s="691"/>
      <c r="CX28" s="672"/>
      <c r="CY28" s="672"/>
      <c r="CZ28" s="672"/>
      <c r="DA28" s="672"/>
    </row>
    <row r="29" spans="2:105" ht="12" customHeight="1">
      <c r="B29" s="635" t="s">
        <v>1315</v>
      </c>
      <c r="C29" s="635"/>
      <c r="D29" s="635"/>
      <c r="E29" s="635"/>
      <c r="F29" s="635"/>
      <c r="G29" s="635"/>
      <c r="H29" s="635"/>
      <c r="I29" s="635"/>
      <c r="J29" s="635"/>
      <c r="K29" s="635"/>
      <c r="L29" s="635"/>
      <c r="M29" s="671"/>
      <c r="N29" s="671">
        <f>DCF!E51</f>
        <v>2543111.3544965154</v>
      </c>
      <c r="AE29" s="670"/>
      <c r="AF29" s="670"/>
      <c r="AG29" s="670"/>
      <c r="AH29" s="685" t="s">
        <v>2146</v>
      </c>
      <c r="AI29" s="685" t="s">
        <v>1560</v>
      </c>
      <c r="AO29" s="676" t="s">
        <v>1373</v>
      </c>
      <c r="AT29" s="670">
        <f>('SG&amp;A'!G90/1000000)/2</f>
        <v>22.004489461572081</v>
      </c>
      <c r="AU29" s="1090">
        <f>('SG&amp;A'!H90/1000000)/2</f>
        <v>22.004489461572081</v>
      </c>
      <c r="AV29" s="670">
        <f>('SG&amp;A'!I90/1000000)</f>
        <v>46.51749072176338</v>
      </c>
      <c r="AW29" s="670">
        <f>('SG&amp;A'!J90/1000000)</f>
        <v>49.029435220738605</v>
      </c>
      <c r="AX29" s="670">
        <f>('SG&amp;A'!K90/1000000)</f>
        <v>51.677024722658494</v>
      </c>
      <c r="AY29" s="670">
        <f>('SG&amp;A'!L90/1000000)</f>
        <v>54.364230008236738</v>
      </c>
      <c r="AZ29" s="670">
        <f>('SG&amp;A'!M90/1000000)</f>
        <v>57.191169968665051</v>
      </c>
      <c r="BA29" s="670"/>
      <c r="BC29" s="682"/>
      <c r="BJ29" s="670"/>
      <c r="BK29" s="670"/>
      <c r="BL29" s="670"/>
      <c r="BM29" s="670"/>
      <c r="BN29" s="670"/>
      <c r="BO29" s="670"/>
      <c r="BS29" s="676" t="s">
        <v>1474</v>
      </c>
      <c r="BX29" s="771">
        <f>매출추정!G187</f>
        <v>6.0564066705960935E-2</v>
      </c>
      <c r="BY29" s="771">
        <f>매출추정!H187</f>
        <v>6.6548986510710867E-2</v>
      </c>
      <c r="BZ29" s="771">
        <f>매출추정!I187</f>
        <v>7.5182846921879765E-2</v>
      </c>
      <c r="CA29" s="670"/>
      <c r="CB29" s="670"/>
      <c r="CV29" s="668" t="s">
        <v>1915</v>
      </c>
      <c r="CW29" s="689"/>
      <c r="CX29" s="668"/>
      <c r="CY29" s="668">
        <f>Multiple!D74</f>
        <v>321434.50064877316</v>
      </c>
      <c r="CZ29" s="668">
        <f>Multiple!E74</f>
        <v>1575512.8522372001</v>
      </c>
      <c r="DA29" s="668">
        <f>Multiple!F74</f>
        <v>357688.07820674794</v>
      </c>
    </row>
    <row r="30" spans="2:105" ht="12" customHeight="1" thickBot="1">
      <c r="B30" s="691" t="s">
        <v>1321</v>
      </c>
      <c r="C30" s="691"/>
      <c r="D30" s="691"/>
      <c r="E30" s="691"/>
      <c r="F30" s="691"/>
      <c r="G30" s="691"/>
      <c r="H30" s="691"/>
      <c r="I30" s="691"/>
      <c r="J30" s="691"/>
      <c r="K30" s="691"/>
      <c r="L30" s="691"/>
      <c r="M30" s="672"/>
      <c r="N30" s="672">
        <f>DCF!E52</f>
        <v>47600.788291000004</v>
      </c>
      <c r="X30" s="732" t="s">
        <v>1251</v>
      </c>
      <c r="Y30" s="94"/>
      <c r="Z30" s="94"/>
      <c r="AA30" s="94"/>
      <c r="AB30" s="94"/>
      <c r="AC30" s="94"/>
      <c r="AD30" s="94"/>
      <c r="AE30" s="746" t="s">
        <v>1554</v>
      </c>
      <c r="AF30" s="746" t="s">
        <v>1314</v>
      </c>
      <c r="AG30" s="746" t="s">
        <v>1342</v>
      </c>
      <c r="AH30" s="746" t="s">
        <v>2145</v>
      </c>
      <c r="AI30" s="94" t="s">
        <v>1561</v>
      </c>
      <c r="AO30" s="676" t="s">
        <v>1374</v>
      </c>
      <c r="AT30" s="670">
        <f>('SG&amp;A'!G91/1000000)/2</f>
        <v>22.004489461572078</v>
      </c>
      <c r="AU30" s="1090">
        <f>('SG&amp;A'!H91/1000000)/2</f>
        <v>22.004489461572078</v>
      </c>
      <c r="AV30" s="670">
        <f>('SG&amp;A'!I91/1000000)</f>
        <v>46.517490721763366</v>
      </c>
      <c r="AW30" s="670">
        <f>('SG&amp;A'!J91/1000000)</f>
        <v>49.029435220738591</v>
      </c>
      <c r="AX30" s="670">
        <f>('SG&amp;A'!K91/1000000)</f>
        <v>51.67702472265848</v>
      </c>
      <c r="AY30" s="670">
        <f>('SG&amp;A'!L91/1000000)</f>
        <v>54.364230008236724</v>
      </c>
      <c r="AZ30" s="670">
        <f>('SG&amp;A'!M91/1000000)</f>
        <v>57.191169968665037</v>
      </c>
      <c r="BA30" s="670"/>
      <c r="BC30" s="682"/>
      <c r="BD30" s="682"/>
      <c r="BE30" s="682"/>
      <c r="BF30" s="682"/>
      <c r="BG30" s="682"/>
      <c r="BH30" s="682"/>
      <c r="BI30" s="682"/>
      <c r="BJ30" s="776"/>
      <c r="BK30" s="776"/>
      <c r="BL30" s="776"/>
      <c r="BM30" s="776"/>
      <c r="BN30" s="776"/>
      <c r="BO30" s="670"/>
      <c r="BS30" s="676" t="s">
        <v>1476</v>
      </c>
      <c r="BX30" s="771">
        <f>매출추정!G190</f>
        <v>3.612934490971071E-2</v>
      </c>
      <c r="BY30" s="771">
        <f>매출추정!H190</f>
        <v>4.1001775974575883E-2</v>
      </c>
      <c r="BZ30" s="771">
        <f>매출추정!I190</f>
        <v>5.0499449792418383E-2</v>
      </c>
      <c r="CA30" s="670"/>
      <c r="CB30" s="670"/>
      <c r="CW30" s="670" t="s">
        <v>2324</v>
      </c>
      <c r="CX30" s="670"/>
      <c r="CY30" s="670">
        <f>Multiple!D75</f>
        <v>166104.211863</v>
      </c>
      <c r="CZ30" s="670">
        <f>Multiple!E75</f>
        <v>805423.339423</v>
      </c>
      <c r="DA30" s="670">
        <f>Multiple!F75</f>
        <v>162893.03099999999</v>
      </c>
    </row>
    <row r="31" spans="2:105" ht="15" customHeight="1" thickBot="1">
      <c r="B31" s="719" t="s">
        <v>1316</v>
      </c>
      <c r="C31" s="719"/>
      <c r="D31" s="719"/>
      <c r="E31" s="719"/>
      <c r="F31" s="719"/>
      <c r="G31" s="719"/>
      <c r="H31" s="719"/>
      <c r="I31" s="719"/>
      <c r="J31" s="719"/>
      <c r="K31" s="719"/>
      <c r="L31" s="719"/>
      <c r="M31" s="720"/>
      <c r="N31" s="720">
        <f>DCF!E53</f>
        <v>3913321.7410992803</v>
      </c>
      <c r="X31" s="676" t="s">
        <v>214</v>
      </c>
      <c r="AE31" s="670">
        <f>매출원가추정!E6</f>
        <v>1113092.579931</v>
      </c>
      <c r="AF31" s="670">
        <f>매출원가추정!F6</f>
        <v>2005984.3105349999</v>
      </c>
      <c r="AG31" s="670">
        <f>매출원가추정!G6</f>
        <v>2286620.4427060001</v>
      </c>
      <c r="AH31" s="670">
        <f>매출원가추정!H6</f>
        <v>1195964.884535</v>
      </c>
      <c r="AI31" s="670"/>
      <c r="AO31" s="704" t="s">
        <v>1228</v>
      </c>
      <c r="AP31" s="704"/>
      <c r="AQ31" s="704"/>
      <c r="AR31" s="704"/>
      <c r="AS31" s="704"/>
      <c r="AT31" s="770">
        <f>('SG&amp;A'!G92/1000000)/2</f>
        <v>17.175465634282091</v>
      </c>
      <c r="AU31" s="1096">
        <f>('SG&amp;A'!H92/1000000)/2</f>
        <v>17.175465634282091</v>
      </c>
      <c r="AV31" s="770">
        <f>('SG&amp;A'!I92/1000000)</f>
        <v>36.308934350872335</v>
      </c>
      <c r="AW31" s="770">
        <f>('SG&amp;A'!J92/1000000)</f>
        <v>38.269616805819446</v>
      </c>
      <c r="AX31" s="770">
        <f>('SG&amp;A'!K92/1000000)</f>
        <v>40.336176113333693</v>
      </c>
      <c r="AY31" s="770">
        <f>('SG&amp;A'!L92/1000000)</f>
        <v>42.433657271227048</v>
      </c>
      <c r="AZ31" s="770">
        <f>('SG&amp;A'!M92/1000000)</f>
        <v>44.640207449330859</v>
      </c>
      <c r="BA31" s="670"/>
      <c r="BC31" s="682"/>
      <c r="BD31" s="683"/>
      <c r="BE31" s="683"/>
      <c r="BF31" s="683"/>
      <c r="BG31" s="683"/>
      <c r="BH31" s="683"/>
      <c r="BI31" s="1086" t="s">
        <v>2179</v>
      </c>
      <c r="BJ31" s="1087" t="s">
        <v>2182</v>
      </c>
      <c r="BK31" s="684"/>
      <c r="BL31" s="684"/>
      <c r="BM31" s="684"/>
      <c r="BN31" s="684"/>
      <c r="BO31" s="684"/>
      <c r="BS31" s="676" t="s">
        <v>197</v>
      </c>
      <c r="BX31" s="771">
        <f>매출추정!G193</f>
        <v>0.18905933296480562</v>
      </c>
      <c r="BY31" s="771">
        <f>매출추정!H193</f>
        <v>0.21512712057124664</v>
      </c>
      <c r="BZ31" s="771">
        <f>매출추정!I193</f>
        <v>0.23698445961501785</v>
      </c>
      <c r="CA31" s="670"/>
      <c r="CB31" s="670"/>
      <c r="CW31" s="1288" t="s">
        <v>2967</v>
      </c>
      <c r="CX31" s="771"/>
      <c r="CY31" s="771">
        <f>Multiple!D76</f>
        <v>1.9351375684193186</v>
      </c>
      <c r="CZ31" s="771">
        <f>Multiple!E76</f>
        <v>1.9561301183125475</v>
      </c>
      <c r="DA31" s="771">
        <f>Multiple!F76</f>
        <v>2.1958464153493957</v>
      </c>
    </row>
    <row r="32" spans="2:105" ht="12" customHeight="1" thickBot="1">
      <c r="B32" s="691" t="s">
        <v>1317</v>
      </c>
      <c r="C32" s="691"/>
      <c r="D32" s="691"/>
      <c r="E32" s="691"/>
      <c r="F32" s="691"/>
      <c r="G32" s="691"/>
      <c r="H32" s="691"/>
      <c r="I32" s="691"/>
      <c r="J32" s="691"/>
      <c r="K32" s="691"/>
      <c r="L32" s="691"/>
      <c r="M32" s="672"/>
      <c r="N32" s="672">
        <f>DCF!E74</f>
        <v>1013741.075</v>
      </c>
      <c r="X32" s="676" t="s">
        <v>125</v>
      </c>
      <c r="AE32" s="670">
        <f>매출원가추정!E7</f>
        <v>1491976.22114</v>
      </c>
      <c r="AF32" s="670">
        <f>매출원가추정!F7</f>
        <v>2663947.8663639999</v>
      </c>
      <c r="AG32" s="670">
        <f>매출원가추정!G7</f>
        <v>3046678.6757970001</v>
      </c>
      <c r="AH32" s="670">
        <f>매출원가추정!H7</f>
        <v>1606909.618359</v>
      </c>
      <c r="AI32" s="670"/>
      <c r="AU32" s="670"/>
      <c r="AV32" s="670"/>
      <c r="AW32" s="670"/>
      <c r="AX32" s="670"/>
      <c r="AY32" s="670"/>
      <c r="AZ32" s="670"/>
      <c r="BA32" s="670"/>
      <c r="BC32" s="682"/>
      <c r="BD32" s="686" t="s">
        <v>1251</v>
      </c>
      <c r="BE32" s="686"/>
      <c r="BF32" s="686"/>
      <c r="BG32" s="686"/>
      <c r="BH32" s="686"/>
      <c r="BI32" s="687" t="s">
        <v>2141</v>
      </c>
      <c r="BJ32" s="1088" t="s">
        <v>2142</v>
      </c>
      <c r="BK32" s="1148">
        <v>2012</v>
      </c>
      <c r="BL32" s="1148">
        <v>2013</v>
      </c>
      <c r="BM32" s="1148">
        <v>2014</v>
      </c>
      <c r="BN32" s="1148">
        <v>2015</v>
      </c>
      <c r="BO32" s="1148">
        <v>2016</v>
      </c>
      <c r="BS32" s="704" t="s">
        <v>192</v>
      </c>
      <c r="BT32" s="704"/>
      <c r="BU32" s="704"/>
      <c r="BV32" s="704"/>
      <c r="BW32" s="704"/>
      <c r="BX32" s="772">
        <f>매출추정!G196</f>
        <v>0.57126291572162335</v>
      </c>
      <c r="BY32" s="772">
        <f>매출추정!H196</f>
        <v>0.52838110122463278</v>
      </c>
      <c r="BZ32" s="772">
        <f>매출추정!I196</f>
        <v>0.48109276577188814</v>
      </c>
      <c r="CA32" s="670"/>
      <c r="CB32" s="670"/>
      <c r="CV32" s="704"/>
      <c r="CW32" s="704"/>
      <c r="CX32" s="704"/>
      <c r="CY32" s="704"/>
      <c r="CZ32" s="704"/>
      <c r="DA32" s="704"/>
    </row>
    <row r="33" spans="2:105" ht="12" customHeight="1" thickBot="1">
      <c r="B33" s="721" t="s">
        <v>1318</v>
      </c>
      <c r="C33" s="721"/>
      <c r="D33" s="721"/>
      <c r="E33" s="721"/>
      <c r="F33" s="721"/>
      <c r="G33" s="721"/>
      <c r="H33" s="721"/>
      <c r="I33" s="721"/>
      <c r="J33" s="721"/>
      <c r="K33" s="721"/>
      <c r="L33" s="721"/>
      <c r="M33" s="722"/>
      <c r="N33" s="722">
        <f>DCF!E75</f>
        <v>2899580.6660992801</v>
      </c>
      <c r="X33" s="748" t="s">
        <v>1343</v>
      </c>
      <c r="Y33" s="748"/>
      <c r="Z33" s="748"/>
      <c r="AA33" s="748"/>
      <c r="AB33" s="748"/>
      <c r="AC33" s="748"/>
      <c r="AD33" s="748"/>
      <c r="AE33" s="749">
        <f>매출원가추정!E8</f>
        <v>0.74605249343752955</v>
      </c>
      <c r="AF33" s="749">
        <f>매출원가추정!F8</f>
        <v>0.75301184976752233</v>
      </c>
      <c r="AG33" s="749">
        <f>매출원가추정!G8</f>
        <v>0.75052891559292134</v>
      </c>
      <c r="AH33" s="749">
        <f>매출원가추정!H8</f>
        <v>0.74426394046750255</v>
      </c>
      <c r="AI33" s="749">
        <f>AVERAGE(AE33:AH33)</f>
        <v>0.74846429981636897</v>
      </c>
      <c r="AU33" s="670"/>
      <c r="AV33" s="670"/>
      <c r="AW33" s="670"/>
      <c r="AX33" s="670"/>
      <c r="AY33" s="670"/>
      <c r="AZ33" s="670"/>
      <c r="BA33" s="670"/>
      <c r="BC33" s="682"/>
      <c r="BD33" s="690" t="s">
        <v>1399</v>
      </c>
      <c r="BE33" s="690"/>
      <c r="BF33" s="690"/>
      <c r="BG33" s="690"/>
      <c r="BH33" s="690"/>
      <c r="BI33" s="669">
        <f>O68</f>
        <v>93607.316869538015</v>
      </c>
      <c r="BJ33" s="1089">
        <f>P68</f>
        <v>102321.11484888411</v>
      </c>
      <c r="BK33" s="669">
        <f>R68</f>
        <v>209247.55011852304</v>
      </c>
      <c r="BL33" s="669">
        <f>S68</f>
        <v>219015.83069389476</v>
      </c>
      <c r="BM33" s="669">
        <f>T68</f>
        <v>227164.67498437213</v>
      </c>
      <c r="BN33" s="669">
        <f>U68</f>
        <v>236039.03600058594</v>
      </c>
      <c r="BO33" s="669">
        <f>V68</f>
        <v>243628.94593940399</v>
      </c>
      <c r="BP33" s="682"/>
      <c r="BX33" s="670"/>
      <c r="BY33" s="670"/>
      <c r="BZ33" s="670"/>
      <c r="CA33" s="670"/>
      <c r="CB33" s="670"/>
    </row>
    <row r="34" spans="2:105" ht="12" customHeight="1" thickBot="1">
      <c r="B34" s="723" t="s">
        <v>1319</v>
      </c>
      <c r="C34" s="723"/>
      <c r="D34" s="723"/>
      <c r="E34" s="723"/>
      <c r="F34" s="723"/>
      <c r="G34" s="723"/>
      <c r="H34" s="723"/>
      <c r="I34" s="723"/>
      <c r="J34" s="723"/>
      <c r="K34" s="723"/>
      <c r="L34" s="723"/>
      <c r="M34" s="724"/>
      <c r="N34" s="724">
        <f>DCF!K74</f>
        <v>122823.4513407856</v>
      </c>
      <c r="AU34" s="670"/>
      <c r="AV34" s="670"/>
      <c r="AW34" s="670"/>
      <c r="AX34" s="670"/>
      <c r="AY34" s="670"/>
      <c r="AZ34" s="670"/>
      <c r="BA34" s="670"/>
      <c r="BC34" s="682"/>
      <c r="BD34" s="682"/>
      <c r="BE34" s="682" t="s">
        <v>1397</v>
      </c>
      <c r="BF34" s="682"/>
      <c r="BG34" s="682"/>
      <c r="BH34" s="682"/>
      <c r="BI34" s="776">
        <f>O71</f>
        <v>27737.870999999999</v>
      </c>
      <c r="BJ34" s="1099">
        <f>P71</f>
        <v>30569.296455671185</v>
      </c>
      <c r="BK34" s="776">
        <f>R71</f>
        <v>67704.121025678309</v>
      </c>
      <c r="BL34" s="776">
        <f>S71</f>
        <v>73450.814189845827</v>
      </c>
      <c r="BM34" s="776">
        <f>T71</f>
        <v>78045.711387871517</v>
      </c>
      <c r="BN34" s="776">
        <f>U71</f>
        <v>82465.837861237</v>
      </c>
      <c r="BO34" s="776">
        <f>V71</f>
        <v>86612.819127776602</v>
      </c>
      <c r="BP34" s="682"/>
      <c r="BX34" s="670"/>
      <c r="BY34" s="670"/>
      <c r="BZ34" s="670"/>
      <c r="CA34" s="670"/>
      <c r="CB34" s="670"/>
      <c r="CX34" s="1245"/>
      <c r="CY34" s="1245">
        <f>CY24/CY29</f>
        <v>9.2157035357001735</v>
      </c>
      <c r="CZ34" s="1245">
        <f>CZ24/CZ29</f>
        <v>9.1374373273317602</v>
      </c>
      <c r="DA34" s="1245">
        <f>DA24/DA29</f>
        <v>11.81909240638133</v>
      </c>
    </row>
    <row r="35" spans="2:105" ht="12" customHeight="1">
      <c r="AU35" s="670"/>
      <c r="AV35" s="670"/>
      <c r="AW35" s="670"/>
      <c r="AX35" s="670"/>
      <c r="AY35" s="670"/>
      <c r="AZ35" s="670"/>
      <c r="BA35" s="670"/>
      <c r="BC35" s="682"/>
      <c r="BD35" s="682"/>
      <c r="BE35" s="682" t="s">
        <v>750</v>
      </c>
      <c r="BF35" s="682"/>
      <c r="BG35" s="682"/>
      <c r="BH35" s="682"/>
      <c r="BI35" s="776">
        <f>'R-SG&amp;A'!G29</f>
        <v>19527.25</v>
      </c>
      <c r="BJ35" s="1099">
        <f>'R-SG&amp;A'!H29</f>
        <v>19981.129679824939</v>
      </c>
      <c r="BK35" s="776">
        <f>'R-SG&amp;A'!I29</f>
        <v>39508.379679824939</v>
      </c>
      <c r="BL35" s="776">
        <f>'R-SG&amp;A'!J29</f>
        <v>40901.901556165321</v>
      </c>
      <c r="BM35" s="776">
        <f>'R-SG&amp;A'!K29</f>
        <v>41375.188023609779</v>
      </c>
      <c r="BN35" s="776">
        <f>'R-SG&amp;A'!L29</f>
        <v>41416.39768014384</v>
      </c>
      <c r="BO35" s="776">
        <f>'R-SG&amp;A'!M29</f>
        <v>42308.370678765932</v>
      </c>
      <c r="BP35" s="682"/>
      <c r="BX35" s="670"/>
      <c r="BY35" s="670"/>
      <c r="BZ35" s="670"/>
      <c r="CA35" s="670"/>
      <c r="CB35" s="670"/>
    </row>
    <row r="36" spans="2:105" ht="12" customHeight="1">
      <c r="AO36" s="680" t="s">
        <v>1380</v>
      </c>
      <c r="AU36" s="670"/>
      <c r="AV36" s="670"/>
      <c r="AW36" s="670"/>
      <c r="AX36" s="670"/>
      <c r="AY36" s="670"/>
      <c r="AZ36" s="670"/>
      <c r="BA36" s="670"/>
      <c r="BC36" s="681"/>
      <c r="BD36" s="682"/>
      <c r="BE36" s="682" t="s">
        <v>1500</v>
      </c>
      <c r="BF36" s="682"/>
      <c r="BG36" s="682"/>
      <c r="BH36" s="682"/>
      <c r="BI36" s="776">
        <f>'R-SG&amp;A'!G30</f>
        <v>229.184</v>
      </c>
      <c r="BJ36" s="1099">
        <f>'R-SG&amp;A'!H30</f>
        <v>392.62514320000002</v>
      </c>
      <c r="BK36" s="776">
        <f>'R-SG&amp;A'!I30</f>
        <v>621.80914319999999</v>
      </c>
      <c r="BL36" s="776">
        <f>'R-SG&amp;A'!J30</f>
        <v>810.6662864000001</v>
      </c>
      <c r="BM36" s="776">
        <f>'R-SG&amp;A'!K30</f>
        <v>864.88708640000004</v>
      </c>
      <c r="BN36" s="776">
        <f>'R-SG&amp;A'!L30</f>
        <v>900.80294432000005</v>
      </c>
      <c r="BO36" s="776">
        <f>'R-SG&amp;A'!M30</f>
        <v>926.23586120959999</v>
      </c>
      <c r="BP36" s="682"/>
      <c r="BX36" s="670"/>
      <c r="BY36" s="670"/>
      <c r="BZ36" s="670"/>
      <c r="CA36" s="670"/>
      <c r="CB36" s="794"/>
    </row>
    <row r="37" spans="2:105" ht="12" customHeight="1" thickBot="1">
      <c r="L37" s="670"/>
      <c r="M37" s="670"/>
      <c r="N37" s="670"/>
      <c r="O37" s="670"/>
      <c r="P37" s="670"/>
      <c r="Q37" s="670"/>
      <c r="R37" s="670"/>
      <c r="S37" s="670"/>
      <c r="T37" s="670"/>
      <c r="U37" s="670"/>
      <c r="V37" s="670"/>
      <c r="AU37" s="670"/>
      <c r="AV37" s="670"/>
      <c r="AW37" s="670"/>
      <c r="AX37" s="670"/>
      <c r="AY37" s="670"/>
      <c r="AZ37" s="670"/>
      <c r="BA37" s="670"/>
      <c r="BC37" s="682"/>
      <c r="BD37" s="708"/>
      <c r="BE37" s="708" t="s">
        <v>1398</v>
      </c>
      <c r="BF37" s="708"/>
      <c r="BG37" s="708"/>
      <c r="BH37" s="708"/>
      <c r="BI37" s="780">
        <f t="shared" ref="BI37" si="36">BI33-SUM(BI34:BI36)</f>
        <v>46113.011869538015</v>
      </c>
      <c r="BJ37" s="1101">
        <f t="shared" ref="BJ37:BO37" si="37">BJ33-SUM(BJ34:BJ36)</f>
        <v>51378.063570187995</v>
      </c>
      <c r="BK37" s="780">
        <f t="shared" si="37"/>
        <v>101413.2402698198</v>
      </c>
      <c r="BL37" s="780">
        <f t="shared" si="37"/>
        <v>103852.44866148362</v>
      </c>
      <c r="BM37" s="780">
        <f t="shared" si="37"/>
        <v>106878.88848649083</v>
      </c>
      <c r="BN37" s="780">
        <f t="shared" si="37"/>
        <v>111255.99751488509</v>
      </c>
      <c r="BO37" s="780">
        <f t="shared" si="37"/>
        <v>113781.52027165185</v>
      </c>
      <c r="BP37" s="682"/>
      <c r="BX37" s="670"/>
      <c r="BY37" s="670"/>
      <c r="BZ37" s="670"/>
      <c r="CA37" s="670"/>
      <c r="CB37" s="795"/>
      <c r="CV37" s="1002" t="s">
        <v>2313</v>
      </c>
      <c r="CW37" s="1002"/>
      <c r="CX37" s="1044"/>
      <c r="CY37" s="1044" t="s">
        <v>2321</v>
      </c>
      <c r="CZ37" s="1044" t="s">
        <v>2322</v>
      </c>
      <c r="DA37" s="1044" t="s">
        <v>2323</v>
      </c>
    </row>
    <row r="38" spans="2:105" ht="12" customHeight="1">
      <c r="B38" s="683"/>
      <c r="C38" s="683"/>
      <c r="D38" s="683"/>
      <c r="E38" s="683"/>
      <c r="F38" s="683"/>
      <c r="G38" s="683"/>
      <c r="H38" s="683"/>
      <c r="I38" s="683"/>
      <c r="J38" s="683"/>
      <c r="K38" s="683"/>
      <c r="L38" s="1122" t="s">
        <v>2143</v>
      </c>
      <c r="M38" s="684"/>
      <c r="N38" s="684"/>
      <c r="O38" s="684"/>
      <c r="P38" s="1087" t="s">
        <v>2160</v>
      </c>
      <c r="Q38" s="684"/>
      <c r="R38" s="684"/>
      <c r="S38" s="684"/>
      <c r="T38" s="684"/>
      <c r="U38" s="684"/>
      <c r="V38" s="684"/>
      <c r="AT38" s="670"/>
      <c r="AU38" s="670"/>
      <c r="AV38" s="670"/>
      <c r="AW38" s="714"/>
      <c r="AX38" s="714"/>
      <c r="AZ38" s="670"/>
      <c r="BA38" s="670"/>
      <c r="BC38" s="682"/>
      <c r="BJ38" s="670"/>
      <c r="BK38" s="670"/>
      <c r="BL38" s="670"/>
      <c r="BM38" s="670"/>
      <c r="BN38" s="670"/>
      <c r="BO38" s="670"/>
      <c r="BX38" s="670"/>
      <c r="BY38" s="670"/>
      <c r="BZ38" s="670"/>
      <c r="CA38" s="670"/>
      <c r="CB38" s="795"/>
      <c r="CV38" s="1244" t="s">
        <v>2325</v>
      </c>
      <c r="CX38" s="1286"/>
      <c r="CY38" s="670">
        <f>Multiple!N8</f>
        <v>727120.97711219511</v>
      </c>
      <c r="CZ38" s="670">
        <f>Multiple!O8</f>
        <v>321728.33799999999</v>
      </c>
      <c r="DA38" s="670">
        <f>Multiple!P8</f>
        <v>112208.86267853396</v>
      </c>
    </row>
    <row r="39" spans="2:105" ht="12" customHeight="1" thickBot="1">
      <c r="B39" s="686" t="s">
        <v>1251</v>
      </c>
      <c r="C39" s="686"/>
      <c r="D39" s="686"/>
      <c r="E39" s="686"/>
      <c r="F39" s="686"/>
      <c r="G39" s="686"/>
      <c r="H39" s="686"/>
      <c r="I39" s="686"/>
      <c r="J39" s="686"/>
      <c r="K39" s="686"/>
      <c r="L39" s="1149">
        <v>2008</v>
      </c>
      <c r="M39" s="1148">
        <v>2009</v>
      </c>
      <c r="N39" s="1148">
        <v>2010</v>
      </c>
      <c r="O39" s="1148" t="s">
        <v>2187</v>
      </c>
      <c r="P39" s="1149" t="s">
        <v>2188</v>
      </c>
      <c r="Q39" s="1148">
        <v>2011</v>
      </c>
      <c r="R39" s="1148">
        <v>2012</v>
      </c>
      <c r="S39" s="1148">
        <v>2013</v>
      </c>
      <c r="T39" s="1148">
        <v>2014</v>
      </c>
      <c r="U39" s="1148">
        <v>2015</v>
      </c>
      <c r="V39" s="1148">
        <v>2016</v>
      </c>
      <c r="AO39" s="715" t="s">
        <v>1381</v>
      </c>
      <c r="AP39" s="716"/>
      <c r="AQ39" s="716"/>
      <c r="AR39" s="716"/>
      <c r="AS39" s="716"/>
      <c r="AT39" s="726"/>
      <c r="AU39" s="726" t="s">
        <v>1555</v>
      </c>
      <c r="AV39" s="726" t="s">
        <v>1556</v>
      </c>
      <c r="AW39" s="726" t="s">
        <v>1557</v>
      </c>
      <c r="AX39" s="716" t="s">
        <v>2165</v>
      </c>
      <c r="AZ39" s="670"/>
      <c r="BA39" s="670"/>
      <c r="BC39" s="729"/>
      <c r="BD39" s="714"/>
      <c r="BE39" s="714"/>
      <c r="BF39" s="714"/>
      <c r="BG39" s="714"/>
      <c r="BH39" s="714"/>
      <c r="BI39" s="714"/>
      <c r="BJ39" s="725"/>
      <c r="BK39" s="725"/>
      <c r="BL39" s="725"/>
      <c r="BM39" s="725"/>
      <c r="BN39" s="776"/>
      <c r="BO39" s="670"/>
      <c r="BX39" s="670"/>
      <c r="BY39" s="670"/>
      <c r="BZ39" s="670"/>
      <c r="CA39" s="670"/>
      <c r="CB39" s="795"/>
      <c r="CV39" s="979" t="s">
        <v>2326</v>
      </c>
      <c r="CX39" s="1286"/>
      <c r="CY39" s="670">
        <f>Multiple!N9</f>
        <v>0</v>
      </c>
      <c r="CZ39" s="670">
        <f>Multiple!O9</f>
        <v>1219021.1870000002</v>
      </c>
      <c r="DA39" s="670">
        <f>Multiple!P9</f>
        <v>36532.060586991873</v>
      </c>
    </row>
    <row r="40" spans="2:105" ht="12" customHeight="1">
      <c r="B40" s="727" t="s">
        <v>1326</v>
      </c>
      <c r="C40" s="727"/>
      <c r="D40" s="727"/>
      <c r="E40" s="727"/>
      <c r="F40" s="727"/>
      <c r="G40" s="727"/>
      <c r="H40" s="727"/>
      <c r="I40" s="727"/>
      <c r="J40" s="727"/>
      <c r="K40" s="727"/>
      <c r="L40" s="1123">
        <f>L41</f>
        <v>2451302.1871400001</v>
      </c>
      <c r="M40" s="728">
        <f t="shared" ref="M40:V40" si="38">M41</f>
        <v>2663947.8663639999</v>
      </c>
      <c r="N40" s="728">
        <f t="shared" si="38"/>
        <v>3046678.6757970001</v>
      </c>
      <c r="O40" s="728">
        <f t="shared" si="38"/>
        <v>1606909.618359</v>
      </c>
      <c r="P40" s="1123">
        <f t="shared" si="38"/>
        <v>1826768.9985385463</v>
      </c>
      <c r="Q40" s="720">
        <f t="shared" si="38"/>
        <v>3433678.6168975462</v>
      </c>
      <c r="R40" s="720">
        <f t="shared" si="38"/>
        <v>3874341.5840919763</v>
      </c>
      <c r="S40" s="720">
        <f t="shared" si="38"/>
        <v>4226781.2635950102</v>
      </c>
      <c r="T40" s="720">
        <f t="shared" si="38"/>
        <v>4456133.2940086992</v>
      </c>
      <c r="U40" s="720">
        <f t="shared" si="38"/>
        <v>4697930.3388611386</v>
      </c>
      <c r="V40" s="720">
        <f t="shared" si="38"/>
        <v>4952847.6848899331</v>
      </c>
      <c r="AO40" s="676" t="s">
        <v>1382</v>
      </c>
      <c r="AT40" s="670"/>
      <c r="AU40" s="771">
        <f>'SG&amp;A'!E41</f>
        <v>7.8777847685315483E-2</v>
      </c>
      <c r="AV40" s="771">
        <f>'SG&amp;A'!F41</f>
        <v>7.6996437956218702E-2</v>
      </c>
      <c r="AW40" s="771">
        <f>'SG&amp;A'!G41</f>
        <v>8.6935451201437267E-2</v>
      </c>
      <c r="AX40" s="771">
        <f>AVERAGE(AU40:AW40)</f>
        <v>8.0903245614323813E-2</v>
      </c>
      <c r="AZ40" s="670"/>
      <c r="BA40" s="670"/>
      <c r="BC40" s="682"/>
      <c r="BD40" s="682"/>
      <c r="BE40" s="682"/>
      <c r="BF40" s="682"/>
      <c r="BG40" s="682"/>
      <c r="BH40" s="682"/>
      <c r="BI40" s="682"/>
      <c r="BJ40" s="776"/>
      <c r="BK40" s="776"/>
      <c r="BL40" s="776"/>
      <c r="BM40" s="776"/>
      <c r="BN40" s="776"/>
      <c r="BO40" s="670"/>
      <c r="BX40" s="670"/>
      <c r="BY40" s="670"/>
      <c r="BZ40" s="670"/>
      <c r="CA40" s="670"/>
      <c r="CB40" s="795"/>
      <c r="CV40" s="979" t="s">
        <v>2327</v>
      </c>
      <c r="CX40" s="1286"/>
      <c r="CY40" s="670">
        <f>Multiple!N10</f>
        <v>65475</v>
      </c>
      <c r="CZ40" s="670">
        <f>Multiple!O10</f>
        <v>450810.86725399998</v>
      </c>
      <c r="DA40" s="670">
        <f>Multiple!P10</f>
        <v>13264.455</v>
      </c>
    </row>
    <row r="41" spans="2:105" ht="12" customHeight="1" thickBot="1">
      <c r="C41" s="676" t="s">
        <v>1322</v>
      </c>
      <c r="L41" s="1090">
        <f>L5+959325.966</f>
        <v>2451302.1871400001</v>
      </c>
      <c r="M41" s="670">
        <f t="shared" ref="M41:V41" si="39">M5</f>
        <v>2663947.8663639999</v>
      </c>
      <c r="N41" s="670">
        <f t="shared" si="39"/>
        <v>3046678.6757970001</v>
      </c>
      <c r="O41" s="670">
        <f t="shared" si="39"/>
        <v>1606909.618359</v>
      </c>
      <c r="P41" s="1090">
        <f t="shared" si="39"/>
        <v>1826768.9985385463</v>
      </c>
      <c r="Q41" s="671">
        <f t="shared" si="39"/>
        <v>3433678.6168975462</v>
      </c>
      <c r="R41" s="671">
        <f t="shared" si="39"/>
        <v>3874341.5840919763</v>
      </c>
      <c r="S41" s="671">
        <f t="shared" si="39"/>
        <v>4226781.2635950102</v>
      </c>
      <c r="T41" s="671">
        <f t="shared" si="39"/>
        <v>4456133.2940086992</v>
      </c>
      <c r="U41" s="671">
        <f t="shared" si="39"/>
        <v>4697930.3388611386</v>
      </c>
      <c r="V41" s="671">
        <f t="shared" si="39"/>
        <v>4952847.6848899331</v>
      </c>
      <c r="AO41" s="676" t="s">
        <v>1383</v>
      </c>
      <c r="AT41" s="670"/>
      <c r="AU41" s="771">
        <f>'SG&amp;A'!E42</f>
        <v>0.27063206763797826</v>
      </c>
      <c r="AV41" s="771">
        <f>'SG&amp;A'!F42</f>
        <v>0.25788371220933592</v>
      </c>
      <c r="AW41" s="771">
        <f>'SG&amp;A'!G42</f>
        <v>0.27648351924035786</v>
      </c>
      <c r="AX41" s="771">
        <f t="shared" ref="AX41:AX42" si="40">AVERAGE(AU41:AW41)</f>
        <v>0.26833309969589064</v>
      </c>
      <c r="AZ41" s="670"/>
      <c r="BA41" s="670"/>
      <c r="BC41" s="682"/>
      <c r="BD41" s="683"/>
      <c r="BE41" s="683"/>
      <c r="BF41" s="683"/>
      <c r="BG41" s="683"/>
      <c r="BH41" s="683"/>
      <c r="BI41" s="1086" t="s">
        <v>2179</v>
      </c>
      <c r="BJ41" s="1087" t="s">
        <v>2180</v>
      </c>
      <c r="BK41" s="684"/>
      <c r="BL41" s="684"/>
      <c r="BM41" s="684"/>
      <c r="BN41" s="684"/>
      <c r="BO41" s="684"/>
      <c r="BS41" s="686" t="s">
        <v>1477</v>
      </c>
      <c r="BT41" s="686"/>
      <c r="BU41" s="686"/>
      <c r="BV41" s="686"/>
      <c r="BW41" s="686"/>
      <c r="BX41" s="1148">
        <v>2007</v>
      </c>
      <c r="BY41" s="1148">
        <v>2008</v>
      </c>
      <c r="BZ41" s="1148">
        <v>2009</v>
      </c>
      <c r="CA41" s="1148">
        <v>2010</v>
      </c>
      <c r="CB41" s="795"/>
      <c r="CV41" s="998" t="s">
        <v>2328</v>
      </c>
      <c r="CW41" s="1246"/>
      <c r="CX41" s="1287"/>
      <c r="CY41" s="713">
        <f>Multiple!N11</f>
        <v>792595.97711219511</v>
      </c>
      <c r="CZ41" s="713">
        <f>Multiple!O11</f>
        <v>1991560.3922540001</v>
      </c>
      <c r="DA41" s="713">
        <f>Multiple!P11</f>
        <v>162005.37826552583</v>
      </c>
    </row>
    <row r="42" spans="2:105" ht="12" customHeight="1" thickBot="1">
      <c r="C42" s="698" t="s">
        <v>1327</v>
      </c>
      <c r="L42" s="1090"/>
      <c r="M42" s="730">
        <f>M41/L41-1</f>
        <v>8.674804776807199E-2</v>
      </c>
      <c r="N42" s="730">
        <f>N41/M41-1</f>
        <v>0.14367053284544418</v>
      </c>
      <c r="O42" s="730">
        <f>(O41*2)/N41-1</f>
        <v>5.4859924103179747E-2</v>
      </c>
      <c r="P42" s="1091">
        <f>P41/O41-1</f>
        <v>0.13682124848071409</v>
      </c>
      <c r="Q42" s="731">
        <f>Q41/N41-1</f>
        <v>0.1270235499972141</v>
      </c>
      <c r="R42" s="731">
        <f>R41/Q41-1</f>
        <v>0.12833553059563418</v>
      </c>
      <c r="S42" s="731">
        <f t="shared" ref="S42:V42" si="41">S41/R41-1</f>
        <v>9.0967632010081179E-2</v>
      </c>
      <c r="T42" s="731">
        <f t="shared" si="41"/>
        <v>5.4261627491605235E-2</v>
      </c>
      <c r="U42" s="731">
        <f t="shared" si="41"/>
        <v>5.4261627491605013E-2</v>
      </c>
      <c r="V42" s="731">
        <f t="shared" si="41"/>
        <v>5.4261627491605458E-2</v>
      </c>
      <c r="AO42" s="704" t="s">
        <v>1384</v>
      </c>
      <c r="AP42" s="704"/>
      <c r="AQ42" s="704"/>
      <c r="AR42" s="704"/>
      <c r="AS42" s="704"/>
      <c r="AT42" s="770"/>
      <c r="AU42" s="772">
        <f>'SG&amp;A'!E43</f>
        <v>1.577842396687092E-2</v>
      </c>
      <c r="AV42" s="772">
        <f>'SG&amp;A'!F43</f>
        <v>1.5394217746065125E-2</v>
      </c>
      <c r="AW42" s="772">
        <f>'SG&amp;A'!G43</f>
        <v>1.6305416110637082E-2</v>
      </c>
      <c r="AX42" s="772">
        <f t="shared" si="40"/>
        <v>1.5826019274524376E-2</v>
      </c>
      <c r="AZ42" s="670"/>
      <c r="BA42" s="670"/>
      <c r="BC42" s="682"/>
      <c r="BD42" s="686" t="s">
        <v>1251</v>
      </c>
      <c r="BE42" s="686"/>
      <c r="BF42" s="686"/>
      <c r="BG42" s="686"/>
      <c r="BH42" s="686"/>
      <c r="BI42" s="687" t="s">
        <v>2141</v>
      </c>
      <c r="BJ42" s="1088" t="s">
        <v>2142</v>
      </c>
      <c r="BK42" s="1148">
        <v>2012</v>
      </c>
      <c r="BL42" s="1148">
        <v>2013</v>
      </c>
      <c r="BM42" s="1148">
        <v>2014</v>
      </c>
      <c r="BN42" s="1148">
        <v>2015</v>
      </c>
      <c r="BO42" s="1148">
        <v>2016</v>
      </c>
      <c r="BS42" s="676" t="s">
        <v>3002</v>
      </c>
      <c r="BX42" s="771">
        <f>매출원가추정!C36</f>
        <v>0.74548439638817654</v>
      </c>
      <c r="BY42" s="771">
        <f>매출원가추정!D36</f>
        <v>0.74605249343752955</v>
      </c>
      <c r="BZ42" s="771">
        <f>매출원가추정!E36</f>
        <v>0.75301184976752233</v>
      </c>
      <c r="CA42" s="771">
        <f>매출원가추정!F36</f>
        <v>0.75052891559292134</v>
      </c>
      <c r="CB42" s="671"/>
      <c r="CX42" s="1288"/>
    </row>
    <row r="43" spans="2:105" ht="12" customHeight="1">
      <c r="L43" s="1090"/>
      <c r="M43" s="670"/>
      <c r="N43" s="670"/>
      <c r="O43" s="670"/>
      <c r="P43" s="1090"/>
      <c r="Q43" s="671"/>
      <c r="R43" s="671"/>
      <c r="S43" s="671"/>
      <c r="T43" s="671"/>
      <c r="U43" s="671"/>
      <c r="V43" s="671"/>
      <c r="AT43" s="670"/>
      <c r="AU43" s="670"/>
      <c r="AV43" s="670"/>
      <c r="AW43" s="670"/>
      <c r="AX43" s="670"/>
      <c r="AZ43" s="670"/>
      <c r="BA43" s="670"/>
      <c r="BC43" s="682"/>
      <c r="BD43" s="1144" t="s">
        <v>1400</v>
      </c>
      <c r="BE43" s="1144"/>
      <c r="BF43" s="1144"/>
      <c r="BG43" s="1144"/>
      <c r="BH43" s="1144"/>
      <c r="BI43" s="1145">
        <f>'SG&amp;A'!F220</f>
        <v>295</v>
      </c>
      <c r="BJ43" s="1146">
        <f>'SG&amp;A'!G220</f>
        <v>307</v>
      </c>
      <c r="BK43" s="1147">
        <f>'SG&amp;A'!H220</f>
        <v>332</v>
      </c>
      <c r="BL43" s="1147">
        <f>'SG&amp;A'!I220</f>
        <v>348</v>
      </c>
      <c r="BM43" s="1147">
        <f>'SG&amp;A'!J220</f>
        <v>359</v>
      </c>
      <c r="BN43" s="1147">
        <f>'SG&amp;A'!K220</f>
        <v>369</v>
      </c>
      <c r="BO43" s="1147">
        <f>'SG&amp;A'!L220</f>
        <v>377</v>
      </c>
      <c r="BS43" s="676" t="s">
        <v>186</v>
      </c>
      <c r="BX43" s="771">
        <f>매출원가추정!C37</f>
        <v>0.80752244497877657</v>
      </c>
      <c r="BY43" s="771">
        <f>매출원가추정!D37</f>
        <v>0.80420839953257128</v>
      </c>
      <c r="BZ43" s="771">
        <f>매출원가추정!E37</f>
        <v>0.80598796393264216</v>
      </c>
      <c r="CA43" s="771">
        <f>매출원가추정!F37</f>
        <v>0.79595990956855578</v>
      </c>
      <c r="CB43" s="671"/>
      <c r="CX43" s="1288"/>
    </row>
    <row r="44" spans="2:105" ht="12" customHeight="1">
      <c r="L44" s="1090"/>
      <c r="M44" s="670"/>
      <c r="N44" s="670"/>
      <c r="O44" s="670"/>
      <c r="P44" s="1090"/>
      <c r="Q44" s="671"/>
      <c r="R44" s="671"/>
      <c r="S44" s="671"/>
      <c r="T44" s="671"/>
      <c r="U44" s="671"/>
      <c r="V44" s="671"/>
      <c r="AT44" s="670"/>
      <c r="AU44" s="670"/>
      <c r="AV44" s="670"/>
      <c r="AW44" s="670"/>
      <c r="AX44" s="670"/>
      <c r="AZ44" s="670"/>
      <c r="BA44" s="670"/>
      <c r="BC44" s="682"/>
      <c r="BD44" s="676" t="s">
        <v>2178</v>
      </c>
      <c r="BI44" s="676">
        <f>'SG&amp;A'!F222</f>
        <v>258</v>
      </c>
      <c r="BJ44" s="1131">
        <f>'SG&amp;A'!G222</f>
        <v>268.4949152542373</v>
      </c>
      <c r="BK44" s="676">
        <f>'SG&amp;A'!H222</f>
        <v>290.35932203389831</v>
      </c>
      <c r="BL44" s="676">
        <f>'SG&amp;A'!I222</f>
        <v>304.35254237288137</v>
      </c>
      <c r="BM44" s="676">
        <f>'SG&amp;A'!J222</f>
        <v>313.9728813559322</v>
      </c>
      <c r="BN44" s="676">
        <f>'SG&amp;A'!K222</f>
        <v>322.71864406779662</v>
      </c>
      <c r="BO44" s="676">
        <f>'SG&amp;A'!L222</f>
        <v>329.71525423728815</v>
      </c>
      <c r="BS44" s="676" t="s">
        <v>1473</v>
      </c>
      <c r="BX44" s="771">
        <f>매출원가추정!C38</f>
        <v>0.82159860025270881</v>
      </c>
      <c r="BY44" s="771">
        <f>매출원가추정!D38</f>
        <v>0.82654752641852802</v>
      </c>
      <c r="BZ44" s="771">
        <f>매출원가추정!E38</f>
        <v>0.83017400961945986</v>
      </c>
      <c r="CA44" s="771">
        <f>매출원가추정!F38</f>
        <v>0.80695187500277665</v>
      </c>
      <c r="CB44" s="670"/>
      <c r="CX44" s="1288"/>
    </row>
    <row r="45" spans="2:105" ht="12" customHeight="1" thickBot="1">
      <c r="B45" s="676" t="s">
        <v>1323</v>
      </c>
      <c r="L45" s="1090">
        <f>L46</f>
        <v>1844686.8309309999</v>
      </c>
      <c r="M45" s="670">
        <f t="shared" ref="M45:V45" si="42">M46</f>
        <v>2005984.3105349999</v>
      </c>
      <c r="N45" s="670">
        <f t="shared" si="42"/>
        <v>2286620.4427060001</v>
      </c>
      <c r="O45" s="670">
        <f t="shared" si="42"/>
        <v>1195964.884535</v>
      </c>
      <c r="P45" s="1090">
        <f t="shared" si="42"/>
        <v>1356934.8915909547</v>
      </c>
      <c r="Q45" s="671">
        <f t="shared" si="42"/>
        <v>2552899.7761259545</v>
      </c>
      <c r="R45" s="671">
        <f t="shared" si="42"/>
        <v>2866586.5397059345</v>
      </c>
      <c r="S45" s="671">
        <f t="shared" si="42"/>
        <v>3115027.9627999715</v>
      </c>
      <c r="T45" s="671">
        <f t="shared" si="42"/>
        <v>3271060.4997817618</v>
      </c>
      <c r="U45" s="671">
        <f t="shared" si="42"/>
        <v>3434854.5432893671</v>
      </c>
      <c r="V45" s="671">
        <f t="shared" si="42"/>
        <v>3606792.9868971063</v>
      </c>
      <c r="AO45" s="686"/>
      <c r="AP45" s="686"/>
      <c r="AQ45" s="686"/>
      <c r="AR45" s="686"/>
      <c r="AS45" s="686"/>
      <c r="AT45" s="687" t="s">
        <v>1558</v>
      </c>
      <c r="AU45" s="687" t="s">
        <v>1303</v>
      </c>
      <c r="AV45" s="687" t="s">
        <v>1304</v>
      </c>
      <c r="AW45" s="687" t="s">
        <v>1305</v>
      </c>
      <c r="AX45" s="687" t="s">
        <v>1306</v>
      </c>
      <c r="AZ45" s="684"/>
      <c r="BA45" s="670"/>
      <c r="BC45" s="682"/>
      <c r="BD45" s="682" t="s">
        <v>1401</v>
      </c>
      <c r="BE45" s="682"/>
      <c r="BF45" s="682"/>
      <c r="BG45" s="682"/>
      <c r="BH45" s="682"/>
      <c r="BI45" s="682"/>
      <c r="BJ45" s="1099">
        <f>'SG&amp;A'!G223/1000000</f>
        <v>227.70856890697672</v>
      </c>
      <c r="BK45" s="776">
        <f>'SG&amp;A'!H223/1000000</f>
        <v>233.17357456074416</v>
      </c>
      <c r="BL45" s="776">
        <f>'SG&amp;A'!I223/1000000</f>
        <v>241.3346496703702</v>
      </c>
      <c r="BM45" s="776">
        <f>'SG&amp;A'!J223/1000000</f>
        <v>248.57468916048131</v>
      </c>
      <c r="BN45" s="776">
        <f>'SG&amp;A'!K223/1000000</f>
        <v>255.53478045697477</v>
      </c>
      <c r="BO45" s="776">
        <f>'SG&amp;A'!L223/1000000</f>
        <v>262.68975430977008</v>
      </c>
      <c r="BS45" s="676" t="s">
        <v>1475</v>
      </c>
      <c r="BX45" s="771">
        <f>매출원가추정!C39</f>
        <v>0.8084352540530978</v>
      </c>
      <c r="BY45" s="771">
        <f>매출원가추정!D39</f>
        <v>0.79349708949672593</v>
      </c>
      <c r="BZ45" s="771">
        <f>매출원가추정!E39</f>
        <v>0.78943824098339777</v>
      </c>
      <c r="CA45" s="771">
        <f>매출원가추정!F39</f>
        <v>0.78930869885103139</v>
      </c>
      <c r="CB45" s="670"/>
      <c r="CV45" s="1002" t="s">
        <v>2313</v>
      </c>
      <c r="CW45" s="1002"/>
      <c r="CX45" s="1289" t="s">
        <v>2329</v>
      </c>
      <c r="CY45" s="1044"/>
      <c r="CZ45" s="1044" t="s">
        <v>2330</v>
      </c>
      <c r="DA45" s="1044" t="s">
        <v>2331</v>
      </c>
    </row>
    <row r="46" spans="2:105" ht="12" customHeight="1" thickBot="1">
      <c r="C46" s="676" t="s">
        <v>1324</v>
      </c>
      <c r="L46" s="1090">
        <f>L7+731594.251</f>
        <v>1844686.8309309999</v>
      </c>
      <c r="M46" s="670">
        <f t="shared" ref="M46:V46" si="43">M7</f>
        <v>2005984.3105349999</v>
      </c>
      <c r="N46" s="670">
        <f t="shared" si="43"/>
        <v>2286620.4427060001</v>
      </c>
      <c r="O46" s="670">
        <f t="shared" si="43"/>
        <v>1195964.884535</v>
      </c>
      <c r="P46" s="1090">
        <f t="shared" si="43"/>
        <v>1356934.8915909547</v>
      </c>
      <c r="Q46" s="671">
        <f t="shared" si="43"/>
        <v>2552899.7761259545</v>
      </c>
      <c r="R46" s="671">
        <f t="shared" si="43"/>
        <v>2866586.5397059345</v>
      </c>
      <c r="S46" s="671">
        <f t="shared" si="43"/>
        <v>3115027.9627999715</v>
      </c>
      <c r="T46" s="671">
        <f t="shared" si="43"/>
        <v>3271060.4997817618</v>
      </c>
      <c r="U46" s="671">
        <f t="shared" si="43"/>
        <v>3434854.5432893671</v>
      </c>
      <c r="V46" s="671">
        <f t="shared" si="43"/>
        <v>3606792.9868971063</v>
      </c>
      <c r="AO46" s="717" t="s">
        <v>1463</v>
      </c>
      <c r="AP46" s="717"/>
      <c r="AQ46" s="717"/>
      <c r="AR46" s="717"/>
      <c r="AS46" s="717"/>
      <c r="AT46" s="1250">
        <f>매출추정!G166</f>
        <v>5.9000000000000004E-2</v>
      </c>
      <c r="AU46" s="1250">
        <f>매출추정!H166</f>
        <v>2.4E-2</v>
      </c>
      <c r="AV46" s="1250">
        <f>매출추정!I166</f>
        <v>3.5000000000000003E-2</v>
      </c>
      <c r="AW46" s="1250">
        <f>매출추정!J166</f>
        <v>0.03</v>
      </c>
      <c r="AX46" s="1250">
        <f>매출추정!K166</f>
        <v>2.7999999999999997E-2</v>
      </c>
      <c r="AZ46" s="671"/>
      <c r="BA46" s="670"/>
      <c r="BC46" s="682"/>
      <c r="BE46" s="733" t="s">
        <v>1403</v>
      </c>
      <c r="BF46" s="733"/>
      <c r="BG46" s="733"/>
      <c r="BH46" s="733"/>
      <c r="BI46" s="733"/>
      <c r="BJ46" s="1102">
        <f>'SG&amp;A'!G224</f>
        <v>5.9000000000000004E-2</v>
      </c>
      <c r="BK46" s="781">
        <f>'SG&amp;A'!H224</f>
        <v>2.4E-2</v>
      </c>
      <c r="BL46" s="781">
        <f>'SG&amp;A'!I224</f>
        <v>3.5000000000000003E-2</v>
      </c>
      <c r="BM46" s="781">
        <f>'SG&amp;A'!J224</f>
        <v>0.03</v>
      </c>
      <c r="BN46" s="781">
        <f>'SG&amp;A'!K224</f>
        <v>2.7999999999999997E-2</v>
      </c>
      <c r="BO46" s="781">
        <f>'SG&amp;A'!L224</f>
        <v>2.7999999999999997E-2</v>
      </c>
      <c r="BS46" s="736" t="s">
        <v>1478</v>
      </c>
      <c r="BT46" s="736"/>
      <c r="BU46" s="736"/>
      <c r="BV46" s="736"/>
      <c r="BW46" s="736"/>
      <c r="BX46" s="796">
        <f>매출원가추정!C40</f>
        <v>0.79576017391818998</v>
      </c>
      <c r="BY46" s="796">
        <f>매출원가추정!D40</f>
        <v>0.79257637722133867</v>
      </c>
      <c r="BZ46" s="796">
        <f>매출원가추정!E40</f>
        <v>0.79465301607575556</v>
      </c>
      <c r="CA46" s="796">
        <f>매출원가추정!F40</f>
        <v>0.78568734975382126</v>
      </c>
      <c r="CB46" s="670"/>
      <c r="CV46" s="1244" t="s">
        <v>2332</v>
      </c>
      <c r="CX46" s="1223" t="str">
        <f>Multiple!N16</f>
        <v>삼성생명외 1개사</v>
      </c>
      <c r="CY46" s="670"/>
      <c r="CZ46" s="670">
        <f>Multiple!P16</f>
        <v>717980</v>
      </c>
      <c r="DA46" s="670">
        <f>Multiple!Q16</f>
        <v>696616.97711219511</v>
      </c>
    </row>
    <row r="47" spans="2:105" ht="12" customHeight="1" thickBot="1">
      <c r="C47" s="698" t="s">
        <v>1328</v>
      </c>
      <c r="L47" s="1091">
        <f>L46/L41</f>
        <v>0.75253342513566046</v>
      </c>
      <c r="M47" s="730">
        <f t="shared" ref="M47:V47" si="44">M46/M41</f>
        <v>0.75301184976752233</v>
      </c>
      <c r="N47" s="730">
        <f t="shared" si="44"/>
        <v>0.75052891559292134</v>
      </c>
      <c r="O47" s="730">
        <f t="shared" si="44"/>
        <v>0.74426394046750255</v>
      </c>
      <c r="P47" s="1091">
        <f t="shared" si="44"/>
        <v>0.74280595558416596</v>
      </c>
      <c r="Q47" s="731">
        <f t="shared" si="44"/>
        <v>0.74348827044057852</v>
      </c>
      <c r="R47" s="731">
        <f t="shared" si="44"/>
        <v>0.73988998581749266</v>
      </c>
      <c r="S47" s="731">
        <f t="shared" si="44"/>
        <v>0.73697401605081936</v>
      </c>
      <c r="T47" s="731">
        <f t="shared" si="44"/>
        <v>0.73405804628414606</v>
      </c>
      <c r="U47" s="731">
        <f t="shared" si="44"/>
        <v>0.73114207651747276</v>
      </c>
      <c r="V47" s="731">
        <f t="shared" si="44"/>
        <v>0.72822610675079946</v>
      </c>
      <c r="AO47" s="704" t="s">
        <v>2341</v>
      </c>
      <c r="AP47" s="704"/>
      <c r="AQ47" s="704"/>
      <c r="AR47" s="704"/>
      <c r="AS47" s="704"/>
      <c r="AT47" s="772">
        <f>매출추정!G167</f>
        <v>6.2E-2</v>
      </c>
      <c r="AU47" s="772">
        <f>매출추정!H167</f>
        <v>5.7000000000000002E-2</v>
      </c>
      <c r="AV47" s="772">
        <f>매출추정!I167</f>
        <v>5.4000000000000006E-2</v>
      </c>
      <c r="AW47" s="772">
        <f>매출추정!J167</f>
        <v>5.4000000000000006E-2</v>
      </c>
      <c r="AX47" s="772">
        <f>매출추정!K167</f>
        <v>5.2000000000000005E-2</v>
      </c>
      <c r="BC47" s="682"/>
      <c r="BD47" s="735" t="s">
        <v>1402</v>
      </c>
      <c r="BE47" s="735"/>
      <c r="BF47" s="735"/>
      <c r="BG47" s="735"/>
      <c r="BH47" s="735"/>
      <c r="BI47" s="782">
        <f t="shared" ref="BI47:BO47" si="45">BI34</f>
        <v>27737.870999999999</v>
      </c>
      <c r="BJ47" s="1103">
        <f t="shared" si="45"/>
        <v>30569.296455671185</v>
      </c>
      <c r="BK47" s="782">
        <f t="shared" si="45"/>
        <v>67704.121025678309</v>
      </c>
      <c r="BL47" s="782">
        <f t="shared" si="45"/>
        <v>73450.814189845827</v>
      </c>
      <c r="BM47" s="782">
        <f t="shared" si="45"/>
        <v>78045.711387871517</v>
      </c>
      <c r="BN47" s="782">
        <f t="shared" si="45"/>
        <v>82465.837861237</v>
      </c>
      <c r="BO47" s="782">
        <f t="shared" si="45"/>
        <v>86612.819127776602</v>
      </c>
      <c r="BX47" s="670"/>
      <c r="BY47" s="670"/>
      <c r="BZ47" s="670"/>
      <c r="CA47" s="670"/>
      <c r="CB47" s="670"/>
      <c r="CV47" s="979" t="s">
        <v>2333</v>
      </c>
      <c r="CX47" s="1223" t="str">
        <f>Multiple!N17</f>
        <v>삼성석유화학외 4개사</v>
      </c>
      <c r="CY47" s="670"/>
      <c r="CZ47" s="670">
        <f>Multiple!P17</f>
        <v>30504</v>
      </c>
      <c r="DA47" s="670">
        <f>Multiple!Q17</f>
        <v>30504</v>
      </c>
    </row>
    <row r="48" spans="2:105" ht="12" customHeight="1">
      <c r="L48" s="1090"/>
      <c r="M48" s="670"/>
      <c r="N48" s="670"/>
      <c r="O48" s="670"/>
      <c r="P48" s="1090"/>
      <c r="Q48" s="671"/>
      <c r="R48" s="671"/>
      <c r="S48" s="671"/>
      <c r="T48" s="671"/>
      <c r="U48" s="671"/>
      <c r="V48" s="671"/>
      <c r="BC48" s="682"/>
      <c r="BD48" s="682"/>
      <c r="BE48" s="682"/>
      <c r="BF48" s="682"/>
      <c r="BG48" s="682"/>
      <c r="BH48" s="682"/>
      <c r="BI48" s="682"/>
      <c r="BJ48" s="776"/>
      <c r="BK48" s="776"/>
      <c r="BL48" s="776"/>
      <c r="BM48" s="776"/>
      <c r="BN48" s="776"/>
      <c r="BO48" s="670"/>
      <c r="BX48" s="771">
        <f>BX46-BX42</f>
        <v>5.0275777530013444E-2</v>
      </c>
      <c r="BY48" s="771">
        <f t="shared" ref="BY48:CA48" si="46">BY46-BY42</f>
        <v>4.6523883783809117E-2</v>
      </c>
      <c r="BZ48" s="771">
        <f t="shared" si="46"/>
        <v>4.1641166308233224E-2</v>
      </c>
      <c r="CA48" s="771">
        <f t="shared" si="46"/>
        <v>3.5158434160899921E-2</v>
      </c>
      <c r="CB48" s="670"/>
      <c r="CV48" s="979" t="s">
        <v>2327</v>
      </c>
      <c r="CX48" s="1223" t="str">
        <f>Multiple!N18</f>
        <v>토지, 건물, 구축물</v>
      </c>
      <c r="CY48" s="670"/>
      <c r="CZ48" s="670">
        <f>Multiple!P18</f>
        <v>65475</v>
      </c>
      <c r="DA48" s="670">
        <f>Multiple!Q18</f>
        <v>65475</v>
      </c>
    </row>
    <row r="49" spans="2:105" ht="12" customHeight="1" thickBot="1">
      <c r="L49" s="1090"/>
      <c r="M49" s="670"/>
      <c r="N49" s="670"/>
      <c r="O49" s="670"/>
      <c r="P49" s="1090"/>
      <c r="Q49" s="671"/>
      <c r="R49" s="671"/>
      <c r="S49" s="671"/>
      <c r="T49" s="671"/>
      <c r="U49" s="671"/>
      <c r="V49" s="671"/>
      <c r="AO49" s="686" t="s">
        <v>2170</v>
      </c>
      <c r="AP49" s="686"/>
      <c r="AQ49" s="686"/>
      <c r="AR49" s="686"/>
      <c r="AS49" s="686"/>
      <c r="AT49" s="686" t="s">
        <v>2171</v>
      </c>
      <c r="AU49" s="686"/>
      <c r="AV49" s="686"/>
      <c r="AW49" s="754" t="s">
        <v>2172</v>
      </c>
      <c r="BC49" s="682"/>
      <c r="BD49" s="682"/>
      <c r="BE49" s="682"/>
      <c r="BF49" s="682"/>
      <c r="BG49" s="682"/>
      <c r="BH49" s="682"/>
      <c r="BI49" s="682"/>
      <c r="BJ49" s="776"/>
      <c r="BK49" s="776"/>
      <c r="BL49" s="776"/>
      <c r="BM49" s="776"/>
      <c r="BN49" s="776"/>
      <c r="BO49" s="670"/>
      <c r="BX49" s="670"/>
      <c r="BY49" s="670"/>
      <c r="BZ49" s="670"/>
      <c r="CA49" s="670"/>
      <c r="CB49" s="670"/>
      <c r="CV49" s="998" t="s">
        <v>2328</v>
      </c>
      <c r="CW49" s="1246"/>
      <c r="CX49" s="1291"/>
      <c r="CY49" s="713"/>
      <c r="CZ49" s="713">
        <f>Multiple!P19</f>
        <v>813959</v>
      </c>
      <c r="DA49" s="713">
        <f>Multiple!Q19</f>
        <v>792595.97711219511</v>
      </c>
    </row>
    <row r="50" spans="2:105" ht="12" customHeight="1">
      <c r="B50" s="676" t="s">
        <v>1325</v>
      </c>
      <c r="L50" s="1090">
        <f>L9</f>
        <v>378883.64120900002</v>
      </c>
      <c r="M50" s="670">
        <f t="shared" ref="M50:V50" si="47">M9</f>
        <v>657963.55582899996</v>
      </c>
      <c r="N50" s="670">
        <f t="shared" si="47"/>
        <v>760058.233091</v>
      </c>
      <c r="O50" s="670">
        <f t="shared" si="47"/>
        <v>410944.733824</v>
      </c>
      <c r="P50" s="1090">
        <f t="shared" si="47"/>
        <v>469834.10694759153</v>
      </c>
      <c r="Q50" s="671">
        <f t="shared" si="47"/>
        <v>880778.84077159176</v>
      </c>
      <c r="R50" s="671">
        <f t="shared" si="47"/>
        <v>1007755.0443860418</v>
      </c>
      <c r="S50" s="671">
        <f t="shared" si="47"/>
        <v>1111753.3007950387</v>
      </c>
      <c r="T50" s="671">
        <f t="shared" si="47"/>
        <v>1185072.7942269375</v>
      </c>
      <c r="U50" s="671">
        <f t="shared" si="47"/>
        <v>1263075.7955717715</v>
      </c>
      <c r="V50" s="671">
        <f t="shared" si="47"/>
        <v>1346054.6979928268</v>
      </c>
      <c r="AO50" s="676" t="s">
        <v>1218</v>
      </c>
      <c r="AT50" s="676" t="s">
        <v>2167</v>
      </c>
      <c r="AW50" s="1027" t="s">
        <v>2173</v>
      </c>
      <c r="BC50" s="682"/>
      <c r="BD50" s="680" t="s">
        <v>1412</v>
      </c>
      <c r="BE50" s="682"/>
      <c r="BF50" s="682"/>
      <c r="BG50" s="682"/>
      <c r="BH50" s="682"/>
      <c r="BI50" s="682"/>
      <c r="BJ50" s="776"/>
      <c r="BK50" s="776"/>
      <c r="BL50" s="776"/>
      <c r="BM50" s="776"/>
      <c r="BN50" s="776"/>
      <c r="BO50" s="670"/>
      <c r="BX50" s="670"/>
      <c r="BY50" s="670"/>
      <c r="BZ50" s="670"/>
      <c r="CA50" s="670"/>
      <c r="CB50" s="670"/>
      <c r="CX50" s="1223"/>
    </row>
    <row r="51" spans="2:105" ht="12" customHeight="1" thickBot="1">
      <c r="B51" s="704"/>
      <c r="C51" s="705" t="s">
        <v>1329</v>
      </c>
      <c r="D51" s="704"/>
      <c r="E51" s="704"/>
      <c r="F51" s="704"/>
      <c r="G51" s="704"/>
      <c r="H51" s="704"/>
      <c r="I51" s="704"/>
      <c r="J51" s="704"/>
      <c r="K51" s="704"/>
      <c r="L51" s="1094">
        <f>L50/L40</f>
        <v>0.15456423251147738</v>
      </c>
      <c r="M51" s="737">
        <f t="shared" ref="M51:V51" si="48">M50/M40</f>
        <v>0.24698815023247767</v>
      </c>
      <c r="N51" s="737">
        <f t="shared" si="48"/>
        <v>0.24947108440707866</v>
      </c>
      <c r="O51" s="737">
        <f t="shared" si="48"/>
        <v>0.25573605953249745</v>
      </c>
      <c r="P51" s="1094">
        <f t="shared" si="48"/>
        <v>0.25719404441583404</v>
      </c>
      <c r="Q51" s="737">
        <f t="shared" si="48"/>
        <v>0.25651172955942148</v>
      </c>
      <c r="R51" s="737">
        <f t="shared" si="48"/>
        <v>0.26011001418250734</v>
      </c>
      <c r="S51" s="737">
        <f t="shared" si="48"/>
        <v>0.26302598394918064</v>
      </c>
      <c r="T51" s="737">
        <f t="shared" si="48"/>
        <v>0.265941953715854</v>
      </c>
      <c r="U51" s="737">
        <f t="shared" si="48"/>
        <v>0.26885792348252729</v>
      </c>
      <c r="V51" s="737">
        <f t="shared" si="48"/>
        <v>0.27177389324920054</v>
      </c>
      <c r="AO51" s="676" t="s">
        <v>1373</v>
      </c>
      <c r="AT51" s="676" t="s">
        <v>2167</v>
      </c>
      <c r="AW51" s="1027" t="s">
        <v>2174</v>
      </c>
      <c r="BC51" s="682"/>
      <c r="BJ51" s="670"/>
      <c r="BK51" s="670"/>
      <c r="BL51" s="670"/>
      <c r="BM51" s="670"/>
      <c r="BN51" s="670"/>
      <c r="BO51" s="670"/>
      <c r="BX51" s="670"/>
      <c r="BY51" s="670"/>
      <c r="BZ51" s="670"/>
      <c r="CA51" s="670"/>
      <c r="CB51" s="670"/>
      <c r="CX51" s="1223"/>
    </row>
    <row r="52" spans="2:105" ht="12" customHeight="1">
      <c r="AO52" s="676" t="s">
        <v>1374</v>
      </c>
      <c r="AT52" s="676" t="s">
        <v>2169</v>
      </c>
      <c r="AW52" s="1027" t="s">
        <v>2173</v>
      </c>
      <c r="BC52" s="682"/>
      <c r="BD52" s="683"/>
      <c r="BE52" s="683"/>
      <c r="BF52" s="683"/>
      <c r="BG52" s="683"/>
      <c r="BH52" s="683"/>
      <c r="BI52" s="1086" t="s">
        <v>2179</v>
      </c>
      <c r="BJ52" s="1087" t="s">
        <v>2181</v>
      </c>
      <c r="BK52" s="684"/>
      <c r="BL52" s="684"/>
      <c r="BM52" s="684"/>
      <c r="BN52" s="684"/>
      <c r="BO52" s="684"/>
      <c r="BX52" s="670"/>
      <c r="BY52" s="670"/>
      <c r="BZ52" s="670"/>
      <c r="CA52" s="670"/>
      <c r="CB52" s="670"/>
      <c r="CX52" s="1223"/>
    </row>
    <row r="53" spans="2:105" ht="12" customHeight="1" thickBot="1">
      <c r="AO53" s="704" t="s">
        <v>1228</v>
      </c>
      <c r="AP53" s="704"/>
      <c r="AQ53" s="704"/>
      <c r="AR53" s="704"/>
      <c r="AS53" s="704"/>
      <c r="AT53" s="704" t="s">
        <v>2168</v>
      </c>
      <c r="AU53" s="704"/>
      <c r="AV53" s="704"/>
      <c r="AW53" s="1143" t="s">
        <v>2175</v>
      </c>
      <c r="BC53" s="682"/>
      <c r="BD53" s="686" t="s">
        <v>1251</v>
      </c>
      <c r="BE53" s="686"/>
      <c r="BF53" s="686"/>
      <c r="BG53" s="686"/>
      <c r="BH53" s="686"/>
      <c r="BI53" s="687" t="s">
        <v>2141</v>
      </c>
      <c r="BJ53" s="1088" t="s">
        <v>2142</v>
      </c>
      <c r="BK53" s="1148">
        <v>2012</v>
      </c>
      <c r="BL53" s="1148">
        <v>2013</v>
      </c>
      <c r="BM53" s="1148">
        <v>2014</v>
      </c>
      <c r="BN53" s="1148">
        <v>2015</v>
      </c>
      <c r="BO53" s="1148">
        <v>2016</v>
      </c>
      <c r="BX53" s="670"/>
      <c r="BY53" s="670"/>
      <c r="BZ53" s="670"/>
      <c r="CA53" s="670"/>
      <c r="CB53" s="670"/>
      <c r="CV53" s="1002" t="s">
        <v>2313</v>
      </c>
      <c r="CW53" s="1002"/>
      <c r="CX53" s="1157" t="s">
        <v>2955</v>
      </c>
      <c r="CY53" s="1044"/>
      <c r="CZ53" s="1044" t="s">
        <v>2330</v>
      </c>
      <c r="DA53" s="1044" t="s">
        <v>2331</v>
      </c>
    </row>
    <row r="54" spans="2:105" ht="12" customHeight="1">
      <c r="BC54" s="682"/>
      <c r="BD54" s="689" t="s">
        <v>1414</v>
      </c>
      <c r="BE54" s="690"/>
      <c r="BF54" s="690"/>
      <c r="BG54" s="690"/>
      <c r="BH54" s="690"/>
      <c r="BI54" s="669">
        <f>O18</f>
        <v>19527.25</v>
      </c>
      <c r="BJ54" s="1089">
        <f>SUM(BJ55:BJ58)</f>
        <v>19981.129679824939</v>
      </c>
      <c r="BK54" s="669">
        <f t="shared" ref="BK54:BO54" si="49">SUM(BK55:BK58)</f>
        <v>40901.901556165321</v>
      </c>
      <c r="BL54" s="669">
        <f t="shared" si="49"/>
        <v>41375.188023609779</v>
      </c>
      <c r="BM54" s="669">
        <f t="shared" si="49"/>
        <v>41416.39768014384</v>
      </c>
      <c r="BN54" s="669">
        <f t="shared" si="49"/>
        <v>42308.370678765932</v>
      </c>
      <c r="BO54" s="669">
        <f t="shared" si="49"/>
        <v>42465.173174223091</v>
      </c>
      <c r="BX54" s="670"/>
      <c r="BY54" s="670"/>
      <c r="BZ54" s="670"/>
      <c r="CA54" s="670"/>
      <c r="CB54" s="670"/>
      <c r="CV54" s="1244" t="s">
        <v>2325</v>
      </c>
      <c r="CX54" s="1223"/>
      <c r="CY54" s="670"/>
      <c r="CZ54" s="670">
        <f>Multiple!P24</f>
        <v>321728.33799999999</v>
      </c>
      <c r="DA54" s="670">
        <f>Multiple!Q24</f>
        <v>321728.33799999999</v>
      </c>
    </row>
    <row r="55" spans="2:105" ht="12" customHeight="1" thickBot="1">
      <c r="BC55" s="682"/>
      <c r="BE55" s="682" t="s">
        <v>744</v>
      </c>
      <c r="BF55" s="682"/>
      <c r="BG55" s="682"/>
      <c r="BH55" s="682"/>
      <c r="BI55" s="682"/>
      <c r="BJ55" s="1099">
        <f>CAPEX!I16</f>
        <v>9275.2011389289401</v>
      </c>
      <c r="BK55" s="776">
        <f>CAPEX!J16</f>
        <v>18271.423823192814</v>
      </c>
      <c r="BL55" s="776">
        <f>CAPEX!K16</f>
        <v>15864.242247180071</v>
      </c>
      <c r="BM55" s="776">
        <f>CAPEX!L16</f>
        <v>15249.165448174685</v>
      </c>
      <c r="BN55" s="776">
        <f>CAPEX!M16</f>
        <v>14801.965441411463</v>
      </c>
      <c r="BO55" s="776">
        <f>CAPEX!N16</f>
        <v>14595.763923413109</v>
      </c>
      <c r="BS55" s="686" t="s">
        <v>2163</v>
      </c>
      <c r="BT55" s="686"/>
      <c r="BU55" s="686"/>
      <c r="BV55" s="686"/>
      <c r="BW55" s="686"/>
      <c r="BX55" s="1148">
        <v>2008</v>
      </c>
      <c r="BY55" s="1148">
        <v>2009</v>
      </c>
      <c r="BZ55" s="1148">
        <v>2010</v>
      </c>
      <c r="CA55" s="1148" t="s">
        <v>2336</v>
      </c>
      <c r="CB55" s="687" t="s">
        <v>2165</v>
      </c>
      <c r="CH55" s="682"/>
      <c r="CI55" s="682"/>
      <c r="CJ55" s="682"/>
      <c r="CK55" s="682"/>
      <c r="CL55" s="682"/>
      <c r="CM55" s="684"/>
      <c r="CN55" s="684"/>
      <c r="CO55" s="684"/>
      <c r="CP55" s="684"/>
      <c r="CQ55" s="684"/>
      <c r="CR55" s="684"/>
      <c r="CU55" s="678"/>
      <c r="CV55" s="979" t="s">
        <v>2334</v>
      </c>
      <c r="CX55" s="1223" t="str">
        <f>Multiple!N25</f>
        <v>롯데카드외 19개사</v>
      </c>
      <c r="CY55" s="670"/>
      <c r="CZ55" s="670">
        <f>Multiple!P25</f>
        <v>1219021.1870000002</v>
      </c>
      <c r="DA55" s="670">
        <f>Multiple!Q25</f>
        <v>1219021.1870000002</v>
      </c>
    </row>
    <row r="56" spans="2:105" ht="12" customHeight="1" thickBot="1">
      <c r="B56" s="683"/>
      <c r="C56" s="683"/>
      <c r="D56" s="683"/>
      <c r="E56" s="683"/>
      <c r="F56" s="683"/>
      <c r="G56" s="683"/>
      <c r="H56" s="683"/>
      <c r="I56" s="683"/>
      <c r="J56" s="683"/>
      <c r="K56" s="683"/>
      <c r="L56" s="1122" t="s">
        <v>2143</v>
      </c>
      <c r="M56" s="684"/>
      <c r="N56" s="684"/>
      <c r="O56" s="684"/>
      <c r="P56" s="1087" t="s">
        <v>2160</v>
      </c>
      <c r="Q56" s="684"/>
      <c r="R56" s="684"/>
      <c r="S56" s="684"/>
      <c r="T56" s="684"/>
      <c r="U56" s="684"/>
      <c r="V56" s="684"/>
      <c r="AO56" s="686"/>
      <c r="AP56" s="686"/>
      <c r="AQ56" s="686"/>
      <c r="AR56" s="686"/>
      <c r="AS56" s="686"/>
      <c r="AT56" s="687" t="s">
        <v>1303</v>
      </c>
      <c r="AU56" s="687" t="s">
        <v>1304</v>
      </c>
      <c r="AV56" s="687" t="s">
        <v>1305</v>
      </c>
      <c r="AW56" s="687" t="s">
        <v>1306</v>
      </c>
      <c r="BC56" s="682"/>
      <c r="BE56" s="682" t="s">
        <v>745</v>
      </c>
      <c r="BF56" s="682"/>
      <c r="BG56" s="682"/>
      <c r="BH56" s="682"/>
      <c r="BI56" s="682"/>
      <c r="BJ56" s="1099">
        <f>CAPEX!I17</f>
        <v>0.526725</v>
      </c>
      <c r="BK56" s="776">
        <f>CAPEX!J17</f>
        <v>1.6525676212037825</v>
      </c>
      <c r="BL56" s="776">
        <f>CAPEX!K17</f>
        <v>2.9306852131051855</v>
      </c>
      <c r="BM56" s="776">
        <f>CAPEX!L17</f>
        <v>3.7773103059806745</v>
      </c>
      <c r="BN56" s="776">
        <f>CAPEX!M17</f>
        <v>4.3768266998731296</v>
      </c>
      <c r="BO56" s="776">
        <f>CAPEX!N17</f>
        <v>4.9371020207108067</v>
      </c>
      <c r="BS56" s="676" t="s">
        <v>1479</v>
      </c>
      <c r="BX56" s="670">
        <f>L5</f>
        <v>1491976.22114</v>
      </c>
      <c r="BY56" s="670">
        <f t="shared" ref="BY56:CA56" si="50">M5</f>
        <v>2663947.8663639999</v>
      </c>
      <c r="BZ56" s="670">
        <f t="shared" si="50"/>
        <v>3046678.6757970001</v>
      </c>
      <c r="CA56" s="670">
        <f t="shared" si="50"/>
        <v>1606909.618359</v>
      </c>
      <c r="CB56" s="670"/>
      <c r="CH56" s="732" t="s">
        <v>1707</v>
      </c>
      <c r="CI56" s="761"/>
      <c r="CJ56" s="761"/>
      <c r="CK56" s="761"/>
      <c r="CL56" s="761"/>
      <c r="CM56" s="687" t="s">
        <v>1310</v>
      </c>
      <c r="CN56" s="687" t="s">
        <v>1303</v>
      </c>
      <c r="CO56" s="687" t="s">
        <v>1304</v>
      </c>
      <c r="CP56" s="687" t="s">
        <v>1305</v>
      </c>
      <c r="CQ56" s="687" t="s">
        <v>1306</v>
      </c>
      <c r="CR56" s="687" t="s">
        <v>1307</v>
      </c>
      <c r="CU56" s="678"/>
      <c r="CV56" s="979" t="s">
        <v>2327</v>
      </c>
      <c r="CX56" s="1223" t="str">
        <f>Multiple!N26</f>
        <v>토지, 건물</v>
      </c>
      <c r="CY56" s="670"/>
      <c r="CZ56" s="670">
        <f>Multiple!P26</f>
        <v>450810.86725399998</v>
      </c>
      <c r="DA56" s="670">
        <f>Multiple!Q26</f>
        <v>450810.86725399998</v>
      </c>
    </row>
    <row r="57" spans="2:105" ht="12" customHeight="1" thickBot="1">
      <c r="B57" s="686" t="s">
        <v>1251</v>
      </c>
      <c r="C57" s="686"/>
      <c r="D57" s="686"/>
      <c r="E57" s="686"/>
      <c r="F57" s="686"/>
      <c r="G57" s="686"/>
      <c r="H57" s="686"/>
      <c r="I57" s="686"/>
      <c r="J57" s="686"/>
      <c r="K57" s="686"/>
      <c r="L57" s="1149">
        <v>2008</v>
      </c>
      <c r="M57" s="1148">
        <v>2009</v>
      </c>
      <c r="N57" s="1148">
        <v>2010</v>
      </c>
      <c r="O57" s="1148" t="s">
        <v>2187</v>
      </c>
      <c r="P57" s="1149" t="s">
        <v>2188</v>
      </c>
      <c r="Q57" s="1148">
        <v>2011</v>
      </c>
      <c r="R57" s="1148">
        <v>2012</v>
      </c>
      <c r="S57" s="1148">
        <v>2013</v>
      </c>
      <c r="T57" s="1148">
        <v>2014</v>
      </c>
      <c r="U57" s="1148">
        <v>2015</v>
      </c>
      <c r="V57" s="1148">
        <v>2016</v>
      </c>
      <c r="AO57" s="734" t="s">
        <v>2176</v>
      </c>
      <c r="AP57" s="734"/>
      <c r="AQ57" s="734"/>
      <c r="AR57" s="734"/>
      <c r="AS57" s="734"/>
      <c r="AT57" s="773">
        <f>'SG&amp;A'!I94</f>
        <v>5.7000000000000002E-2</v>
      </c>
      <c r="AU57" s="773">
        <f>'SG&amp;A'!J94</f>
        <v>5.4000000000000006E-2</v>
      </c>
      <c r="AV57" s="773">
        <f>'SG&amp;A'!K94</f>
        <v>5.4000000000000006E-2</v>
      </c>
      <c r="AW57" s="773">
        <f>'SG&amp;A'!L94</f>
        <v>5.2000000000000005E-2</v>
      </c>
      <c r="BC57" s="682"/>
      <c r="BE57" s="682" t="s">
        <v>746</v>
      </c>
      <c r="BF57" s="682"/>
      <c r="BG57" s="682"/>
      <c r="BH57" s="682"/>
      <c r="BI57" s="682"/>
      <c r="BJ57" s="1099">
        <f>CAPEX!I18</f>
        <v>7.3182</v>
      </c>
      <c r="BK57" s="776">
        <f>CAPEX!J18</f>
        <v>15.862133559306569</v>
      </c>
      <c r="BL57" s="776">
        <f>CAPEX!K18</f>
        <v>18.580918624602919</v>
      </c>
      <c r="BM57" s="776">
        <f>CAPEX!L18</f>
        <v>21.57541147116876</v>
      </c>
      <c r="BN57" s="776">
        <f>CAPEX!M18</f>
        <v>24.782205053224217</v>
      </c>
      <c r="BO57" s="776">
        <f>CAPEX!N18</f>
        <v>20.858507186340205</v>
      </c>
      <c r="BS57" s="738" t="s">
        <v>1480</v>
      </c>
      <c r="BT57" s="738"/>
      <c r="BU57" s="738"/>
      <c r="BV57" s="738"/>
      <c r="BW57" s="738"/>
      <c r="BX57" s="797">
        <f>L7</f>
        <v>1113092.579931</v>
      </c>
      <c r="BY57" s="797">
        <f t="shared" ref="BY57:CA57" si="51">M7</f>
        <v>2005984.3105349999</v>
      </c>
      <c r="BZ57" s="797">
        <f t="shared" si="51"/>
        <v>2286620.4427060001</v>
      </c>
      <c r="CA57" s="797">
        <f t="shared" si="51"/>
        <v>1195964.884535</v>
      </c>
      <c r="CB57" s="797"/>
      <c r="CD57" s="693"/>
      <c r="CH57" s="682" t="s">
        <v>1708</v>
      </c>
      <c r="CI57" s="682"/>
      <c r="CJ57" s="682"/>
      <c r="CK57" s="682"/>
      <c r="CL57" s="682"/>
      <c r="CM57" s="776">
        <f>매출추정!K16</f>
        <v>307</v>
      </c>
      <c r="CN57" s="776">
        <f>매출추정!L16</f>
        <v>332</v>
      </c>
      <c r="CO57" s="776">
        <f>매출추정!M16</f>
        <v>348</v>
      </c>
      <c r="CP57" s="776">
        <f>매출추정!N16</f>
        <v>359</v>
      </c>
      <c r="CQ57" s="776">
        <f>매출추정!O16</f>
        <v>369</v>
      </c>
      <c r="CR57" s="776">
        <f>매출추정!P16</f>
        <v>377</v>
      </c>
      <c r="CU57" s="678"/>
      <c r="CV57" s="998" t="s">
        <v>2328</v>
      </c>
      <c r="CW57" s="1246"/>
      <c r="CX57" s="1291"/>
      <c r="CY57" s="713"/>
      <c r="CZ57" s="713">
        <f>Multiple!P27</f>
        <v>1991560.3922540001</v>
      </c>
      <c r="DA57" s="713">
        <f>Multiple!Q27</f>
        <v>1991560.3922540001</v>
      </c>
    </row>
    <row r="58" spans="2:105" ht="12" customHeight="1" thickBot="1">
      <c r="B58" s="689" t="s">
        <v>1345</v>
      </c>
      <c r="C58" s="689"/>
      <c r="D58" s="689"/>
      <c r="E58" s="689"/>
      <c r="F58" s="689"/>
      <c r="G58" s="689"/>
      <c r="H58" s="689"/>
      <c r="I58" s="689"/>
      <c r="J58" s="689"/>
      <c r="K58" s="689"/>
      <c r="L58" s="1089">
        <f>SUM(L59:L62)</f>
        <v>76537.153913000002</v>
      </c>
      <c r="M58" s="668">
        <f t="shared" ref="M58:V58" si="52">SUM(M59:M62)</f>
        <v>137328.65</v>
      </c>
      <c r="N58" s="668">
        <f t="shared" si="52"/>
        <v>154101.106</v>
      </c>
      <c r="O58" s="668">
        <f t="shared" si="52"/>
        <v>77435.805999999997</v>
      </c>
      <c r="P58" s="1089">
        <f t="shared" si="52"/>
        <v>79041.542865133408</v>
      </c>
      <c r="Q58" s="669">
        <f t="shared" si="52"/>
        <v>156477.34886513339</v>
      </c>
      <c r="R58" s="669">
        <f t="shared" si="52"/>
        <v>179487.03283384195</v>
      </c>
      <c r="S58" s="669">
        <f t="shared" si="52"/>
        <v>197888.17070384222</v>
      </c>
      <c r="T58" s="669">
        <f t="shared" si="52"/>
        <v>214182.54459505831</v>
      </c>
      <c r="U58" s="669">
        <f t="shared" si="52"/>
        <v>230683.71885237904</v>
      </c>
      <c r="V58" s="669">
        <f t="shared" si="52"/>
        <v>247193.34695204149</v>
      </c>
      <c r="BC58" s="682"/>
      <c r="BD58" s="682"/>
      <c r="BE58" s="682" t="s">
        <v>747</v>
      </c>
      <c r="BF58" s="682"/>
      <c r="BG58" s="682"/>
      <c r="BH58" s="682"/>
      <c r="BI58" s="682"/>
      <c r="BJ58" s="1099">
        <f>CAPEX!I19</f>
        <v>10698.083615895997</v>
      </c>
      <c r="BK58" s="776">
        <f>CAPEX!J19</f>
        <v>22612.963031791998</v>
      </c>
      <c r="BL58" s="776">
        <f>CAPEX!K19</f>
        <v>25489.434172592002</v>
      </c>
      <c r="BM58" s="776">
        <f>CAPEX!L19</f>
        <v>26141.879510192004</v>
      </c>
      <c r="BN58" s="776">
        <f>CAPEX!M19</f>
        <v>27477.246205601376</v>
      </c>
      <c r="BO58" s="776">
        <f>CAPEX!N19</f>
        <v>27843.613641602929</v>
      </c>
      <c r="BX58" s="670"/>
      <c r="BY58" s="670"/>
      <c r="BZ58" s="670"/>
      <c r="CA58" s="670"/>
      <c r="CB58" s="670"/>
      <c r="CH58" s="704" t="s">
        <v>1709</v>
      </c>
      <c r="CI58" s="704"/>
      <c r="CJ58" s="704"/>
      <c r="CK58" s="704"/>
      <c r="CL58" s="704"/>
      <c r="CM58" s="704">
        <v>12</v>
      </c>
      <c r="CN58" s="704">
        <f>CN57-CM57</f>
        <v>25</v>
      </c>
      <c r="CO58" s="704">
        <f t="shared" ref="CO58:CR58" si="53">CO57-CN57</f>
        <v>16</v>
      </c>
      <c r="CP58" s="704">
        <f t="shared" si="53"/>
        <v>11</v>
      </c>
      <c r="CQ58" s="704">
        <f t="shared" si="53"/>
        <v>10</v>
      </c>
      <c r="CR58" s="704">
        <f t="shared" si="53"/>
        <v>8</v>
      </c>
      <c r="CX58" s="1223"/>
    </row>
    <row r="59" spans="2:105" ht="12" customHeight="1">
      <c r="C59" s="676" t="s">
        <v>1351</v>
      </c>
      <c r="L59" s="1090">
        <f>'R-SG&amp;A'!D5</f>
        <v>54912.277470000001</v>
      </c>
      <c r="M59" s="670">
        <f>'R-SG&amp;A'!E5</f>
        <v>100593.19</v>
      </c>
      <c r="N59" s="670">
        <f>'R-SG&amp;A'!F5</f>
        <v>114125.773</v>
      </c>
      <c r="O59" s="670">
        <f>'R-SG&amp;A'!G5</f>
        <v>56124.112000000001</v>
      </c>
      <c r="P59" s="1090">
        <f>'R-SG&amp;A'!H5</f>
        <v>58037.010574429944</v>
      </c>
      <c r="Q59" s="671">
        <f>'R-SG&amp;A'!I5</f>
        <v>114161.12257442994</v>
      </c>
      <c r="R59" s="671">
        <f>'R-SG&amp;A'!J5</f>
        <v>131790.0744969619</v>
      </c>
      <c r="S59" s="671">
        <f>'R-SG&amp;A'!K5</f>
        <v>145301.2863791105</v>
      </c>
      <c r="T59" s="671">
        <f>'R-SG&amp;A'!L5</f>
        <v>157265.58661350506</v>
      </c>
      <c r="U59" s="671">
        <f>'R-SG&amp;A'!M5</f>
        <v>169381.73199918788</v>
      </c>
      <c r="V59" s="671">
        <f>'R-SG&amp;A'!N5</f>
        <v>181504.08469965216</v>
      </c>
      <c r="BE59" s="740" t="s">
        <v>1413</v>
      </c>
      <c r="BF59" s="740"/>
      <c r="BG59" s="740"/>
      <c r="BH59" s="740"/>
      <c r="BI59" s="740"/>
      <c r="BJ59" s="1104">
        <f>BJ60</f>
        <v>392.62514320000002</v>
      </c>
      <c r="BK59" s="783">
        <f t="shared" ref="BK59:BO59" si="54">BK60</f>
        <v>810.6662864000001</v>
      </c>
      <c r="BL59" s="783">
        <f t="shared" si="54"/>
        <v>864.88708640000004</v>
      </c>
      <c r="BM59" s="783">
        <f t="shared" si="54"/>
        <v>900.80294432000005</v>
      </c>
      <c r="BN59" s="783">
        <f t="shared" si="54"/>
        <v>926.23586120959999</v>
      </c>
      <c r="BO59" s="783">
        <f t="shared" si="54"/>
        <v>557.37893488460793</v>
      </c>
      <c r="BS59" s="741" t="s">
        <v>1481</v>
      </c>
      <c r="BT59" s="741"/>
      <c r="BU59" s="741"/>
      <c r="BV59" s="741"/>
      <c r="BW59" s="741"/>
      <c r="BX59" s="798">
        <f>BX57/BX56</f>
        <v>0.74605249343752955</v>
      </c>
      <c r="BY59" s="798">
        <f>BY57/BY56</f>
        <v>0.75301184976752233</v>
      </c>
      <c r="BZ59" s="798">
        <f>BZ57/BZ56</f>
        <v>0.75052891559292134</v>
      </c>
      <c r="CA59" s="798">
        <f>CA57/CA56</f>
        <v>0.74426394046750255</v>
      </c>
      <c r="CB59" s="798">
        <f>AVERAGE(BX59:CA59)</f>
        <v>0.74846429981636897</v>
      </c>
      <c r="CX59" s="1223"/>
    </row>
    <row r="60" spans="2:105" ht="12" customHeight="1" thickBot="1">
      <c r="C60" s="676" t="s">
        <v>1352</v>
      </c>
      <c r="L60" s="1090">
        <f>'R-SG&amp;A'!D6</f>
        <v>5640.0326249999998</v>
      </c>
      <c r="M60" s="670">
        <f>'R-SG&amp;A'!E6</f>
        <v>7924.5150000000003</v>
      </c>
      <c r="N60" s="670">
        <f>'R-SG&amp;A'!F6</f>
        <v>8787.2780000000002</v>
      </c>
      <c r="O60" s="670">
        <f>'R-SG&amp;A'!G6</f>
        <v>4879.1750000000002</v>
      </c>
      <c r="P60" s="1090">
        <f>'R-SG&amp;A'!H6</f>
        <v>4626.5729265117025</v>
      </c>
      <c r="Q60" s="671">
        <f>'R-SG&amp;A'!I6</f>
        <v>9505.7479265117036</v>
      </c>
      <c r="R60" s="671">
        <f>'R-SG&amp;A'!J6</f>
        <v>10505.99237651367</v>
      </c>
      <c r="S60" s="671">
        <f>'R-SG&amp;A'!K6</f>
        <v>11583.074164145459</v>
      </c>
      <c r="T60" s="671">
        <f>'R-SG&amp;A'!L6</f>
        <v>12536.839821632568</v>
      </c>
      <c r="U60" s="671">
        <f>'R-SG&amp;A'!M6</f>
        <v>13502.71021468443</v>
      </c>
      <c r="V60" s="671">
        <f>'R-SG&amp;A'!N6</f>
        <v>14469.0754401584</v>
      </c>
      <c r="BD60" s="712" t="s">
        <v>1413</v>
      </c>
      <c r="BE60" s="712"/>
      <c r="BF60" s="712"/>
      <c r="BG60" s="712"/>
      <c r="BH60" s="712"/>
      <c r="BI60" s="713">
        <f>O19</f>
        <v>229.184</v>
      </c>
      <c r="BJ60" s="1105">
        <f>CAPEX!I21</f>
        <v>392.62514320000002</v>
      </c>
      <c r="BK60" s="713">
        <f>CAPEX!J21</f>
        <v>810.6662864000001</v>
      </c>
      <c r="BL60" s="713">
        <f>CAPEX!K21</f>
        <v>864.88708640000004</v>
      </c>
      <c r="BM60" s="713">
        <f>CAPEX!L21</f>
        <v>900.80294432000005</v>
      </c>
      <c r="BN60" s="713">
        <f>CAPEX!M21</f>
        <v>926.23586120959999</v>
      </c>
      <c r="BO60" s="713">
        <f>CAPEX!N21</f>
        <v>557.37893488460793</v>
      </c>
      <c r="BS60" s="1273" t="s">
        <v>2935</v>
      </c>
      <c r="BT60" s="705"/>
      <c r="BU60" s="705"/>
      <c r="BV60" s="705"/>
      <c r="BW60" s="705"/>
      <c r="BX60" s="737">
        <f>BY46</f>
        <v>0.79257637722133867</v>
      </c>
      <c r="BY60" s="737">
        <f>BZ46</f>
        <v>0.79465301607575556</v>
      </c>
      <c r="BZ60" s="737">
        <f>CA46</f>
        <v>0.78568734975382126</v>
      </c>
      <c r="CA60" s="772"/>
      <c r="CB60" s="772"/>
      <c r="CC60" s="693">
        <f>AVERAGE(BX60:BZ60)</f>
        <v>0.7909722476836385</v>
      </c>
      <c r="CD60" s="693"/>
      <c r="CX60" s="1223"/>
    </row>
    <row r="61" spans="2:105" ht="12" customHeight="1" thickBot="1">
      <c r="C61" s="676" t="s">
        <v>1353</v>
      </c>
      <c r="L61" s="1090">
        <f>'R-SG&amp;A'!D7</f>
        <v>15084.842895</v>
      </c>
      <c r="M61" s="670">
        <f>'R-SG&amp;A'!E7</f>
        <v>27223.742999999999</v>
      </c>
      <c r="N61" s="670">
        <f>'R-SG&amp;A'!F7</f>
        <v>29431.178</v>
      </c>
      <c r="O61" s="670">
        <f>'R-SG&amp;A'!G7</f>
        <v>15517.392</v>
      </c>
      <c r="P61" s="1090">
        <f>'R-SG&amp;A'!H7</f>
        <v>15465.284806569514</v>
      </c>
      <c r="Q61" s="671">
        <f>'R-SG&amp;A'!I7</f>
        <v>30982.676806569514</v>
      </c>
      <c r="R61" s="671">
        <f>'R-SG&amp;A'!J7</f>
        <v>35118.470379528997</v>
      </c>
      <c r="S61" s="671">
        <f>'R-SG&amp;A'!K7</f>
        <v>38718.840863314668</v>
      </c>
      <c r="T61" s="671">
        <f>'R-SG&amp;A'!L7</f>
        <v>41907.001466434012</v>
      </c>
      <c r="U61" s="671">
        <f>'R-SG&amp;A'!M7</f>
        <v>45135.624672432554</v>
      </c>
      <c r="V61" s="671">
        <f>'R-SG&amp;A'!N7</f>
        <v>48365.901958991592</v>
      </c>
      <c r="BJ61" s="670"/>
      <c r="BK61" s="670"/>
      <c r="BL61" s="670"/>
      <c r="BM61" s="670"/>
      <c r="BN61" s="670"/>
      <c r="BO61" s="670"/>
      <c r="BX61" s="670"/>
      <c r="BY61" s="670"/>
      <c r="BZ61" s="670"/>
      <c r="CA61" s="670"/>
      <c r="CB61" s="670"/>
      <c r="CC61" s="693">
        <f>CC60-CB59</f>
        <v>4.2507947867269524E-2</v>
      </c>
      <c r="CV61" s="1002" t="s">
        <v>2313</v>
      </c>
      <c r="CW61" s="1002"/>
      <c r="CX61" s="1157" t="s">
        <v>2955</v>
      </c>
      <c r="CY61" s="1044"/>
      <c r="CZ61" s="1044" t="s">
        <v>2330</v>
      </c>
      <c r="DA61" s="1044" t="s">
        <v>2331</v>
      </c>
    </row>
    <row r="62" spans="2:105" ht="12" customHeight="1" thickBot="1">
      <c r="B62" s="691"/>
      <c r="C62" s="691" t="s">
        <v>1354</v>
      </c>
      <c r="D62" s="691"/>
      <c r="E62" s="691"/>
      <c r="F62" s="691"/>
      <c r="G62" s="691"/>
      <c r="H62" s="691"/>
      <c r="I62" s="691"/>
      <c r="J62" s="691"/>
      <c r="K62" s="691"/>
      <c r="L62" s="1092">
        <f>'R-SG&amp;A'!D8</f>
        <v>900.00092299999994</v>
      </c>
      <c r="M62" s="672">
        <f>'R-SG&amp;A'!E8</f>
        <v>1587.202</v>
      </c>
      <c r="N62" s="672">
        <f>'R-SG&amp;A'!F8</f>
        <v>1756.877</v>
      </c>
      <c r="O62" s="672">
        <f>'R-SG&amp;A'!G8</f>
        <v>915.12699999999995</v>
      </c>
      <c r="P62" s="1092">
        <f>'R-SG&amp;A'!H8</f>
        <v>912.67455762225222</v>
      </c>
      <c r="Q62" s="672">
        <f>'R-SG&amp;A'!I8</f>
        <v>1827.8015576222522</v>
      </c>
      <c r="R62" s="672">
        <f>'R-SG&amp;A'!J8</f>
        <v>2072.4955808373797</v>
      </c>
      <c r="S62" s="672">
        <f>'R-SG&amp;A'!K8</f>
        <v>2284.969297271587</v>
      </c>
      <c r="T62" s="672">
        <f>'R-SG&amp;A'!L8</f>
        <v>2473.1166934866637</v>
      </c>
      <c r="U62" s="672">
        <f>'R-SG&amp;A'!M8</f>
        <v>2663.6519660742033</v>
      </c>
      <c r="V62" s="672">
        <f>'R-SG&amp;A'!N8</f>
        <v>2854.2848532393405</v>
      </c>
      <c r="BJ62" s="670"/>
      <c r="BK62" s="670"/>
      <c r="BL62" s="670"/>
      <c r="BM62" s="670"/>
      <c r="BN62" s="670"/>
      <c r="BO62" s="670"/>
      <c r="BS62" s="686" t="s">
        <v>1703</v>
      </c>
      <c r="BT62" s="686"/>
      <c r="BU62" s="686"/>
      <c r="BV62" s="686"/>
      <c r="BW62" s="686"/>
      <c r="BX62" s="1148">
        <v>2008</v>
      </c>
      <c r="BY62" s="1148">
        <v>2009</v>
      </c>
      <c r="BZ62" s="1148">
        <v>2010</v>
      </c>
      <c r="CA62" s="1148" t="s">
        <v>2336</v>
      </c>
      <c r="CB62" s="670"/>
      <c r="CC62" s="693"/>
      <c r="CV62" s="1244" t="s">
        <v>2332</v>
      </c>
      <c r="CX62" s="1223" t="str">
        <f>Multiple!N33</f>
        <v>현대해상외 2개사</v>
      </c>
      <c r="CY62" s="670"/>
      <c r="CZ62" s="670">
        <f>Multiple!P33</f>
        <v>95472.622000000003</v>
      </c>
      <c r="DA62" s="670">
        <f>Multiple!Q33</f>
        <v>87624.246678533964</v>
      </c>
    </row>
    <row r="63" spans="2:105" ht="12" customHeight="1">
      <c r="B63" s="689" t="s">
        <v>1355</v>
      </c>
      <c r="C63" s="689"/>
      <c r="D63" s="689"/>
      <c r="E63" s="689"/>
      <c r="F63" s="689"/>
      <c r="G63" s="689"/>
      <c r="H63" s="689"/>
      <c r="I63" s="689"/>
      <c r="J63" s="689"/>
      <c r="K63" s="689"/>
      <c r="L63" s="1089">
        <f>SUM(L64:L67)</f>
        <v>59543.806406520001</v>
      </c>
      <c r="M63" s="668">
        <f t="shared" ref="M63:V63" si="55">SUM(M64:M67)</f>
        <v>170542.203594552</v>
      </c>
      <c r="N63" s="668">
        <f t="shared" si="55"/>
        <v>205658.681164346</v>
      </c>
      <c r="O63" s="668">
        <f t="shared" si="55"/>
        <v>113601.57813046199</v>
      </c>
      <c r="P63" s="1089">
        <f t="shared" si="55"/>
        <v>122275.57677699625</v>
      </c>
      <c r="Q63" s="669">
        <f t="shared" si="55"/>
        <v>235877.15490745823</v>
      </c>
      <c r="R63" s="669">
        <f t="shared" si="55"/>
        <v>259330.73760554707</v>
      </c>
      <c r="S63" s="669">
        <f t="shared" si="55"/>
        <v>282921.44071295136</v>
      </c>
      <c r="T63" s="669">
        <f t="shared" si="55"/>
        <v>298273.21853830584</v>
      </c>
      <c r="U63" s="669">
        <f t="shared" si="55"/>
        <v>314458.00881335349</v>
      </c>
      <c r="V63" s="669">
        <f t="shared" si="55"/>
        <v>331521.01214933564</v>
      </c>
      <c r="BJ63" s="670"/>
      <c r="BK63" s="670"/>
      <c r="BL63" s="670"/>
      <c r="BM63" s="670"/>
      <c r="BN63" s="670"/>
      <c r="BO63" s="670"/>
      <c r="BS63" s="676" t="s">
        <v>1705</v>
      </c>
      <c r="BX63" s="771">
        <f>BX59</f>
        <v>0.74605249343752955</v>
      </c>
      <c r="BY63" s="771">
        <f>BY59</f>
        <v>0.75301184976752233</v>
      </c>
      <c r="BZ63" s="771">
        <f>BZ59</f>
        <v>0.75052891559292134</v>
      </c>
      <c r="CA63" s="771">
        <f>CA59</f>
        <v>0.74426394046750255</v>
      </c>
      <c r="CB63" s="670"/>
      <c r="CV63" s="979" t="s">
        <v>2333</v>
      </c>
      <c r="CX63" s="1223" t="str">
        <f>Multiple!N34</f>
        <v>현대종합상사외 10개사</v>
      </c>
      <c r="CY63" s="670"/>
      <c r="CZ63" s="670">
        <f>Multiple!P34</f>
        <v>24584.616000000002</v>
      </c>
      <c r="DA63" s="670">
        <f>Multiple!Q34</f>
        <v>24584.616000000002</v>
      </c>
    </row>
    <row r="64" spans="2:105" ht="12" customHeight="1" thickBot="1">
      <c r="C64" s="676" t="s">
        <v>1356</v>
      </c>
      <c r="L64" s="1090">
        <f>'R-SG&amp;A'!D10</f>
        <v>0</v>
      </c>
      <c r="M64" s="670">
        <f>'R-SG&amp;A'!E10</f>
        <v>40084.771999999997</v>
      </c>
      <c r="N64" s="670">
        <f>'R-SG&amp;A'!F10</f>
        <v>56520.802000000003</v>
      </c>
      <c r="O64" s="670">
        <f>'R-SG&amp;A'!G10</f>
        <v>34959.809000000001</v>
      </c>
      <c r="P64" s="1090">
        <f>'R-SG&amp;A'!H10</f>
        <v>32844.328702049243</v>
      </c>
      <c r="Q64" s="671">
        <f>'R-SG&amp;A'!I10</f>
        <v>67804.137702049251</v>
      </c>
      <c r="R64" s="671">
        <f>'R-SG&amp;A'!J10</f>
        <v>69658.587699779149</v>
      </c>
      <c r="S64" s="671">
        <f>'R-SG&amp;A'!K10</f>
        <v>75995.264471994611</v>
      </c>
      <c r="T64" s="671">
        <f>'R-SG&amp;A'!L10</f>
        <v>80118.891203900013</v>
      </c>
      <c r="U64" s="671">
        <f>'R-SG&amp;A'!M10</f>
        <v>84466.272633446468</v>
      </c>
      <c r="V64" s="671">
        <f>'R-SG&amp;A'!N10</f>
        <v>89049.550054686915</v>
      </c>
      <c r="BJ64" s="670"/>
      <c r="BK64" s="670"/>
      <c r="BL64" s="670"/>
      <c r="BM64" s="670"/>
      <c r="BN64" s="670"/>
      <c r="BO64" s="670"/>
      <c r="BS64" s="704" t="s">
        <v>1706</v>
      </c>
      <c r="BT64" s="704"/>
      <c r="BU64" s="704"/>
      <c r="BV64" s="704"/>
      <c r="BW64" s="704"/>
      <c r="BX64" s="772">
        <f>BX60</f>
        <v>0.79257637722133867</v>
      </c>
      <c r="BY64" s="772">
        <f>BY60</f>
        <v>0.79465301607575556</v>
      </c>
      <c r="BZ64" s="772">
        <f>BZ60</f>
        <v>0.78568734975382126</v>
      </c>
      <c r="CA64" s="772"/>
      <c r="CB64" s="670"/>
      <c r="CV64" s="979" t="s">
        <v>2335</v>
      </c>
      <c r="CX64" s="1223" t="str">
        <f>Multiple!N35</f>
        <v>현대HCN</v>
      </c>
      <c r="CY64" s="670"/>
      <c r="CZ64" s="670">
        <f>Multiple!P35</f>
        <v>17953</v>
      </c>
      <c r="DA64" s="670">
        <f>Multiple!Q35</f>
        <v>35832.060586991873</v>
      </c>
    </row>
    <row r="65" spans="2:105" ht="12" customHeight="1">
      <c r="C65" s="676" t="s">
        <v>2177</v>
      </c>
      <c r="L65" s="1090">
        <f>L90</f>
        <v>26855.571980519999</v>
      </c>
      <c r="M65" s="670">
        <f t="shared" ref="M65:V65" si="56">M90</f>
        <v>47951.061594551997</v>
      </c>
      <c r="N65" s="670">
        <f t="shared" si="56"/>
        <v>54840.216164345999</v>
      </c>
      <c r="O65" s="670">
        <f t="shared" si="56"/>
        <v>28924.373130461998</v>
      </c>
      <c r="P65" s="1090">
        <f t="shared" si="56"/>
        <v>32881.84197369383</v>
      </c>
      <c r="Q65" s="671">
        <f t="shared" si="56"/>
        <v>61806.215104155825</v>
      </c>
      <c r="R65" s="671">
        <f t="shared" si="56"/>
        <v>69738.148513655571</v>
      </c>
      <c r="S65" s="671">
        <f t="shared" si="56"/>
        <v>76082.062744710172</v>
      </c>
      <c r="T65" s="671">
        <f t="shared" si="56"/>
        <v>80210.39929215658</v>
      </c>
      <c r="U65" s="671">
        <f t="shared" si="56"/>
        <v>84562.746099500495</v>
      </c>
      <c r="V65" s="671">
        <f t="shared" si="56"/>
        <v>89151.258328018783</v>
      </c>
      <c r="BJ65" s="670"/>
      <c r="BK65" s="670"/>
      <c r="BL65" s="670"/>
      <c r="BM65" s="670"/>
      <c r="BN65" s="670"/>
      <c r="BO65" s="670"/>
      <c r="BX65" s="670"/>
      <c r="BY65" s="670"/>
      <c r="BZ65" s="670"/>
      <c r="CA65" s="670"/>
      <c r="CB65" s="670"/>
      <c r="CV65" s="979" t="s">
        <v>2334</v>
      </c>
      <c r="CX65" s="1223" t="str">
        <f>Multiple!N36</f>
        <v>부현개발외 1개사</v>
      </c>
      <c r="CY65" s="670"/>
      <c r="CZ65" s="670">
        <f>Multiple!P36</f>
        <v>700</v>
      </c>
      <c r="DA65" s="670">
        <f>Multiple!Q36</f>
        <v>700</v>
      </c>
    </row>
    <row r="66" spans="2:105" ht="12" customHeight="1">
      <c r="C66" s="676" t="s">
        <v>1357</v>
      </c>
      <c r="L66" s="1090">
        <f>'R-SG&amp;A'!D12</f>
        <v>32688.234425999999</v>
      </c>
      <c r="M66" s="670">
        <f>'R-SG&amp;A'!E12</f>
        <v>54566.105000000003</v>
      </c>
      <c r="N66" s="670">
        <f>'R-SG&amp;A'!F12</f>
        <v>61330.565999999999</v>
      </c>
      <c r="O66" s="670">
        <f>'R-SG&amp;A'!G12</f>
        <v>29252.152999999998</v>
      </c>
      <c r="P66" s="1090">
        <f>'R-SG&amp;A'!H12</f>
        <v>36235.334686570968</v>
      </c>
      <c r="Q66" s="671">
        <f>'R-SG&amp;A'!I12</f>
        <v>65487.487686570967</v>
      </c>
      <c r="R66" s="671">
        <f>'R-SG&amp;A'!J12</f>
        <v>76850.474308457022</v>
      </c>
      <c r="S66" s="671">
        <f>'R-SG&amp;A'!K12</f>
        <v>83841.379975148928</v>
      </c>
      <c r="T66" s="671">
        <f>'R-SG&amp;A'!L12</f>
        <v>88390.749703742593</v>
      </c>
      <c r="U66" s="671">
        <f>'R-SG&amp;A'!M12</f>
        <v>93186.975637870783</v>
      </c>
      <c r="V66" s="671">
        <f>'R-SG&amp;A'!N12</f>
        <v>98243.452597002208</v>
      </c>
      <c r="BJ66" s="670"/>
      <c r="BK66" s="670"/>
      <c r="BL66" s="670"/>
      <c r="BM66" s="670"/>
      <c r="BN66" s="670"/>
      <c r="BO66" s="670"/>
      <c r="BX66" s="670"/>
      <c r="BY66" s="670"/>
      <c r="BZ66" s="670"/>
      <c r="CA66" s="670"/>
      <c r="CB66" s="670"/>
      <c r="CV66" s="979" t="s">
        <v>2327</v>
      </c>
      <c r="CX66" s="1223" t="str">
        <f>Multiple!N37</f>
        <v>토지, 건물</v>
      </c>
      <c r="CY66" s="670"/>
      <c r="CZ66" s="670">
        <f>Multiple!P37</f>
        <v>13264.455</v>
      </c>
      <c r="DA66" s="670">
        <f>Multiple!Q37</f>
        <v>13264.455</v>
      </c>
    </row>
    <row r="67" spans="2:105" ht="12" customHeight="1" thickBot="1">
      <c r="B67" s="691"/>
      <c r="C67" s="691" t="s">
        <v>1358</v>
      </c>
      <c r="D67" s="691"/>
      <c r="E67" s="691"/>
      <c r="F67" s="691"/>
      <c r="G67" s="691"/>
      <c r="H67" s="691"/>
      <c r="I67" s="691"/>
      <c r="J67" s="691"/>
      <c r="K67" s="691"/>
      <c r="L67" s="1092">
        <f>'R-SG&amp;A'!D13</f>
        <v>0</v>
      </c>
      <c r="M67" s="672">
        <f>'R-SG&amp;A'!E13</f>
        <v>27940.264999999999</v>
      </c>
      <c r="N67" s="672">
        <f>'R-SG&amp;A'!F13</f>
        <v>32967.097000000002</v>
      </c>
      <c r="O67" s="672">
        <f>'R-SG&amp;A'!G13</f>
        <v>20465.242999999999</v>
      </c>
      <c r="P67" s="1092">
        <f>'R-SG&amp;A'!H13</f>
        <v>20314.071414682207</v>
      </c>
      <c r="Q67" s="672">
        <f>'R-SG&amp;A'!I13</f>
        <v>40779.314414682201</v>
      </c>
      <c r="R67" s="672">
        <f>'R-SG&amp;A'!J13</f>
        <v>43083.527083655332</v>
      </c>
      <c r="S67" s="672">
        <f>'R-SG&amp;A'!K13</f>
        <v>47002.73352109766</v>
      </c>
      <c r="T67" s="672">
        <f>'R-SG&amp;A'!L13</f>
        <v>49553.178338506645</v>
      </c>
      <c r="U67" s="672">
        <f>'R-SG&amp;A'!M13</f>
        <v>52242.014442535772</v>
      </c>
      <c r="V67" s="672">
        <f>'R-SG&amp;A'!N13</f>
        <v>55076.751169627707</v>
      </c>
      <c r="BJ67" s="670"/>
      <c r="BK67" s="670"/>
      <c r="BL67" s="670"/>
      <c r="BM67" s="670"/>
      <c r="BN67" s="670"/>
      <c r="BO67" s="670"/>
      <c r="BS67" s="686" t="s">
        <v>1460</v>
      </c>
      <c r="BT67" s="686"/>
      <c r="BU67" s="686"/>
      <c r="BV67" s="686"/>
      <c r="BW67" s="686"/>
      <c r="BX67" s="1148">
        <v>2008</v>
      </c>
      <c r="BY67" s="1148">
        <v>2009</v>
      </c>
      <c r="BZ67" s="1148">
        <v>2010</v>
      </c>
      <c r="CA67" s="1148" t="s">
        <v>2336</v>
      </c>
      <c r="CB67" s="684"/>
      <c r="CV67" s="998" t="s">
        <v>2328</v>
      </c>
      <c r="CW67" s="1246"/>
      <c r="CX67" s="1291"/>
      <c r="CY67" s="713"/>
      <c r="CZ67" s="713">
        <f>Multiple!P38</f>
        <v>151974.693</v>
      </c>
      <c r="DA67" s="713">
        <f>Multiple!Q38</f>
        <v>162005.37826552583</v>
      </c>
    </row>
    <row r="68" spans="2:105" ht="12" customHeight="1">
      <c r="B68" s="689" t="s">
        <v>1372</v>
      </c>
      <c r="C68" s="689"/>
      <c r="D68" s="689"/>
      <c r="E68" s="689"/>
      <c r="F68" s="689"/>
      <c r="G68" s="689"/>
      <c r="H68" s="689"/>
      <c r="I68" s="689"/>
      <c r="J68" s="689"/>
      <c r="K68" s="689"/>
      <c r="L68" s="1089">
        <f>SUM(L69:L83)</f>
        <v>193945.24777747999</v>
      </c>
      <c r="M68" s="668">
        <f t="shared" ref="M68:V68" si="57">SUM(M69:M83)</f>
        <v>168921.48840544801</v>
      </c>
      <c r="N68" s="668">
        <f t="shared" si="57"/>
        <v>186037.33383565402</v>
      </c>
      <c r="O68" s="668">
        <f t="shared" si="57"/>
        <v>93607.316869538015</v>
      </c>
      <c r="P68" s="1089">
        <f t="shared" si="57"/>
        <v>102321.11484888411</v>
      </c>
      <c r="Q68" s="669">
        <f t="shared" si="57"/>
        <v>195928.43171842216</v>
      </c>
      <c r="R68" s="669">
        <f t="shared" si="57"/>
        <v>209247.55011852304</v>
      </c>
      <c r="S68" s="669">
        <f t="shared" si="57"/>
        <v>219015.83069389476</v>
      </c>
      <c r="T68" s="669">
        <f t="shared" si="57"/>
        <v>227164.67498437213</v>
      </c>
      <c r="U68" s="669">
        <f t="shared" si="57"/>
        <v>236039.03600058594</v>
      </c>
      <c r="V68" s="669">
        <f t="shared" si="57"/>
        <v>243628.94593940399</v>
      </c>
      <c r="BJ68" s="670"/>
      <c r="BK68" s="670"/>
      <c r="BL68" s="670"/>
      <c r="BM68" s="670"/>
      <c r="BN68" s="670"/>
      <c r="BO68" s="670"/>
      <c r="BS68" s="727" t="s">
        <v>1482</v>
      </c>
      <c r="BT68" s="727"/>
      <c r="BU68" s="727"/>
      <c r="BV68" s="727"/>
      <c r="BW68" s="727"/>
      <c r="BX68" s="728">
        <f t="shared" ref="BX68:CA68" si="58">L5</f>
        <v>1491976.22114</v>
      </c>
      <c r="BY68" s="728">
        <f t="shared" si="58"/>
        <v>2663947.8663639999</v>
      </c>
      <c r="BZ68" s="728">
        <f t="shared" si="58"/>
        <v>3046678.6757970001</v>
      </c>
      <c r="CA68" s="728">
        <f t="shared" si="58"/>
        <v>1606909.618359</v>
      </c>
      <c r="CB68" s="720"/>
      <c r="CX68" s="1223"/>
    </row>
    <row r="69" spans="2:105" ht="12" customHeight="1">
      <c r="C69" s="676" t="s">
        <v>1359</v>
      </c>
      <c r="L69" s="1090">
        <f>'R-SG&amp;A'!D15</f>
        <v>50418.894717000003</v>
      </c>
      <c r="M69" s="670">
        <f>'R-SG&amp;A'!E15</f>
        <v>38412.050999999999</v>
      </c>
      <c r="N69" s="670">
        <f>'R-SG&amp;A'!F15</f>
        <v>37613.578000000001</v>
      </c>
      <c r="O69" s="670">
        <f>'R-SG&amp;A'!G15</f>
        <v>18808.381000000001</v>
      </c>
      <c r="P69" s="1090">
        <f>'R-SG&amp;A'!H15</f>
        <v>21024.398101999999</v>
      </c>
      <c r="Q69" s="671">
        <f>'R-SG&amp;A'!I15</f>
        <v>39832.779102</v>
      </c>
      <c r="R69" s="671">
        <f>'R-SG&amp;A'!J15</f>
        <v>40788.765800447996</v>
      </c>
      <c r="S69" s="671">
        <f>'R-SG&amp;A'!K15</f>
        <v>42216.372603463678</v>
      </c>
      <c r="T69" s="671">
        <f>'R-SG&amp;A'!L15</f>
        <v>43693.945644584899</v>
      </c>
      <c r="U69" s="671">
        <f>'R-SG&amp;A'!M15</f>
        <v>45223.23374214537</v>
      </c>
      <c r="V69" s="671">
        <f>'R-SG&amp;A'!N15</f>
        <v>46806.046923120455</v>
      </c>
      <c r="BJ69" s="670"/>
      <c r="BK69" s="670"/>
      <c r="BL69" s="670"/>
      <c r="BM69" s="670"/>
      <c r="BN69" s="670"/>
      <c r="BO69" s="670"/>
      <c r="BS69" s="727" t="s">
        <v>1480</v>
      </c>
      <c r="BT69" s="727"/>
      <c r="BU69" s="727"/>
      <c r="BV69" s="727"/>
      <c r="BW69" s="727"/>
      <c r="BX69" s="728">
        <f>L7</f>
        <v>1113092.579931</v>
      </c>
      <c r="BY69" s="728">
        <f>M7</f>
        <v>2005984.3105349999</v>
      </c>
      <c r="BZ69" s="728">
        <f>N7</f>
        <v>2286620.4427060001</v>
      </c>
      <c r="CA69" s="728">
        <f>O7</f>
        <v>1195964.884535</v>
      </c>
      <c r="CB69" s="720"/>
      <c r="CX69" s="1223"/>
    </row>
    <row r="70" spans="2:105" ht="12" customHeight="1">
      <c r="C70" s="676" t="s">
        <v>1497</v>
      </c>
      <c r="L70" s="1090">
        <f>L91</f>
        <v>31077.271683480001</v>
      </c>
      <c r="M70" s="670">
        <f t="shared" ref="M70:V70" si="59">M91</f>
        <v>23695.162405448005</v>
      </c>
      <c r="N70" s="670">
        <f t="shared" si="59"/>
        <v>29208.432835654006</v>
      </c>
      <c r="O70" s="670">
        <f t="shared" si="59"/>
        <v>13049.835869538005</v>
      </c>
      <c r="P70" s="1090">
        <f t="shared" si="59"/>
        <v>13284.586457188001</v>
      </c>
      <c r="Q70" s="671">
        <f t="shared" si="59"/>
        <v>26334.422326726009</v>
      </c>
      <c r="R70" s="671">
        <f t="shared" si="59"/>
        <v>26966.448462567423</v>
      </c>
      <c r="S70" s="671">
        <f t="shared" si="59"/>
        <v>27910.274158757282</v>
      </c>
      <c r="T70" s="671">
        <f t="shared" si="59"/>
        <v>28747.582383520014</v>
      </c>
      <c r="U70" s="671">
        <f t="shared" si="59"/>
        <v>29552.514690258555</v>
      </c>
      <c r="V70" s="671">
        <f t="shared" si="59"/>
        <v>30379.9851015858</v>
      </c>
      <c r="BJ70" s="670"/>
      <c r="BK70" s="670"/>
      <c r="BL70" s="670"/>
      <c r="BM70" s="670"/>
      <c r="BN70" s="670"/>
      <c r="BO70" s="670"/>
      <c r="BS70" s="744" t="s">
        <v>1483</v>
      </c>
      <c r="BT70" s="744"/>
      <c r="BU70" s="744"/>
      <c r="BV70" s="744"/>
      <c r="BW70" s="744"/>
      <c r="BX70" s="799">
        <f>L10</f>
        <v>330026.20809700002</v>
      </c>
      <c r="BY70" s="799">
        <f>M10</f>
        <v>476792.342</v>
      </c>
      <c r="BZ70" s="799">
        <f>N10</f>
        <v>545797.12099999993</v>
      </c>
      <c r="CA70" s="799">
        <f>O10</f>
        <v>284644.701</v>
      </c>
      <c r="CB70" s="720"/>
      <c r="CV70" s="676" t="s">
        <v>1715</v>
      </c>
      <c r="CX70" s="1223"/>
    </row>
    <row r="71" spans="2:105" ht="12" customHeight="1" thickBot="1">
      <c r="C71" s="676" t="s">
        <v>1360</v>
      </c>
      <c r="L71" s="1090">
        <f>'R-SG&amp;A'!D16</f>
        <v>24462.190891999999</v>
      </c>
      <c r="M71" s="670">
        <f>'R-SG&amp;A'!E16</f>
        <v>45413.231</v>
      </c>
      <c r="N71" s="670">
        <f>'R-SG&amp;A'!F16</f>
        <v>53038.998</v>
      </c>
      <c r="O71" s="670">
        <f>'R-SG&amp;A'!G16</f>
        <v>27737.870999999999</v>
      </c>
      <c r="P71" s="1090">
        <f>'R-SG&amp;A'!H16</f>
        <v>30569.296455671185</v>
      </c>
      <c r="Q71" s="671">
        <f>'R-SG&amp;A'!I16</f>
        <v>58307.167455671181</v>
      </c>
      <c r="R71" s="671">
        <f>'R-SG&amp;A'!J16</f>
        <v>67704.121025678309</v>
      </c>
      <c r="S71" s="671">
        <f>'R-SG&amp;A'!K16</f>
        <v>73450.814189845827</v>
      </c>
      <c r="T71" s="671">
        <f>'R-SG&amp;A'!L16</f>
        <v>78045.711387871517</v>
      </c>
      <c r="U71" s="671">
        <f>'R-SG&amp;A'!M16</f>
        <v>82465.837861237</v>
      </c>
      <c r="V71" s="671">
        <f>'R-SG&amp;A'!N16</f>
        <v>86612.819127776602</v>
      </c>
      <c r="BJ71" s="670"/>
      <c r="BK71" s="670"/>
      <c r="BL71" s="670"/>
      <c r="BM71" s="670"/>
      <c r="BN71" s="670"/>
      <c r="BO71" s="670"/>
      <c r="BS71" s="676" t="s">
        <v>1404</v>
      </c>
      <c r="BW71" s="745">
        <f>NWC!C6</f>
        <v>149481.935581</v>
      </c>
      <c r="BX71" s="670">
        <f>NWC!D6</f>
        <v>158782.39270999999</v>
      </c>
      <c r="BY71" s="670">
        <f>NWC!E6</f>
        <v>170078.86142500001</v>
      </c>
      <c r="BZ71" s="670">
        <f>NWC!F6</f>
        <v>202019.01291200001</v>
      </c>
      <c r="CA71" s="670">
        <f>NWC!G6</f>
        <v>314577.716992</v>
      </c>
      <c r="CB71" s="671"/>
      <c r="CV71" s="1002" t="s">
        <v>2313</v>
      </c>
      <c r="CW71" s="1002"/>
      <c r="CX71" s="1157" t="s">
        <v>2955</v>
      </c>
      <c r="CY71" s="1044"/>
      <c r="CZ71" s="1044" t="s">
        <v>2330</v>
      </c>
      <c r="DA71" s="1044" t="s">
        <v>2331</v>
      </c>
    </row>
    <row r="72" spans="2:105" ht="12" customHeight="1">
      <c r="C72" s="676" t="s">
        <v>1361</v>
      </c>
      <c r="L72" s="1090">
        <f>'R-SG&amp;A'!D17</f>
        <v>5302.1923360000001</v>
      </c>
      <c r="M72" s="670">
        <f>'R-SG&amp;A'!E17</f>
        <v>10083.249</v>
      </c>
      <c r="N72" s="670">
        <f>'R-SG&amp;A'!F17</f>
        <v>11030.37</v>
      </c>
      <c r="O72" s="670">
        <f>'R-SG&amp;A'!G17</f>
        <v>5895.2079999999996</v>
      </c>
      <c r="P72" s="1090">
        <f>'R-SG&amp;A'!H17</f>
        <v>5785.9538300000004</v>
      </c>
      <c r="Q72" s="671">
        <f>'R-SG&amp;A'!I17</f>
        <v>11681.161830000001</v>
      </c>
      <c r="R72" s="671">
        <f>'R-SG&amp;A'!J17</f>
        <v>11961.509713920001</v>
      </c>
      <c r="S72" s="671">
        <f>'R-SG&amp;A'!K17</f>
        <v>12380.162553907199</v>
      </c>
      <c r="T72" s="671">
        <f>'R-SG&amp;A'!L17</f>
        <v>12813.468243293952</v>
      </c>
      <c r="U72" s="671">
        <f>'R-SG&amp;A'!M17</f>
        <v>13261.939631809239</v>
      </c>
      <c r="V72" s="671">
        <f>'R-SG&amp;A'!N17</f>
        <v>13726.107518922561</v>
      </c>
      <c r="BJ72" s="670"/>
      <c r="BK72" s="670"/>
      <c r="BL72" s="670"/>
      <c r="BM72" s="670"/>
      <c r="BN72" s="670"/>
      <c r="BO72" s="670"/>
      <c r="BS72" s="676" t="s">
        <v>1405</v>
      </c>
      <c r="BW72" s="745">
        <f>NWC!C7</f>
        <v>22728.338926</v>
      </c>
      <c r="BX72" s="670">
        <f>NWC!D7</f>
        <v>21743.804</v>
      </c>
      <c r="BY72" s="670">
        <f>NWC!E7</f>
        <v>31672.149000000001</v>
      </c>
      <c r="BZ72" s="670">
        <f>NWC!F7</f>
        <v>33489.205999999998</v>
      </c>
      <c r="CA72" s="670">
        <f>NWC!G7</f>
        <v>33839.124000000003</v>
      </c>
      <c r="CB72" s="671"/>
      <c r="CV72" s="1244" t="s">
        <v>2332</v>
      </c>
      <c r="CX72" s="1223" t="str">
        <f>Multiple!N44</f>
        <v>삼성생명</v>
      </c>
      <c r="CY72" s="670"/>
      <c r="CZ72" s="670">
        <f>Multiple!P44</f>
        <v>1402453</v>
      </c>
      <c r="DA72" s="670">
        <f>Multiple!Q44</f>
        <v>1309659.0476190478</v>
      </c>
    </row>
    <row r="73" spans="2:105" ht="12" customHeight="1">
      <c r="C73" s="676" t="s">
        <v>1362</v>
      </c>
      <c r="L73" s="1090">
        <f>'R-SG&amp;A'!D18</f>
        <v>4428.8737739999997</v>
      </c>
      <c r="M73" s="670">
        <f>'R-SG&amp;A'!E18</f>
        <v>2809.1109999999999</v>
      </c>
      <c r="N73" s="670">
        <f>'R-SG&amp;A'!F18</f>
        <v>3180.9430000000002</v>
      </c>
      <c r="O73" s="670">
        <f>'R-SG&amp;A'!G18</f>
        <v>806.94600000000003</v>
      </c>
      <c r="P73" s="1090">
        <f>'R-SG&amp;A'!H18</f>
        <v>2561.6726370000001</v>
      </c>
      <c r="Q73" s="671">
        <f>'R-SG&amp;A'!I18</f>
        <v>3368.618637</v>
      </c>
      <c r="R73" s="671">
        <f>'R-SG&amp;A'!J18</f>
        <v>3449.465484288</v>
      </c>
      <c r="S73" s="671">
        <f>'R-SG&amp;A'!K18</f>
        <v>3570.19677623808</v>
      </c>
      <c r="T73" s="671">
        <f>'R-SG&amp;A'!L18</f>
        <v>3695.1536634064128</v>
      </c>
      <c r="U73" s="671">
        <f>'R-SG&amp;A'!M18</f>
        <v>3824.4840416256366</v>
      </c>
      <c r="V73" s="671">
        <f>'R-SG&amp;A'!N18</f>
        <v>3958.3409830825335</v>
      </c>
      <c r="BJ73" s="670"/>
      <c r="BK73" s="670"/>
      <c r="BL73" s="670"/>
      <c r="BM73" s="670"/>
      <c r="BN73" s="670"/>
      <c r="BO73" s="670"/>
      <c r="BS73" s="676" t="s">
        <v>1177</v>
      </c>
      <c r="BW73" s="745">
        <f>NWC!C9</f>
        <v>151623.50655300001</v>
      </c>
      <c r="BX73" s="670">
        <f>NWC!D9</f>
        <v>163636.701</v>
      </c>
      <c r="BY73" s="670">
        <f>NWC!E9</f>
        <v>168737.79699999999</v>
      </c>
      <c r="BZ73" s="670">
        <f>NWC!F9</f>
        <v>119735.96799999999</v>
      </c>
      <c r="CA73" s="670">
        <f>NWC!G9</f>
        <v>129705.443</v>
      </c>
      <c r="CB73" s="671"/>
      <c r="CV73" s="979" t="s">
        <v>2333</v>
      </c>
      <c r="CX73" s="1223" t="str">
        <f>Multiple!N45</f>
        <v>코스트코코리아외 2개사</v>
      </c>
      <c r="CY73" s="670"/>
      <c r="CZ73" s="670">
        <f>Multiple!P45</f>
        <v>19060</v>
      </c>
      <c r="DA73" s="670">
        <f>Multiple!Q45</f>
        <v>19060</v>
      </c>
    </row>
    <row r="74" spans="2:105" ht="12" customHeight="1">
      <c r="C74" s="676" t="s">
        <v>1363</v>
      </c>
      <c r="L74" s="1090">
        <f>'R-SG&amp;A'!D19</f>
        <v>1301.5766389999999</v>
      </c>
      <c r="M74" s="670">
        <f>'R-SG&amp;A'!E19</f>
        <v>2054.1770000000001</v>
      </c>
      <c r="N74" s="670">
        <f>'R-SG&amp;A'!F19</f>
        <v>2692.7559999999999</v>
      </c>
      <c r="O74" s="670">
        <f>'R-SG&amp;A'!G19</f>
        <v>1533.0150000000001</v>
      </c>
      <c r="P74" s="1090">
        <f>'R-SG&amp;A'!H19</f>
        <v>1318.6136039999999</v>
      </c>
      <c r="Q74" s="671">
        <f>'R-SG&amp;A'!I19</f>
        <v>2851.628604</v>
      </c>
      <c r="R74" s="671">
        <f>'R-SG&amp;A'!J19</f>
        <v>2920.0676904960001</v>
      </c>
      <c r="S74" s="671">
        <f>'R-SG&amp;A'!K19</f>
        <v>3022.2700596633599</v>
      </c>
      <c r="T74" s="671">
        <f>'R-SG&amp;A'!L19</f>
        <v>3128.0495117515775</v>
      </c>
      <c r="U74" s="671">
        <f>'R-SG&amp;A'!M19</f>
        <v>3237.5312446628823</v>
      </c>
      <c r="V74" s="671">
        <f>'R-SG&amp;A'!N19</f>
        <v>3350.8448382260826</v>
      </c>
      <c r="BJ74" s="670"/>
      <c r="BK74" s="670"/>
      <c r="BL74" s="670"/>
      <c r="BM74" s="670"/>
      <c r="BN74" s="670"/>
      <c r="BO74" s="670"/>
      <c r="BS74" s="676" t="s">
        <v>1176</v>
      </c>
      <c r="BW74" s="745">
        <f>NWC!C10</f>
        <v>50534.189218</v>
      </c>
      <c r="BX74" s="670">
        <f>NWC!D10</f>
        <v>53803.455999999998</v>
      </c>
      <c r="BY74" s="670">
        <f>NWC!E10</f>
        <v>56522.368999999999</v>
      </c>
      <c r="BZ74" s="670">
        <f>NWC!F10</f>
        <v>48268.192000000003</v>
      </c>
      <c r="CA74" s="670">
        <f>NWC!G10</f>
        <v>60615.527000000002</v>
      </c>
      <c r="CB74" s="671"/>
      <c r="CV74" s="979" t="s">
        <v>2335</v>
      </c>
      <c r="CX74" s="1223" t="str">
        <f>Multiple!N46</f>
        <v>신세계아이앤씨외 1개사</v>
      </c>
      <c r="CY74" s="670"/>
      <c r="CZ74" s="670">
        <f>Multiple!P46</f>
        <v>27021</v>
      </c>
      <c r="DA74" s="670">
        <f>Multiple!Q46</f>
        <v>42065.251428571428</v>
      </c>
    </row>
    <row r="75" spans="2:105" ht="12" customHeight="1">
      <c r="C75" s="676" t="s">
        <v>1364</v>
      </c>
      <c r="L75" s="1090">
        <f>'R-SG&amp;A'!D20</f>
        <v>906.04529300000002</v>
      </c>
      <c r="M75" s="670">
        <f>'R-SG&amp;A'!E20</f>
        <v>1592.4670000000001</v>
      </c>
      <c r="N75" s="670">
        <f>'R-SG&amp;A'!F20</f>
        <v>1675.4179999999999</v>
      </c>
      <c r="O75" s="670">
        <f>'R-SG&amp;A'!G20</f>
        <v>810.96100000000001</v>
      </c>
      <c r="P75" s="1090">
        <f>'R-SG&amp;A'!H20</f>
        <v>963.30666199999996</v>
      </c>
      <c r="Q75" s="671">
        <f>'R-SG&amp;A'!I20</f>
        <v>1774.267662</v>
      </c>
      <c r="R75" s="671">
        <f>'R-SG&amp;A'!J20</f>
        <v>1816.850085888</v>
      </c>
      <c r="S75" s="671">
        <f>'R-SG&amp;A'!K20</f>
        <v>1880.4398388940799</v>
      </c>
      <c r="T75" s="671">
        <f>'R-SG&amp;A'!L20</f>
        <v>1946.2552332553726</v>
      </c>
      <c r="U75" s="671">
        <f>'R-SG&amp;A'!M20</f>
        <v>2014.3741664193103</v>
      </c>
      <c r="V75" s="671">
        <f>'R-SG&amp;A'!N20</f>
        <v>2084.877262243986</v>
      </c>
      <c r="BJ75" s="670"/>
      <c r="BK75" s="670"/>
      <c r="BL75" s="670"/>
      <c r="BM75" s="670"/>
      <c r="BN75" s="670"/>
      <c r="BO75" s="670"/>
      <c r="BS75" s="676" t="s">
        <v>1175</v>
      </c>
      <c r="BW75" s="745">
        <f>NWC!C11</f>
        <v>8748.4445990000004</v>
      </c>
      <c r="BX75" s="670">
        <f>NWC!D11</f>
        <v>7121.7939999999999</v>
      </c>
      <c r="BY75" s="670">
        <f>NWC!E11</f>
        <v>18654.069</v>
      </c>
      <c r="BZ75" s="670">
        <f>NWC!F11</f>
        <v>16839.954000000002</v>
      </c>
      <c r="CA75" s="670">
        <f>NWC!G11</f>
        <v>16839.954000000002</v>
      </c>
      <c r="CB75" s="671"/>
      <c r="CV75" s="979" t="s">
        <v>2334</v>
      </c>
      <c r="CX75" s="1223" t="str">
        <f>Multiple!N47</f>
        <v>조선호텔</v>
      </c>
      <c r="CY75" s="670"/>
      <c r="CZ75" s="670">
        <f>Multiple!P47</f>
        <v>223442</v>
      </c>
      <c r="DA75" s="670">
        <f>Multiple!Q47</f>
        <v>223442</v>
      </c>
    </row>
    <row r="76" spans="2:105" ht="12" customHeight="1" thickBot="1">
      <c r="C76" s="676" t="s">
        <v>1365</v>
      </c>
      <c r="L76" s="1090">
        <f>'R-SG&amp;A'!D21</f>
        <v>535.48836200000005</v>
      </c>
      <c r="M76" s="670">
        <f>'R-SG&amp;A'!E21</f>
        <v>1589.393</v>
      </c>
      <c r="N76" s="670">
        <f>'R-SG&amp;A'!F21</f>
        <v>1616.4059999999999</v>
      </c>
      <c r="O76" s="670">
        <f>'R-SG&amp;A'!G21</f>
        <v>621.26099999999997</v>
      </c>
      <c r="P76" s="1090">
        <f>'R-SG&amp;A'!H21</f>
        <v>1090.512954</v>
      </c>
      <c r="Q76" s="671">
        <f>'R-SG&amp;A'!I21</f>
        <v>1711.773954</v>
      </c>
      <c r="R76" s="671">
        <f>'R-SG&amp;A'!J21</f>
        <v>1752.8565288960001</v>
      </c>
      <c r="S76" s="671">
        <f>'R-SG&amp;A'!K21</f>
        <v>1814.20650740736</v>
      </c>
      <c r="T76" s="671">
        <f>'R-SG&amp;A'!L21</f>
        <v>1877.7037351666177</v>
      </c>
      <c r="U76" s="671">
        <f>'R-SG&amp;A'!M21</f>
        <v>1943.423365897449</v>
      </c>
      <c r="V76" s="671">
        <f>'R-SG&amp;A'!N21</f>
        <v>2011.4431837038596</v>
      </c>
      <c r="BD76" s="683"/>
      <c r="BE76" s="683"/>
      <c r="BF76" s="683"/>
      <c r="BG76" s="683"/>
      <c r="BH76" s="683"/>
      <c r="BI76" s="1086" t="s">
        <v>2184</v>
      </c>
      <c r="BJ76" s="1087" t="s">
        <v>2180</v>
      </c>
      <c r="BK76" s="684"/>
      <c r="BL76" s="684"/>
      <c r="BM76" s="684"/>
      <c r="BN76" s="684"/>
      <c r="BO76" s="684"/>
      <c r="BS76" s="758" t="s">
        <v>1484</v>
      </c>
      <c r="BT76" s="758"/>
      <c r="BU76" s="758"/>
      <c r="BV76" s="758"/>
      <c r="BW76" s="758"/>
      <c r="BX76" s="791">
        <f>SUM(BX71:BX72)-SUM(BX73:BX75)</f>
        <v>-44035.754290000012</v>
      </c>
      <c r="BY76" s="791">
        <f>SUM(BY71:BY72)-SUM(BY73:BY75)</f>
        <v>-42163.224574999971</v>
      </c>
      <c r="BZ76" s="791">
        <f>SUM(BZ71:BZ72)-SUM(BZ73:BZ75)</f>
        <v>50664.10491200001</v>
      </c>
      <c r="CA76" s="791">
        <f>SUM(CA71:CA72)-SUM(CA73:CA75)</f>
        <v>141255.91699200001</v>
      </c>
      <c r="CB76" s="671"/>
      <c r="CV76" s="979" t="s">
        <v>2327</v>
      </c>
      <c r="CX76" s="1223" t="str">
        <f>Multiple!N48</f>
        <v>토지, 건물</v>
      </c>
      <c r="CY76" s="670"/>
      <c r="CZ76" s="670">
        <f>Multiple!P48</f>
        <v>197021</v>
      </c>
      <c r="DA76" s="670">
        <f>Multiple!Q48</f>
        <v>197021</v>
      </c>
    </row>
    <row r="77" spans="2:105" ht="12" customHeight="1" thickBot="1">
      <c r="C77" s="676" t="s">
        <v>1366</v>
      </c>
      <c r="L77" s="1090">
        <f>'R-SG&amp;A'!D22</f>
        <v>1583.1244409999999</v>
      </c>
      <c r="M77" s="670">
        <f>'R-SG&amp;A'!E22</f>
        <v>3290.7910000000002</v>
      </c>
      <c r="N77" s="670">
        <f>'R-SG&amp;A'!F22</f>
        <v>4054.12</v>
      </c>
      <c r="O77" s="670">
        <f>'R-SG&amp;A'!G22</f>
        <v>2055.02</v>
      </c>
      <c r="P77" s="1090">
        <f>'R-SG&amp;A'!H22</f>
        <v>2238.2930799999999</v>
      </c>
      <c r="Q77" s="671">
        <f>'R-SG&amp;A'!I22</f>
        <v>4293.3130799999999</v>
      </c>
      <c r="R77" s="671">
        <f>'R-SG&amp;A'!J22</f>
        <v>4396.3525939199999</v>
      </c>
      <c r="S77" s="671">
        <f>'R-SG&amp;A'!K22</f>
        <v>4550.2249347072002</v>
      </c>
      <c r="T77" s="671">
        <f>'R-SG&amp;A'!L22</f>
        <v>4709.4828074219513</v>
      </c>
      <c r="U77" s="671">
        <f>'R-SG&amp;A'!M22</f>
        <v>4874.3147056817188</v>
      </c>
      <c r="V77" s="671">
        <f>'R-SG&amp;A'!N22</f>
        <v>5044.9157203805789</v>
      </c>
      <c r="BD77" s="686" t="s">
        <v>1251</v>
      </c>
      <c r="BE77" s="686"/>
      <c r="BF77" s="686"/>
      <c r="BG77" s="686"/>
      <c r="BH77" s="686"/>
      <c r="BI77" s="687" t="s">
        <v>2141</v>
      </c>
      <c r="BJ77" s="1088" t="s">
        <v>2142</v>
      </c>
      <c r="BK77" s="1148">
        <v>2012</v>
      </c>
      <c r="BL77" s="1148">
        <v>2013</v>
      </c>
      <c r="BM77" s="1148">
        <v>2014</v>
      </c>
      <c r="BN77" s="1148">
        <v>2015</v>
      </c>
      <c r="BO77" s="1148">
        <v>2016</v>
      </c>
      <c r="CB77" s="671"/>
      <c r="CV77" s="998" t="s">
        <v>2328</v>
      </c>
      <c r="CW77" s="1246"/>
      <c r="CX77" s="1290"/>
      <c r="CY77" s="713"/>
      <c r="CZ77" s="713">
        <f>Multiple!P49</f>
        <v>1868997</v>
      </c>
      <c r="DA77" s="713">
        <f>Multiple!Q49</f>
        <v>1791247.2990476193</v>
      </c>
    </row>
    <row r="78" spans="2:105" ht="12" customHeight="1">
      <c r="C78" s="676" t="s">
        <v>1367</v>
      </c>
      <c r="L78" s="1090">
        <f>'R-SG&amp;A'!D23</f>
        <v>361.53341</v>
      </c>
      <c r="M78" s="670">
        <f>'R-SG&amp;A'!E23</f>
        <v>927.63300000000004</v>
      </c>
      <c r="N78" s="670">
        <f>'R-SG&amp;A'!F23</f>
        <v>687.24400000000003</v>
      </c>
      <c r="O78" s="670">
        <f>'R-SG&amp;A'!G23</f>
        <v>291.17399999999998</v>
      </c>
      <c r="P78" s="1090">
        <f>'R-SG&amp;A'!H23</f>
        <v>436.61739599999999</v>
      </c>
      <c r="Q78" s="671">
        <f>'R-SG&amp;A'!I23</f>
        <v>727.79139599999996</v>
      </c>
      <c r="R78" s="671">
        <f>'R-SG&amp;A'!J23</f>
        <v>745.25838950400009</v>
      </c>
      <c r="S78" s="671">
        <f>'R-SG&amp;A'!K23</f>
        <v>771.3424331366399</v>
      </c>
      <c r="T78" s="671">
        <f>'R-SG&amp;A'!L23</f>
        <v>798.3394182964222</v>
      </c>
      <c r="U78" s="671">
        <f>'R-SG&amp;A'!M23</f>
        <v>826.28129793679693</v>
      </c>
      <c r="V78" s="671">
        <f>'R-SG&amp;A'!N23</f>
        <v>855.20114336458471</v>
      </c>
      <c r="BD78" s="747" t="s">
        <v>2183</v>
      </c>
      <c r="BE78" s="747"/>
      <c r="BF78" s="747"/>
      <c r="BG78" s="747"/>
      <c r="BH78" s="747"/>
      <c r="BI78" s="784">
        <f>BI79+BI85+BI86</f>
        <v>31555.024251000003</v>
      </c>
      <c r="BJ78" s="1106">
        <f>BJ79+BJ85+BJ86</f>
        <v>41857.80866779654</v>
      </c>
      <c r="BK78" s="784">
        <f t="shared" ref="BK78:BO78" si="60">BK79+BK85+BK86</f>
        <v>90356.290885326482</v>
      </c>
      <c r="BL78" s="784">
        <f t="shared" si="60"/>
        <v>72026.267593832832</v>
      </c>
      <c r="BM78" s="784">
        <f t="shared" si="60"/>
        <v>62083.911595302285</v>
      </c>
      <c r="BN78" s="784">
        <f t="shared" si="60"/>
        <v>62075.786771311476</v>
      </c>
      <c r="BO78" s="784">
        <f t="shared" si="60"/>
        <v>59049.76344633277</v>
      </c>
      <c r="BX78" s="670"/>
      <c r="BY78" s="670"/>
      <c r="BZ78" s="670"/>
      <c r="CA78" s="670"/>
      <c r="CB78" s="720"/>
    </row>
    <row r="79" spans="2:105" ht="12" customHeight="1" thickBot="1">
      <c r="C79" s="676" t="s">
        <v>1368</v>
      </c>
      <c r="L79" s="1090">
        <f>'R-SG&amp;A'!D24</f>
        <v>806.107754</v>
      </c>
      <c r="M79" s="670">
        <f>'R-SG&amp;A'!E24</f>
        <v>1392.4670000000001</v>
      </c>
      <c r="N79" s="670">
        <f>'R-SG&amp;A'!F24</f>
        <v>1437.5070000000001</v>
      </c>
      <c r="O79" s="670">
        <f>'R-SG&amp;A'!G24</f>
        <v>739.79499999999996</v>
      </c>
      <c r="P79" s="1090">
        <f>'R-SG&amp;A'!H24</f>
        <v>782.52491299999997</v>
      </c>
      <c r="Q79" s="671">
        <f>'R-SG&amp;A'!I24</f>
        <v>1522.3199129999998</v>
      </c>
      <c r="R79" s="671">
        <f>'R-SG&amp;A'!J24</f>
        <v>1558.855590912</v>
      </c>
      <c r="S79" s="671">
        <f>'R-SG&amp;A'!K24</f>
        <v>1613.4155365939198</v>
      </c>
      <c r="T79" s="671">
        <f>'R-SG&amp;A'!L24</f>
        <v>1669.8850803747068</v>
      </c>
      <c r="U79" s="671">
        <f>'R-SG&amp;A'!M24</f>
        <v>1728.3310581878213</v>
      </c>
      <c r="V79" s="671">
        <f>'R-SG&amp;A'!N24</f>
        <v>1788.822645224395</v>
      </c>
      <c r="BE79" s="750" t="s">
        <v>1415</v>
      </c>
      <c r="BF79" s="750"/>
      <c r="BG79" s="750"/>
      <c r="BH79" s="750"/>
      <c r="BI79" s="750">
        <f>CAPEX!H408</f>
        <v>24727.965076</v>
      </c>
      <c r="BJ79" s="1107">
        <f>SUM(BJ80:BJ84)</f>
        <v>31564.328667796537</v>
      </c>
      <c r="BK79" s="785">
        <f t="shared" ref="BK79:BO79" si="61">SUM(BK80:BK84)</f>
        <v>68396.866885326483</v>
      </c>
      <c r="BL79" s="785">
        <f t="shared" si="61"/>
        <v>57480.345136232834</v>
      </c>
      <c r="BM79" s="785">
        <f t="shared" si="61"/>
        <v>51783.580255014283</v>
      </c>
      <c r="BN79" s="785">
        <f t="shared" si="61"/>
        <v>52449.658936933236</v>
      </c>
      <c r="BO79" s="785">
        <f t="shared" si="61"/>
        <v>51133.235915340105</v>
      </c>
      <c r="BS79" s="686" t="s">
        <v>1485</v>
      </c>
      <c r="BT79" s="686"/>
      <c r="BU79" s="686"/>
      <c r="BV79" s="686"/>
      <c r="BW79" s="686"/>
      <c r="BX79" s="1148">
        <v>2008</v>
      </c>
      <c r="BY79" s="1148">
        <v>2009</v>
      </c>
      <c r="BZ79" s="1148">
        <v>2010</v>
      </c>
      <c r="CA79" s="1148" t="s">
        <v>2336</v>
      </c>
      <c r="CB79" s="671"/>
    </row>
    <row r="80" spans="2:105" ht="12" customHeight="1">
      <c r="C80" s="755" t="s">
        <v>1369</v>
      </c>
      <c r="L80" s="1090">
        <f>'R-SG&amp;A'!D25</f>
        <v>262.37389100000001</v>
      </c>
      <c r="M80" s="670">
        <f>'R-SG&amp;A'!E25</f>
        <v>366.274</v>
      </c>
      <c r="N80" s="670">
        <f>'R-SG&amp;A'!F25</f>
        <v>366.97699999999998</v>
      </c>
      <c r="O80" s="670">
        <f>'R-SG&amp;A'!G25</f>
        <v>150.423</v>
      </c>
      <c r="P80" s="1090">
        <f>'R-SG&amp;A'!H25</f>
        <v>238.20564300000001</v>
      </c>
      <c r="Q80" s="671">
        <f>'R-SG&amp;A'!I25</f>
        <v>388.62864300000001</v>
      </c>
      <c r="R80" s="671">
        <f>'R-SG&amp;A'!J25</f>
        <v>397.955730432</v>
      </c>
      <c r="S80" s="671">
        <f>'R-SG&amp;A'!K25</f>
        <v>411.88418099711998</v>
      </c>
      <c r="T80" s="671">
        <f>'R-SG&amp;A'!L25</f>
        <v>426.30012733201914</v>
      </c>
      <c r="U80" s="671">
        <f>'R-SG&amp;A'!M25</f>
        <v>441.22063178863976</v>
      </c>
      <c r="V80" s="671">
        <f>'R-SG&amp;A'!N25</f>
        <v>456.66335390124215</v>
      </c>
      <c r="BF80" s="676" t="s">
        <v>743</v>
      </c>
      <c r="BJ80" s="1090">
        <f>CAPEX!G45</f>
        <v>982.46257027131423</v>
      </c>
      <c r="BK80" s="670">
        <f>CAPEX!H45</f>
        <v>2095.9201499121368</v>
      </c>
      <c r="BL80" s="670">
        <f>CAPEX!I45</f>
        <v>1388.3375073017994</v>
      </c>
      <c r="BM80" s="670">
        <f>CAPEX!J45</f>
        <v>983.11649735808669</v>
      </c>
      <c r="BN80" s="670">
        <f>CAPEX!K45</f>
        <v>918.76705389464848</v>
      </c>
      <c r="BO80" s="670">
        <f>CAPEX!L45</f>
        <v>755.5940251229589</v>
      </c>
      <c r="BS80" s="676" t="s">
        <v>1404</v>
      </c>
      <c r="BX80" s="771">
        <f>AVERAGE(BW71:BX71/BX$69)</f>
        <v>0.14264976298722862</v>
      </c>
      <c r="BY80" s="771">
        <f>AVERAGE(BX71:BY71/BY$69)</f>
        <v>8.4785738618085027E-2</v>
      </c>
      <c r="BZ80" s="771">
        <f>AVERAGE(BY71:BZ71/BZ$69)</f>
        <v>8.8348293026248609E-2</v>
      </c>
      <c r="CA80" s="771">
        <f>AVERAGE(BZ71:CA71/CA$69)</f>
        <v>0.26303256981856132</v>
      </c>
      <c r="CB80" s="671"/>
      <c r="CE80" s="685"/>
    </row>
    <row r="81" spans="2:96" ht="12" customHeight="1">
      <c r="C81" s="676" t="s">
        <v>1370</v>
      </c>
      <c r="L81" s="1090">
        <f>'R-SG&amp;A'!D26</f>
        <v>226.288523</v>
      </c>
      <c r="M81" s="670">
        <f>'R-SG&amp;A'!E26</f>
        <v>314.56400000000002</v>
      </c>
      <c r="N81" s="670">
        <f>'R-SG&amp;A'!F26</f>
        <v>439.22899999999998</v>
      </c>
      <c r="O81" s="670">
        <f>'R-SG&amp;A'!G26</f>
        <v>177.65700000000001</v>
      </c>
      <c r="P81" s="1090">
        <f>'R-SG&amp;A'!H26</f>
        <v>287.48651100000001</v>
      </c>
      <c r="Q81" s="671">
        <f>'R-SG&amp;A'!I26</f>
        <v>465.14351099999999</v>
      </c>
      <c r="R81" s="671">
        <f>'R-SG&amp;A'!J26</f>
        <v>476.30695526400001</v>
      </c>
      <c r="S81" s="671">
        <f>'R-SG&amp;A'!K26</f>
        <v>492.97769869823998</v>
      </c>
      <c r="T81" s="671">
        <f>'R-SG&amp;A'!L26</f>
        <v>510.23191815267836</v>
      </c>
      <c r="U81" s="671">
        <f>'R-SG&amp;A'!M26</f>
        <v>528.09003528802214</v>
      </c>
      <c r="V81" s="671">
        <f>'R-SG&amp;A'!N26</f>
        <v>546.57318652310289</v>
      </c>
      <c r="BF81" s="676" t="s">
        <v>744</v>
      </c>
      <c r="BJ81" s="1090">
        <f>CAPEX!G46</f>
        <v>18055.572724880538</v>
      </c>
      <c r="BK81" s="670">
        <f>CAPEX!H46</f>
        <v>38518.555146411811</v>
      </c>
      <c r="BL81" s="670">
        <f>CAPEX!I46</f>
        <v>25514.690928983186</v>
      </c>
      <c r="BM81" s="670">
        <f>CAPEX!J46</f>
        <v>18067.59051408622</v>
      </c>
      <c r="BN81" s="670">
        <f>CAPEX!K46</f>
        <v>16884.984589527849</v>
      </c>
      <c r="BO81" s="670">
        <f>CAPEX!L46</f>
        <v>13886.211326427703</v>
      </c>
      <c r="BS81" s="676" t="s">
        <v>1405</v>
      </c>
      <c r="BX81" s="771">
        <f>AVERAGE(BW72:BX72/BX$68)</f>
        <v>1.4573827445712128E-2</v>
      </c>
      <c r="BY81" s="771">
        <f>AVERAGE(BX72:BY72/BY$68)</f>
        <v>1.1889177487256555E-2</v>
      </c>
      <c r="BZ81" s="771">
        <f>AVERAGE(BY72:BZ72/BZ$68)</f>
        <v>1.0992037416364344E-2</v>
      </c>
      <c r="CA81" s="771">
        <f>AVERAGE(BZ72:CA72/CA$68)</f>
        <v>2.1058511078275218E-2</v>
      </c>
      <c r="CB81" s="671"/>
      <c r="CE81" s="685"/>
    </row>
    <row r="82" spans="2:96" ht="12" customHeight="1">
      <c r="C82" s="676" t="s">
        <v>1371</v>
      </c>
      <c r="L82" s="1090">
        <f>'R-SG&amp;A'!D27</f>
        <v>633.38313700000003</v>
      </c>
      <c r="M82" s="670">
        <f>'R-SG&amp;A'!E27</f>
        <v>1410.2349999999999</v>
      </c>
      <c r="N82" s="670">
        <f>'R-SG&amp;A'!F27</f>
        <v>2397.759</v>
      </c>
      <c r="O82" s="670">
        <f>'R-SG&amp;A'!G27</f>
        <v>1173.335</v>
      </c>
      <c r="P82" s="1090">
        <f>'R-SG&amp;A'!H27</f>
        <v>1365.891781</v>
      </c>
      <c r="Q82" s="671">
        <f>'R-SG&amp;A'!I27</f>
        <v>2539.2267810000003</v>
      </c>
      <c r="R82" s="671">
        <f>'R-SG&amp;A'!J27</f>
        <v>2600.168223744</v>
      </c>
      <c r="S82" s="671">
        <f>'R-SG&amp;A'!K27</f>
        <v>2691.1741115750397</v>
      </c>
      <c r="T82" s="671">
        <f>'R-SG&amp;A'!L27</f>
        <v>2785.365205480166</v>
      </c>
      <c r="U82" s="671">
        <f>'R-SG&amp;A'!M27</f>
        <v>2882.8529876719713</v>
      </c>
      <c r="V82" s="671">
        <f>'R-SG&amp;A'!N27</f>
        <v>2983.7528422404898</v>
      </c>
      <c r="BF82" s="676" t="s">
        <v>745</v>
      </c>
      <c r="BJ82" s="1090">
        <f>CAPEX!G47</f>
        <v>23.964704848151296</v>
      </c>
      <c r="BK82" s="670">
        <f>CAPEX!H47</f>
        <v>51.124703676056107</v>
      </c>
      <c r="BL82" s="670">
        <f>CAPEX!I47</f>
        <v>33.865003715019562</v>
      </c>
      <c r="BM82" s="670">
        <f>CAPEX!J47</f>
        <v>23.980655755698226</v>
      </c>
      <c r="BN82" s="670">
        <f>CAPEX!K47</f>
        <v>22.411012833507073</v>
      </c>
      <c r="BO82" s="670">
        <f>CAPEX!L47</f>
        <v>18.430816954276217</v>
      </c>
      <c r="BS82" s="676" t="s">
        <v>1177</v>
      </c>
      <c r="BX82" s="771">
        <f>AVERAGE(BW73:BX73/BX$69)</f>
        <v>0.14701086320254128</v>
      </c>
      <c r="BY82" s="771">
        <f>AVERAGE(BX73:BY73/BY$69)</f>
        <v>8.411720675671551E-2</v>
      </c>
      <c r="BZ82" s="771">
        <f>AVERAGE(BY73:BZ73/BZ$69)</f>
        <v>5.2363726731273229E-2</v>
      </c>
      <c r="CA82" s="771">
        <f>AVERAGE(BZ73:CA73/CA$69)</f>
        <v>0.10845255130582737</v>
      </c>
      <c r="CB82" s="684"/>
      <c r="CE82" s="751"/>
    </row>
    <row r="83" spans="2:96" ht="12" customHeight="1">
      <c r="C83" s="676" t="s">
        <v>1350</v>
      </c>
      <c r="L83" s="1090">
        <f>'R-SG&amp;A'!D28</f>
        <v>71639.902925000002</v>
      </c>
      <c r="M83" s="670">
        <f>'R-SG&amp;A'!E28</f>
        <v>35570.682999999997</v>
      </c>
      <c r="N83" s="670">
        <f>'R-SG&amp;A'!F28</f>
        <v>36597.596000000005</v>
      </c>
      <c r="O83" s="670">
        <f>'R-SG&amp;A'!G28</f>
        <v>19756.434000000001</v>
      </c>
      <c r="P83" s="1090">
        <f>'R-SG&amp;A'!H28</f>
        <v>20373.754823024938</v>
      </c>
      <c r="Q83" s="671">
        <f>'R-SG&amp;A'!I28</f>
        <v>40130.188823024939</v>
      </c>
      <c r="R83" s="671">
        <f>'R-SG&amp;A'!J28</f>
        <v>41712.567842565324</v>
      </c>
      <c r="S83" s="671">
        <f>'R-SG&amp;A'!K28</f>
        <v>42240.075110009777</v>
      </c>
      <c r="T83" s="671">
        <f>'R-SG&amp;A'!L28</f>
        <v>42317.20062446384</v>
      </c>
      <c r="U83" s="671">
        <f>'R-SG&amp;A'!M28</f>
        <v>43234.606539975532</v>
      </c>
      <c r="V83" s="671">
        <f>'R-SG&amp;A'!N28</f>
        <v>43022.552109107703</v>
      </c>
      <c r="BF83" s="676" t="s">
        <v>746</v>
      </c>
      <c r="BJ83" s="1090">
        <f>CAPEX!G50</f>
        <v>6.1286677965328478</v>
      </c>
      <c r="BK83" s="670">
        <f>CAPEX!H50</f>
        <v>13.593925326481754</v>
      </c>
      <c r="BL83" s="670">
        <f>CAPEX!I50</f>
        <v>14.9724642328292</v>
      </c>
      <c r="BM83" s="670">
        <f>CAPEX!J50</f>
        <v>16.033967910277283</v>
      </c>
      <c r="BN83" s="670">
        <f>CAPEX!K50</f>
        <v>16.972510665579851</v>
      </c>
      <c r="BO83" s="670">
        <f>CAPEX!L50</f>
        <v>17.879141152891755</v>
      </c>
      <c r="BS83" s="676" t="s">
        <v>1176</v>
      </c>
      <c r="BX83" s="771">
        <f>AVERAGE(BW74:BX74/BX$70)</f>
        <v>0.16302782833594323</v>
      </c>
      <c r="BY83" s="771">
        <f>AVERAGE(BX74:BY74/BY$70)</f>
        <v>0.11854714101091833</v>
      </c>
      <c r="BZ83" s="771">
        <f>AVERAGE(BY74:BZ74/BZ$70)</f>
        <v>8.8436142557080308E-2</v>
      </c>
      <c r="CA83" s="771">
        <f>AVERAGE(BZ74:CA74/CA$70)</f>
        <v>0.21295153848657103</v>
      </c>
      <c r="CB83" s="795"/>
      <c r="CE83" s="752"/>
    </row>
    <row r="84" spans="2:96" ht="12" customHeight="1" thickBot="1">
      <c r="B84" s="710" t="s">
        <v>126</v>
      </c>
      <c r="C84" s="710"/>
      <c r="D84" s="710"/>
      <c r="E84" s="710"/>
      <c r="F84" s="710"/>
      <c r="G84" s="710"/>
      <c r="H84" s="710"/>
      <c r="I84" s="710"/>
      <c r="J84" s="710"/>
      <c r="K84" s="710"/>
      <c r="L84" s="1120">
        <f>'R-SG&amp;A'!D31</f>
        <v>330026.20809700002</v>
      </c>
      <c r="M84" s="673">
        <f>'R-SG&amp;A'!E31</f>
        <v>476792.342</v>
      </c>
      <c r="N84" s="673">
        <f>'R-SG&amp;A'!F31</f>
        <v>545797.12099999993</v>
      </c>
      <c r="O84" s="673">
        <f>'R-SG&amp;A'!G31</f>
        <v>284644.701</v>
      </c>
      <c r="P84" s="1120">
        <f>'R-SG&amp;A'!H31</f>
        <v>303638.23449101381</v>
      </c>
      <c r="Q84" s="673">
        <f>'R-SG&amp;A'!I31</f>
        <v>588282.93549101381</v>
      </c>
      <c r="R84" s="673">
        <f>'R-SG&amp;A'!J31</f>
        <v>648065.32055791211</v>
      </c>
      <c r="S84" s="673">
        <f>'R-SG&amp;A'!K31</f>
        <v>699825.44211068831</v>
      </c>
      <c r="T84" s="673">
        <f>'R-SG&amp;A'!L31</f>
        <v>739620.43811773637</v>
      </c>
      <c r="U84" s="673">
        <f>'R-SG&amp;A'!M31</f>
        <v>781180.7636663185</v>
      </c>
      <c r="V84" s="673">
        <f>'R-SG&amp;A'!N31</f>
        <v>822343.30504078115</v>
      </c>
      <c r="BD84" s="635"/>
      <c r="BE84" s="691"/>
      <c r="BF84" s="691" t="s">
        <v>747</v>
      </c>
      <c r="BG84" s="691"/>
      <c r="BH84" s="691"/>
      <c r="BI84" s="691"/>
      <c r="BJ84" s="1092">
        <f>CAPEX!G49</f>
        <v>12496.2</v>
      </c>
      <c r="BK84" s="672">
        <f>CAPEX!H49</f>
        <v>27717.67296</v>
      </c>
      <c r="BL84" s="672">
        <f>CAPEX!I49</f>
        <v>30528.479231999998</v>
      </c>
      <c r="BM84" s="672">
        <f>CAPEX!J49</f>
        <v>32692.858619904</v>
      </c>
      <c r="BN84" s="672">
        <f>CAPEX!K49</f>
        <v>34606.523770011649</v>
      </c>
      <c r="BO84" s="672">
        <f>CAPEX!L49</f>
        <v>36455.120605682278</v>
      </c>
      <c r="BS84" s="704" t="s">
        <v>1175</v>
      </c>
      <c r="BT84" s="704"/>
      <c r="BU84" s="704"/>
      <c r="BV84" s="704"/>
      <c r="BW84" s="704"/>
      <c r="BX84" s="772">
        <f>AVERAGE(BW75:BX75/BX$68)</f>
        <v>4.7733964516929956E-3</v>
      </c>
      <c r="BY84" s="772">
        <f>AVERAGE(BX75:BY75/BY$68)</f>
        <v>7.0024151881999033E-3</v>
      </c>
      <c r="BZ84" s="772">
        <f>AVERAGE(BY75:BZ75/BZ$68)</f>
        <v>5.5273154119525689E-3</v>
      </c>
      <c r="CA84" s="772">
        <f>AVERAGE(BZ75:CA75/CA$68)</f>
        <v>1.0479714482758036E-2</v>
      </c>
      <c r="CB84" s="795"/>
      <c r="CE84" s="751"/>
    </row>
    <row r="85" spans="2:96" ht="12" customHeight="1">
      <c r="B85" s="676" t="s">
        <v>214</v>
      </c>
      <c r="L85" s="1090">
        <f t="shared" ref="L85:V85" si="62">L5</f>
        <v>1491976.22114</v>
      </c>
      <c r="M85" s="670">
        <f t="shared" si="62"/>
        <v>2663947.8663639999</v>
      </c>
      <c r="N85" s="670">
        <f t="shared" si="62"/>
        <v>3046678.6757970001</v>
      </c>
      <c r="O85" s="670">
        <f t="shared" si="62"/>
        <v>1606909.618359</v>
      </c>
      <c r="P85" s="1090">
        <f t="shared" si="62"/>
        <v>1826768.9985385463</v>
      </c>
      <c r="Q85" s="671">
        <f t="shared" si="62"/>
        <v>3433678.6168975462</v>
      </c>
      <c r="R85" s="671">
        <f t="shared" si="62"/>
        <v>3874341.5840919763</v>
      </c>
      <c r="S85" s="671">
        <f t="shared" si="62"/>
        <v>4226781.2635950102</v>
      </c>
      <c r="T85" s="671">
        <f t="shared" si="62"/>
        <v>4456133.2940086992</v>
      </c>
      <c r="U85" s="671">
        <f t="shared" si="62"/>
        <v>4697930.3388611386</v>
      </c>
      <c r="V85" s="671">
        <f t="shared" si="62"/>
        <v>4952847.6848899331</v>
      </c>
      <c r="BD85" s="635"/>
      <c r="BE85" s="753" t="s">
        <v>770</v>
      </c>
      <c r="BF85" s="753"/>
      <c r="BG85" s="753"/>
      <c r="BH85" s="753"/>
      <c r="BI85" s="753">
        <f>CAPEX!H410</f>
        <v>666.19668000000001</v>
      </c>
      <c r="BJ85" s="1108">
        <f>CAPEX!G53</f>
        <v>127.08</v>
      </c>
      <c r="BK85" s="786">
        <f>CAPEX!H53</f>
        <v>271.10399999999998</v>
      </c>
      <c r="BL85" s="786">
        <f>CAPEX!I53</f>
        <v>179.57928959999998</v>
      </c>
      <c r="BM85" s="786">
        <f>CAPEX!J53</f>
        <v>127.164584448</v>
      </c>
      <c r="BN85" s="786">
        <f>CAPEX!K53</f>
        <v>118.84108437504</v>
      </c>
      <c r="BO85" s="786">
        <f>CAPEX!L53</f>
        <v>97.734907790032906</v>
      </c>
      <c r="CB85" s="795"/>
      <c r="CE85" s="751"/>
    </row>
    <row r="86" spans="2:96" ht="12" customHeight="1" thickBot="1">
      <c r="B86" s="759" t="s">
        <v>1330</v>
      </c>
      <c r="C86" s="759"/>
      <c r="D86" s="759"/>
      <c r="E86" s="759"/>
      <c r="F86" s="759"/>
      <c r="G86" s="759"/>
      <c r="H86" s="759"/>
      <c r="I86" s="759"/>
      <c r="J86" s="759"/>
      <c r="K86" s="759"/>
      <c r="L86" s="1124">
        <f t="shared" ref="L86:V86" si="63">L11</f>
        <v>0.22120071581625558</v>
      </c>
      <c r="M86" s="674">
        <f t="shared" si="63"/>
        <v>0.17897960692855822</v>
      </c>
      <c r="N86" s="674">
        <f t="shared" si="63"/>
        <v>0.17914495720728454</v>
      </c>
      <c r="O86" s="674">
        <f t="shared" si="63"/>
        <v>0.17713796578720054</v>
      </c>
      <c r="P86" s="1124">
        <f t="shared" si="63"/>
        <v>0.16621599925000413</v>
      </c>
      <c r="Q86" s="674">
        <f t="shared" si="63"/>
        <v>0.17132731426756209</v>
      </c>
      <c r="R86" s="674">
        <f t="shared" si="63"/>
        <v>0.16727108503258065</v>
      </c>
      <c r="S86" s="674">
        <f t="shared" si="63"/>
        <v>0.1655693537156131</v>
      </c>
      <c r="T86" s="674">
        <f t="shared" si="63"/>
        <v>0.1659780777007189</v>
      </c>
      <c r="U86" s="674">
        <f t="shared" si="63"/>
        <v>0.16628189592434239</v>
      </c>
      <c r="V86" s="674">
        <f t="shared" si="63"/>
        <v>0.16603444268023276</v>
      </c>
      <c r="BD86" s="704"/>
      <c r="BE86" s="701" t="s">
        <v>755</v>
      </c>
      <c r="BF86" s="701"/>
      <c r="BG86" s="701"/>
      <c r="BH86" s="701"/>
      <c r="BI86" s="701">
        <f>CAPEX!H409</f>
        <v>6160.8624950000003</v>
      </c>
      <c r="BJ86" s="1095">
        <f>CAPEX!G54</f>
        <v>10166.4</v>
      </c>
      <c r="BK86" s="769">
        <f>CAPEX!H54</f>
        <v>21688.32</v>
      </c>
      <c r="BL86" s="769">
        <f>CAPEX!I54</f>
        <v>14366.343167999998</v>
      </c>
      <c r="BM86" s="769">
        <f>CAPEX!J54</f>
        <v>10173.166755839999</v>
      </c>
      <c r="BN86" s="769">
        <f>CAPEX!K54</f>
        <v>9507.2867500032007</v>
      </c>
      <c r="BO86" s="769">
        <f>CAPEX!L54</f>
        <v>7818.7926232026321</v>
      </c>
      <c r="CB86" s="795"/>
      <c r="CE86" s="751"/>
    </row>
    <row r="87" spans="2:96" ht="12" customHeight="1">
      <c r="BJ87" s="670"/>
      <c r="BK87" s="670"/>
      <c r="BL87" s="670"/>
      <c r="BM87" s="670"/>
      <c r="BN87" s="670"/>
      <c r="BO87" s="670"/>
      <c r="CE87" s="751"/>
    </row>
    <row r="88" spans="2:96" ht="12" customHeight="1" thickBot="1">
      <c r="L88" s="676">
        <f t="shared" ref="L88:V88" si="64">L58+L63+L68-L84</f>
        <v>0</v>
      </c>
      <c r="M88" s="676">
        <f t="shared" si="64"/>
        <v>0</v>
      </c>
      <c r="N88" s="676">
        <f t="shared" si="64"/>
        <v>0</v>
      </c>
      <c r="O88" s="676">
        <f t="shared" si="64"/>
        <v>0</v>
      </c>
      <c r="P88" s="676">
        <f t="shared" si="64"/>
        <v>0</v>
      </c>
      <c r="Q88" s="676">
        <f t="shared" si="64"/>
        <v>0</v>
      </c>
      <c r="R88" s="676">
        <f t="shared" si="64"/>
        <v>0</v>
      </c>
      <c r="S88" s="676">
        <f t="shared" si="64"/>
        <v>0</v>
      </c>
      <c r="T88" s="676">
        <f t="shared" si="64"/>
        <v>0</v>
      </c>
      <c r="U88" s="676">
        <f t="shared" si="64"/>
        <v>0</v>
      </c>
      <c r="V88" s="676">
        <f t="shared" si="64"/>
        <v>0</v>
      </c>
      <c r="BD88" s="686" t="s">
        <v>1251</v>
      </c>
      <c r="BE88" s="686"/>
      <c r="BF88" s="686"/>
      <c r="BG88" s="686"/>
      <c r="BH88" s="686"/>
      <c r="BI88" s="754" t="s">
        <v>1564</v>
      </c>
      <c r="BJ88" s="688"/>
      <c r="BK88" s="754" t="s">
        <v>1565</v>
      </c>
      <c r="BM88" s="684"/>
      <c r="BN88" s="670"/>
      <c r="BO88" s="670"/>
      <c r="BX88" s="670"/>
      <c r="BY88" s="670"/>
      <c r="BZ88" s="670"/>
      <c r="CA88" s="670"/>
      <c r="CB88" s="670"/>
    </row>
    <row r="89" spans="2:96" ht="12" customHeight="1" thickBot="1">
      <c r="C89" s="760">
        <f>'SG&amp;A'!C175</f>
        <v>1.7999999999999999E-2</v>
      </c>
      <c r="L89" s="676">
        <f>L84-L10</f>
        <v>0</v>
      </c>
      <c r="M89" s="676">
        <f t="shared" ref="M89:V89" si="65">M84-M10</f>
        <v>0</v>
      </c>
      <c r="N89" s="676">
        <f t="shared" si="65"/>
        <v>0</v>
      </c>
      <c r="O89" s="676">
        <f t="shared" si="65"/>
        <v>0</v>
      </c>
      <c r="P89" s="676">
        <f t="shared" si="65"/>
        <v>0</v>
      </c>
      <c r="Q89" s="676">
        <f t="shared" si="65"/>
        <v>0</v>
      </c>
      <c r="R89" s="676">
        <f t="shared" si="65"/>
        <v>0</v>
      </c>
      <c r="S89" s="676">
        <f t="shared" si="65"/>
        <v>0</v>
      </c>
      <c r="T89" s="676">
        <f t="shared" si="65"/>
        <v>0</v>
      </c>
      <c r="U89" s="676">
        <f t="shared" si="65"/>
        <v>0</v>
      </c>
      <c r="V89" s="676">
        <f t="shared" si="65"/>
        <v>0</v>
      </c>
      <c r="BD89" s="755" t="s">
        <v>1416</v>
      </c>
      <c r="BE89" s="755"/>
      <c r="BF89" s="755"/>
      <c r="BG89" s="755"/>
      <c r="BH89" s="755"/>
      <c r="BI89" s="670"/>
      <c r="BJ89" s="670"/>
      <c r="BK89" s="670">
        <v>1500</v>
      </c>
      <c r="BN89" s="670"/>
      <c r="BO89" s="670"/>
      <c r="BS89" s="686" t="s">
        <v>1486</v>
      </c>
      <c r="BT89" s="686"/>
      <c r="BU89" s="686"/>
      <c r="BV89" s="686"/>
      <c r="BW89" s="686"/>
      <c r="BX89" s="1148">
        <v>2008</v>
      </c>
      <c r="BY89" s="1148">
        <v>2009</v>
      </c>
      <c r="BZ89" s="1148">
        <v>2010</v>
      </c>
      <c r="CA89" s="1148" t="s">
        <v>2336</v>
      </c>
      <c r="CB89" s="688" t="s">
        <v>1568</v>
      </c>
      <c r="CM89" s="1274" t="s">
        <v>2186</v>
      </c>
      <c r="CN89" s="1148">
        <v>2008</v>
      </c>
      <c r="CO89" s="1148">
        <v>2009</v>
      </c>
      <c r="CP89" s="1148">
        <v>2010</v>
      </c>
      <c r="CQ89" s="1148" t="s">
        <v>2137</v>
      </c>
      <c r="CR89" s="1148" t="s">
        <v>2165</v>
      </c>
    </row>
    <row r="90" spans="2:96" ht="12" customHeight="1">
      <c r="C90" s="676" t="s">
        <v>1498</v>
      </c>
      <c r="L90" s="676">
        <f t="shared" ref="L90:V90" si="66">L85*$C$89</f>
        <v>26855.571980519999</v>
      </c>
      <c r="M90" s="676">
        <f t="shared" si="66"/>
        <v>47951.061594551997</v>
      </c>
      <c r="N90" s="676">
        <f t="shared" si="66"/>
        <v>54840.216164345999</v>
      </c>
      <c r="O90" s="676">
        <f t="shared" si="66"/>
        <v>28924.373130461998</v>
      </c>
      <c r="P90" s="676">
        <f t="shared" si="66"/>
        <v>32881.84197369383</v>
      </c>
      <c r="Q90" s="676">
        <f t="shared" si="66"/>
        <v>61806.215104155825</v>
      </c>
      <c r="R90" s="676">
        <f t="shared" si="66"/>
        <v>69738.148513655571</v>
      </c>
      <c r="S90" s="676">
        <f t="shared" si="66"/>
        <v>76082.062744710172</v>
      </c>
      <c r="T90" s="676">
        <f t="shared" si="66"/>
        <v>80210.39929215658</v>
      </c>
      <c r="U90" s="676">
        <f t="shared" si="66"/>
        <v>84562.746099500495</v>
      </c>
      <c r="V90" s="676">
        <f t="shared" si="66"/>
        <v>89151.258328018783</v>
      </c>
      <c r="BD90" s="755"/>
      <c r="BE90" s="733" t="s">
        <v>1420</v>
      </c>
      <c r="BF90" s="733"/>
      <c r="BG90" s="733"/>
      <c r="BH90" s="733"/>
      <c r="BI90" s="781">
        <f>CAPEX!D61</f>
        <v>5.154037195841539E-2</v>
      </c>
      <c r="BJ90" s="788"/>
      <c r="BK90" s="788">
        <f>$BK$89*BI90</f>
        <v>77.310557937623088</v>
      </c>
      <c r="BN90" s="670"/>
      <c r="BO90" s="670"/>
      <c r="BS90" s="676" t="s">
        <v>1404</v>
      </c>
      <c r="BX90" s="805">
        <f>NWC!D24</f>
        <v>30.497447572016533</v>
      </c>
      <c r="BY90" s="805">
        <f>NWC!E24</f>
        <v>29.919066946057416</v>
      </c>
      <c r="BZ90" s="805">
        <f>NWC!F24</f>
        <v>29.697916102831627</v>
      </c>
      <c r="CA90" s="805">
        <f>NWC!G24</f>
        <v>39.415414460156306</v>
      </c>
      <c r="CB90" s="800">
        <f>AVERAGE(BY90:CA90)</f>
        <v>33.010799169681782</v>
      </c>
      <c r="CM90" s="676" t="s">
        <v>1404</v>
      </c>
      <c r="CN90" s="805">
        <v>30.497447572016533</v>
      </c>
      <c r="CO90" s="805">
        <v>29.919066946057416</v>
      </c>
      <c r="CP90" s="805">
        <v>29.697916102831627</v>
      </c>
      <c r="CQ90" s="805">
        <v>39.415414460156306</v>
      </c>
      <c r="CR90" s="805">
        <v>33.010799169681782</v>
      </c>
    </row>
    <row r="91" spans="2:96" ht="12" customHeight="1">
      <c r="C91" s="676" t="s">
        <v>1499</v>
      </c>
      <c r="L91" s="676">
        <f>'R-SG&amp;A'!D11-L90</f>
        <v>31077.271683480001</v>
      </c>
      <c r="M91" s="676">
        <f>'R-SG&amp;A'!E11-M90</f>
        <v>23695.162405448005</v>
      </c>
      <c r="N91" s="676">
        <f>'R-SG&amp;A'!F11-N90</f>
        <v>29208.432835654006</v>
      </c>
      <c r="O91" s="676">
        <f>'R-SG&amp;A'!G11-O90</f>
        <v>13049.835869538005</v>
      </c>
      <c r="P91" s="676">
        <f>'R-SG&amp;A'!H11-P90</f>
        <v>13284.586457188001</v>
      </c>
      <c r="Q91" s="676">
        <f>'R-SG&amp;A'!I11-Q90</f>
        <v>26334.422326726009</v>
      </c>
      <c r="R91" s="676">
        <f>'R-SG&amp;A'!J11-R90</f>
        <v>26966.448462567423</v>
      </c>
      <c r="S91" s="676">
        <f>'R-SG&amp;A'!K11-S90</f>
        <v>27910.274158757282</v>
      </c>
      <c r="T91" s="676">
        <f>'R-SG&amp;A'!L11-T90</f>
        <v>28747.582383520014</v>
      </c>
      <c r="U91" s="676">
        <f>'R-SG&amp;A'!M11-U90</f>
        <v>29552.514690258555</v>
      </c>
      <c r="V91" s="676">
        <f>'R-SG&amp;A'!N11-V90</f>
        <v>30379.9851015858</v>
      </c>
      <c r="BD91" s="755"/>
      <c r="BE91" s="733" t="s">
        <v>1421</v>
      </c>
      <c r="BF91" s="733"/>
      <c r="BG91" s="733"/>
      <c r="BH91" s="733"/>
      <c r="BI91" s="781">
        <f>CAPEX!D62</f>
        <v>0.94720243022141104</v>
      </c>
      <c r="BJ91" s="788"/>
      <c r="BK91" s="788">
        <f>$BK$89*BI91</f>
        <v>1420.8036453321165</v>
      </c>
      <c r="BM91" s="670"/>
      <c r="BN91" s="670"/>
      <c r="BO91" s="670"/>
      <c r="BS91" s="676" t="s">
        <v>1405</v>
      </c>
      <c r="BX91" s="806">
        <f>NWC!D43</f>
        <v>3.3109610584015137</v>
      </c>
      <c r="BY91" s="806">
        <f>NWC!E43</f>
        <v>3.6593852100437405</v>
      </c>
      <c r="BZ91" s="806">
        <f>NWC!F43</f>
        <v>3.9032495884683702</v>
      </c>
      <c r="CA91" s="806">
        <f>NWC!G43</f>
        <v>3.8233078216147889</v>
      </c>
      <c r="CB91" s="807">
        <f>AVERAGE(BY91:CA91)</f>
        <v>3.7953142067089662</v>
      </c>
      <c r="CM91" s="676" t="s">
        <v>1405</v>
      </c>
      <c r="CN91" s="805">
        <v>3.3109610584015137</v>
      </c>
      <c r="CO91" s="805">
        <v>3.6593852100437405</v>
      </c>
      <c r="CP91" s="805">
        <v>3.9032495884683702</v>
      </c>
      <c r="CQ91" s="805">
        <v>3.8233078216147889</v>
      </c>
      <c r="CR91" s="805">
        <v>3.7953142067089662</v>
      </c>
    </row>
    <row r="92" spans="2:96" ht="12" customHeight="1">
      <c r="BD92" s="755"/>
      <c r="BE92" s="733" t="s">
        <v>1422</v>
      </c>
      <c r="BF92" s="733"/>
      <c r="BG92" s="733"/>
      <c r="BH92" s="733"/>
      <c r="BI92" s="781">
        <f>CAPEX!D63</f>
        <v>1.257197820173712E-3</v>
      </c>
      <c r="BJ92" s="788"/>
      <c r="BK92" s="788">
        <f>$BK$89*BI92</f>
        <v>1.885796730260568</v>
      </c>
      <c r="BM92" s="670"/>
      <c r="BN92" s="670"/>
      <c r="BO92" s="670"/>
      <c r="BS92" s="676" t="s">
        <v>1177</v>
      </c>
      <c r="BX92" s="805">
        <f>NWC!D26</f>
        <v>31.189569369552565</v>
      </c>
      <c r="BY92" s="805">
        <f>NWC!E26</f>
        <v>30.238694074741943</v>
      </c>
      <c r="BZ92" s="805">
        <f>NWC!F26</f>
        <v>23.023699573943226</v>
      </c>
      <c r="CA92" s="805">
        <f>NWC!G26</f>
        <v>19.031937348728974</v>
      </c>
      <c r="CB92" s="800">
        <f>AVERAGE(BY92:CA92)</f>
        <v>24.098110332471379</v>
      </c>
      <c r="CM92" s="676" t="s">
        <v>1177</v>
      </c>
      <c r="CN92" s="805">
        <v>31.189569369552565</v>
      </c>
      <c r="CO92" s="805">
        <v>30.238694074741943</v>
      </c>
      <c r="CP92" s="805">
        <v>23.023699573943226</v>
      </c>
      <c r="CQ92" s="805">
        <v>19.031937348728974</v>
      </c>
      <c r="CR92" s="805">
        <v>24.098110332471379</v>
      </c>
    </row>
    <row r="93" spans="2:96" ht="12" customHeight="1">
      <c r="BD93" s="756" t="s">
        <v>1417</v>
      </c>
      <c r="BE93" s="756"/>
      <c r="BF93" s="756"/>
      <c r="BG93" s="756"/>
      <c r="BH93" s="756"/>
      <c r="BI93" s="789"/>
      <c r="BJ93" s="789"/>
      <c r="BK93" s="789">
        <f>CAPEX!D67</f>
        <v>10</v>
      </c>
      <c r="BM93" s="670"/>
      <c r="BN93" s="670"/>
      <c r="BO93" s="670"/>
      <c r="BS93" s="676" t="s">
        <v>1176</v>
      </c>
      <c r="BX93" s="805">
        <f>NWC!D58</f>
        <v>34.974407650790624</v>
      </c>
      <c r="BY93" s="805">
        <f>NWC!E58</f>
        <v>42.397687574598031</v>
      </c>
      <c r="BZ93" s="805">
        <f>NWC!F58</f>
        <v>35.077774815466221</v>
      </c>
      <c r="CA93" s="805">
        <f>NWC!G58</f>
        <v>35.141895527772782</v>
      </c>
      <c r="CB93" s="800">
        <f>AVERAGE(BY93:CA93)</f>
        <v>37.539119305945682</v>
      </c>
      <c r="CM93" s="676" t="s">
        <v>1176</v>
      </c>
      <c r="CN93" s="805">
        <v>34.974407650790624</v>
      </c>
      <c r="CO93" s="805">
        <v>42.397687574598031</v>
      </c>
      <c r="CP93" s="805">
        <v>35.077774815466221</v>
      </c>
      <c r="CQ93" s="805">
        <v>35.141895527772782</v>
      </c>
      <c r="CR93" s="805">
        <v>37.539119305945682</v>
      </c>
    </row>
    <row r="94" spans="2:96" ht="12" customHeight="1" thickBot="1">
      <c r="BD94" s="755" t="s">
        <v>1418</v>
      </c>
      <c r="BE94" s="755"/>
      <c r="BF94" s="755"/>
      <c r="BG94" s="755"/>
      <c r="BH94" s="755"/>
      <c r="BI94" s="670"/>
      <c r="BJ94" s="670"/>
      <c r="BK94" s="670">
        <f>CAPEX!D68</f>
        <v>800</v>
      </c>
      <c r="BM94" s="670"/>
      <c r="BN94" s="670"/>
      <c r="BO94" s="670"/>
      <c r="BS94" s="704" t="s">
        <v>1175</v>
      </c>
      <c r="BT94" s="704"/>
      <c r="BU94" s="704"/>
      <c r="BV94" s="704"/>
      <c r="BW94" s="704"/>
      <c r="BX94" s="808">
        <f>NWC!D45</f>
        <v>1.1815428385419557</v>
      </c>
      <c r="BY94" s="808">
        <f>NWC!E45</f>
        <v>1.7658359823387155</v>
      </c>
      <c r="BZ94" s="808">
        <f>NWC!F45</f>
        <v>2.1261379642556064</v>
      </c>
      <c r="CA94" s="808">
        <f>NWC!G45</f>
        <v>1.9125478931033417</v>
      </c>
      <c r="CB94" s="808">
        <f>AVERAGE(BY94:CA94)</f>
        <v>1.9348406132325546</v>
      </c>
      <c r="CM94" s="704" t="s">
        <v>1175</v>
      </c>
      <c r="CN94" s="808">
        <v>1.1815428385419557</v>
      </c>
      <c r="CO94" s="808">
        <v>1.7658359823387155</v>
      </c>
      <c r="CP94" s="808">
        <v>2.1261379642556064</v>
      </c>
      <c r="CQ94" s="808">
        <v>1.9125478931033417</v>
      </c>
      <c r="CR94" s="808">
        <v>1.9348406132325546</v>
      </c>
    </row>
    <row r="95" spans="2:96" ht="12" customHeight="1" thickBot="1">
      <c r="BD95" s="712" t="s">
        <v>1419</v>
      </c>
      <c r="BE95" s="712"/>
      <c r="BF95" s="712"/>
      <c r="BG95" s="712"/>
      <c r="BH95" s="712"/>
      <c r="BI95" s="713"/>
      <c r="BJ95" s="713"/>
      <c r="BK95" s="713">
        <f>BK89+BK93+BK94</f>
        <v>2310</v>
      </c>
      <c r="BM95" s="670"/>
      <c r="BN95" s="670"/>
      <c r="BO95" s="670"/>
    </row>
    <row r="96" spans="2:96" ht="12" customHeight="1">
      <c r="BJ96" s="670"/>
      <c r="BK96" s="670"/>
      <c r="BL96" s="670"/>
      <c r="BM96" s="670"/>
      <c r="BN96" s="670"/>
      <c r="BO96" s="670"/>
    </row>
    <row r="97" spans="2:80" ht="14.15" customHeight="1">
      <c r="B97" s="683"/>
      <c r="C97" s="683"/>
      <c r="D97" s="683"/>
      <c r="E97" s="683"/>
      <c r="F97" s="683"/>
      <c r="G97" s="683"/>
      <c r="H97" s="683"/>
      <c r="I97" s="683"/>
      <c r="J97" s="683"/>
      <c r="K97" s="683"/>
      <c r="L97" s="1122" t="s">
        <v>2185</v>
      </c>
      <c r="M97" s="684"/>
      <c r="N97" s="684"/>
      <c r="O97" s="684"/>
      <c r="P97" s="1087" t="s">
        <v>2160</v>
      </c>
      <c r="Q97" s="684"/>
      <c r="R97" s="684"/>
      <c r="S97" s="684"/>
      <c r="T97" s="684"/>
      <c r="U97" s="684"/>
      <c r="BJ97" s="670"/>
      <c r="BK97" s="670"/>
      <c r="BL97" s="670"/>
      <c r="BM97" s="670"/>
      <c r="BN97" s="670"/>
      <c r="BO97" s="670"/>
    </row>
    <row r="98" spans="2:80" ht="14.15" customHeight="1" thickBot="1">
      <c r="B98" s="686" t="s">
        <v>1251</v>
      </c>
      <c r="C98" s="686"/>
      <c r="D98" s="686"/>
      <c r="E98" s="686"/>
      <c r="F98" s="686"/>
      <c r="G98" s="686"/>
      <c r="H98" s="686"/>
      <c r="I98" s="686"/>
      <c r="J98" s="686"/>
      <c r="K98" s="686"/>
      <c r="L98" s="1149">
        <v>2008</v>
      </c>
      <c r="M98" s="1148">
        <v>2009</v>
      </c>
      <c r="N98" s="1148">
        <v>2010</v>
      </c>
      <c r="O98" s="1148" t="s">
        <v>2161</v>
      </c>
      <c r="P98" s="1149" t="s">
        <v>2142</v>
      </c>
      <c r="Q98" s="1148">
        <v>2012</v>
      </c>
      <c r="R98" s="1148">
        <v>2013</v>
      </c>
      <c r="S98" s="1148">
        <v>2014</v>
      </c>
      <c r="T98" s="1148">
        <v>2015</v>
      </c>
      <c r="U98" s="1148">
        <v>2016</v>
      </c>
      <c r="BD98" s="686" t="s">
        <v>2192</v>
      </c>
      <c r="BE98" s="686"/>
      <c r="BF98" s="686"/>
      <c r="BG98" s="686"/>
      <c r="BH98" s="686"/>
      <c r="BI98" s="754"/>
      <c r="BJ98" s="1039" t="s">
        <v>2193</v>
      </c>
      <c r="BK98" s="1039" t="s">
        <v>2194</v>
      </c>
      <c r="BS98" s="110" t="s">
        <v>1491</v>
      </c>
      <c r="BT98" s="94"/>
      <c r="BU98" s="94"/>
      <c r="BV98" s="94"/>
      <c r="BW98" s="94"/>
      <c r="BX98" s="1148">
        <v>2008</v>
      </c>
      <c r="BY98" s="1148">
        <v>2009</v>
      </c>
      <c r="BZ98" s="1148">
        <v>2010</v>
      </c>
      <c r="CA98" s="1280"/>
      <c r="CB98" s="670"/>
    </row>
    <row r="99" spans="2:80" ht="14.15" customHeight="1">
      <c r="B99" s="676" t="s">
        <v>1404</v>
      </c>
      <c r="L99" s="1090">
        <f>NWC!D6</f>
        <v>158782.39270999999</v>
      </c>
      <c r="M99" s="670">
        <f>NWC!E6</f>
        <v>170078.86142500001</v>
      </c>
      <c r="N99" s="670">
        <f>NWC!F6</f>
        <v>202019.01291200001</v>
      </c>
      <c r="O99" s="670">
        <f>NWC!G6</f>
        <v>314577.716992</v>
      </c>
      <c r="P99" s="1090">
        <f>NWC!H6</f>
        <v>212613.84123919113</v>
      </c>
      <c r="Q99" s="671">
        <f>NWC!I6</f>
        <v>254805.12987152152</v>
      </c>
      <c r="R99" s="671">
        <f>NWC!J6</f>
        <v>276888.58983343001</v>
      </c>
      <c r="S99" s="671">
        <f>NWC!K6</f>
        <v>290758.00919305155</v>
      </c>
      <c r="T99" s="671">
        <f>NWC!L6</f>
        <v>305317.33330556151</v>
      </c>
      <c r="U99" s="671">
        <f>NWC!M6</f>
        <v>320600.5968130611</v>
      </c>
      <c r="BD99" s="1196" t="s">
        <v>2195</v>
      </c>
      <c r="BE99" s="1196"/>
      <c r="BF99" s="1196"/>
      <c r="BG99" s="1196"/>
      <c r="BH99" s="1196"/>
      <c r="BI99" s="1196"/>
      <c r="BJ99" s="1197">
        <f>AVERAGE(BJ100:BJ101)</f>
        <v>8208.7630000000008</v>
      </c>
      <c r="BK99" s="1197">
        <f>AVERAGE(BK100:BK101)</f>
        <v>10.750500000000002</v>
      </c>
      <c r="BS99" s="1281" t="s">
        <v>1415</v>
      </c>
      <c r="BT99" s="1281"/>
      <c r="BU99" s="1281"/>
      <c r="BV99" s="1281"/>
      <c r="BW99" s="1281"/>
      <c r="BX99" s="1136">
        <f>SUM(BX100:BX104)</f>
        <v>22414.496999999999</v>
      </c>
      <c r="BY99" s="1136">
        <f t="shared" ref="BY99:BZ99" si="67">SUM(BY100:BY104)</f>
        <v>30475.749000000003</v>
      </c>
      <c r="BZ99" s="1136">
        <f t="shared" si="67"/>
        <v>26509.004999999997</v>
      </c>
      <c r="CA99" s="720"/>
      <c r="CB99" s="670"/>
    </row>
    <row r="100" spans="2:80" ht="14.15" customHeight="1">
      <c r="B100" s="676" t="s">
        <v>1405</v>
      </c>
      <c r="L100" s="1090">
        <f>NWC!D7</f>
        <v>21743.804</v>
      </c>
      <c r="M100" s="670">
        <f>NWC!E7</f>
        <v>31672.149000000001</v>
      </c>
      <c r="N100" s="670">
        <f>NWC!F7</f>
        <v>33489.205999999998</v>
      </c>
      <c r="O100" s="670">
        <f>NWC!G7</f>
        <v>33839.124000000003</v>
      </c>
      <c r="P100" s="1090">
        <f>NWC!H7</f>
        <v>39070.330639848537</v>
      </c>
      <c r="Q100" s="671">
        <f>NWC!I7</f>
        <v>41431.567653953149</v>
      </c>
      <c r="R100" s="671">
        <f>NWC!J7</f>
        <v>45200.499253898743</v>
      </c>
      <c r="S100" s="671">
        <f>NWC!K7</f>
        <v>47653.151906848376</v>
      </c>
      <c r="T100" s="671">
        <f>NWC!L7</f>
        <v>50238.889484418658</v>
      </c>
      <c r="U100" s="671">
        <f>NWC!M7</f>
        <v>52964.933391214116</v>
      </c>
      <c r="BD100" s="1194"/>
      <c r="BE100" s="670" t="s">
        <v>2196</v>
      </c>
      <c r="BF100" s="670"/>
      <c r="BG100" s="670"/>
      <c r="BH100" s="670"/>
      <c r="BI100" s="670"/>
      <c r="BJ100" s="670">
        <f>CAPEX!F79</f>
        <v>10589.435000000001</v>
      </c>
      <c r="BK100" s="670">
        <f>CAPEX!F82</f>
        <v>21.501000000000005</v>
      </c>
      <c r="BS100" s="678"/>
      <c r="BT100" s="678" t="s">
        <v>743</v>
      </c>
      <c r="BU100" s="678"/>
      <c r="BV100" s="678"/>
      <c r="BW100" s="678"/>
      <c r="BX100" s="1137">
        <f>CAPEX!K373</f>
        <v>0</v>
      </c>
      <c r="BY100" s="1137">
        <f>CAPEX!L373</f>
        <v>4742.5550000000003</v>
      </c>
      <c r="BZ100" s="1137">
        <f>CAPEX!M373</f>
        <v>1065.902</v>
      </c>
      <c r="CA100" s="670"/>
      <c r="CB100" s="670"/>
    </row>
    <row r="101" spans="2:80" ht="14.15" customHeight="1" thickBot="1">
      <c r="B101" s="712" t="s">
        <v>1407</v>
      </c>
      <c r="C101" s="712"/>
      <c r="D101" s="712"/>
      <c r="E101" s="712"/>
      <c r="F101" s="712"/>
      <c r="G101" s="712"/>
      <c r="H101" s="712"/>
      <c r="I101" s="712"/>
      <c r="J101" s="712"/>
      <c r="K101" s="712"/>
      <c r="L101" s="1105">
        <f>NWC!D5</f>
        <v>180526.19670999999</v>
      </c>
      <c r="M101" s="713">
        <f>NWC!E5</f>
        <v>201751.01042500001</v>
      </c>
      <c r="N101" s="713">
        <f>NWC!F5</f>
        <v>235508.21891200001</v>
      </c>
      <c r="O101" s="713">
        <f>NWC!G5</f>
        <v>348416.84099200001</v>
      </c>
      <c r="P101" s="1105">
        <f>NWC!H5</f>
        <v>251684.17187903967</v>
      </c>
      <c r="Q101" s="713">
        <f>NWC!I5</f>
        <v>296236.69752547465</v>
      </c>
      <c r="R101" s="713">
        <f>NWC!J5</f>
        <v>322089.08908732876</v>
      </c>
      <c r="S101" s="713">
        <f>NWC!K5</f>
        <v>338411.16109989991</v>
      </c>
      <c r="T101" s="713">
        <f>NWC!L5</f>
        <v>355556.22278998018</v>
      </c>
      <c r="U101" s="713">
        <f>NWC!M5</f>
        <v>373565.53020427522</v>
      </c>
      <c r="BD101" s="1195"/>
      <c r="BE101" s="672" t="s">
        <v>2197</v>
      </c>
      <c r="BF101" s="672"/>
      <c r="BG101" s="672"/>
      <c r="BH101" s="672"/>
      <c r="BI101" s="672"/>
      <c r="BJ101" s="672">
        <f>CAPEX!F80</f>
        <v>5828.0910000000003</v>
      </c>
      <c r="BK101" s="672">
        <f>CAPEX!F83</f>
        <v>0</v>
      </c>
      <c r="BS101" s="678"/>
      <c r="BT101" s="678" t="s">
        <v>744</v>
      </c>
      <c r="BU101" s="678"/>
      <c r="BV101" s="678"/>
      <c r="BW101" s="678"/>
      <c r="BX101" s="1137">
        <f>CAPEX!K374</f>
        <v>12222.786999999998</v>
      </c>
      <c r="BY101" s="1137">
        <f>CAPEX!L374</f>
        <v>15122.258000000002</v>
      </c>
      <c r="BZ101" s="1137">
        <f>CAPEX!M374</f>
        <v>19589.011999999999</v>
      </c>
      <c r="CA101" s="670"/>
      <c r="CB101" s="670"/>
    </row>
    <row r="102" spans="2:80" ht="14.15" customHeight="1">
      <c r="B102" s="676" t="s">
        <v>1177</v>
      </c>
      <c r="L102" s="1090">
        <f>NWC!D9</f>
        <v>163636.701</v>
      </c>
      <c r="M102" s="670">
        <f>NWC!E9</f>
        <v>168737.79699999999</v>
      </c>
      <c r="N102" s="670">
        <f>NWC!F9</f>
        <v>119735.96799999999</v>
      </c>
      <c r="O102" s="670">
        <f>NWC!G9</f>
        <v>129705.443</v>
      </c>
      <c r="P102" s="1090">
        <f>NWC!H9</f>
        <v>150879.65042476458</v>
      </c>
      <c r="Q102" s="671">
        <f>NWC!I9</f>
        <v>180820.34874766823</v>
      </c>
      <c r="R102" s="671">
        <f>NWC!J9</f>
        <v>196491.69309572311</v>
      </c>
      <c r="S102" s="671">
        <f>NWC!K9</f>
        <v>206334.01160319961</v>
      </c>
      <c r="T102" s="671">
        <f>NWC!L9</f>
        <v>216665.91530106397</v>
      </c>
      <c r="U102" s="671">
        <f>NWC!M9</f>
        <v>227511.55659102552</v>
      </c>
      <c r="BD102" s="1195" t="s">
        <v>2340</v>
      </c>
      <c r="BE102" s="1195"/>
      <c r="BF102" s="1195"/>
      <c r="BG102" s="1195"/>
      <c r="BH102" s="1195"/>
      <c r="BI102" s="1195"/>
      <c r="BJ102" s="672">
        <f>AVERAGE(CAPEX!G79:G80)</f>
        <v>278.5</v>
      </c>
      <c r="BK102" s="672">
        <f>BJ102</f>
        <v>278.5</v>
      </c>
      <c r="BS102" s="678"/>
      <c r="BT102" s="678" t="s">
        <v>745</v>
      </c>
      <c r="BU102" s="678"/>
      <c r="BV102" s="678"/>
      <c r="BW102" s="678"/>
      <c r="BX102" s="1137">
        <f>CAPEX!K375</f>
        <v>0</v>
      </c>
      <c r="BY102" s="1137">
        <f>CAPEX!L375</f>
        <v>0</v>
      </c>
      <c r="BZ102" s="1137">
        <f>CAPEX!M375</f>
        <v>26</v>
      </c>
      <c r="CA102" s="670"/>
      <c r="CB102" s="670"/>
    </row>
    <row r="103" spans="2:80" ht="14.15" customHeight="1" thickBot="1">
      <c r="B103" s="676" t="s">
        <v>1176</v>
      </c>
      <c r="L103" s="1090">
        <f>NWC!D10</f>
        <v>53803.455999999998</v>
      </c>
      <c r="M103" s="670">
        <f>NWC!E10</f>
        <v>56522.368999999999</v>
      </c>
      <c r="N103" s="670">
        <f>NWC!F10</f>
        <v>48268.192000000003</v>
      </c>
      <c r="O103" s="670">
        <f>NWC!G10</f>
        <v>60615.527000000002</v>
      </c>
      <c r="P103" s="1090">
        <f>NWC!H10</f>
        <v>58361.389670364442</v>
      </c>
      <c r="Q103" s="671">
        <f>NWC!I10</f>
        <v>56536.04476420609</v>
      </c>
      <c r="R103" s="671">
        <f>NWC!J10</f>
        <v>62281.340767790061</v>
      </c>
      <c r="S103" s="671">
        <f>NWC!K10</f>
        <v>67255.669228747443</v>
      </c>
      <c r="T103" s="671">
        <f>NWC!L10</f>
        <v>71080.107334823086</v>
      </c>
      <c r="U103" s="671">
        <f>NWC!M10</f>
        <v>75074.19977550974</v>
      </c>
      <c r="BD103" s="1193" t="s">
        <v>2191</v>
      </c>
      <c r="BE103" s="1193"/>
      <c r="BF103" s="1193"/>
      <c r="BG103" s="1193"/>
      <c r="BH103" s="1193"/>
      <c r="BI103" s="1193"/>
      <c r="BJ103" s="1247">
        <f>BJ99/BJ102+0.1</f>
        <v>29.574912028725318</v>
      </c>
      <c r="BK103" s="1198">
        <f>BK99/BK102</f>
        <v>3.8601436265709166E-2</v>
      </c>
      <c r="BS103" s="678"/>
      <c r="BT103" s="678" t="s">
        <v>747</v>
      </c>
      <c r="BU103" s="678"/>
      <c r="BV103" s="678"/>
      <c r="BW103" s="678"/>
      <c r="BX103" s="1137">
        <f>CAPEX!K376</f>
        <v>10191.710000000001</v>
      </c>
      <c r="BY103" s="1137">
        <f>CAPEX!L376</f>
        <v>10589.435000000001</v>
      </c>
      <c r="BZ103" s="1137">
        <f>CAPEX!M376</f>
        <v>5828.0910000000003</v>
      </c>
      <c r="CA103" s="670"/>
      <c r="CB103" s="670"/>
    </row>
    <row r="104" spans="2:80" ht="14.15" customHeight="1">
      <c r="B104" s="676" t="s">
        <v>1175</v>
      </c>
      <c r="L104" s="1090">
        <f>NWC!D11</f>
        <v>7121.7939999999999</v>
      </c>
      <c r="M104" s="670">
        <f>NWC!E11</f>
        <v>18654.069</v>
      </c>
      <c r="N104" s="670">
        <f>NWC!F11</f>
        <v>16839.954000000002</v>
      </c>
      <c r="O104" s="670">
        <f>NWC!G11</f>
        <v>16839.954000000002</v>
      </c>
      <c r="P104" s="1090">
        <f>NWC!H11</f>
        <v>21281.988601194505</v>
      </c>
      <c r="Q104" s="671">
        <f>NWC!I11</f>
        <v>22568.177338170288</v>
      </c>
      <c r="R104" s="671">
        <f>NWC!J11</f>
        <v>24621.150989407219</v>
      </c>
      <c r="S104" s="671">
        <f>NWC!K11</f>
        <v>25957.134712809002</v>
      </c>
      <c r="T104" s="671">
        <f>NWC!L11</f>
        <v>27365.611087344856</v>
      </c>
      <c r="U104" s="671">
        <f>NWC!M11</f>
        <v>28850.513682246507</v>
      </c>
      <c r="BS104" s="1282"/>
      <c r="BT104" s="1282" t="s">
        <v>746</v>
      </c>
      <c r="BU104" s="1282"/>
      <c r="BV104" s="1282"/>
      <c r="BW104" s="1282"/>
      <c r="BX104" s="1283">
        <f>CAPEX!K377</f>
        <v>0</v>
      </c>
      <c r="BY104" s="1283">
        <f>CAPEX!L377</f>
        <v>21.501000000000005</v>
      </c>
      <c r="BZ104" s="1283">
        <f>CAPEX!M377</f>
        <v>0</v>
      </c>
      <c r="CA104" s="670"/>
      <c r="CB104" s="670"/>
    </row>
    <row r="105" spans="2:80" ht="14.15" customHeight="1" thickBot="1">
      <c r="B105" s="712" t="s">
        <v>1408</v>
      </c>
      <c r="C105" s="712"/>
      <c r="D105" s="712"/>
      <c r="E105" s="712"/>
      <c r="F105" s="712"/>
      <c r="G105" s="712"/>
      <c r="H105" s="712"/>
      <c r="I105" s="712"/>
      <c r="J105" s="712"/>
      <c r="K105" s="712"/>
      <c r="L105" s="1105">
        <f>NWC!D8</f>
        <v>224561.951</v>
      </c>
      <c r="M105" s="713">
        <f>NWC!E8</f>
        <v>243914.23499999999</v>
      </c>
      <c r="N105" s="713">
        <f>NWC!F8</f>
        <v>184844.114</v>
      </c>
      <c r="O105" s="713">
        <f>NWC!G8</f>
        <v>207160.924</v>
      </c>
      <c r="P105" s="1105">
        <f>NWC!H8</f>
        <v>230523.02869632351</v>
      </c>
      <c r="Q105" s="713">
        <f>NWC!I8</f>
        <v>259924.57085004461</v>
      </c>
      <c r="R105" s="713">
        <f>NWC!J8</f>
        <v>283394.18485292041</v>
      </c>
      <c r="S105" s="713">
        <f>NWC!K8</f>
        <v>299546.81554475607</v>
      </c>
      <c r="T105" s="713">
        <f>NWC!L8</f>
        <v>315111.63372323191</v>
      </c>
      <c r="U105" s="713">
        <f>NWC!M8</f>
        <v>331436.27004878176</v>
      </c>
      <c r="BS105" s="1284" t="s">
        <v>2953</v>
      </c>
      <c r="BT105" s="1284"/>
      <c r="BU105" s="1284"/>
      <c r="BV105" s="1284"/>
      <c r="BW105" s="1284"/>
      <c r="BX105" s="1285">
        <f>CAPEX!K379</f>
        <v>226.23500000000001</v>
      </c>
      <c r="BY105" s="1285">
        <f>CAPEX!L379</f>
        <v>265.63112000000001</v>
      </c>
      <c r="BZ105" s="1285">
        <f>CAPEX!M379</f>
        <v>925.31628000000001</v>
      </c>
      <c r="CA105" s="670"/>
      <c r="CB105" s="670"/>
    </row>
    <row r="106" spans="2:80" ht="14.15" customHeight="1" thickBot="1">
      <c r="B106" s="712" t="s">
        <v>1409</v>
      </c>
      <c r="C106" s="712"/>
      <c r="D106" s="712"/>
      <c r="E106" s="712"/>
      <c r="F106" s="712"/>
      <c r="G106" s="712"/>
      <c r="H106" s="712"/>
      <c r="I106" s="712"/>
      <c r="J106" s="712"/>
      <c r="K106" s="712"/>
      <c r="L106" s="1105">
        <f>NWC!D12</f>
        <v>-44035.754290000012</v>
      </c>
      <c r="M106" s="713">
        <f>NWC!E12</f>
        <v>-42163.224574999971</v>
      </c>
      <c r="N106" s="713">
        <f>NWC!F12</f>
        <v>50664.10491200001</v>
      </c>
      <c r="O106" s="713">
        <f>NWC!G12</f>
        <v>141255.91699200001</v>
      </c>
      <c r="P106" s="1105">
        <f>NWC!H12</f>
        <v>21161.143182716158</v>
      </c>
      <c r="Q106" s="713">
        <f>NWC!I12</f>
        <v>36312.126675430045</v>
      </c>
      <c r="R106" s="713">
        <f>NWC!J12</f>
        <v>38694.904234408343</v>
      </c>
      <c r="S106" s="713">
        <f>NWC!K12</f>
        <v>38864.345555143838</v>
      </c>
      <c r="T106" s="713">
        <f>NWC!L12</f>
        <v>40444.589066748274</v>
      </c>
      <c r="U106" s="713">
        <f>NWC!M12</f>
        <v>42129.260155493452</v>
      </c>
      <c r="BS106" s="1281" t="s">
        <v>755</v>
      </c>
      <c r="BT106" s="1281"/>
      <c r="BU106" s="1281"/>
      <c r="BV106" s="1281"/>
      <c r="BW106" s="1281"/>
      <c r="BX106" s="1136">
        <f>CAPEX!K381</f>
        <v>3432.579956</v>
      </c>
      <c r="BY106" s="1136">
        <f>CAPEX!L381</f>
        <v>10038.551619000002</v>
      </c>
      <c r="BZ106" s="1136">
        <f>CAPEX!M381</f>
        <v>8657.6025850000005</v>
      </c>
      <c r="CA106" s="728"/>
      <c r="CB106" s="670"/>
    </row>
    <row r="107" spans="2:80" ht="14.15" customHeight="1" thickBot="1">
      <c r="B107" s="712" t="s">
        <v>1410</v>
      </c>
      <c r="C107" s="712"/>
      <c r="D107" s="712"/>
      <c r="E107" s="712"/>
      <c r="F107" s="712"/>
      <c r="G107" s="712"/>
      <c r="H107" s="712"/>
      <c r="I107" s="712"/>
      <c r="J107" s="712"/>
      <c r="K107" s="712"/>
      <c r="L107" s="1105">
        <f>NWC!D13</f>
        <v>-5339.888426999998</v>
      </c>
      <c r="M107" s="713">
        <f>NWC!E13</f>
        <v>1872.5297150000406</v>
      </c>
      <c r="N107" s="713">
        <f>NWC!F13</f>
        <v>92827.329486999981</v>
      </c>
      <c r="O107" s="713">
        <f>NWC!G13</f>
        <v>90591.812080000003</v>
      </c>
      <c r="P107" s="1105">
        <f>NWC!H13</f>
        <v>-120094.77380928386</v>
      </c>
      <c r="Q107" s="713">
        <f>NWC!I13</f>
        <v>15150.983492713887</v>
      </c>
      <c r="R107" s="713">
        <f>NWC!J13</f>
        <v>2382.7775589782977</v>
      </c>
      <c r="S107" s="713">
        <f>NWC!K13</f>
        <v>169.44132073549554</v>
      </c>
      <c r="T107" s="713">
        <f>NWC!L13</f>
        <v>1580.2435116044362</v>
      </c>
      <c r="U107" s="713">
        <f>NWC!M13</f>
        <v>1684.6710887451773</v>
      </c>
      <c r="BD107" s="686" t="s">
        <v>1251</v>
      </c>
      <c r="BE107" s="686"/>
      <c r="BF107" s="686"/>
      <c r="BG107" s="686"/>
      <c r="BH107" s="686"/>
      <c r="BI107" s="686"/>
      <c r="BJ107" s="1039" t="s">
        <v>1566</v>
      </c>
      <c r="BK107" s="1039"/>
      <c r="BL107" s="1039" t="s">
        <v>1567</v>
      </c>
      <c r="BM107" s="670"/>
      <c r="BN107" s="670"/>
      <c r="BS107" s="1142" t="s">
        <v>2954</v>
      </c>
      <c r="BT107" s="1142"/>
      <c r="BU107" s="1142"/>
      <c r="BV107" s="1142"/>
      <c r="BW107" s="1142"/>
      <c r="BX107" s="713">
        <f>BX99+BX105+BX106</f>
        <v>26073.311956000001</v>
      </c>
      <c r="BY107" s="713">
        <f t="shared" ref="BY107:BZ107" si="68">BY99+BY105+BY106</f>
        <v>40779.931739000007</v>
      </c>
      <c r="BZ107" s="713">
        <f t="shared" si="68"/>
        <v>36091.923864999997</v>
      </c>
      <c r="CA107" s="670"/>
      <c r="CB107" s="670"/>
    </row>
    <row r="108" spans="2:80" ht="14.15" customHeight="1">
      <c r="L108" s="1090"/>
      <c r="M108" s="670"/>
      <c r="N108" s="670"/>
      <c r="O108" s="670"/>
      <c r="P108" s="1090"/>
      <c r="Q108" s="671"/>
      <c r="R108" s="671"/>
      <c r="S108" s="671"/>
      <c r="T108" s="671"/>
      <c r="U108" s="671"/>
      <c r="BD108" s="676" t="s">
        <v>1209</v>
      </c>
      <c r="BJ108" s="670">
        <f>DCF!D56</f>
        <v>41959.143470000003</v>
      </c>
      <c r="BK108" s="670"/>
      <c r="BL108" s="670">
        <f>BJ108</f>
        <v>41959.143470000003</v>
      </c>
      <c r="BM108" s="670"/>
      <c r="BN108" s="670"/>
      <c r="BT108" s="635"/>
      <c r="BU108" s="635"/>
      <c r="BV108" s="635"/>
      <c r="BW108" s="635"/>
      <c r="BX108" s="671"/>
      <c r="BY108" s="671"/>
      <c r="BZ108" s="671"/>
      <c r="CA108" s="728"/>
      <c r="CB108" s="670"/>
    </row>
    <row r="109" spans="2:80" ht="14.15" customHeight="1" thickBot="1">
      <c r="B109" s="702" t="s">
        <v>1340</v>
      </c>
      <c r="C109" s="702"/>
      <c r="D109" s="702"/>
      <c r="E109" s="702"/>
      <c r="F109" s="702"/>
      <c r="G109" s="702"/>
      <c r="H109" s="702"/>
      <c r="I109" s="702"/>
      <c r="J109" s="702"/>
      <c r="K109" s="702"/>
      <c r="L109" s="1125">
        <f>L5</f>
        <v>1491976.22114</v>
      </c>
      <c r="M109" s="767">
        <f>M5</f>
        <v>2663947.8663639999</v>
      </c>
      <c r="N109" s="767">
        <f>N5</f>
        <v>3046678.6757970001</v>
      </c>
      <c r="O109" s="767">
        <f>O5</f>
        <v>1606909.618359</v>
      </c>
      <c r="P109" s="1125">
        <f>P5</f>
        <v>1826768.9985385463</v>
      </c>
      <c r="Q109" s="767">
        <f>R5</f>
        <v>3874341.5840919763</v>
      </c>
      <c r="R109" s="767">
        <f>S5</f>
        <v>4226781.2635950102</v>
      </c>
      <c r="S109" s="767">
        <f>T5</f>
        <v>4456133.2940086992</v>
      </c>
      <c r="T109" s="767">
        <f>U5</f>
        <v>4697930.3388611386</v>
      </c>
      <c r="U109" s="767">
        <f>V5</f>
        <v>4952847.6848899331</v>
      </c>
      <c r="BD109" s="676" t="s">
        <v>1426</v>
      </c>
      <c r="BJ109" s="670">
        <f>DCF!D60</f>
        <v>5641.6448209999999</v>
      </c>
      <c r="BK109" s="670"/>
      <c r="BL109" s="670">
        <f t="shared" ref="BL109" si="69">BJ109</f>
        <v>5641.6448209999999</v>
      </c>
      <c r="BM109" s="670"/>
      <c r="BN109" s="670"/>
      <c r="BS109" s="758" t="s">
        <v>2958</v>
      </c>
      <c r="BT109" s="758"/>
      <c r="BU109" s="758"/>
      <c r="BV109" s="758"/>
      <c r="BW109" s="758"/>
      <c r="BX109" s="791">
        <v>3</v>
      </c>
      <c r="BY109" s="791">
        <v>16</v>
      </c>
      <c r="BZ109" s="791">
        <v>9</v>
      </c>
      <c r="CA109" s="671"/>
      <c r="CB109" s="671"/>
    </row>
    <row r="110" spans="2:80" ht="14.15" customHeight="1" thickBot="1">
      <c r="B110" s="690" t="s">
        <v>1344</v>
      </c>
      <c r="C110" s="690"/>
      <c r="D110" s="690"/>
      <c r="E110" s="690"/>
      <c r="F110" s="690"/>
      <c r="G110" s="690"/>
      <c r="H110" s="690"/>
      <c r="I110" s="690"/>
      <c r="J110" s="690"/>
      <c r="K110" s="690"/>
      <c r="L110" s="1089">
        <f>L7</f>
        <v>1113092.579931</v>
      </c>
      <c r="M110" s="669">
        <f>M7</f>
        <v>2005984.3105349999</v>
      </c>
      <c r="N110" s="669">
        <f>N7</f>
        <v>2286620.4427060001</v>
      </c>
      <c r="O110" s="669">
        <f>O7</f>
        <v>1195964.884535</v>
      </c>
      <c r="P110" s="1089">
        <f>P7</f>
        <v>1356934.8915909547</v>
      </c>
      <c r="Q110" s="669">
        <f>R7</f>
        <v>2866586.5397059345</v>
      </c>
      <c r="R110" s="669">
        <f>S7</f>
        <v>3115027.9627999715</v>
      </c>
      <c r="S110" s="669">
        <f>T7</f>
        <v>3271060.4997817618</v>
      </c>
      <c r="T110" s="669">
        <f>U7</f>
        <v>3434854.5432893671</v>
      </c>
      <c r="U110" s="669">
        <f>V7</f>
        <v>3606792.9868971063</v>
      </c>
      <c r="BD110" s="758" t="s">
        <v>1427</v>
      </c>
      <c r="BE110" s="758"/>
      <c r="BF110" s="758"/>
      <c r="BG110" s="758"/>
      <c r="BH110" s="758"/>
      <c r="BI110" s="758"/>
      <c r="BJ110" s="791">
        <f>SUM(BJ108:BJ109)</f>
        <v>47600.788291000004</v>
      </c>
      <c r="BK110" s="791"/>
      <c r="BL110" s="791">
        <f>SUM(BL108:BL109)</f>
        <v>47600.788291000004</v>
      </c>
      <c r="BM110" s="670"/>
      <c r="BN110" s="670"/>
      <c r="CA110" s="671"/>
      <c r="CB110" s="671"/>
    </row>
    <row r="111" spans="2:80" ht="14.15" customHeight="1" thickBot="1">
      <c r="B111" s="762" t="s">
        <v>1411</v>
      </c>
      <c r="C111" s="762"/>
      <c r="D111" s="762"/>
      <c r="E111" s="762"/>
      <c r="F111" s="762"/>
      <c r="G111" s="762"/>
      <c r="H111" s="762"/>
      <c r="I111" s="762"/>
      <c r="J111" s="762"/>
      <c r="K111" s="762"/>
      <c r="L111" s="1126">
        <f>L10</f>
        <v>330026.20809700002</v>
      </c>
      <c r="M111" s="768">
        <f>M10</f>
        <v>476792.342</v>
      </c>
      <c r="N111" s="768">
        <f>N10</f>
        <v>545797.12099999993</v>
      </c>
      <c r="O111" s="768">
        <f>O10</f>
        <v>284644.701</v>
      </c>
      <c r="P111" s="1126">
        <f>P10</f>
        <v>303638.23449101381</v>
      </c>
      <c r="Q111" s="768">
        <f>R10</f>
        <v>648065.32055791211</v>
      </c>
      <c r="R111" s="768">
        <f>S10</f>
        <v>699825.44211068831</v>
      </c>
      <c r="S111" s="768">
        <f>T10</f>
        <v>739620.43811773637</v>
      </c>
      <c r="T111" s="768">
        <f>U10</f>
        <v>781180.7636663185</v>
      </c>
      <c r="U111" s="768">
        <f>V10</f>
        <v>822343.30504078115</v>
      </c>
      <c r="BD111" s="757"/>
      <c r="BE111" s="757"/>
      <c r="BF111" s="757"/>
      <c r="BG111" s="757"/>
      <c r="BH111" s="757"/>
      <c r="BI111" s="757"/>
      <c r="BJ111" s="790"/>
      <c r="BK111" s="790"/>
      <c r="BL111" s="790"/>
      <c r="BM111" s="670"/>
      <c r="BN111" s="670"/>
      <c r="CA111" s="671"/>
      <c r="CB111" s="671"/>
    </row>
    <row r="112" spans="2:80" ht="12" customHeight="1">
      <c r="BM112" s="670"/>
      <c r="BN112" s="670"/>
      <c r="CB112" s="671"/>
    </row>
    <row r="113" spans="2:80" ht="12" customHeight="1" thickBot="1">
      <c r="BD113" s="686" t="s">
        <v>1460</v>
      </c>
      <c r="BE113" s="686"/>
      <c r="BF113" s="686"/>
      <c r="BG113" s="686"/>
      <c r="BH113" s="686"/>
      <c r="BI113" s="686"/>
      <c r="BJ113" s="686" t="s">
        <v>1459</v>
      </c>
      <c r="BK113" s="686" t="s">
        <v>1501</v>
      </c>
      <c r="BL113" s="1039" t="s">
        <v>1458</v>
      </c>
      <c r="BM113" s="1039"/>
      <c r="BN113" s="1039"/>
      <c r="CB113" s="671"/>
    </row>
    <row r="114" spans="2:80" ht="12" customHeight="1">
      <c r="BD114" s="727" t="s">
        <v>1437</v>
      </c>
      <c r="BE114" s="727"/>
      <c r="BF114" s="727"/>
      <c r="BG114" s="727"/>
      <c r="BH114" s="727"/>
      <c r="BI114" s="727"/>
      <c r="BJ114" s="728">
        <f>SUM(BJ115:BJ116)</f>
        <v>900000</v>
      </c>
      <c r="BK114" s="670"/>
      <c r="CB114" s="671"/>
    </row>
    <row r="115" spans="2:80" ht="12" customHeight="1">
      <c r="B115" s="676" t="s">
        <v>1404</v>
      </c>
      <c r="L115" s="676">
        <f>U99-O99</f>
        <v>6022.8798210610985</v>
      </c>
      <c r="M115" s="693">
        <f>L115/$L$121</f>
        <v>6.0759436596301918E-2</v>
      </c>
      <c r="BE115" s="676" t="s">
        <v>1455</v>
      </c>
      <c r="BJ115" s="670">
        <v>850000</v>
      </c>
      <c r="BK115" s="792">
        <v>6.36</v>
      </c>
      <c r="BL115" s="1109" t="s">
        <v>1462</v>
      </c>
      <c r="BM115" s="1040"/>
      <c r="BN115" s="1040"/>
      <c r="CB115" s="671"/>
    </row>
    <row r="116" spans="2:80" ht="12" customHeight="1">
      <c r="B116" s="676" t="s">
        <v>1405</v>
      </c>
      <c r="L116" s="676">
        <f t="shared" ref="L116" si="70">U100-O100</f>
        <v>19125.809391214112</v>
      </c>
      <c r="M116" s="693">
        <f>L116/$L$121</f>
        <v>0.19294314971964657</v>
      </c>
      <c r="BE116" s="676" t="s">
        <v>1438</v>
      </c>
      <c r="BJ116" s="670">
        <v>50000</v>
      </c>
      <c r="BK116" s="792">
        <v>6.36</v>
      </c>
      <c r="BL116" s="1040"/>
      <c r="BM116" s="1040"/>
      <c r="BN116" s="1040"/>
      <c r="CB116" s="671"/>
    </row>
    <row r="117" spans="2:80" ht="12" customHeight="1">
      <c r="B117" s="676" t="s">
        <v>1177</v>
      </c>
      <c r="L117" s="676">
        <f>-(U102-O102)</f>
        <v>-97806.113591025525</v>
      </c>
      <c r="M117" s="693">
        <f>L117/$L$121</f>
        <v>-0.98667822271400663</v>
      </c>
      <c r="BJ117" s="670"/>
      <c r="BK117" s="670"/>
      <c r="BL117" s="1040"/>
      <c r="BM117" s="1040"/>
      <c r="BN117" s="1040"/>
      <c r="CA117" s="671"/>
      <c r="CB117" s="671"/>
    </row>
    <row r="118" spans="2:80" ht="12" customHeight="1">
      <c r="B118" s="676" t="s">
        <v>1176</v>
      </c>
      <c r="L118" s="676">
        <f>-(U103-O103)</f>
        <v>-14458.672775509738</v>
      </c>
      <c r="M118" s="693">
        <f>L118/$L$121</f>
        <v>-0.14586059125707213</v>
      </c>
      <c r="BD118" s="727" t="s">
        <v>1452</v>
      </c>
      <c r="BE118" s="727"/>
      <c r="BF118" s="727"/>
      <c r="BG118" s="727"/>
      <c r="BH118" s="727"/>
      <c r="BI118" s="727"/>
      <c r="BJ118" s="728">
        <f>BJ119</f>
        <v>130000</v>
      </c>
      <c r="BK118" s="670"/>
      <c r="BS118" s="635"/>
      <c r="BT118" s="635"/>
      <c r="BU118" s="635"/>
      <c r="BV118" s="635"/>
      <c r="BW118" s="635"/>
      <c r="BX118" s="635"/>
      <c r="BY118" s="635"/>
      <c r="BZ118" s="635"/>
      <c r="CA118" s="635"/>
      <c r="CB118" s="671"/>
    </row>
    <row r="119" spans="2:80" ht="12" customHeight="1">
      <c r="M119" s="693"/>
      <c r="BE119" s="676" t="s">
        <v>1453</v>
      </c>
      <c r="BJ119" s="670">
        <v>130000</v>
      </c>
      <c r="BK119" s="792">
        <v>4.78</v>
      </c>
      <c r="BL119" s="676" t="s">
        <v>1502</v>
      </c>
      <c r="BP119" s="683"/>
      <c r="CB119" s="800"/>
    </row>
    <row r="120" spans="2:80" ht="12" customHeight="1" thickBot="1">
      <c r="B120" s="676" t="s">
        <v>1175</v>
      </c>
      <c r="L120" s="676">
        <f>-(U104-O104)</f>
        <v>-12010.559682246505</v>
      </c>
      <c r="M120" s="693">
        <f>L120/$L$121</f>
        <v>-0.12116377234486972</v>
      </c>
      <c r="BD120" s="691"/>
      <c r="BE120" s="691"/>
      <c r="BF120" s="691"/>
      <c r="BG120" s="691"/>
      <c r="BH120" s="691"/>
      <c r="BI120" s="691"/>
      <c r="BJ120" s="672"/>
      <c r="BK120" s="672"/>
      <c r="BL120" s="691"/>
      <c r="BM120" s="691"/>
      <c r="BN120" s="691"/>
      <c r="BP120" s="635"/>
      <c r="BS120" s="686" t="s">
        <v>1491</v>
      </c>
      <c r="BT120" s="686"/>
      <c r="BU120" s="686"/>
      <c r="BV120" s="686"/>
      <c r="BW120" s="686"/>
      <c r="BX120" s="1148" t="s">
        <v>2936</v>
      </c>
      <c r="BY120" s="1148">
        <v>2009</v>
      </c>
      <c r="BZ120" s="1148">
        <v>2010</v>
      </c>
      <c r="CA120" s="1148" t="s">
        <v>2336</v>
      </c>
      <c r="CB120" s="1157" t="s">
        <v>2940</v>
      </c>
    </row>
    <row r="121" spans="2:80" ht="12" customHeight="1">
      <c r="L121" s="676">
        <f>-SUM(L115:L120)</f>
        <v>99126.656836506561</v>
      </c>
      <c r="BD121" s="727" t="s">
        <v>1457</v>
      </c>
      <c r="BE121" s="727"/>
      <c r="BF121" s="727"/>
      <c r="BG121" s="727"/>
      <c r="BH121" s="727"/>
      <c r="BI121" s="727"/>
      <c r="BJ121" s="728">
        <f>BJ122</f>
        <v>16258.924999999999</v>
      </c>
      <c r="BK121" s="670"/>
      <c r="BP121" s="635"/>
      <c r="BS121" s="689" t="s">
        <v>1345</v>
      </c>
      <c r="BT121" s="689"/>
      <c r="BU121" s="689"/>
      <c r="BV121" s="689"/>
      <c r="BW121" s="689"/>
      <c r="BX121" s="668">
        <f>SUM(BX122:BX125)</f>
        <v>76537.153913000002</v>
      </c>
      <c r="BY121" s="668">
        <f t="shared" ref="BY121:CB121" si="71">SUM(BY122:BY125)</f>
        <v>137328.65</v>
      </c>
      <c r="BZ121" s="668">
        <f t="shared" si="71"/>
        <v>154101.106</v>
      </c>
      <c r="CA121" s="668">
        <f t="shared" si="71"/>
        <v>77435.805999999997</v>
      </c>
      <c r="CB121" s="802">
        <f t="shared" si="71"/>
        <v>4.8189272822374785E-2</v>
      </c>
    </row>
    <row r="122" spans="2:80" ht="12" customHeight="1">
      <c r="BE122" s="676" t="s">
        <v>1208</v>
      </c>
      <c r="BJ122" s="670">
        <v>16258.924999999999</v>
      </c>
      <c r="BK122" s="670"/>
      <c r="BL122" s="676" t="s">
        <v>1503</v>
      </c>
      <c r="BP122" s="635"/>
      <c r="BT122" s="676" t="s">
        <v>1351</v>
      </c>
      <c r="BX122" s="670">
        <f t="shared" ref="BX122:CA125" si="72">L59</f>
        <v>54912.277470000001</v>
      </c>
      <c r="BY122" s="670">
        <f t="shared" si="72"/>
        <v>100593.19</v>
      </c>
      <c r="BZ122" s="670">
        <f t="shared" si="72"/>
        <v>114125.773</v>
      </c>
      <c r="CA122" s="670">
        <f t="shared" si="72"/>
        <v>56124.112000000001</v>
      </c>
      <c r="CB122" s="781">
        <f>CA122/$CA$145</f>
        <v>3.4926738479115448E-2</v>
      </c>
    </row>
    <row r="123" spans="2:80" ht="12" customHeight="1">
      <c r="BJ123" s="670"/>
      <c r="BK123" s="670"/>
      <c r="BP123" s="635"/>
      <c r="BT123" s="676" t="s">
        <v>1352</v>
      </c>
      <c r="BX123" s="670">
        <f t="shared" si="72"/>
        <v>5640.0326249999998</v>
      </c>
      <c r="BY123" s="670">
        <f t="shared" si="72"/>
        <v>7924.5150000000003</v>
      </c>
      <c r="BZ123" s="670">
        <f t="shared" si="72"/>
        <v>8787.2780000000002</v>
      </c>
      <c r="CA123" s="670">
        <f t="shared" si="72"/>
        <v>4879.1750000000002</v>
      </c>
      <c r="CB123" s="781">
        <f>CA123/$CA$145</f>
        <v>3.0363717686765026E-3</v>
      </c>
    </row>
    <row r="124" spans="2:80" ht="12" customHeight="1" thickBot="1">
      <c r="BD124" s="758" t="s">
        <v>1461</v>
      </c>
      <c r="BE124" s="758"/>
      <c r="BF124" s="758"/>
      <c r="BG124" s="758"/>
      <c r="BH124" s="758"/>
      <c r="BI124" s="758"/>
      <c r="BJ124" s="791">
        <f>BJ114+BJ118-BJ121</f>
        <v>1013741.075</v>
      </c>
      <c r="BK124" s="791"/>
      <c r="BL124" s="758"/>
      <c r="BM124" s="758"/>
      <c r="BN124" s="758"/>
      <c r="BP124" s="635"/>
      <c r="BT124" s="676" t="s">
        <v>1353</v>
      </c>
      <c r="BX124" s="670">
        <f t="shared" si="72"/>
        <v>15084.842895</v>
      </c>
      <c r="BY124" s="670">
        <f t="shared" si="72"/>
        <v>27223.742999999999</v>
      </c>
      <c r="BZ124" s="670">
        <f t="shared" si="72"/>
        <v>29431.178</v>
      </c>
      <c r="CA124" s="670">
        <f t="shared" si="72"/>
        <v>15517.392</v>
      </c>
      <c r="CB124" s="781">
        <f>CA124/$CA$145</f>
        <v>9.6566675702934625E-3</v>
      </c>
    </row>
    <row r="125" spans="2:80" ht="12" customHeight="1">
      <c r="BP125" s="635"/>
      <c r="BS125" s="691"/>
      <c r="BT125" s="691" t="s">
        <v>1354</v>
      </c>
      <c r="BU125" s="691"/>
      <c r="BV125" s="691"/>
      <c r="BW125" s="691"/>
      <c r="BX125" s="672">
        <f t="shared" si="72"/>
        <v>900.00092299999994</v>
      </c>
      <c r="BY125" s="672">
        <f t="shared" si="72"/>
        <v>1587.202</v>
      </c>
      <c r="BZ125" s="672">
        <f t="shared" si="72"/>
        <v>1756.877</v>
      </c>
      <c r="CA125" s="672">
        <f t="shared" si="72"/>
        <v>915.12699999999995</v>
      </c>
      <c r="CB125" s="803">
        <f>CA125/$CA$145</f>
        <v>5.6949500428937706E-4</v>
      </c>
    </row>
    <row r="126" spans="2:80" ht="12" customHeight="1">
      <c r="BP126" s="635"/>
      <c r="BS126" s="689" t="s">
        <v>1493</v>
      </c>
      <c r="BT126" s="689"/>
      <c r="BU126" s="689"/>
      <c r="BV126" s="689"/>
      <c r="BW126" s="689"/>
      <c r="BX126" s="668">
        <f>SUM(BX127:BX130)</f>
        <v>59543.806406520001</v>
      </c>
      <c r="BY126" s="668">
        <f t="shared" ref="BY126:CB126" si="73">SUM(BY127:BY130)</f>
        <v>170542.203594552</v>
      </c>
      <c r="BZ126" s="668">
        <f t="shared" si="73"/>
        <v>205658.681164346</v>
      </c>
      <c r="CA126" s="668">
        <f t="shared" si="73"/>
        <v>113601.57813046199</v>
      </c>
      <c r="CB126" s="802">
        <f t="shared" si="73"/>
        <v>7.0695686199497412E-2</v>
      </c>
    </row>
    <row r="127" spans="2:80" ht="12" customHeight="1" thickBot="1">
      <c r="BD127" s="811" t="s">
        <v>1573</v>
      </c>
      <c r="BE127" s="811"/>
      <c r="BF127" s="811"/>
      <c r="BG127" s="811"/>
      <c r="BH127" s="811"/>
      <c r="BI127" s="812" t="s">
        <v>1574</v>
      </c>
      <c r="BJ127" s="812" t="s">
        <v>1577</v>
      </c>
      <c r="BK127" s="812" t="s">
        <v>1575</v>
      </c>
      <c r="BP127" s="635"/>
      <c r="BT127" s="676" t="s">
        <v>1356</v>
      </c>
      <c r="BX127" s="670">
        <f t="shared" ref="BX127:CA130" si="74">L64</f>
        <v>0</v>
      </c>
      <c r="BY127" s="670">
        <f t="shared" si="74"/>
        <v>40084.771999999997</v>
      </c>
      <c r="BZ127" s="670">
        <f t="shared" si="74"/>
        <v>56520.802000000003</v>
      </c>
      <c r="CA127" s="670">
        <f t="shared" si="74"/>
        <v>34959.809000000001</v>
      </c>
      <c r="CB127" s="781">
        <f>CA127/$CA$145</f>
        <v>2.1755927402875016E-2</v>
      </c>
    </row>
    <row r="128" spans="2:80" ht="13" customHeight="1">
      <c r="M128" s="676" t="s">
        <v>3002</v>
      </c>
      <c r="N128" s="676" t="s">
        <v>1892</v>
      </c>
      <c r="O128" s="676" t="s">
        <v>1894</v>
      </c>
      <c r="P128" s="676" t="s">
        <v>1893</v>
      </c>
      <c r="BD128" s="1200" t="s">
        <v>2198</v>
      </c>
      <c r="BE128" s="1189"/>
      <c r="BF128" s="1189"/>
      <c r="BG128" s="717" t="s">
        <v>1569</v>
      </c>
      <c r="BH128" s="717"/>
      <c r="BI128" s="718">
        <f>NetDebt!D54</f>
        <v>100000</v>
      </c>
      <c r="BJ128" s="718">
        <f>NetDebt!E54</f>
        <v>40000</v>
      </c>
      <c r="BK128" s="718">
        <f>BI128+BJ128</f>
        <v>140000</v>
      </c>
      <c r="BP128" s="635"/>
      <c r="BT128" s="676" t="s">
        <v>2177</v>
      </c>
      <c r="BX128" s="670">
        <f t="shared" si="74"/>
        <v>26855.571980519999</v>
      </c>
      <c r="BY128" s="670">
        <f t="shared" si="74"/>
        <v>47951.061594551997</v>
      </c>
      <c r="BZ128" s="670">
        <f t="shared" si="74"/>
        <v>54840.216164345999</v>
      </c>
      <c r="CA128" s="670">
        <f t="shared" si="74"/>
        <v>28924.373130461998</v>
      </c>
      <c r="CB128" s="781">
        <f>CA128/$CA$145</f>
        <v>1.7999999999999999E-2</v>
      </c>
    </row>
    <row r="129" spans="12:80" ht="12" customHeight="1">
      <c r="L129" s="676" t="s">
        <v>1890</v>
      </c>
      <c r="M129" s="693">
        <f>매출원가추정!G36</f>
        <v>0.74986441959932437</v>
      </c>
      <c r="N129" s="693">
        <f>매출원가추정!G38</f>
        <v>0.82122447034692148</v>
      </c>
      <c r="O129" s="693">
        <f>매출원가추정!G39</f>
        <v>0.79074800977705173</v>
      </c>
      <c r="P129" s="693">
        <f>매출원가추정!G37</f>
        <v>0.80205209101125641</v>
      </c>
      <c r="BD129" s="1201"/>
      <c r="BE129" s="1190"/>
      <c r="BF129" s="1190"/>
      <c r="BG129" s="635" t="s">
        <v>1570</v>
      </c>
      <c r="BH129" s="635"/>
      <c r="BI129" s="671">
        <f>NetDebt!D55</f>
        <v>0</v>
      </c>
      <c r="BJ129" s="671">
        <f>NetDebt!E55</f>
        <v>42000</v>
      </c>
      <c r="BK129" s="671">
        <f t="shared" ref="BK129:BK140" si="75">BI129+BJ129</f>
        <v>42000</v>
      </c>
      <c r="BP129" s="635"/>
      <c r="BT129" s="676" t="s">
        <v>1357</v>
      </c>
      <c r="BX129" s="670">
        <f t="shared" si="74"/>
        <v>32688.234425999999</v>
      </c>
      <c r="BY129" s="670">
        <f t="shared" si="74"/>
        <v>54566.105000000003</v>
      </c>
      <c r="BZ129" s="670">
        <f t="shared" si="74"/>
        <v>61330.565999999999</v>
      </c>
      <c r="CA129" s="670">
        <f t="shared" si="74"/>
        <v>29252.152999999998</v>
      </c>
      <c r="CB129" s="781">
        <f>CA129/$CA$145</f>
        <v>1.8203981521918284E-2</v>
      </c>
    </row>
    <row r="130" spans="12:80" ht="12" customHeight="1">
      <c r="L130" s="676" t="s">
        <v>1891</v>
      </c>
      <c r="BD130" s="1202"/>
      <c r="BE130" s="1191"/>
      <c r="BF130" s="1191"/>
      <c r="BG130" s="691" t="s">
        <v>1571</v>
      </c>
      <c r="BH130" s="691"/>
      <c r="BI130" s="672">
        <f>NetDebt!D56</f>
        <v>0</v>
      </c>
      <c r="BJ130" s="672">
        <f>NetDebt!E56</f>
        <v>38000</v>
      </c>
      <c r="BK130" s="672">
        <f t="shared" si="75"/>
        <v>38000</v>
      </c>
      <c r="BP130" s="635"/>
      <c r="BS130" s="691"/>
      <c r="BT130" s="691" t="s">
        <v>1358</v>
      </c>
      <c r="BU130" s="691"/>
      <c r="BV130" s="691"/>
      <c r="BW130" s="691"/>
      <c r="BX130" s="672">
        <f t="shared" si="74"/>
        <v>0</v>
      </c>
      <c r="BY130" s="672">
        <f t="shared" si="74"/>
        <v>27940.264999999999</v>
      </c>
      <c r="BZ130" s="672">
        <f t="shared" si="74"/>
        <v>32967.097000000002</v>
      </c>
      <c r="CA130" s="672">
        <f t="shared" si="74"/>
        <v>20465.242999999999</v>
      </c>
      <c r="CB130" s="803">
        <f>CA130/$CA$145</f>
        <v>1.2735777274704105E-2</v>
      </c>
    </row>
    <row r="131" spans="12:80" ht="12" customHeight="1">
      <c r="BD131" s="1203" t="s">
        <v>2199</v>
      </c>
      <c r="BE131" s="1192"/>
      <c r="BF131" s="1192"/>
      <c r="BG131" s="809" t="s">
        <v>1572</v>
      </c>
      <c r="BH131" s="809"/>
      <c r="BI131" s="810">
        <f>NetDebt!D57</f>
        <v>0</v>
      </c>
      <c r="BJ131" s="810">
        <f>NetDebt!E57</f>
        <v>10000</v>
      </c>
      <c r="BK131" s="810">
        <f t="shared" si="75"/>
        <v>10000</v>
      </c>
      <c r="BP131" s="635"/>
      <c r="BS131" s="689" t="s">
        <v>1372</v>
      </c>
      <c r="BT131" s="689"/>
      <c r="BU131" s="689"/>
      <c r="BV131" s="689"/>
      <c r="BW131" s="689"/>
      <c r="BX131" s="668">
        <f>SUM(BX132:BX143)</f>
        <v>193945.24777747999</v>
      </c>
      <c r="BY131" s="668">
        <f t="shared" ref="BY131:CB131" si="76">SUM(BY132:BY143)</f>
        <v>168921.48840544801</v>
      </c>
      <c r="BZ131" s="668">
        <f t="shared" si="76"/>
        <v>186037.33383565399</v>
      </c>
      <c r="CA131" s="668">
        <f t="shared" si="76"/>
        <v>93607.316869538015</v>
      </c>
      <c r="CB131" s="802">
        <f t="shared" si="76"/>
        <v>5.8253006765328331E-2</v>
      </c>
    </row>
    <row r="132" spans="12:80" ht="12" customHeight="1">
      <c r="BD132" s="1201"/>
      <c r="BE132" s="1190"/>
      <c r="BF132" s="1190"/>
      <c r="BG132" s="635" t="s">
        <v>1569</v>
      </c>
      <c r="BH132" s="635"/>
      <c r="BI132" s="671">
        <f>NetDebt!D58</f>
        <v>100000</v>
      </c>
      <c r="BJ132" s="671">
        <f>NetDebt!E58</f>
        <v>0</v>
      </c>
      <c r="BK132" s="671">
        <f t="shared" si="75"/>
        <v>100000</v>
      </c>
      <c r="BP132" s="719"/>
      <c r="BT132" s="676" t="s">
        <v>1359</v>
      </c>
      <c r="BX132" s="670">
        <f t="shared" ref="BX132:BX140" si="77">L69</f>
        <v>50418.894717000003</v>
      </c>
      <c r="BY132" s="670">
        <f t="shared" ref="BY132:BY140" si="78">M69</f>
        <v>38412.050999999999</v>
      </c>
      <c r="BZ132" s="670">
        <f t="shared" ref="BZ132:BZ140" si="79">N69</f>
        <v>37613.578000000001</v>
      </c>
      <c r="CA132" s="670">
        <f t="shared" ref="CA132:CA140" si="80">O69</f>
        <v>18808.381000000001</v>
      </c>
      <c r="CB132" s="781">
        <f t="shared" ref="CB132:CB144" si="81">CA132/$CA$145</f>
        <v>1.170469128139727E-2</v>
      </c>
    </row>
    <row r="133" spans="12:80" ht="12" customHeight="1">
      <c r="BD133" s="1201"/>
      <c r="BE133" s="1190"/>
      <c r="BF133" s="1190"/>
      <c r="BG133" s="635" t="s">
        <v>1570</v>
      </c>
      <c r="BH133" s="635"/>
      <c r="BI133" s="671">
        <f>NetDebt!D59</f>
        <v>0</v>
      </c>
      <c r="BJ133" s="671">
        <f>NetDebt!E59</f>
        <v>0</v>
      </c>
      <c r="BK133" s="671">
        <f t="shared" si="75"/>
        <v>0</v>
      </c>
      <c r="BP133" s="635"/>
      <c r="BT133" s="676" t="s">
        <v>1497</v>
      </c>
      <c r="BX133" s="670">
        <f t="shared" si="77"/>
        <v>31077.271683480001</v>
      </c>
      <c r="BY133" s="670">
        <f t="shared" si="78"/>
        <v>23695.162405448005</v>
      </c>
      <c r="BZ133" s="670">
        <f t="shared" si="79"/>
        <v>29208.432835654006</v>
      </c>
      <c r="CA133" s="670">
        <f t="shared" si="80"/>
        <v>13049.835869538005</v>
      </c>
      <c r="CB133" s="781">
        <f t="shared" si="81"/>
        <v>8.1210764565991522E-3</v>
      </c>
    </row>
    <row r="134" spans="12:80" ht="12" customHeight="1">
      <c r="BD134" s="1202"/>
      <c r="BE134" s="1191"/>
      <c r="BF134" s="1191"/>
      <c r="BG134" s="691" t="s">
        <v>1571</v>
      </c>
      <c r="BH134" s="691"/>
      <c r="BI134" s="672">
        <f>NetDebt!D60</f>
        <v>0</v>
      </c>
      <c r="BJ134" s="672">
        <f>NetDebt!E60</f>
        <v>0</v>
      </c>
      <c r="BK134" s="672">
        <f t="shared" si="75"/>
        <v>0</v>
      </c>
      <c r="BT134" s="676" t="s">
        <v>1360</v>
      </c>
      <c r="BX134" s="670">
        <f t="shared" si="77"/>
        <v>24462.190891999999</v>
      </c>
      <c r="BY134" s="670">
        <f t="shared" si="78"/>
        <v>45413.231</v>
      </c>
      <c r="BZ134" s="670">
        <f t="shared" si="79"/>
        <v>53038.998</v>
      </c>
      <c r="CA134" s="670">
        <f t="shared" si="80"/>
        <v>27737.870999999999</v>
      </c>
      <c r="CB134" s="781">
        <f t="shared" si="81"/>
        <v>1.7261624850018836E-2</v>
      </c>
    </row>
    <row r="135" spans="12:80" ht="12" customHeight="1">
      <c r="BD135" s="1203" t="s">
        <v>2200</v>
      </c>
      <c r="BE135" s="1192"/>
      <c r="BF135" s="1192"/>
      <c r="BG135" s="809" t="s">
        <v>1572</v>
      </c>
      <c r="BH135" s="809"/>
      <c r="BI135" s="810">
        <f>NetDebt!D61</f>
        <v>0</v>
      </c>
      <c r="BJ135" s="810">
        <f>NetDebt!E61</f>
        <v>0</v>
      </c>
      <c r="BK135" s="810">
        <f t="shared" si="75"/>
        <v>0</v>
      </c>
      <c r="BT135" s="676" t="s">
        <v>1361</v>
      </c>
      <c r="BX135" s="670">
        <f t="shared" si="77"/>
        <v>5302.1923360000001</v>
      </c>
      <c r="BY135" s="670">
        <f t="shared" si="78"/>
        <v>10083.249</v>
      </c>
      <c r="BZ135" s="670">
        <f t="shared" si="79"/>
        <v>11030.37</v>
      </c>
      <c r="CA135" s="670">
        <f t="shared" si="80"/>
        <v>5895.2079999999996</v>
      </c>
      <c r="CB135" s="781">
        <f t="shared" si="81"/>
        <v>3.6686618417408404E-3</v>
      </c>
    </row>
    <row r="136" spans="12:80" ht="12" customHeight="1">
      <c r="BD136" s="1201"/>
      <c r="BE136" s="1190"/>
      <c r="BF136" s="1190"/>
      <c r="BG136" s="635" t="s">
        <v>1569</v>
      </c>
      <c r="BH136" s="635"/>
      <c r="BI136" s="671">
        <f>NetDebt!D62</f>
        <v>150000</v>
      </c>
      <c r="BJ136" s="671">
        <f>NetDebt!E62</f>
        <v>0</v>
      </c>
      <c r="BK136" s="671">
        <f t="shared" si="75"/>
        <v>150000</v>
      </c>
      <c r="BT136" s="676" t="s">
        <v>1362</v>
      </c>
      <c r="BX136" s="670">
        <f t="shared" si="77"/>
        <v>4428.8737739999997</v>
      </c>
      <c r="BY136" s="670">
        <f t="shared" si="78"/>
        <v>2809.1109999999999</v>
      </c>
      <c r="BZ136" s="670">
        <f t="shared" si="79"/>
        <v>3180.9430000000002</v>
      </c>
      <c r="CA136" s="670">
        <f t="shared" si="80"/>
        <v>806.94600000000003</v>
      </c>
      <c r="CB136" s="781">
        <f t="shared" si="81"/>
        <v>5.021726118137654E-4</v>
      </c>
    </row>
    <row r="137" spans="12:80" ht="12" customHeight="1">
      <c r="BD137" s="1201"/>
      <c r="BE137" s="1190"/>
      <c r="BF137" s="1190"/>
      <c r="BG137" s="635" t="s">
        <v>1570</v>
      </c>
      <c r="BH137" s="635"/>
      <c r="BI137" s="671">
        <f>NetDebt!D63</f>
        <v>0</v>
      </c>
      <c r="BJ137" s="671">
        <f>NetDebt!E63</f>
        <v>0</v>
      </c>
      <c r="BK137" s="671">
        <f t="shared" si="75"/>
        <v>0</v>
      </c>
      <c r="BT137" s="676" t="s">
        <v>1363</v>
      </c>
      <c r="BX137" s="670">
        <f t="shared" si="77"/>
        <v>1301.5766389999999</v>
      </c>
      <c r="BY137" s="670">
        <f t="shared" si="78"/>
        <v>2054.1770000000001</v>
      </c>
      <c r="BZ137" s="670">
        <f t="shared" si="79"/>
        <v>2692.7559999999999</v>
      </c>
      <c r="CA137" s="670">
        <f t="shared" si="80"/>
        <v>1533.0150000000001</v>
      </c>
      <c r="CB137" s="781">
        <f t="shared" si="81"/>
        <v>9.5401445263955658E-4</v>
      </c>
    </row>
    <row r="138" spans="12:80" ht="12" customHeight="1">
      <c r="BD138" s="1202"/>
      <c r="BE138" s="1191"/>
      <c r="BF138" s="1191"/>
      <c r="BG138" s="691" t="s">
        <v>1571</v>
      </c>
      <c r="BH138" s="691"/>
      <c r="BI138" s="672">
        <f>NetDebt!D64</f>
        <v>0</v>
      </c>
      <c r="BJ138" s="672">
        <f>NetDebt!E64</f>
        <v>0</v>
      </c>
      <c r="BK138" s="672">
        <f t="shared" si="75"/>
        <v>0</v>
      </c>
      <c r="BT138" s="676" t="s">
        <v>1364</v>
      </c>
      <c r="BX138" s="670">
        <f t="shared" si="77"/>
        <v>906.04529300000002</v>
      </c>
      <c r="BY138" s="670">
        <f t="shared" si="78"/>
        <v>1592.4670000000001</v>
      </c>
      <c r="BZ138" s="670">
        <f t="shared" si="79"/>
        <v>1675.4179999999999</v>
      </c>
      <c r="CA138" s="670">
        <f t="shared" si="80"/>
        <v>810.96100000000001</v>
      </c>
      <c r="CB138" s="781">
        <f t="shared" si="81"/>
        <v>5.0467119664649558E-4</v>
      </c>
    </row>
    <row r="139" spans="12:80" ht="12" customHeight="1">
      <c r="BD139" s="1204" t="s">
        <v>2201</v>
      </c>
      <c r="BE139" s="1199"/>
      <c r="BF139" s="1199"/>
      <c r="BG139" s="676" t="s">
        <v>1572</v>
      </c>
      <c r="BI139" s="670">
        <f>NetDebt!D65</f>
        <v>0</v>
      </c>
      <c r="BJ139" s="670">
        <f>NetDebt!E65</f>
        <v>0</v>
      </c>
      <c r="BK139" s="670">
        <f t="shared" si="75"/>
        <v>0</v>
      </c>
      <c r="BT139" s="676" t="s">
        <v>1365</v>
      </c>
      <c r="BX139" s="670">
        <f t="shared" si="77"/>
        <v>535.48836200000005</v>
      </c>
      <c r="BY139" s="670">
        <f t="shared" si="78"/>
        <v>1589.393</v>
      </c>
      <c r="BZ139" s="670">
        <f t="shared" si="79"/>
        <v>1616.4059999999999</v>
      </c>
      <c r="CA139" s="670">
        <f t="shared" si="80"/>
        <v>621.26099999999997</v>
      </c>
      <c r="CB139" s="781">
        <f t="shared" si="81"/>
        <v>3.8661850853468721E-4</v>
      </c>
    </row>
    <row r="140" spans="12:80" ht="12" customHeight="1">
      <c r="BD140" s="1204"/>
      <c r="BE140" s="1199"/>
      <c r="BF140" s="1199"/>
      <c r="BG140" s="676" t="s">
        <v>1569</v>
      </c>
      <c r="BI140" s="670">
        <f>NetDebt!D66</f>
        <v>550000</v>
      </c>
      <c r="BJ140" s="670">
        <f>NetDebt!E66</f>
        <v>0</v>
      </c>
      <c r="BK140" s="670">
        <f t="shared" si="75"/>
        <v>550000</v>
      </c>
      <c r="BT140" s="676" t="s">
        <v>1366</v>
      </c>
      <c r="BX140" s="670">
        <f t="shared" si="77"/>
        <v>1583.1244409999999</v>
      </c>
      <c r="BY140" s="670">
        <f t="shared" si="78"/>
        <v>3290.7910000000002</v>
      </c>
      <c r="BZ140" s="670">
        <f t="shared" si="79"/>
        <v>4054.12</v>
      </c>
      <c r="CA140" s="670">
        <f t="shared" si="80"/>
        <v>2055.02</v>
      </c>
      <c r="CB140" s="781">
        <f t="shared" si="81"/>
        <v>1.2788647080839662E-3</v>
      </c>
    </row>
    <row r="141" spans="12:80" ht="12" customHeight="1" thickBot="1">
      <c r="BD141" s="758" t="s">
        <v>1575</v>
      </c>
      <c r="BE141" s="758"/>
      <c r="BF141" s="758"/>
      <c r="BG141" s="758"/>
      <c r="BH141" s="758"/>
      <c r="BI141" s="758">
        <f>SUM(BI128:BI140)</f>
        <v>900000</v>
      </c>
      <c r="BJ141" s="758">
        <f t="shared" ref="BJ141:BK141" si="82">SUM(BJ128:BJ140)</f>
        <v>130000</v>
      </c>
      <c r="BK141" s="758">
        <f t="shared" si="82"/>
        <v>1030000</v>
      </c>
      <c r="BT141" s="676" t="s">
        <v>1368</v>
      </c>
      <c r="BX141" s="670">
        <f>L79</f>
        <v>806.107754</v>
      </c>
      <c r="BY141" s="670">
        <f>M79</f>
        <v>1392.4670000000001</v>
      </c>
      <c r="BZ141" s="670">
        <f>N79</f>
        <v>1437.5070000000001</v>
      </c>
      <c r="CA141" s="670">
        <f>O79</f>
        <v>739.79499999999996</v>
      </c>
      <c r="CB141" s="781">
        <f t="shared" si="81"/>
        <v>4.6038370269728651E-4</v>
      </c>
    </row>
    <row r="142" spans="12:80" ht="12" customHeight="1">
      <c r="BT142" s="676" t="s">
        <v>1350</v>
      </c>
      <c r="BX142" s="670">
        <f>L83</f>
        <v>71639.902925000002</v>
      </c>
      <c r="BY142" s="670">
        <f>M83</f>
        <v>35570.682999999997</v>
      </c>
      <c r="BZ142" s="670">
        <f>N83</f>
        <v>36597.596000000005</v>
      </c>
      <c r="CA142" s="670">
        <f>O83</f>
        <v>19756.434000000001</v>
      </c>
      <c r="CB142" s="781">
        <f t="shared" si="81"/>
        <v>1.2294676548252642E-2</v>
      </c>
    </row>
    <row r="143" spans="12:80" ht="12" customHeight="1">
      <c r="BT143" s="676" t="s">
        <v>1492</v>
      </c>
      <c r="BX143" s="670">
        <f>L78+L80+L81+L82</f>
        <v>1483.5789609999999</v>
      </c>
      <c r="BY143" s="670">
        <f>M78+M80+M81+M82</f>
        <v>3018.7060000000001</v>
      </c>
      <c r="BZ143" s="670">
        <f>N78+N80+N81+N82</f>
        <v>3891.2089999999998</v>
      </c>
      <c r="CA143" s="670">
        <f>O78+O80+O81+O82</f>
        <v>1792.5889999999999</v>
      </c>
      <c r="CB143" s="781">
        <f t="shared" si="81"/>
        <v>1.1155506069038398E-3</v>
      </c>
    </row>
    <row r="144" spans="12:80" ht="12" customHeight="1">
      <c r="BS144" s="710" t="s">
        <v>126</v>
      </c>
      <c r="BT144" s="710"/>
      <c r="BU144" s="710"/>
      <c r="BV144" s="710"/>
      <c r="BW144" s="710"/>
      <c r="BX144" s="673">
        <f>BX121+BX126+BX131</f>
        <v>330026.20809700002</v>
      </c>
      <c r="BY144" s="673">
        <f>BY121+BY126+BY131</f>
        <v>476792.34200000006</v>
      </c>
      <c r="BZ144" s="673">
        <f>BZ121+BZ126+BZ131</f>
        <v>545797.12099999993</v>
      </c>
      <c r="CA144" s="673">
        <f>CA121+CA126+CA131</f>
        <v>284644.701</v>
      </c>
      <c r="CB144" s="804">
        <f t="shared" si="81"/>
        <v>0.17713796578720054</v>
      </c>
    </row>
    <row r="145" spans="71:81" ht="12" customHeight="1">
      <c r="BS145" s="676" t="s">
        <v>27</v>
      </c>
      <c r="BX145" s="670">
        <f>L85</f>
        <v>1491976.22114</v>
      </c>
      <c r="BY145" s="670">
        <f>M85</f>
        <v>2663947.8663639999</v>
      </c>
      <c r="BZ145" s="670">
        <f>N85</f>
        <v>3046678.6757970001</v>
      </c>
      <c r="CA145" s="670">
        <f>O85</f>
        <v>1606909.618359</v>
      </c>
      <c r="CB145" s="781"/>
    </row>
    <row r="146" spans="71:81" ht="12" customHeight="1" thickBot="1">
      <c r="BS146" s="759" t="s">
        <v>1330</v>
      </c>
      <c r="BT146" s="759"/>
      <c r="BU146" s="759"/>
      <c r="BV146" s="759"/>
      <c r="BW146" s="759"/>
      <c r="BX146" s="674">
        <f>BX144/BX145</f>
        <v>0.22120071581625558</v>
      </c>
      <c r="BY146" s="674">
        <f t="shared" ref="BY146:CA146" si="83">BY144/BY145</f>
        <v>0.17897960692855822</v>
      </c>
      <c r="BZ146" s="674">
        <f t="shared" si="83"/>
        <v>0.17914495720728454</v>
      </c>
      <c r="CA146" s="674">
        <f t="shared" si="83"/>
        <v>0.17713796578720054</v>
      </c>
      <c r="CB146" s="674">
        <f>CA146</f>
        <v>0.17713796578720054</v>
      </c>
    </row>
    <row r="147" spans="71:81" ht="12" customHeight="1">
      <c r="BX147" s="670">
        <f>BX144-L84</f>
        <v>0</v>
      </c>
      <c r="BY147" s="670">
        <f>BY144-M84</f>
        <v>0</v>
      </c>
      <c r="BZ147" s="670">
        <f>BZ144-N84</f>
        <v>0</v>
      </c>
      <c r="CA147" s="670">
        <f>CA144-O84</f>
        <v>0</v>
      </c>
      <c r="CB147" s="670"/>
    </row>
    <row r="148" spans="71:81" ht="12" customHeight="1">
      <c r="BX148" s="670"/>
      <c r="BY148" s="670"/>
      <c r="BZ148" s="670"/>
      <c r="CA148" s="670"/>
      <c r="CB148" s="670"/>
    </row>
    <row r="149" spans="71:81" ht="12" customHeight="1">
      <c r="BX149" s="670"/>
      <c r="BY149" s="670"/>
      <c r="BZ149" s="670"/>
      <c r="CA149" s="670"/>
      <c r="CB149" s="670"/>
    </row>
    <row r="150" spans="71:81" ht="12" customHeight="1" thickBot="1">
      <c r="BS150" s="686" t="s">
        <v>1703</v>
      </c>
      <c r="BT150" s="686"/>
      <c r="BU150" s="686"/>
      <c r="BV150" s="686"/>
      <c r="BW150" s="686"/>
      <c r="BX150" s="1148">
        <v>2008</v>
      </c>
      <c r="BY150" s="1148">
        <v>2009</v>
      </c>
      <c r="BZ150" s="1148">
        <v>2010</v>
      </c>
      <c r="CA150" s="1148" t="s">
        <v>2336</v>
      </c>
      <c r="CB150" s="670"/>
    </row>
    <row r="151" spans="71:81" ht="12" customHeight="1">
      <c r="BS151" s="676" t="s">
        <v>1345</v>
      </c>
      <c r="BX151" s="771">
        <f>BX121/BX$145</f>
        <v>5.1299178115934672E-2</v>
      </c>
      <c r="BY151" s="771">
        <f>BY121/BY$145</f>
        <v>5.1550802376413886E-2</v>
      </c>
      <c r="BZ151" s="771">
        <f>BZ121/BZ$145</f>
        <v>5.0580032355951585E-2</v>
      </c>
      <c r="CA151" s="771">
        <f>CA121/CA$145</f>
        <v>4.8189272822374785E-2</v>
      </c>
      <c r="CB151" s="670"/>
    </row>
    <row r="152" spans="71:81" ht="12" customHeight="1">
      <c r="BS152" s="676" t="s">
        <v>1700</v>
      </c>
      <c r="BX152" s="771">
        <f>BX126/BX$145</f>
        <v>3.9909353488907041E-2</v>
      </c>
      <c r="BY152" s="771">
        <f>BY126/BY$145</f>
        <v>6.4018596515300286E-2</v>
      </c>
      <c r="BZ152" s="771">
        <f>BZ126/BZ$145</f>
        <v>6.7502583320686566E-2</v>
      </c>
      <c r="CA152" s="771">
        <f>CA126/CA$145</f>
        <v>7.0695686199497398E-2</v>
      </c>
    </row>
    <row r="153" spans="71:81" ht="12" customHeight="1">
      <c r="BS153" s="676" t="s">
        <v>1701</v>
      </c>
      <c r="BX153" s="771">
        <f>BX131/BX$145</f>
        <v>0.12999218421141384</v>
      </c>
      <c r="BY153" s="771">
        <f>BY131/BY$145</f>
        <v>6.3410208036844024E-2</v>
      </c>
      <c r="BZ153" s="771">
        <f>BZ131/BZ$145</f>
        <v>6.1062341530646415E-2</v>
      </c>
      <c r="CA153" s="771">
        <f>CA131/CA$145</f>
        <v>5.8253006765328345E-2</v>
      </c>
    </row>
    <row r="154" spans="71:81" ht="12" customHeight="1" thickBot="1">
      <c r="BS154" s="736" t="s">
        <v>1702</v>
      </c>
      <c r="BT154" s="736"/>
      <c r="BU154" s="736"/>
      <c r="BV154" s="736"/>
      <c r="BW154" s="736"/>
      <c r="BX154" s="796">
        <f>SUM(BX151:BX153)</f>
        <v>0.22120071581625556</v>
      </c>
      <c r="BY154" s="796">
        <f t="shared" ref="BY154:CA154" si="84">SUM(BY151:BY153)</f>
        <v>0.17897960692855819</v>
      </c>
      <c r="BZ154" s="796">
        <f t="shared" si="84"/>
        <v>0.17914495720728457</v>
      </c>
      <c r="CA154" s="796">
        <f t="shared" si="84"/>
        <v>0.17713796578720054</v>
      </c>
    </row>
    <row r="157" spans="71:81" ht="14.15" customHeight="1">
      <c r="BX157" s="670"/>
      <c r="BY157" s="670"/>
      <c r="BZ157" s="670"/>
      <c r="CA157" s="670"/>
      <c r="CB157" s="670"/>
    </row>
    <row r="158" spans="71:81" ht="14.15" customHeight="1" thickBot="1">
      <c r="BS158" s="686" t="s">
        <v>1496</v>
      </c>
      <c r="BT158" s="686"/>
      <c r="BU158" s="686"/>
      <c r="BV158" s="686"/>
      <c r="BW158" s="686"/>
      <c r="BX158" s="1148">
        <v>2008</v>
      </c>
      <c r="BY158" s="1148">
        <v>2009</v>
      </c>
      <c r="BZ158" s="1148">
        <v>2010</v>
      </c>
      <c r="CA158" s="1148" t="s">
        <v>2336</v>
      </c>
      <c r="CB158" s="687" t="s">
        <v>1559</v>
      </c>
    </row>
    <row r="159" spans="71:81" ht="14.15" customHeight="1">
      <c r="BS159" s="763" t="s">
        <v>1345</v>
      </c>
      <c r="BT159" s="755"/>
      <c r="BX159" s="771">
        <f>BX121/BX$144</f>
        <v>0.2319123513078831</v>
      </c>
      <c r="BY159" s="771">
        <f>BY121/BY$144</f>
        <v>0.28802612354038182</v>
      </c>
      <c r="BZ159" s="771">
        <f>BZ121/BZ$144</f>
        <v>0.28234136837815971</v>
      </c>
      <c r="CA159" s="771">
        <f>CA121/CA$144</f>
        <v>0.27204372935085835</v>
      </c>
      <c r="CB159" s="771">
        <f>AVERAGE(BX159:CA159)</f>
        <v>0.26858089314432076</v>
      </c>
      <c r="CC159" s="760">
        <f>AVERAGE(BY159:CA159)</f>
        <v>0.28080374042313333</v>
      </c>
    </row>
    <row r="160" spans="71:81" ht="14.15" customHeight="1">
      <c r="BS160" s="763" t="s">
        <v>1494</v>
      </c>
      <c r="BT160" s="755"/>
      <c r="BX160" s="771">
        <f>BX126/BX$144</f>
        <v>0.18042144819304506</v>
      </c>
      <c r="BY160" s="771">
        <f>BY126/BY$144</f>
        <v>0.35768654101946962</v>
      </c>
      <c r="BZ160" s="771">
        <f>BZ126/BZ$144</f>
        <v>0.37680426160464492</v>
      </c>
      <c r="CA160" s="771">
        <f>CA126/CA$144</f>
        <v>0.39909957125975792</v>
      </c>
      <c r="CB160" s="771">
        <f t="shared" ref="CB160:CB161" si="85">AVERAGE(BX160:CA160)</f>
        <v>0.32850295551922937</v>
      </c>
      <c r="CC160" s="760">
        <f t="shared" ref="CC160:CC161" si="86">AVERAGE(BY160:CA160)</f>
        <v>0.37786345796129089</v>
      </c>
    </row>
    <row r="161" spans="71:81" ht="14.15" customHeight="1">
      <c r="BS161" s="764" t="s">
        <v>1495</v>
      </c>
      <c r="BT161" s="755"/>
      <c r="BX161" s="771">
        <f>BX131/BX$144</f>
        <v>0.5876662004990717</v>
      </c>
      <c r="BY161" s="771">
        <f>BY131/BY$144</f>
        <v>0.35428733544014845</v>
      </c>
      <c r="BZ161" s="771">
        <f>BZ131/BZ$144</f>
        <v>0.34085437001719548</v>
      </c>
      <c r="CA161" s="771">
        <f>CA131/CA$144</f>
        <v>0.32885669938938372</v>
      </c>
      <c r="CB161" s="771">
        <f t="shared" si="85"/>
        <v>0.40291615133644987</v>
      </c>
      <c r="CC161" s="760">
        <f t="shared" si="86"/>
        <v>0.34133280161557589</v>
      </c>
    </row>
    <row r="162" spans="71:81" ht="14.15" customHeight="1" thickBot="1">
      <c r="BS162" s="765"/>
      <c r="BT162" s="766"/>
      <c r="BU162" s="704"/>
      <c r="BV162" s="704"/>
      <c r="BW162" s="704"/>
      <c r="BX162" s="772"/>
      <c r="BY162" s="772"/>
      <c r="BZ162" s="772"/>
      <c r="CA162" s="772"/>
      <c r="CB162" s="772"/>
    </row>
    <row r="163" spans="71:81" ht="14.15" customHeight="1">
      <c r="BX163" s="670"/>
      <c r="BY163" s="670"/>
      <c r="BZ163" s="670"/>
      <c r="CA163" s="670"/>
      <c r="CB163" s="670"/>
    </row>
    <row r="164" spans="71:81" ht="14.15" customHeight="1">
      <c r="BX164" s="670"/>
      <c r="BY164" s="670"/>
      <c r="BZ164" s="670"/>
      <c r="CA164" s="670"/>
      <c r="CB164" s="670"/>
    </row>
    <row r="165" spans="71:81" ht="14.15" customHeight="1">
      <c r="BX165" s="670"/>
      <c r="BY165" s="670"/>
      <c r="BZ165" s="670"/>
      <c r="CA165" s="670"/>
      <c r="CB165" s="670"/>
    </row>
    <row r="166" spans="71:81" ht="14.15" customHeight="1">
      <c r="BX166" s="670"/>
      <c r="BY166" s="670"/>
      <c r="BZ166" s="670"/>
      <c r="CA166" s="670"/>
      <c r="CB166" s="670"/>
    </row>
    <row r="167" spans="71:81" ht="14.15" customHeight="1">
      <c r="BX167" s="670"/>
      <c r="BY167" s="670"/>
      <c r="BZ167" s="670"/>
      <c r="CA167" s="670"/>
      <c r="CB167" s="670"/>
    </row>
    <row r="168" spans="71:81" ht="14.15" customHeight="1">
      <c r="BX168" s="670"/>
      <c r="BY168" s="670"/>
      <c r="BZ168" s="670"/>
      <c r="CA168" s="670"/>
      <c r="CB168" s="670"/>
    </row>
    <row r="169" spans="71:81" ht="14.15" customHeight="1">
      <c r="BX169" s="670"/>
      <c r="BY169" s="670"/>
      <c r="BZ169" s="670"/>
      <c r="CA169" s="670"/>
      <c r="CB169" s="670"/>
    </row>
    <row r="170" spans="71:81" ht="14.15" customHeight="1">
      <c r="BX170" s="670"/>
      <c r="BY170" s="670"/>
      <c r="BZ170" s="670"/>
      <c r="CA170" s="670"/>
      <c r="CB170" s="670"/>
    </row>
    <row r="171" spans="71:81" ht="14.15" customHeight="1">
      <c r="BX171" s="670"/>
      <c r="BY171" s="670"/>
      <c r="BZ171" s="670"/>
      <c r="CA171" s="670"/>
      <c r="CB171" s="670"/>
    </row>
    <row r="172" spans="71:81" ht="14.15" customHeight="1">
      <c r="BX172" s="670"/>
      <c r="BY172" s="670"/>
      <c r="BZ172" s="670"/>
      <c r="CA172" s="670"/>
      <c r="CB172" s="670"/>
    </row>
    <row r="173" spans="71:81" ht="14.15" customHeight="1">
      <c r="BX173" s="670"/>
      <c r="BY173" s="670"/>
      <c r="BZ173" s="670"/>
      <c r="CA173" s="670"/>
      <c r="CB173" s="670"/>
    </row>
    <row r="174" spans="71:81" ht="14.15" customHeight="1">
      <c r="BX174" s="670"/>
      <c r="BY174" s="670"/>
      <c r="BZ174" s="670"/>
      <c r="CA174" s="670"/>
      <c r="CB174" s="670"/>
    </row>
    <row r="190" spans="76:80" ht="14.15" customHeight="1">
      <c r="BX190" s="670"/>
      <c r="BY190" s="670"/>
      <c r="BZ190" s="670"/>
      <c r="CA190" s="670"/>
      <c r="CB190" s="670"/>
    </row>
    <row r="195" spans="76:80" ht="14.15" customHeight="1">
      <c r="BX195" s="670"/>
      <c r="BY195" s="670"/>
      <c r="BZ195" s="670"/>
      <c r="CA195" s="670"/>
      <c r="CB195" s="670"/>
    </row>
  </sheetData>
  <phoneticPr fontId="28" type="noConversion"/>
  <pageMargins left="0.6" right="0.6" top="1" bottom="1" header="0.5" footer="0.5"/>
  <pageSetup scale="20" orientation="landscape" r:id="rId1"/>
  <ignoredErrors>
    <ignoredError sqref="O42 Q42 BJ11:BO16 BI11:BI16 BX81:CA8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B1:AF211"/>
  <sheetViews>
    <sheetView showGridLines="0" workbookViewId="0">
      <selection activeCell="K139" sqref="K139"/>
    </sheetView>
  </sheetViews>
  <sheetFormatPr defaultColWidth="9" defaultRowHeight="11.5" outlineLevelRow="1"/>
  <cols>
    <col min="1" max="1" width="1.6640625" style="871" customWidth="1"/>
    <col min="2" max="8" width="2.5" style="871" customWidth="1"/>
    <col min="9" max="9" width="9" style="871" customWidth="1"/>
    <col min="10" max="10" width="9.5" style="871" bestFit="1" customWidth="1"/>
    <col min="11" max="11" width="9" style="871"/>
    <col min="12" max="13" width="9.33203125" style="871" bestFit="1" customWidth="1"/>
    <col min="14" max="20" width="9" style="871"/>
    <col min="21" max="21" width="2.58203125" style="871" customWidth="1"/>
    <col min="22" max="22" width="14.6640625" style="871" customWidth="1"/>
    <col min="23" max="31" width="8.83203125" style="872" customWidth="1"/>
    <col min="32" max="16384" width="9" style="871"/>
  </cols>
  <sheetData>
    <row r="1" spans="2:31">
      <c r="B1" s="870" t="s">
        <v>1698</v>
      </c>
    </row>
    <row r="3" spans="2:31">
      <c r="B3" s="873" t="s">
        <v>1604</v>
      </c>
    </row>
    <row r="5" spans="2:31">
      <c r="B5" s="874"/>
      <c r="C5" s="874"/>
      <c r="D5" s="874"/>
      <c r="E5" s="874"/>
      <c r="F5" s="874"/>
      <c r="G5" s="874"/>
      <c r="H5" s="874"/>
      <c r="I5" s="874"/>
      <c r="J5" s="875"/>
      <c r="K5" s="875" t="s">
        <v>1552</v>
      </c>
      <c r="L5" s="875" t="s">
        <v>1553</v>
      </c>
      <c r="M5" s="875"/>
      <c r="N5" s="875"/>
      <c r="O5" s="875"/>
      <c r="P5" s="875"/>
      <c r="Q5" s="875"/>
      <c r="R5" s="875"/>
      <c r="W5" s="684" t="s">
        <v>2143</v>
      </c>
      <c r="X5" s="684"/>
      <c r="Y5" s="1087" t="s">
        <v>2160</v>
      </c>
      <c r="Z5" s="684"/>
      <c r="AA5" s="956"/>
      <c r="AB5" s="684"/>
      <c r="AC5" s="684"/>
      <c r="AD5" s="684"/>
      <c r="AE5" s="684"/>
    </row>
    <row r="6" spans="2:31" ht="12" thickBot="1">
      <c r="B6" s="876" t="s">
        <v>1251</v>
      </c>
      <c r="C6" s="876"/>
      <c r="D6" s="876"/>
      <c r="E6" s="876"/>
      <c r="F6" s="876"/>
      <c r="G6" s="876"/>
      <c r="H6" s="876"/>
      <c r="I6" s="876"/>
      <c r="J6" s="877" t="s">
        <v>1313</v>
      </c>
      <c r="K6" s="877" t="s">
        <v>1309</v>
      </c>
      <c r="L6" s="877" t="s">
        <v>1310</v>
      </c>
      <c r="M6" s="877" t="s">
        <v>1310</v>
      </c>
      <c r="N6" s="877" t="s">
        <v>1724</v>
      </c>
      <c r="O6" s="877" t="s">
        <v>1725</v>
      </c>
      <c r="P6" s="877" t="s">
        <v>1726</v>
      </c>
      <c r="Q6" s="877" t="s">
        <v>1727</v>
      </c>
      <c r="R6" s="877" t="s">
        <v>1728</v>
      </c>
      <c r="U6" s="876" t="s">
        <v>1251</v>
      </c>
      <c r="V6" s="876"/>
      <c r="W6" s="1148">
        <v>2010</v>
      </c>
      <c r="X6" s="1148" t="s">
        <v>2161</v>
      </c>
      <c r="Y6" s="1149" t="s">
        <v>2142</v>
      </c>
      <c r="Z6" s="1148">
        <v>2011</v>
      </c>
      <c r="AA6" s="1148">
        <v>2012</v>
      </c>
      <c r="AB6" s="1148">
        <v>2013</v>
      </c>
      <c r="AC6" s="1148">
        <v>2014</v>
      </c>
      <c r="AD6" s="1148">
        <v>2015</v>
      </c>
      <c r="AE6" s="1148">
        <v>2016</v>
      </c>
    </row>
    <row r="7" spans="2:31" s="878" customFormat="1">
      <c r="B7" s="878" t="s">
        <v>1605</v>
      </c>
      <c r="J7" s="878">
        <f>IS!E4/1000000</f>
        <v>3046678.6757970001</v>
      </c>
      <c r="K7" s="878">
        <f>IS!F4/1000000</f>
        <v>1606909.618359</v>
      </c>
      <c r="L7" s="878">
        <f>매출추정!J11</f>
        <v>1826768.9985385463</v>
      </c>
      <c r="M7" s="878">
        <f>K7+L7</f>
        <v>3433678.6168975462</v>
      </c>
      <c r="N7" s="878">
        <f>매출추정!L11</f>
        <v>3874341.5840919763</v>
      </c>
      <c r="O7" s="878">
        <f>매출추정!M11</f>
        <v>4226781.2635950102</v>
      </c>
      <c r="P7" s="878">
        <f>매출추정!N11</f>
        <v>4456133.2940086992</v>
      </c>
      <c r="Q7" s="878">
        <f>매출추정!O11</f>
        <v>4697930.3388611386</v>
      </c>
      <c r="R7" s="878">
        <f>매출추정!P11</f>
        <v>4952847.6848899331</v>
      </c>
      <c r="U7" s="878" t="s">
        <v>1605</v>
      </c>
      <c r="W7" s="879">
        <f>J7</f>
        <v>3046678.6757970001</v>
      </c>
      <c r="X7" s="879">
        <f t="shared" ref="X7:X70" si="0">K7</f>
        <v>1606909.618359</v>
      </c>
      <c r="Y7" s="1210">
        <f t="shared" ref="Y7:Y70" si="1">L7</f>
        <v>1826768.9985385463</v>
      </c>
      <c r="Z7" s="955">
        <f t="shared" ref="Z7:Z70" si="2">M7</f>
        <v>3433678.6168975462</v>
      </c>
      <c r="AA7" s="955">
        <f t="shared" ref="AA7:AA70" si="3">N7</f>
        <v>3874341.5840919763</v>
      </c>
      <c r="AB7" s="955">
        <f t="shared" ref="AB7:AB70" si="4">O7</f>
        <v>4226781.2635950102</v>
      </c>
      <c r="AC7" s="955">
        <f t="shared" ref="AC7:AC70" si="5">P7</f>
        <v>4456133.2940086992</v>
      </c>
      <c r="AD7" s="955">
        <f t="shared" ref="AD7:AD70" si="6">Q7</f>
        <v>4697930.3388611386</v>
      </c>
      <c r="AE7" s="955">
        <f t="shared" ref="AE7:AE70" si="7">R7</f>
        <v>4952847.6848899331</v>
      </c>
    </row>
    <row r="8" spans="2:31" s="878" customFormat="1">
      <c r="B8" s="878" t="s">
        <v>1606</v>
      </c>
      <c r="J8" s="878">
        <f>IS!E5/1000000</f>
        <v>2286620.4427060001</v>
      </c>
      <c r="K8" s="878">
        <f>IS!F5/1000000</f>
        <v>1195964.884535</v>
      </c>
      <c r="L8" s="878">
        <f>매출원가추정!I6</f>
        <v>1356934.8915909547</v>
      </c>
      <c r="M8" s="878">
        <f>K8+L8</f>
        <v>2552899.7761259545</v>
      </c>
      <c r="N8" s="878">
        <f>매출원가추정!K6</f>
        <v>2866586.5397059345</v>
      </c>
      <c r="O8" s="878">
        <f>매출원가추정!L6</f>
        <v>3115027.9627999715</v>
      </c>
      <c r="P8" s="878">
        <f>매출원가추정!M6</f>
        <v>3271060.4997817618</v>
      </c>
      <c r="Q8" s="878">
        <f>매출원가추정!N6</f>
        <v>3434854.5432893671</v>
      </c>
      <c r="R8" s="878">
        <f>매출원가추정!O6</f>
        <v>3606792.9868971063</v>
      </c>
      <c r="U8" s="880" t="s">
        <v>1606</v>
      </c>
      <c r="V8" s="880"/>
      <c r="W8" s="881">
        <f t="shared" ref="W8:W71" si="8">J8</f>
        <v>2286620.4427060001</v>
      </c>
      <c r="X8" s="881">
        <f t="shared" si="0"/>
        <v>1195964.884535</v>
      </c>
      <c r="Y8" s="1211">
        <f t="shared" si="1"/>
        <v>1356934.8915909547</v>
      </c>
      <c r="Z8" s="881">
        <f t="shared" si="2"/>
        <v>2552899.7761259545</v>
      </c>
      <c r="AA8" s="881">
        <f t="shared" si="3"/>
        <v>2866586.5397059345</v>
      </c>
      <c r="AB8" s="881">
        <f t="shared" si="4"/>
        <v>3115027.9627999715</v>
      </c>
      <c r="AC8" s="881">
        <f t="shared" si="5"/>
        <v>3271060.4997817618</v>
      </c>
      <c r="AD8" s="881">
        <f t="shared" si="6"/>
        <v>3434854.5432893671</v>
      </c>
      <c r="AE8" s="881">
        <f t="shared" si="7"/>
        <v>3606792.9868971063</v>
      </c>
    </row>
    <row r="9" spans="2:31" s="878" customFormat="1">
      <c r="B9" s="878" t="s">
        <v>1607</v>
      </c>
      <c r="J9" s="878">
        <f>J7-J8</f>
        <v>760058.233091</v>
      </c>
      <c r="K9" s="878">
        <f>K7-K8</f>
        <v>410944.733824</v>
      </c>
      <c r="L9" s="878">
        <f t="shared" ref="L9:R9" si="9">L7-L8</f>
        <v>469834.10694759153</v>
      </c>
      <c r="M9" s="878">
        <f t="shared" si="9"/>
        <v>880778.84077159176</v>
      </c>
      <c r="N9" s="878">
        <f t="shared" si="9"/>
        <v>1007755.0443860418</v>
      </c>
      <c r="O9" s="878">
        <f t="shared" si="9"/>
        <v>1111753.3007950387</v>
      </c>
      <c r="P9" s="878">
        <f t="shared" si="9"/>
        <v>1185072.7942269375</v>
      </c>
      <c r="Q9" s="878">
        <f t="shared" si="9"/>
        <v>1263075.7955717715</v>
      </c>
      <c r="R9" s="878">
        <f t="shared" si="9"/>
        <v>1346054.6979928268</v>
      </c>
      <c r="U9" s="878" t="s">
        <v>1607</v>
      </c>
      <c r="W9" s="879">
        <f t="shared" si="8"/>
        <v>760058.233091</v>
      </c>
      <c r="X9" s="879">
        <f t="shared" si="0"/>
        <v>410944.733824</v>
      </c>
      <c r="Y9" s="1210">
        <f t="shared" si="1"/>
        <v>469834.10694759153</v>
      </c>
      <c r="Z9" s="955">
        <f t="shared" si="2"/>
        <v>880778.84077159176</v>
      </c>
      <c r="AA9" s="955">
        <f t="shared" si="3"/>
        <v>1007755.0443860418</v>
      </c>
      <c r="AB9" s="955">
        <f t="shared" si="4"/>
        <v>1111753.3007950387</v>
      </c>
      <c r="AC9" s="955">
        <f t="shared" si="5"/>
        <v>1185072.7942269375</v>
      </c>
      <c r="AD9" s="955">
        <f t="shared" si="6"/>
        <v>1263075.7955717715</v>
      </c>
      <c r="AE9" s="955">
        <f t="shared" si="7"/>
        <v>1346054.6979928268</v>
      </c>
    </row>
    <row r="10" spans="2:31" s="878" customFormat="1">
      <c r="B10" s="878" t="s">
        <v>1608</v>
      </c>
      <c r="J10" s="878">
        <f>J11+J33+J36+J48</f>
        <v>545196.42300000007</v>
      </c>
      <c r="K10" s="878">
        <f>K11+K33+K36+K48</f>
        <v>282729.18200000003</v>
      </c>
      <c r="L10" s="878">
        <f t="shared" ref="L10:R10" si="10">L11+L33+L36+L48</f>
        <v>303638.23449101381</v>
      </c>
      <c r="M10" s="878">
        <f t="shared" si="10"/>
        <v>586367.41649101372</v>
      </c>
      <c r="N10" s="878">
        <f t="shared" si="10"/>
        <v>648065.320557912</v>
      </c>
      <c r="O10" s="878">
        <f t="shared" si="10"/>
        <v>699825.44211068831</v>
      </c>
      <c r="P10" s="878">
        <f t="shared" si="10"/>
        <v>739620.43811773625</v>
      </c>
      <c r="Q10" s="878">
        <f t="shared" si="10"/>
        <v>781180.76366631861</v>
      </c>
      <c r="R10" s="878">
        <f t="shared" si="10"/>
        <v>822343.30504078092</v>
      </c>
      <c r="U10" s="878" t="s">
        <v>1608</v>
      </c>
      <c r="W10" s="879">
        <f t="shared" si="8"/>
        <v>545196.42300000007</v>
      </c>
      <c r="X10" s="879">
        <f t="shared" si="0"/>
        <v>282729.18200000003</v>
      </c>
      <c r="Y10" s="1210">
        <f t="shared" si="1"/>
        <v>303638.23449101381</v>
      </c>
      <c r="Z10" s="955">
        <f t="shared" si="2"/>
        <v>586367.41649101372</v>
      </c>
      <c r="AA10" s="955">
        <f t="shared" si="3"/>
        <v>648065.320557912</v>
      </c>
      <c r="AB10" s="955">
        <f t="shared" si="4"/>
        <v>699825.44211068831</v>
      </c>
      <c r="AC10" s="955">
        <f t="shared" si="5"/>
        <v>739620.43811773625</v>
      </c>
      <c r="AD10" s="955">
        <f t="shared" si="6"/>
        <v>781180.76366631861</v>
      </c>
      <c r="AE10" s="955">
        <f t="shared" si="7"/>
        <v>822343.30504078092</v>
      </c>
    </row>
    <row r="11" spans="2:31" s="878" customFormat="1">
      <c r="C11" s="878" t="s">
        <v>1609</v>
      </c>
      <c r="J11" s="878">
        <f>SUM(J12:J32)</f>
        <v>451499.4580000001</v>
      </c>
      <c r="K11" s="878">
        <f>SUM(K12:K32)</f>
        <v>234927.30500000008</v>
      </c>
      <c r="L11" s="878">
        <f t="shared" ref="L11:R11" si="11">SUM(L12:L32)</f>
        <v>247088.82838976066</v>
      </c>
      <c r="M11" s="878">
        <f t="shared" si="11"/>
        <v>482016.13338976051</v>
      </c>
      <c r="N11" s="878">
        <f t="shared" si="11"/>
        <v>528131.31916579965</v>
      </c>
      <c r="O11" s="878">
        <f t="shared" si="11"/>
        <v>568981.32861444168</v>
      </c>
      <c r="P11" s="878">
        <f t="shared" si="11"/>
        <v>601676.51007548696</v>
      </c>
      <c r="Q11" s="878">
        <f t="shared" si="11"/>
        <v>635751.77358591207</v>
      </c>
      <c r="R11" s="878">
        <f t="shared" si="11"/>
        <v>669023.10127415101</v>
      </c>
      <c r="V11" s="882" t="s">
        <v>1609</v>
      </c>
      <c r="W11" s="872">
        <f t="shared" si="8"/>
        <v>451499.4580000001</v>
      </c>
      <c r="X11" s="872">
        <f t="shared" si="0"/>
        <v>234927.30500000008</v>
      </c>
      <c r="Y11" s="1212">
        <f t="shared" si="1"/>
        <v>247088.82838976066</v>
      </c>
      <c r="Z11" s="956">
        <f t="shared" si="2"/>
        <v>482016.13338976051</v>
      </c>
      <c r="AA11" s="956">
        <f t="shared" si="3"/>
        <v>528131.31916579965</v>
      </c>
      <c r="AB11" s="955">
        <f t="shared" si="4"/>
        <v>568981.32861444168</v>
      </c>
      <c r="AC11" s="955">
        <f t="shared" si="5"/>
        <v>601676.51007548696</v>
      </c>
      <c r="AD11" s="955">
        <f t="shared" si="6"/>
        <v>635751.77358591207</v>
      </c>
      <c r="AE11" s="955">
        <f t="shared" si="7"/>
        <v>669023.10127415101</v>
      </c>
    </row>
    <row r="12" spans="2:31" hidden="1" outlineLevel="1">
      <c r="D12" s="871" t="s">
        <v>853</v>
      </c>
      <c r="J12" s="871">
        <f>IS!E9/1000000</f>
        <v>114125.773</v>
      </c>
      <c r="K12" s="871">
        <f>IS!F9/1000000</f>
        <v>56124.112000000001</v>
      </c>
      <c r="L12" s="871">
        <f>'R-SG&amp;A'!H5</f>
        <v>58037.010574429944</v>
      </c>
      <c r="M12" s="871">
        <f>K12+L12</f>
        <v>114161.12257442994</v>
      </c>
      <c r="N12" s="871">
        <f>'R-SG&amp;A'!J5</f>
        <v>131790.0744969619</v>
      </c>
      <c r="O12" s="871">
        <f>'R-SG&amp;A'!K5</f>
        <v>145301.2863791105</v>
      </c>
      <c r="P12" s="871">
        <f>'R-SG&amp;A'!L5</f>
        <v>157265.58661350506</v>
      </c>
      <c r="Q12" s="871">
        <f>'R-SG&amp;A'!M5</f>
        <v>169381.73199918788</v>
      </c>
      <c r="R12" s="871">
        <f>'R-SG&amp;A'!N5</f>
        <v>181504.08469965216</v>
      </c>
      <c r="S12" s="878"/>
      <c r="T12" s="878"/>
      <c r="V12" s="882"/>
      <c r="W12" s="872">
        <f t="shared" si="8"/>
        <v>114125.773</v>
      </c>
      <c r="X12" s="872">
        <f t="shared" si="0"/>
        <v>56124.112000000001</v>
      </c>
      <c r="Y12" s="1212">
        <f t="shared" si="1"/>
        <v>58037.010574429944</v>
      </c>
      <c r="Z12" s="956">
        <f t="shared" si="2"/>
        <v>114161.12257442994</v>
      </c>
      <c r="AA12" s="956">
        <f t="shared" si="3"/>
        <v>131790.0744969619</v>
      </c>
      <c r="AB12" s="956">
        <f t="shared" si="4"/>
        <v>145301.2863791105</v>
      </c>
      <c r="AC12" s="956">
        <f t="shared" si="5"/>
        <v>157265.58661350506</v>
      </c>
      <c r="AD12" s="956">
        <f t="shared" si="6"/>
        <v>169381.73199918788</v>
      </c>
      <c r="AE12" s="956">
        <f t="shared" si="7"/>
        <v>181504.08469965216</v>
      </c>
    </row>
    <row r="13" spans="2:31" hidden="1" outlineLevel="1">
      <c r="D13" s="871" t="s">
        <v>852</v>
      </c>
      <c r="J13" s="871">
        <f>IS!E10/1000000</f>
        <v>8787.2780000000002</v>
      </c>
      <c r="K13" s="871">
        <f>IS!F10/1000000</f>
        <v>4879.1750000000002</v>
      </c>
      <c r="L13" s="871">
        <f>'R-SG&amp;A'!H6</f>
        <v>4626.5729265117025</v>
      </c>
      <c r="M13" s="871">
        <f t="shared" ref="M13:M32" si="12">K13+L13</f>
        <v>9505.7479265117036</v>
      </c>
      <c r="N13" s="871">
        <f>'R-SG&amp;A'!J6</f>
        <v>10505.99237651367</v>
      </c>
      <c r="O13" s="871">
        <f>'R-SG&amp;A'!K6</f>
        <v>11583.074164145459</v>
      </c>
      <c r="P13" s="871">
        <f>'R-SG&amp;A'!L6</f>
        <v>12536.839821632568</v>
      </c>
      <c r="Q13" s="871">
        <f>'R-SG&amp;A'!M6</f>
        <v>13502.71021468443</v>
      </c>
      <c r="R13" s="871">
        <f>'R-SG&amp;A'!N6</f>
        <v>14469.0754401584</v>
      </c>
      <c r="S13" s="878"/>
      <c r="T13" s="878"/>
      <c r="V13" s="882"/>
      <c r="W13" s="872">
        <f t="shared" si="8"/>
        <v>8787.2780000000002</v>
      </c>
      <c r="X13" s="872">
        <f t="shared" si="0"/>
        <v>4879.1750000000002</v>
      </c>
      <c r="Y13" s="1212">
        <f t="shared" si="1"/>
        <v>4626.5729265117025</v>
      </c>
      <c r="Z13" s="956">
        <f t="shared" si="2"/>
        <v>9505.7479265117036</v>
      </c>
      <c r="AA13" s="956">
        <f t="shared" si="3"/>
        <v>10505.99237651367</v>
      </c>
      <c r="AB13" s="956">
        <f t="shared" si="4"/>
        <v>11583.074164145459</v>
      </c>
      <c r="AC13" s="956">
        <f t="shared" si="5"/>
        <v>12536.839821632568</v>
      </c>
      <c r="AD13" s="956">
        <f t="shared" si="6"/>
        <v>13502.71021468443</v>
      </c>
      <c r="AE13" s="956">
        <f t="shared" si="7"/>
        <v>14469.0754401584</v>
      </c>
    </row>
    <row r="14" spans="2:31" hidden="1" outlineLevel="1">
      <c r="D14" s="871" t="s">
        <v>851</v>
      </c>
      <c r="J14" s="871">
        <f>IS!E11/1000000</f>
        <v>29431.178</v>
      </c>
      <c r="K14" s="871">
        <f>IS!F11/1000000</f>
        <v>15517.392</v>
      </c>
      <c r="L14" s="871">
        <f>'R-SG&amp;A'!H7</f>
        <v>15465.284806569514</v>
      </c>
      <c r="M14" s="871">
        <f t="shared" si="12"/>
        <v>30982.676806569514</v>
      </c>
      <c r="N14" s="871">
        <f>'R-SG&amp;A'!J7</f>
        <v>35118.470379528997</v>
      </c>
      <c r="O14" s="871">
        <f>'R-SG&amp;A'!K7</f>
        <v>38718.840863314668</v>
      </c>
      <c r="P14" s="871">
        <f>'R-SG&amp;A'!L7</f>
        <v>41907.001466434012</v>
      </c>
      <c r="Q14" s="871">
        <f>'R-SG&amp;A'!M7</f>
        <v>45135.624672432554</v>
      </c>
      <c r="R14" s="871">
        <f>'R-SG&amp;A'!N7</f>
        <v>48365.901958991592</v>
      </c>
      <c r="S14" s="878"/>
      <c r="T14" s="878"/>
      <c r="V14" s="882"/>
      <c r="W14" s="872">
        <f t="shared" si="8"/>
        <v>29431.178</v>
      </c>
      <c r="X14" s="872">
        <f t="shared" si="0"/>
        <v>15517.392</v>
      </c>
      <c r="Y14" s="1212">
        <f t="shared" si="1"/>
        <v>15465.284806569514</v>
      </c>
      <c r="Z14" s="956">
        <f t="shared" si="2"/>
        <v>30982.676806569514</v>
      </c>
      <c r="AA14" s="956">
        <f t="shared" si="3"/>
        <v>35118.470379528997</v>
      </c>
      <c r="AB14" s="956">
        <f t="shared" si="4"/>
        <v>38718.840863314668</v>
      </c>
      <c r="AC14" s="956">
        <f t="shared" si="5"/>
        <v>41907.001466434012</v>
      </c>
      <c r="AD14" s="956">
        <f t="shared" si="6"/>
        <v>45135.624672432554</v>
      </c>
      <c r="AE14" s="956">
        <f t="shared" si="7"/>
        <v>48365.901958991592</v>
      </c>
    </row>
    <row r="15" spans="2:31" hidden="1" outlineLevel="1">
      <c r="D15" s="871" t="s">
        <v>843</v>
      </c>
      <c r="J15" s="871">
        <f>IS!E12/1000000</f>
        <v>37613.578000000001</v>
      </c>
      <c r="K15" s="871">
        <f>IS!F12/1000000</f>
        <v>18808.381000000001</v>
      </c>
      <c r="L15" s="871">
        <f>'R-SG&amp;A'!H15</f>
        <v>21024.398101999999</v>
      </c>
      <c r="M15" s="871">
        <f t="shared" si="12"/>
        <v>39832.779102</v>
      </c>
      <c r="N15" s="871">
        <f>'R-SG&amp;A'!J15</f>
        <v>40788.765800447996</v>
      </c>
      <c r="O15" s="871">
        <f>'R-SG&amp;A'!K15</f>
        <v>42216.372603463678</v>
      </c>
      <c r="P15" s="871">
        <f>'R-SG&amp;A'!L15</f>
        <v>43693.945644584899</v>
      </c>
      <c r="Q15" s="871">
        <f>'R-SG&amp;A'!M15</f>
        <v>45223.23374214537</v>
      </c>
      <c r="R15" s="871">
        <f>'R-SG&amp;A'!N15</f>
        <v>46806.046923120455</v>
      </c>
      <c r="S15" s="878"/>
      <c r="T15" s="878"/>
      <c r="V15" s="882"/>
      <c r="W15" s="872">
        <f t="shared" si="8"/>
        <v>37613.578000000001</v>
      </c>
      <c r="X15" s="872">
        <f t="shared" si="0"/>
        <v>18808.381000000001</v>
      </c>
      <c r="Y15" s="1212">
        <f t="shared" si="1"/>
        <v>21024.398101999999</v>
      </c>
      <c r="Z15" s="956">
        <f t="shared" si="2"/>
        <v>39832.779102</v>
      </c>
      <c r="AA15" s="956">
        <f t="shared" si="3"/>
        <v>40788.765800447996</v>
      </c>
      <c r="AB15" s="956">
        <f t="shared" si="4"/>
        <v>42216.372603463678</v>
      </c>
      <c r="AC15" s="956">
        <f t="shared" si="5"/>
        <v>43693.945644584899</v>
      </c>
      <c r="AD15" s="956">
        <f t="shared" si="6"/>
        <v>45223.23374214537</v>
      </c>
      <c r="AE15" s="956">
        <f t="shared" si="7"/>
        <v>46806.046923120455</v>
      </c>
    </row>
    <row r="16" spans="2:31" hidden="1" outlineLevel="1">
      <c r="D16" s="871" t="s">
        <v>1347</v>
      </c>
      <c r="J16" s="871">
        <f>IS!E13/1000000</f>
        <v>56520.802000000003</v>
      </c>
      <c r="K16" s="871">
        <f>IS!F13/1000000</f>
        <v>34959.809000000001</v>
      </c>
      <c r="L16" s="871">
        <f>'R-SG&amp;A'!H10</f>
        <v>32844.328702049243</v>
      </c>
      <c r="M16" s="871">
        <f t="shared" si="12"/>
        <v>67804.137702049251</v>
      </c>
      <c r="N16" s="871">
        <f>'R-SG&amp;A'!J10</f>
        <v>69658.587699779149</v>
      </c>
      <c r="O16" s="871">
        <f>'R-SG&amp;A'!K10</f>
        <v>75995.264471994611</v>
      </c>
      <c r="P16" s="871">
        <f>'R-SG&amp;A'!L10</f>
        <v>80118.891203900013</v>
      </c>
      <c r="Q16" s="871">
        <f>'R-SG&amp;A'!M10</f>
        <v>84466.272633446468</v>
      </c>
      <c r="R16" s="871">
        <f>'R-SG&amp;A'!N10</f>
        <v>89049.550054686915</v>
      </c>
      <c r="S16" s="878"/>
      <c r="T16" s="878"/>
      <c r="V16" s="882"/>
      <c r="W16" s="872">
        <f t="shared" si="8"/>
        <v>56520.802000000003</v>
      </c>
      <c r="X16" s="872">
        <f t="shared" si="0"/>
        <v>34959.809000000001</v>
      </c>
      <c r="Y16" s="1212">
        <f t="shared" si="1"/>
        <v>32844.328702049243</v>
      </c>
      <c r="Z16" s="956">
        <f t="shared" si="2"/>
        <v>67804.137702049251</v>
      </c>
      <c r="AA16" s="956">
        <f t="shared" si="3"/>
        <v>69658.587699779149</v>
      </c>
      <c r="AB16" s="956">
        <f t="shared" si="4"/>
        <v>75995.264471994611</v>
      </c>
      <c r="AC16" s="956">
        <f t="shared" si="5"/>
        <v>80118.891203900013</v>
      </c>
      <c r="AD16" s="956">
        <f t="shared" si="6"/>
        <v>84466.272633446468</v>
      </c>
      <c r="AE16" s="956">
        <f t="shared" si="7"/>
        <v>89049.550054686915</v>
      </c>
    </row>
    <row r="17" spans="4:31" hidden="1" outlineLevel="1">
      <c r="D17" s="871" t="s">
        <v>1348</v>
      </c>
      <c r="J17" s="871">
        <f>IS!E14/1000000</f>
        <v>84048.649000000005</v>
      </c>
      <c r="K17" s="871">
        <f>IS!F14/1000000</f>
        <v>41974.209000000003</v>
      </c>
      <c r="L17" s="871">
        <f>'R-SG&amp;A'!H11</f>
        <v>46166.428430881831</v>
      </c>
      <c r="M17" s="871">
        <f t="shared" si="12"/>
        <v>88140.637430881834</v>
      </c>
      <c r="N17" s="871">
        <f>'R-SG&amp;A'!J11</f>
        <v>96704.596976222994</v>
      </c>
      <c r="O17" s="871">
        <f>'R-SG&amp;A'!K11</f>
        <v>103992.33690346745</v>
      </c>
      <c r="P17" s="871">
        <f>'R-SG&amp;A'!L11</f>
        <v>108957.98167567659</v>
      </c>
      <c r="Q17" s="871">
        <f>'R-SG&amp;A'!M11</f>
        <v>114115.26078975905</v>
      </c>
      <c r="R17" s="871">
        <f>'R-SG&amp;A'!N11</f>
        <v>119531.24342960458</v>
      </c>
      <c r="S17" s="878"/>
      <c r="T17" s="878"/>
      <c r="V17" s="882"/>
      <c r="W17" s="872">
        <f t="shared" si="8"/>
        <v>84048.649000000005</v>
      </c>
      <c r="X17" s="872">
        <f t="shared" si="0"/>
        <v>41974.209000000003</v>
      </c>
      <c r="Y17" s="1212">
        <f t="shared" si="1"/>
        <v>46166.428430881831</v>
      </c>
      <c r="Z17" s="956">
        <f t="shared" si="2"/>
        <v>88140.637430881834</v>
      </c>
      <c r="AA17" s="956">
        <f t="shared" si="3"/>
        <v>96704.596976222994</v>
      </c>
      <c r="AB17" s="956">
        <f t="shared" si="4"/>
        <v>103992.33690346745</v>
      </c>
      <c r="AC17" s="956">
        <f t="shared" si="5"/>
        <v>108957.98167567659</v>
      </c>
      <c r="AD17" s="956">
        <f t="shared" si="6"/>
        <v>114115.26078975905</v>
      </c>
      <c r="AE17" s="956">
        <f t="shared" si="7"/>
        <v>119531.24342960458</v>
      </c>
    </row>
    <row r="18" spans="4:31" hidden="1" outlineLevel="1">
      <c r="D18" s="871" t="s">
        <v>842</v>
      </c>
      <c r="J18" s="871">
        <f>IS!E15/1000000</f>
        <v>53038.998</v>
      </c>
      <c r="K18" s="871">
        <f>IS!F15/1000000</f>
        <v>27737.870999999999</v>
      </c>
      <c r="L18" s="871">
        <f>'R-SG&amp;A'!H16</f>
        <v>30569.296455671185</v>
      </c>
      <c r="M18" s="871">
        <f t="shared" si="12"/>
        <v>58307.167455671181</v>
      </c>
      <c r="N18" s="871">
        <f>'R-SG&amp;A'!J16</f>
        <v>67704.121025678309</v>
      </c>
      <c r="O18" s="871">
        <f>'R-SG&amp;A'!K16</f>
        <v>73450.814189845827</v>
      </c>
      <c r="P18" s="871">
        <f>'R-SG&amp;A'!L16</f>
        <v>78045.711387871517</v>
      </c>
      <c r="Q18" s="871">
        <f>'R-SG&amp;A'!M16</f>
        <v>82465.837861237</v>
      </c>
      <c r="R18" s="871">
        <f>'R-SG&amp;A'!N16</f>
        <v>86612.819127776602</v>
      </c>
      <c r="S18" s="878"/>
      <c r="T18" s="878"/>
      <c r="V18" s="882"/>
      <c r="W18" s="872">
        <f t="shared" si="8"/>
        <v>53038.998</v>
      </c>
      <c r="X18" s="872">
        <f t="shared" si="0"/>
        <v>27737.870999999999</v>
      </c>
      <c r="Y18" s="1212">
        <f t="shared" si="1"/>
        <v>30569.296455671185</v>
      </c>
      <c r="Z18" s="956">
        <f t="shared" si="2"/>
        <v>58307.167455671181</v>
      </c>
      <c r="AA18" s="956">
        <f t="shared" si="3"/>
        <v>67704.121025678309</v>
      </c>
      <c r="AB18" s="956">
        <f t="shared" si="4"/>
        <v>73450.814189845827</v>
      </c>
      <c r="AC18" s="956">
        <f t="shared" si="5"/>
        <v>78045.711387871517</v>
      </c>
      <c r="AD18" s="956">
        <f t="shared" si="6"/>
        <v>82465.837861237</v>
      </c>
      <c r="AE18" s="956">
        <f t="shared" si="7"/>
        <v>86612.819127776602</v>
      </c>
    </row>
    <row r="19" spans="4:31" hidden="1" outlineLevel="1">
      <c r="D19" s="871" t="s">
        <v>829</v>
      </c>
      <c r="J19" s="871">
        <f>IS!E16/1000000</f>
        <v>36189.728000000003</v>
      </c>
      <c r="K19" s="871">
        <f>IS!F16/1000000</f>
        <v>19527.25</v>
      </c>
      <c r="L19" s="871">
        <f>'R-SG&amp;A'!H29</f>
        <v>19981.129679824939</v>
      </c>
      <c r="M19" s="871">
        <f t="shared" si="12"/>
        <v>39508.379679824939</v>
      </c>
      <c r="N19" s="871">
        <f>'R-SG&amp;A'!J29</f>
        <v>40901.901556165321</v>
      </c>
      <c r="O19" s="871">
        <f>'R-SG&amp;A'!K29</f>
        <v>41375.188023609779</v>
      </c>
      <c r="P19" s="871">
        <f>'R-SG&amp;A'!L29</f>
        <v>41416.39768014384</v>
      </c>
      <c r="Q19" s="871">
        <f>'R-SG&amp;A'!M29</f>
        <v>42308.370678765932</v>
      </c>
      <c r="R19" s="871">
        <f>'R-SG&amp;A'!N29</f>
        <v>42465.173174223091</v>
      </c>
      <c r="S19" s="878"/>
      <c r="T19" s="878"/>
      <c r="V19" s="882"/>
      <c r="W19" s="872">
        <f t="shared" si="8"/>
        <v>36189.728000000003</v>
      </c>
      <c r="X19" s="872">
        <f t="shared" si="0"/>
        <v>19527.25</v>
      </c>
      <c r="Y19" s="1212">
        <f t="shared" si="1"/>
        <v>19981.129679824939</v>
      </c>
      <c r="Z19" s="956">
        <f t="shared" si="2"/>
        <v>39508.379679824939</v>
      </c>
      <c r="AA19" s="956">
        <f t="shared" si="3"/>
        <v>40901.901556165321</v>
      </c>
      <c r="AB19" s="956">
        <f t="shared" si="4"/>
        <v>41375.188023609779</v>
      </c>
      <c r="AC19" s="956">
        <f t="shared" si="5"/>
        <v>41416.39768014384</v>
      </c>
      <c r="AD19" s="956">
        <f t="shared" si="6"/>
        <v>42308.370678765932</v>
      </c>
      <c r="AE19" s="956">
        <f t="shared" si="7"/>
        <v>42465.173174223091</v>
      </c>
    </row>
    <row r="20" spans="4:31" hidden="1" outlineLevel="1">
      <c r="D20" s="871" t="s">
        <v>870</v>
      </c>
      <c r="J20" s="871">
        <f>IS!E17/1000000</f>
        <v>407.86799999999999</v>
      </c>
      <c r="K20" s="871">
        <f>IS!F17/1000000</f>
        <v>229.184</v>
      </c>
      <c r="L20" s="871">
        <f>'R-SG&amp;A'!H30</f>
        <v>392.62514320000002</v>
      </c>
      <c r="M20" s="871">
        <f t="shared" si="12"/>
        <v>621.80914319999999</v>
      </c>
      <c r="N20" s="871">
        <f>'R-SG&amp;A'!J30</f>
        <v>810.6662864000001</v>
      </c>
      <c r="O20" s="871">
        <f>'R-SG&amp;A'!K30</f>
        <v>864.88708640000004</v>
      </c>
      <c r="P20" s="871">
        <f>'R-SG&amp;A'!L30</f>
        <v>900.80294432000005</v>
      </c>
      <c r="Q20" s="871">
        <f>'R-SG&amp;A'!M30</f>
        <v>926.23586120959999</v>
      </c>
      <c r="R20" s="871">
        <f>'R-SG&amp;A'!N30</f>
        <v>557.37893488460793</v>
      </c>
      <c r="S20" s="878"/>
      <c r="T20" s="878"/>
      <c r="V20" s="882"/>
      <c r="W20" s="872">
        <f t="shared" si="8"/>
        <v>407.86799999999999</v>
      </c>
      <c r="X20" s="872">
        <f t="shared" si="0"/>
        <v>229.184</v>
      </c>
      <c r="Y20" s="1212">
        <f t="shared" si="1"/>
        <v>392.62514320000002</v>
      </c>
      <c r="Z20" s="956">
        <f t="shared" si="2"/>
        <v>621.80914319999999</v>
      </c>
      <c r="AA20" s="956">
        <f t="shared" si="3"/>
        <v>810.6662864000001</v>
      </c>
      <c r="AB20" s="956">
        <f t="shared" si="4"/>
        <v>864.88708640000004</v>
      </c>
      <c r="AC20" s="956">
        <f t="shared" si="5"/>
        <v>900.80294432000005</v>
      </c>
      <c r="AD20" s="956">
        <f t="shared" si="6"/>
        <v>926.23586120959999</v>
      </c>
      <c r="AE20" s="956">
        <f t="shared" si="7"/>
        <v>557.37893488460793</v>
      </c>
    </row>
    <row r="21" spans="4:31" hidden="1" outlineLevel="1">
      <c r="D21" s="871" t="s">
        <v>841</v>
      </c>
      <c r="J21" s="871">
        <f>IS!E18/1000000</f>
        <v>11030.37</v>
      </c>
      <c r="K21" s="871">
        <f>IS!F18/1000000</f>
        <v>5895.2079999999996</v>
      </c>
      <c r="L21" s="871">
        <f>'R-SG&amp;A'!H17</f>
        <v>5785.9538300000004</v>
      </c>
      <c r="M21" s="871">
        <f t="shared" si="12"/>
        <v>11681.161830000001</v>
      </c>
      <c r="N21" s="871">
        <f>'R-SG&amp;A'!J17</f>
        <v>11961.509713920001</v>
      </c>
      <c r="O21" s="871">
        <f>'R-SG&amp;A'!K17</f>
        <v>12380.162553907199</v>
      </c>
      <c r="P21" s="871">
        <f>'R-SG&amp;A'!L17</f>
        <v>12813.468243293952</v>
      </c>
      <c r="Q21" s="871">
        <f>'R-SG&amp;A'!M17</f>
        <v>13261.939631809239</v>
      </c>
      <c r="R21" s="871">
        <f>'R-SG&amp;A'!N17</f>
        <v>13726.107518922561</v>
      </c>
      <c r="S21" s="878"/>
      <c r="T21" s="878"/>
      <c r="V21" s="882"/>
      <c r="W21" s="872">
        <f t="shared" si="8"/>
        <v>11030.37</v>
      </c>
      <c r="X21" s="872">
        <f t="shared" si="0"/>
        <v>5895.2079999999996</v>
      </c>
      <c r="Y21" s="1212">
        <f t="shared" si="1"/>
        <v>5785.9538300000004</v>
      </c>
      <c r="Z21" s="956">
        <f t="shared" si="2"/>
        <v>11681.161830000001</v>
      </c>
      <c r="AA21" s="956">
        <f t="shared" si="3"/>
        <v>11961.509713920001</v>
      </c>
      <c r="AB21" s="956">
        <f t="shared" si="4"/>
        <v>12380.162553907199</v>
      </c>
      <c r="AC21" s="956">
        <f t="shared" si="5"/>
        <v>12813.468243293952</v>
      </c>
      <c r="AD21" s="956">
        <f t="shared" si="6"/>
        <v>13261.939631809239</v>
      </c>
      <c r="AE21" s="956">
        <f t="shared" si="7"/>
        <v>13726.107518922561</v>
      </c>
    </row>
    <row r="22" spans="4:31" hidden="1" outlineLevel="1">
      <c r="D22" s="871" t="s">
        <v>840</v>
      </c>
      <c r="J22" s="871">
        <f>IS!E19/1000000</f>
        <v>3180.9430000000002</v>
      </c>
      <c r="K22" s="871">
        <f>IS!F19/1000000</f>
        <v>806.94600000000003</v>
      </c>
      <c r="L22" s="871">
        <f>'R-SG&amp;A'!H18</f>
        <v>2561.6726370000001</v>
      </c>
      <c r="M22" s="871">
        <f t="shared" si="12"/>
        <v>3368.618637</v>
      </c>
      <c r="N22" s="871">
        <f>'R-SG&amp;A'!J18</f>
        <v>3449.465484288</v>
      </c>
      <c r="O22" s="871">
        <f>'R-SG&amp;A'!K18</f>
        <v>3570.19677623808</v>
      </c>
      <c r="P22" s="871">
        <f>'R-SG&amp;A'!L18</f>
        <v>3695.1536634064128</v>
      </c>
      <c r="Q22" s="871">
        <f>'R-SG&amp;A'!M18</f>
        <v>3824.4840416256366</v>
      </c>
      <c r="R22" s="871">
        <f>'R-SG&amp;A'!N18</f>
        <v>3958.3409830825335</v>
      </c>
      <c r="S22" s="878"/>
      <c r="T22" s="878"/>
      <c r="V22" s="882"/>
      <c r="W22" s="872">
        <f t="shared" si="8"/>
        <v>3180.9430000000002</v>
      </c>
      <c r="X22" s="872">
        <f t="shared" si="0"/>
        <v>806.94600000000003</v>
      </c>
      <c r="Y22" s="1212">
        <f t="shared" si="1"/>
        <v>2561.6726370000001</v>
      </c>
      <c r="Z22" s="956">
        <f t="shared" si="2"/>
        <v>3368.618637</v>
      </c>
      <c r="AA22" s="956">
        <f t="shared" si="3"/>
        <v>3449.465484288</v>
      </c>
      <c r="AB22" s="956">
        <f t="shared" si="4"/>
        <v>3570.19677623808</v>
      </c>
      <c r="AC22" s="956">
        <f t="shared" si="5"/>
        <v>3695.1536634064128</v>
      </c>
      <c r="AD22" s="956">
        <f t="shared" si="6"/>
        <v>3824.4840416256366</v>
      </c>
      <c r="AE22" s="956">
        <f t="shared" si="7"/>
        <v>3958.3409830825335</v>
      </c>
    </row>
    <row r="23" spans="4:31" hidden="1" outlineLevel="1">
      <c r="D23" s="871" t="s">
        <v>839</v>
      </c>
      <c r="J23" s="871">
        <f>IS!E20/1000000</f>
        <v>2692.7559999999999</v>
      </c>
      <c r="K23" s="871">
        <f>IS!F20/1000000</f>
        <v>1533.0150000000001</v>
      </c>
      <c r="L23" s="871">
        <f>'R-SG&amp;A'!H19</f>
        <v>1318.6136039999999</v>
      </c>
      <c r="M23" s="871">
        <f t="shared" si="12"/>
        <v>2851.628604</v>
      </c>
      <c r="N23" s="871">
        <f>'R-SG&amp;A'!J19</f>
        <v>2920.0676904960001</v>
      </c>
      <c r="O23" s="871">
        <f>'R-SG&amp;A'!K19</f>
        <v>3022.2700596633599</v>
      </c>
      <c r="P23" s="871">
        <f>'R-SG&amp;A'!L19</f>
        <v>3128.0495117515775</v>
      </c>
      <c r="Q23" s="871">
        <f>'R-SG&amp;A'!M19</f>
        <v>3237.5312446628823</v>
      </c>
      <c r="R23" s="871">
        <f>'R-SG&amp;A'!N19</f>
        <v>3350.8448382260826</v>
      </c>
      <c r="S23" s="878"/>
      <c r="T23" s="878"/>
      <c r="V23" s="882"/>
      <c r="W23" s="872">
        <f t="shared" si="8"/>
        <v>2692.7559999999999</v>
      </c>
      <c r="X23" s="872">
        <f t="shared" si="0"/>
        <v>1533.0150000000001</v>
      </c>
      <c r="Y23" s="1212">
        <f t="shared" si="1"/>
        <v>1318.6136039999999</v>
      </c>
      <c r="Z23" s="956">
        <f t="shared" si="2"/>
        <v>2851.628604</v>
      </c>
      <c r="AA23" s="956">
        <f t="shared" si="3"/>
        <v>2920.0676904960001</v>
      </c>
      <c r="AB23" s="956">
        <f t="shared" si="4"/>
        <v>3022.2700596633599</v>
      </c>
      <c r="AC23" s="956">
        <f t="shared" si="5"/>
        <v>3128.0495117515775</v>
      </c>
      <c r="AD23" s="956">
        <f t="shared" si="6"/>
        <v>3237.5312446628823</v>
      </c>
      <c r="AE23" s="956">
        <f t="shared" si="7"/>
        <v>3350.8448382260826</v>
      </c>
    </row>
    <row r="24" spans="4:31" hidden="1" outlineLevel="1">
      <c r="D24" s="871" t="s">
        <v>838</v>
      </c>
      <c r="J24" s="871">
        <f>IS!E21/1000000</f>
        <v>1675.4179999999999</v>
      </c>
      <c r="K24" s="871">
        <f>IS!F21/1000000</f>
        <v>810.96100000000001</v>
      </c>
      <c r="L24" s="871">
        <f>'R-SG&amp;A'!H20</f>
        <v>963.30666199999996</v>
      </c>
      <c r="M24" s="871">
        <f t="shared" si="12"/>
        <v>1774.267662</v>
      </c>
      <c r="N24" s="871">
        <f>'R-SG&amp;A'!J20</f>
        <v>1816.850085888</v>
      </c>
      <c r="O24" s="871">
        <f>'R-SG&amp;A'!K20</f>
        <v>1880.4398388940799</v>
      </c>
      <c r="P24" s="871">
        <f>'R-SG&amp;A'!L20</f>
        <v>1946.2552332553726</v>
      </c>
      <c r="Q24" s="871">
        <f>'R-SG&amp;A'!M20</f>
        <v>2014.3741664193103</v>
      </c>
      <c r="R24" s="871">
        <f>'R-SG&amp;A'!N20</f>
        <v>2084.877262243986</v>
      </c>
      <c r="S24" s="878"/>
      <c r="T24" s="878"/>
      <c r="V24" s="882"/>
      <c r="W24" s="872">
        <f t="shared" si="8"/>
        <v>1675.4179999999999</v>
      </c>
      <c r="X24" s="872">
        <f t="shared" si="0"/>
        <v>810.96100000000001</v>
      </c>
      <c r="Y24" s="1212">
        <f t="shared" si="1"/>
        <v>963.30666199999996</v>
      </c>
      <c r="Z24" s="956">
        <f t="shared" si="2"/>
        <v>1774.267662</v>
      </c>
      <c r="AA24" s="956">
        <f t="shared" si="3"/>
        <v>1816.850085888</v>
      </c>
      <c r="AB24" s="956">
        <f t="shared" si="4"/>
        <v>1880.4398388940799</v>
      </c>
      <c r="AC24" s="956">
        <f t="shared" si="5"/>
        <v>1946.2552332553726</v>
      </c>
      <c r="AD24" s="956">
        <f t="shared" si="6"/>
        <v>2014.3741664193103</v>
      </c>
      <c r="AE24" s="956">
        <f t="shared" si="7"/>
        <v>2084.877262243986</v>
      </c>
    </row>
    <row r="25" spans="4:31" hidden="1" outlineLevel="1">
      <c r="D25" s="871" t="s">
        <v>837</v>
      </c>
      <c r="J25" s="871">
        <f>IS!E22/1000000</f>
        <v>1616.4059999999999</v>
      </c>
      <c r="K25" s="871">
        <f>IS!F22/1000000</f>
        <v>621.26099999999997</v>
      </c>
      <c r="L25" s="871">
        <f>'R-SG&amp;A'!H21</f>
        <v>1090.512954</v>
      </c>
      <c r="M25" s="871">
        <f t="shared" si="12"/>
        <v>1711.773954</v>
      </c>
      <c r="N25" s="871">
        <f>'R-SG&amp;A'!J21</f>
        <v>1752.8565288960001</v>
      </c>
      <c r="O25" s="871">
        <f>'R-SG&amp;A'!K21</f>
        <v>1814.20650740736</v>
      </c>
      <c r="P25" s="871">
        <f>'R-SG&amp;A'!L21</f>
        <v>1877.7037351666177</v>
      </c>
      <c r="Q25" s="871">
        <f>'R-SG&amp;A'!M21</f>
        <v>1943.423365897449</v>
      </c>
      <c r="R25" s="871">
        <f>'R-SG&amp;A'!N21</f>
        <v>2011.4431837038596</v>
      </c>
      <c r="S25" s="878"/>
      <c r="T25" s="878"/>
      <c r="V25" s="882"/>
      <c r="W25" s="872">
        <f t="shared" si="8"/>
        <v>1616.4059999999999</v>
      </c>
      <c r="X25" s="872">
        <f t="shared" si="0"/>
        <v>621.26099999999997</v>
      </c>
      <c r="Y25" s="1212">
        <f t="shared" si="1"/>
        <v>1090.512954</v>
      </c>
      <c r="Z25" s="956">
        <f t="shared" si="2"/>
        <v>1711.773954</v>
      </c>
      <c r="AA25" s="956">
        <f t="shared" si="3"/>
        <v>1752.8565288960001</v>
      </c>
      <c r="AB25" s="956">
        <f t="shared" si="4"/>
        <v>1814.20650740736</v>
      </c>
      <c r="AC25" s="956">
        <f t="shared" si="5"/>
        <v>1877.7037351666177</v>
      </c>
      <c r="AD25" s="956">
        <f t="shared" si="6"/>
        <v>1943.423365897449</v>
      </c>
      <c r="AE25" s="956">
        <f t="shared" si="7"/>
        <v>2011.4431837038596</v>
      </c>
    </row>
    <row r="26" spans="4:31" hidden="1" outlineLevel="1">
      <c r="D26" s="871" t="s">
        <v>836</v>
      </c>
      <c r="J26" s="871">
        <f>IS!E23/1000000</f>
        <v>4054.12</v>
      </c>
      <c r="K26" s="871">
        <f>IS!F23/1000000</f>
        <v>2055.02</v>
      </c>
      <c r="L26" s="871">
        <f>'R-SG&amp;A'!H22</f>
        <v>2238.2930799999999</v>
      </c>
      <c r="M26" s="871">
        <f t="shared" si="12"/>
        <v>4293.3130799999999</v>
      </c>
      <c r="N26" s="871">
        <f>'R-SG&amp;A'!J22</f>
        <v>4396.3525939199999</v>
      </c>
      <c r="O26" s="871">
        <f>'R-SG&amp;A'!K22</f>
        <v>4550.2249347072002</v>
      </c>
      <c r="P26" s="871">
        <f>'R-SG&amp;A'!L22</f>
        <v>4709.4828074219513</v>
      </c>
      <c r="Q26" s="871">
        <f>'R-SG&amp;A'!M22</f>
        <v>4874.3147056817188</v>
      </c>
      <c r="R26" s="871">
        <f>'R-SG&amp;A'!N22</f>
        <v>5044.9157203805789</v>
      </c>
      <c r="S26" s="878"/>
      <c r="T26" s="878"/>
      <c r="V26" s="882"/>
      <c r="W26" s="872">
        <f t="shared" si="8"/>
        <v>4054.12</v>
      </c>
      <c r="X26" s="872">
        <f t="shared" si="0"/>
        <v>2055.02</v>
      </c>
      <c r="Y26" s="1212">
        <f t="shared" si="1"/>
        <v>2238.2930799999999</v>
      </c>
      <c r="Z26" s="956">
        <f t="shared" si="2"/>
        <v>4293.3130799999999</v>
      </c>
      <c r="AA26" s="956">
        <f t="shared" si="3"/>
        <v>4396.3525939199999</v>
      </c>
      <c r="AB26" s="956">
        <f t="shared" si="4"/>
        <v>4550.2249347072002</v>
      </c>
      <c r="AC26" s="956">
        <f t="shared" si="5"/>
        <v>4709.4828074219513</v>
      </c>
      <c r="AD26" s="956">
        <f t="shared" si="6"/>
        <v>4874.3147056817188</v>
      </c>
      <c r="AE26" s="956">
        <f t="shared" si="7"/>
        <v>5044.9157203805789</v>
      </c>
    </row>
    <row r="27" spans="4:31" hidden="1" outlineLevel="1">
      <c r="D27" s="871" t="s">
        <v>835</v>
      </c>
      <c r="J27" s="871">
        <f>IS!E24/1000000</f>
        <v>687.24400000000003</v>
      </c>
      <c r="K27" s="871">
        <f>IS!F24/1000000</f>
        <v>291.17399999999998</v>
      </c>
      <c r="L27" s="871">
        <f>'R-SG&amp;A'!H23</f>
        <v>436.61739599999999</v>
      </c>
      <c r="M27" s="871">
        <f t="shared" si="12"/>
        <v>727.79139599999996</v>
      </c>
      <c r="N27" s="871">
        <f>'R-SG&amp;A'!J23</f>
        <v>745.25838950400009</v>
      </c>
      <c r="O27" s="871">
        <f>'R-SG&amp;A'!K23</f>
        <v>771.3424331366399</v>
      </c>
      <c r="P27" s="871">
        <f>'R-SG&amp;A'!L23</f>
        <v>798.3394182964222</v>
      </c>
      <c r="Q27" s="871">
        <f>'R-SG&amp;A'!M23</f>
        <v>826.28129793679693</v>
      </c>
      <c r="R27" s="871">
        <f>'R-SG&amp;A'!N23</f>
        <v>855.20114336458471</v>
      </c>
      <c r="S27" s="878"/>
      <c r="T27" s="878"/>
      <c r="V27" s="882"/>
      <c r="W27" s="872">
        <f t="shared" si="8"/>
        <v>687.24400000000003</v>
      </c>
      <c r="X27" s="872">
        <f t="shared" si="0"/>
        <v>291.17399999999998</v>
      </c>
      <c r="Y27" s="1212">
        <f t="shared" si="1"/>
        <v>436.61739599999999</v>
      </c>
      <c r="Z27" s="956">
        <f t="shared" si="2"/>
        <v>727.79139599999996</v>
      </c>
      <c r="AA27" s="956">
        <f t="shared" si="3"/>
        <v>745.25838950400009</v>
      </c>
      <c r="AB27" s="956">
        <f t="shared" si="4"/>
        <v>771.3424331366399</v>
      </c>
      <c r="AC27" s="956">
        <f t="shared" si="5"/>
        <v>798.3394182964222</v>
      </c>
      <c r="AD27" s="956">
        <f t="shared" si="6"/>
        <v>826.28129793679693</v>
      </c>
      <c r="AE27" s="956">
        <f t="shared" si="7"/>
        <v>855.20114336458471</v>
      </c>
    </row>
    <row r="28" spans="4:31" hidden="1" outlineLevel="1">
      <c r="D28" s="871" t="s">
        <v>1346</v>
      </c>
      <c r="J28" s="871">
        <f>IS!E25/1000000</f>
        <v>1756.877</v>
      </c>
      <c r="K28" s="871">
        <f>IS!F25/1000000</f>
        <v>915.12699999999995</v>
      </c>
      <c r="L28" s="871">
        <f>'R-SG&amp;A'!H8</f>
        <v>912.67455762225222</v>
      </c>
      <c r="M28" s="871">
        <f t="shared" si="12"/>
        <v>1827.8015576222522</v>
      </c>
      <c r="N28" s="871">
        <f>'R-SG&amp;A'!J8</f>
        <v>2072.4955808373797</v>
      </c>
      <c r="O28" s="871">
        <f>'R-SG&amp;A'!K8</f>
        <v>2284.969297271587</v>
      </c>
      <c r="P28" s="871">
        <f>'R-SG&amp;A'!L8</f>
        <v>2473.1166934866637</v>
      </c>
      <c r="Q28" s="871">
        <f>'R-SG&amp;A'!M8</f>
        <v>2663.6519660742033</v>
      </c>
      <c r="R28" s="871">
        <f>'R-SG&amp;A'!N8</f>
        <v>2854.2848532393405</v>
      </c>
      <c r="S28" s="878"/>
      <c r="T28" s="878"/>
      <c r="V28" s="882"/>
      <c r="W28" s="872">
        <f t="shared" si="8"/>
        <v>1756.877</v>
      </c>
      <c r="X28" s="872">
        <f t="shared" si="0"/>
        <v>915.12699999999995</v>
      </c>
      <c r="Y28" s="1212">
        <f t="shared" si="1"/>
        <v>912.67455762225222</v>
      </c>
      <c r="Z28" s="956">
        <f t="shared" si="2"/>
        <v>1827.8015576222522</v>
      </c>
      <c r="AA28" s="956">
        <f t="shared" si="3"/>
        <v>2072.4955808373797</v>
      </c>
      <c r="AB28" s="956">
        <f t="shared" si="4"/>
        <v>2284.969297271587</v>
      </c>
      <c r="AC28" s="956">
        <f t="shared" si="5"/>
        <v>2473.1166934866637</v>
      </c>
      <c r="AD28" s="956">
        <f t="shared" si="6"/>
        <v>2663.6519660742033</v>
      </c>
      <c r="AE28" s="956">
        <f t="shared" si="7"/>
        <v>2854.2848532393405</v>
      </c>
    </row>
    <row r="29" spans="4:31" hidden="1" outlineLevel="1">
      <c r="D29" s="871" t="s">
        <v>834</v>
      </c>
      <c r="J29" s="871">
        <f>IS!E26/1000000</f>
        <v>1437.5070000000001</v>
      </c>
      <c r="K29" s="871">
        <f>IS!F26/1000000</f>
        <v>739.79499999999996</v>
      </c>
      <c r="L29" s="871">
        <f>'R-SG&amp;A'!H24</f>
        <v>782.52491299999997</v>
      </c>
      <c r="M29" s="871">
        <f t="shared" si="12"/>
        <v>1522.3199129999998</v>
      </c>
      <c r="N29" s="871">
        <f>'R-SG&amp;A'!J24</f>
        <v>1558.855590912</v>
      </c>
      <c r="O29" s="871">
        <f>'R-SG&amp;A'!K24</f>
        <v>1613.4155365939198</v>
      </c>
      <c r="P29" s="871">
        <f>'R-SG&amp;A'!L24</f>
        <v>1669.8850803747068</v>
      </c>
      <c r="Q29" s="871">
        <f>'R-SG&amp;A'!M24</f>
        <v>1728.3310581878213</v>
      </c>
      <c r="R29" s="871">
        <f>'R-SG&amp;A'!N24</f>
        <v>1788.822645224395</v>
      </c>
      <c r="S29" s="878"/>
      <c r="T29" s="878"/>
      <c r="V29" s="882"/>
      <c r="W29" s="872">
        <f t="shared" si="8"/>
        <v>1437.5070000000001</v>
      </c>
      <c r="X29" s="872">
        <f t="shared" si="0"/>
        <v>739.79499999999996</v>
      </c>
      <c r="Y29" s="1212">
        <f t="shared" si="1"/>
        <v>782.52491299999997</v>
      </c>
      <c r="Z29" s="956">
        <f t="shared" si="2"/>
        <v>1522.3199129999998</v>
      </c>
      <c r="AA29" s="956">
        <f t="shared" si="3"/>
        <v>1558.855590912</v>
      </c>
      <c r="AB29" s="956">
        <f t="shared" si="4"/>
        <v>1613.4155365939198</v>
      </c>
      <c r="AC29" s="956">
        <f t="shared" si="5"/>
        <v>1669.8850803747068</v>
      </c>
      <c r="AD29" s="956">
        <f t="shared" si="6"/>
        <v>1728.3310581878213</v>
      </c>
      <c r="AE29" s="956">
        <f t="shared" si="7"/>
        <v>1788.822645224395</v>
      </c>
    </row>
    <row r="30" spans="4:31" hidden="1" outlineLevel="1">
      <c r="D30" s="871" t="s">
        <v>833</v>
      </c>
      <c r="J30" s="871">
        <f>IS!E27/1000000</f>
        <v>366.97699999999998</v>
      </c>
      <c r="K30" s="871">
        <f>IS!F27/1000000</f>
        <v>150.423</v>
      </c>
      <c r="L30" s="871">
        <f>'R-SG&amp;A'!H25</f>
        <v>238.20564300000001</v>
      </c>
      <c r="M30" s="871">
        <f t="shared" si="12"/>
        <v>388.62864300000001</v>
      </c>
      <c r="N30" s="871">
        <f>'R-SG&amp;A'!J25</f>
        <v>397.955730432</v>
      </c>
      <c r="O30" s="871">
        <f>'R-SG&amp;A'!K25</f>
        <v>411.88418099711998</v>
      </c>
      <c r="P30" s="871">
        <f>'R-SG&amp;A'!L25</f>
        <v>426.30012733201914</v>
      </c>
      <c r="Q30" s="871">
        <f>'R-SG&amp;A'!M25</f>
        <v>441.22063178863976</v>
      </c>
      <c r="R30" s="871">
        <f>'R-SG&amp;A'!N25</f>
        <v>456.66335390124215</v>
      </c>
      <c r="S30" s="878"/>
      <c r="T30" s="878"/>
      <c r="V30" s="882"/>
      <c r="W30" s="872">
        <f t="shared" si="8"/>
        <v>366.97699999999998</v>
      </c>
      <c r="X30" s="872">
        <f t="shared" si="0"/>
        <v>150.423</v>
      </c>
      <c r="Y30" s="1212">
        <f t="shared" si="1"/>
        <v>238.20564300000001</v>
      </c>
      <c r="Z30" s="956">
        <f t="shared" si="2"/>
        <v>388.62864300000001</v>
      </c>
      <c r="AA30" s="956">
        <f t="shared" si="3"/>
        <v>397.955730432</v>
      </c>
      <c r="AB30" s="956">
        <f t="shared" si="4"/>
        <v>411.88418099711998</v>
      </c>
      <c r="AC30" s="956">
        <f t="shared" si="5"/>
        <v>426.30012733201914</v>
      </c>
      <c r="AD30" s="956">
        <f t="shared" si="6"/>
        <v>441.22063178863976</v>
      </c>
      <c r="AE30" s="956">
        <f t="shared" si="7"/>
        <v>456.66335390124215</v>
      </c>
    </row>
    <row r="31" spans="4:31" hidden="1" outlineLevel="1">
      <c r="D31" s="871" t="s">
        <v>832</v>
      </c>
      <c r="J31" s="871">
        <f>IS!E28/1000000</f>
        <v>439.22899999999998</v>
      </c>
      <c r="K31" s="871">
        <f>IS!F28/1000000</f>
        <v>177.65700000000001</v>
      </c>
      <c r="L31" s="871">
        <f>'R-SG&amp;A'!H26</f>
        <v>287.48651100000001</v>
      </c>
      <c r="M31" s="871">
        <f t="shared" si="12"/>
        <v>465.14351099999999</v>
      </c>
      <c r="N31" s="871">
        <f>'R-SG&amp;A'!J26</f>
        <v>476.30695526400001</v>
      </c>
      <c r="O31" s="871">
        <f>'R-SG&amp;A'!K26</f>
        <v>492.97769869823998</v>
      </c>
      <c r="P31" s="871">
        <f>'R-SG&amp;A'!L26</f>
        <v>510.23191815267836</v>
      </c>
      <c r="Q31" s="871">
        <f>'R-SG&amp;A'!M26</f>
        <v>528.09003528802214</v>
      </c>
      <c r="R31" s="871">
        <f>'R-SG&amp;A'!N26</f>
        <v>546.57318652310289</v>
      </c>
      <c r="S31" s="878"/>
      <c r="T31" s="878"/>
      <c r="V31" s="882"/>
      <c r="W31" s="872">
        <f t="shared" si="8"/>
        <v>439.22899999999998</v>
      </c>
      <c r="X31" s="872">
        <f t="shared" si="0"/>
        <v>177.65700000000001</v>
      </c>
      <c r="Y31" s="1212">
        <f t="shared" si="1"/>
        <v>287.48651100000001</v>
      </c>
      <c r="Z31" s="956">
        <f t="shared" si="2"/>
        <v>465.14351099999999</v>
      </c>
      <c r="AA31" s="956">
        <f t="shared" si="3"/>
        <v>476.30695526400001</v>
      </c>
      <c r="AB31" s="956">
        <f t="shared" si="4"/>
        <v>492.97769869823998</v>
      </c>
      <c r="AC31" s="956">
        <f t="shared" si="5"/>
        <v>510.23191815267836</v>
      </c>
      <c r="AD31" s="956">
        <f t="shared" si="6"/>
        <v>528.09003528802214</v>
      </c>
      <c r="AE31" s="956">
        <f t="shared" si="7"/>
        <v>546.57318652310289</v>
      </c>
    </row>
    <row r="32" spans="4:31" hidden="1" outlineLevel="1">
      <c r="D32" s="871" t="s">
        <v>831</v>
      </c>
      <c r="J32" s="871">
        <f>IS!E29/1000000</f>
        <v>2397.759</v>
      </c>
      <c r="K32" s="871">
        <f>IS!F29/1000000</f>
        <v>1173.335</v>
      </c>
      <c r="L32" s="871">
        <f>'R-SG&amp;A'!H27</f>
        <v>1365.891781</v>
      </c>
      <c r="M32" s="871">
        <f t="shared" si="12"/>
        <v>2539.2267810000003</v>
      </c>
      <c r="N32" s="871">
        <f>'R-SG&amp;A'!J27</f>
        <v>2600.168223744</v>
      </c>
      <c r="O32" s="871">
        <f>'R-SG&amp;A'!K27</f>
        <v>2691.1741115750397</v>
      </c>
      <c r="P32" s="871">
        <f>'R-SG&amp;A'!L27</f>
        <v>2785.365205480166</v>
      </c>
      <c r="Q32" s="871">
        <f>'R-SG&amp;A'!M27</f>
        <v>2882.8529876719713</v>
      </c>
      <c r="R32" s="871">
        <f>'R-SG&amp;A'!N27</f>
        <v>2983.7528422404898</v>
      </c>
      <c r="S32" s="878"/>
      <c r="T32" s="878"/>
      <c r="V32" s="882"/>
      <c r="W32" s="872">
        <f t="shared" si="8"/>
        <v>2397.759</v>
      </c>
      <c r="X32" s="872">
        <f t="shared" si="0"/>
        <v>1173.335</v>
      </c>
      <c r="Y32" s="1212">
        <f t="shared" si="1"/>
        <v>1365.891781</v>
      </c>
      <c r="Z32" s="956">
        <f t="shared" si="2"/>
        <v>2539.2267810000003</v>
      </c>
      <c r="AA32" s="956">
        <f t="shared" si="3"/>
        <v>2600.168223744</v>
      </c>
      <c r="AB32" s="956">
        <f t="shared" si="4"/>
        <v>2691.1741115750397</v>
      </c>
      <c r="AC32" s="956">
        <f t="shared" si="5"/>
        <v>2785.365205480166</v>
      </c>
      <c r="AD32" s="956">
        <f t="shared" si="6"/>
        <v>2882.8529876719713</v>
      </c>
      <c r="AE32" s="956">
        <f t="shared" si="7"/>
        <v>2983.7528422404898</v>
      </c>
    </row>
    <row r="33" spans="3:31" s="878" customFormat="1" collapsed="1">
      <c r="C33" s="878" t="s">
        <v>1610</v>
      </c>
      <c r="J33" s="878">
        <f>SUM(J34:J35)</f>
        <v>94297.663</v>
      </c>
      <c r="K33" s="878">
        <f t="shared" ref="K33:R33" si="13">SUM(K34:K35)</f>
        <v>49717.395999999993</v>
      </c>
      <c r="L33" s="878">
        <f t="shared" si="13"/>
        <v>56549.406101253175</v>
      </c>
      <c r="M33" s="878">
        <f t="shared" si="13"/>
        <v>106266.80210125317</v>
      </c>
      <c r="N33" s="878">
        <f t="shared" si="13"/>
        <v>119934.00139211235</v>
      </c>
      <c r="O33" s="878">
        <f t="shared" si="13"/>
        <v>130844.11349624659</v>
      </c>
      <c r="P33" s="878">
        <f t="shared" si="13"/>
        <v>137943.92804224923</v>
      </c>
      <c r="Q33" s="878">
        <f t="shared" si="13"/>
        <v>145428.99008040654</v>
      </c>
      <c r="R33" s="878">
        <f t="shared" si="13"/>
        <v>153320.20376662991</v>
      </c>
      <c r="V33" s="882" t="s">
        <v>1610</v>
      </c>
      <c r="W33" s="872">
        <f t="shared" si="8"/>
        <v>94297.663</v>
      </c>
      <c r="X33" s="872">
        <f t="shared" si="0"/>
        <v>49717.395999999993</v>
      </c>
      <c r="Y33" s="1212">
        <f t="shared" si="1"/>
        <v>56549.406101253175</v>
      </c>
      <c r="Z33" s="956">
        <f t="shared" si="2"/>
        <v>106266.80210125317</v>
      </c>
      <c r="AA33" s="956">
        <f t="shared" si="3"/>
        <v>119934.00139211235</v>
      </c>
      <c r="AB33" s="955">
        <f t="shared" si="4"/>
        <v>130844.11349624659</v>
      </c>
      <c r="AC33" s="955">
        <f t="shared" si="5"/>
        <v>137943.92804224923</v>
      </c>
      <c r="AD33" s="955">
        <f t="shared" si="6"/>
        <v>145428.99008040654</v>
      </c>
      <c r="AE33" s="955">
        <f t="shared" si="7"/>
        <v>153320.20376662991</v>
      </c>
    </row>
    <row r="34" spans="3:31" hidden="1" outlineLevel="1">
      <c r="D34" s="871" t="s">
        <v>846</v>
      </c>
      <c r="J34" s="871">
        <f>IS!E31/1000000</f>
        <v>61330.565999999999</v>
      </c>
      <c r="K34" s="871">
        <f>IS!F31/1000000</f>
        <v>29252.152999999998</v>
      </c>
      <c r="L34" s="871">
        <f>'R-SG&amp;A'!H12</f>
        <v>36235.334686570968</v>
      </c>
      <c r="M34" s="871">
        <f t="shared" ref="M34:M35" si="14">K34+L34</f>
        <v>65487.487686570967</v>
      </c>
      <c r="N34" s="871">
        <f>'R-SG&amp;A'!J12</f>
        <v>76850.474308457022</v>
      </c>
      <c r="O34" s="871">
        <f>'R-SG&amp;A'!K12</f>
        <v>83841.379975148928</v>
      </c>
      <c r="P34" s="871">
        <f>'R-SG&amp;A'!L12</f>
        <v>88390.749703742593</v>
      </c>
      <c r="Q34" s="871">
        <f>'R-SG&amp;A'!M12</f>
        <v>93186.975637870783</v>
      </c>
      <c r="R34" s="871">
        <f>'R-SG&amp;A'!N12</f>
        <v>98243.452597002208</v>
      </c>
      <c r="S34" s="878"/>
      <c r="T34" s="878"/>
      <c r="V34" s="882"/>
      <c r="W34" s="872">
        <f t="shared" si="8"/>
        <v>61330.565999999999</v>
      </c>
      <c r="X34" s="872">
        <f t="shared" si="0"/>
        <v>29252.152999999998</v>
      </c>
      <c r="Y34" s="1212">
        <f t="shared" si="1"/>
        <v>36235.334686570968</v>
      </c>
      <c r="Z34" s="956">
        <f t="shared" si="2"/>
        <v>65487.487686570967</v>
      </c>
      <c r="AA34" s="956">
        <f t="shared" si="3"/>
        <v>76850.474308457022</v>
      </c>
      <c r="AB34" s="956">
        <f t="shared" si="4"/>
        <v>83841.379975148928</v>
      </c>
      <c r="AC34" s="956">
        <f t="shared" si="5"/>
        <v>88390.749703742593</v>
      </c>
      <c r="AD34" s="956">
        <f t="shared" si="6"/>
        <v>93186.975637870783</v>
      </c>
      <c r="AE34" s="956">
        <f t="shared" si="7"/>
        <v>98243.452597002208</v>
      </c>
    </row>
    <row r="35" spans="3:31" hidden="1" outlineLevel="1">
      <c r="D35" s="871" t="s">
        <v>1349</v>
      </c>
      <c r="J35" s="871">
        <f>IS!E32/1000000</f>
        <v>32967.097000000002</v>
      </c>
      <c r="K35" s="871">
        <f>IS!F32/1000000</f>
        <v>20465.242999999999</v>
      </c>
      <c r="L35" s="871">
        <f>'R-SG&amp;A'!H13</f>
        <v>20314.071414682207</v>
      </c>
      <c r="M35" s="871">
        <f t="shared" si="14"/>
        <v>40779.314414682201</v>
      </c>
      <c r="N35" s="871">
        <f>'R-SG&amp;A'!J13</f>
        <v>43083.527083655332</v>
      </c>
      <c r="O35" s="871">
        <f>'R-SG&amp;A'!K13</f>
        <v>47002.73352109766</v>
      </c>
      <c r="P35" s="871">
        <f>'R-SG&amp;A'!L13</f>
        <v>49553.178338506645</v>
      </c>
      <c r="Q35" s="871">
        <f>'R-SG&amp;A'!M13</f>
        <v>52242.014442535772</v>
      </c>
      <c r="R35" s="871">
        <f>'R-SG&amp;A'!N13</f>
        <v>55076.751169627707</v>
      </c>
      <c r="S35" s="878"/>
      <c r="T35" s="878"/>
      <c r="V35" s="882"/>
      <c r="W35" s="872">
        <f t="shared" si="8"/>
        <v>32967.097000000002</v>
      </c>
      <c r="X35" s="872">
        <f t="shared" si="0"/>
        <v>20465.242999999999</v>
      </c>
      <c r="Y35" s="1212">
        <f t="shared" si="1"/>
        <v>20314.071414682207</v>
      </c>
      <c r="Z35" s="956">
        <f t="shared" si="2"/>
        <v>40779.314414682201</v>
      </c>
      <c r="AA35" s="956">
        <f t="shared" si="3"/>
        <v>43083.527083655332</v>
      </c>
      <c r="AB35" s="956">
        <f t="shared" si="4"/>
        <v>47002.73352109766</v>
      </c>
      <c r="AC35" s="956">
        <f t="shared" si="5"/>
        <v>49553.178338506645</v>
      </c>
      <c r="AD35" s="956">
        <f t="shared" si="6"/>
        <v>52242.014442535772</v>
      </c>
      <c r="AE35" s="956">
        <f t="shared" si="7"/>
        <v>55076.751169627707</v>
      </c>
    </row>
    <row r="36" spans="3:31" s="878" customFormat="1" collapsed="1">
      <c r="C36" s="878" t="s">
        <v>1611</v>
      </c>
      <c r="J36" s="878">
        <f>SUM(J37:J47)</f>
        <v>-12610.303</v>
      </c>
      <c r="K36" s="878">
        <f t="shared" ref="K36:R36" si="15">SUM(K37:K47)</f>
        <v>-6851.3180000000011</v>
      </c>
      <c r="L36" s="878">
        <f t="shared" si="15"/>
        <v>0</v>
      </c>
      <c r="M36" s="878">
        <f t="shared" si="15"/>
        <v>-6851.3180000000011</v>
      </c>
      <c r="N36" s="878">
        <f t="shared" si="15"/>
        <v>0</v>
      </c>
      <c r="O36" s="878">
        <f t="shared" si="15"/>
        <v>0</v>
      </c>
      <c r="P36" s="878">
        <f t="shared" si="15"/>
        <v>0</v>
      </c>
      <c r="Q36" s="878">
        <f t="shared" si="15"/>
        <v>0</v>
      </c>
      <c r="R36" s="878">
        <f t="shared" si="15"/>
        <v>0</v>
      </c>
      <c r="V36" s="882" t="s">
        <v>1611</v>
      </c>
      <c r="W36" s="872">
        <f t="shared" si="8"/>
        <v>-12610.303</v>
      </c>
      <c r="X36" s="872">
        <f t="shared" si="0"/>
        <v>-6851.3180000000011</v>
      </c>
      <c r="Y36" s="1212">
        <f t="shared" si="1"/>
        <v>0</v>
      </c>
      <c r="Z36" s="956">
        <f t="shared" si="2"/>
        <v>-6851.3180000000011</v>
      </c>
      <c r="AA36" s="956">
        <f t="shared" si="3"/>
        <v>0</v>
      </c>
      <c r="AB36" s="955">
        <f t="shared" si="4"/>
        <v>0</v>
      </c>
      <c r="AC36" s="955">
        <f t="shared" si="5"/>
        <v>0</v>
      </c>
      <c r="AD36" s="955">
        <f t="shared" si="6"/>
        <v>0</v>
      </c>
      <c r="AE36" s="955">
        <f t="shared" si="7"/>
        <v>0</v>
      </c>
    </row>
    <row r="37" spans="3:31" hidden="1" outlineLevel="1">
      <c r="D37" s="871" t="s">
        <v>1612</v>
      </c>
      <c r="J37" s="871">
        <f>IS!E34/1000000</f>
        <v>-3065.0880000000002</v>
      </c>
      <c r="K37" s="871">
        <f>IS!F34/1000000</f>
        <v>-1798.979</v>
      </c>
      <c r="M37" s="871">
        <f t="shared" ref="M37:M47" si="16">K37+L37</f>
        <v>-1798.979</v>
      </c>
      <c r="S37" s="878"/>
      <c r="T37" s="878"/>
      <c r="V37" s="882"/>
      <c r="W37" s="872">
        <f t="shared" si="8"/>
        <v>-3065.0880000000002</v>
      </c>
      <c r="X37" s="872">
        <f t="shared" si="0"/>
        <v>-1798.979</v>
      </c>
      <c r="Y37" s="1212">
        <f t="shared" si="1"/>
        <v>0</v>
      </c>
      <c r="Z37" s="956">
        <f t="shared" si="2"/>
        <v>-1798.979</v>
      </c>
      <c r="AA37" s="956">
        <f t="shared" si="3"/>
        <v>0</v>
      </c>
      <c r="AB37" s="956">
        <f t="shared" si="4"/>
        <v>0</v>
      </c>
      <c r="AC37" s="956">
        <f t="shared" si="5"/>
        <v>0</v>
      </c>
      <c r="AD37" s="956">
        <f t="shared" si="6"/>
        <v>0</v>
      </c>
      <c r="AE37" s="956">
        <f t="shared" si="7"/>
        <v>0</v>
      </c>
    </row>
    <row r="38" spans="3:31" hidden="1" outlineLevel="1">
      <c r="D38" s="871" t="s">
        <v>1613</v>
      </c>
      <c r="J38" s="871">
        <f>IS!E35/1000000</f>
        <v>-83.335999999999999</v>
      </c>
      <c r="K38" s="871">
        <f>IS!F35/1000000</f>
        <v>-141.27799999999999</v>
      </c>
      <c r="M38" s="871">
        <f t="shared" si="16"/>
        <v>-141.27799999999999</v>
      </c>
      <c r="S38" s="878"/>
      <c r="T38" s="878"/>
      <c r="V38" s="882"/>
      <c r="W38" s="872">
        <f t="shared" si="8"/>
        <v>-83.335999999999999</v>
      </c>
      <c r="X38" s="872">
        <f t="shared" si="0"/>
        <v>-141.27799999999999</v>
      </c>
      <c r="Y38" s="1212">
        <f t="shared" si="1"/>
        <v>0</v>
      </c>
      <c r="Z38" s="956">
        <f t="shared" si="2"/>
        <v>-141.27799999999999</v>
      </c>
      <c r="AA38" s="956">
        <f t="shared" si="3"/>
        <v>0</v>
      </c>
      <c r="AB38" s="956">
        <f t="shared" si="4"/>
        <v>0</v>
      </c>
      <c r="AC38" s="956">
        <f t="shared" si="5"/>
        <v>0</v>
      </c>
      <c r="AD38" s="956">
        <f t="shared" si="6"/>
        <v>0</v>
      </c>
      <c r="AE38" s="956">
        <f t="shared" si="7"/>
        <v>0</v>
      </c>
    </row>
    <row r="39" spans="3:31" hidden="1" outlineLevel="1">
      <c r="D39" s="871" t="s">
        <v>1614</v>
      </c>
      <c r="J39" s="871">
        <f>IS!E36/1000000</f>
        <v>-47.777999999999999</v>
      </c>
      <c r="K39" s="871">
        <f>IS!F36/1000000</f>
        <v>0</v>
      </c>
      <c r="M39" s="871">
        <f t="shared" si="16"/>
        <v>0</v>
      </c>
      <c r="S39" s="878"/>
      <c r="T39" s="878"/>
      <c r="V39" s="882"/>
      <c r="W39" s="872">
        <f t="shared" si="8"/>
        <v>-47.777999999999999</v>
      </c>
      <c r="X39" s="872">
        <f t="shared" si="0"/>
        <v>0</v>
      </c>
      <c r="Y39" s="1212">
        <f t="shared" si="1"/>
        <v>0</v>
      </c>
      <c r="Z39" s="956">
        <f t="shared" si="2"/>
        <v>0</v>
      </c>
      <c r="AA39" s="956">
        <f t="shared" si="3"/>
        <v>0</v>
      </c>
      <c r="AB39" s="956">
        <f t="shared" si="4"/>
        <v>0</v>
      </c>
      <c r="AC39" s="956">
        <f t="shared" si="5"/>
        <v>0</v>
      </c>
      <c r="AD39" s="956">
        <f t="shared" si="6"/>
        <v>0</v>
      </c>
      <c r="AE39" s="956">
        <f t="shared" si="7"/>
        <v>0</v>
      </c>
    </row>
    <row r="40" spans="3:31" hidden="1" outlineLevel="1">
      <c r="D40" s="871" t="s">
        <v>1615</v>
      </c>
      <c r="J40" s="871">
        <f>IS!E37/1000000</f>
        <v>0</v>
      </c>
      <c r="K40" s="871">
        <f>IS!F37/1000000</f>
        <v>-11.364000000000001</v>
      </c>
      <c r="M40" s="871">
        <f t="shared" si="16"/>
        <v>-11.364000000000001</v>
      </c>
      <c r="S40" s="878"/>
      <c r="T40" s="878"/>
      <c r="V40" s="882"/>
      <c r="W40" s="872">
        <f t="shared" si="8"/>
        <v>0</v>
      </c>
      <c r="X40" s="872">
        <f t="shared" si="0"/>
        <v>-11.364000000000001</v>
      </c>
      <c r="Y40" s="1212">
        <f t="shared" si="1"/>
        <v>0</v>
      </c>
      <c r="Z40" s="956">
        <f t="shared" si="2"/>
        <v>-11.364000000000001</v>
      </c>
      <c r="AA40" s="956">
        <f t="shared" si="3"/>
        <v>0</v>
      </c>
      <c r="AB40" s="956">
        <f t="shared" si="4"/>
        <v>0</v>
      </c>
      <c r="AC40" s="956">
        <f t="shared" si="5"/>
        <v>0</v>
      </c>
      <c r="AD40" s="956">
        <f t="shared" si="6"/>
        <v>0</v>
      </c>
      <c r="AE40" s="956">
        <f t="shared" si="7"/>
        <v>0</v>
      </c>
    </row>
    <row r="41" spans="3:31" hidden="1" outlineLevel="1">
      <c r="D41" s="871" t="s">
        <v>1616</v>
      </c>
      <c r="J41" s="871">
        <f>IS!E38/1000000</f>
        <v>-5702.3410000000003</v>
      </c>
      <c r="K41" s="871">
        <f>IS!F38/1000000</f>
        <v>-2963.0520000000001</v>
      </c>
      <c r="M41" s="871">
        <f t="shared" si="16"/>
        <v>-2963.0520000000001</v>
      </c>
      <c r="S41" s="878"/>
      <c r="T41" s="878"/>
      <c r="V41" s="882"/>
      <c r="W41" s="872">
        <f t="shared" si="8"/>
        <v>-5702.3410000000003</v>
      </c>
      <c r="X41" s="872">
        <f t="shared" si="0"/>
        <v>-2963.0520000000001</v>
      </c>
      <c r="Y41" s="1212">
        <f t="shared" si="1"/>
        <v>0</v>
      </c>
      <c r="Z41" s="956">
        <f t="shared" si="2"/>
        <v>-2963.0520000000001</v>
      </c>
      <c r="AA41" s="956">
        <f t="shared" si="3"/>
        <v>0</v>
      </c>
      <c r="AB41" s="956">
        <f t="shared" si="4"/>
        <v>0</v>
      </c>
      <c r="AC41" s="956">
        <f t="shared" si="5"/>
        <v>0</v>
      </c>
      <c r="AD41" s="956">
        <f t="shared" si="6"/>
        <v>0</v>
      </c>
      <c r="AE41" s="956">
        <f t="shared" si="7"/>
        <v>0</v>
      </c>
    </row>
    <row r="42" spans="3:31" hidden="1" outlineLevel="1">
      <c r="D42" s="871" t="s">
        <v>1617</v>
      </c>
      <c r="J42" s="871">
        <f>IS!E39/1000000</f>
        <v>-1331.011</v>
      </c>
      <c r="K42" s="871">
        <f>IS!F39/1000000</f>
        <v>-641.245</v>
      </c>
      <c r="M42" s="871">
        <f t="shared" si="16"/>
        <v>-641.245</v>
      </c>
      <c r="S42" s="878"/>
      <c r="T42" s="878"/>
      <c r="V42" s="882"/>
      <c r="W42" s="872">
        <f t="shared" si="8"/>
        <v>-1331.011</v>
      </c>
      <c r="X42" s="872">
        <f t="shared" si="0"/>
        <v>-641.245</v>
      </c>
      <c r="Y42" s="1212">
        <f t="shared" si="1"/>
        <v>0</v>
      </c>
      <c r="Z42" s="956">
        <f t="shared" si="2"/>
        <v>-641.245</v>
      </c>
      <c r="AA42" s="956">
        <f t="shared" si="3"/>
        <v>0</v>
      </c>
      <c r="AB42" s="956">
        <f t="shared" si="4"/>
        <v>0</v>
      </c>
      <c r="AC42" s="956">
        <f t="shared" si="5"/>
        <v>0</v>
      </c>
      <c r="AD42" s="956">
        <f t="shared" si="6"/>
        <v>0</v>
      </c>
      <c r="AE42" s="956">
        <f t="shared" si="7"/>
        <v>0</v>
      </c>
    </row>
    <row r="43" spans="3:31" hidden="1" outlineLevel="1">
      <c r="D43" s="871" t="s">
        <v>1618</v>
      </c>
      <c r="J43" s="871">
        <f>IS!E40/1000000</f>
        <v>-336.89800000000002</v>
      </c>
      <c r="K43" s="871">
        <f>IS!F40/1000000</f>
        <v>-0.26900000000000002</v>
      </c>
      <c r="M43" s="871">
        <f t="shared" si="16"/>
        <v>-0.26900000000000002</v>
      </c>
      <c r="S43" s="878"/>
      <c r="T43" s="878"/>
      <c r="V43" s="882"/>
      <c r="W43" s="872">
        <f t="shared" si="8"/>
        <v>-336.89800000000002</v>
      </c>
      <c r="X43" s="872">
        <f t="shared" si="0"/>
        <v>-0.26900000000000002</v>
      </c>
      <c r="Y43" s="1212">
        <f t="shared" si="1"/>
        <v>0</v>
      </c>
      <c r="Z43" s="956">
        <f t="shared" si="2"/>
        <v>-0.26900000000000002</v>
      </c>
      <c r="AA43" s="956">
        <f t="shared" si="3"/>
        <v>0</v>
      </c>
      <c r="AB43" s="956">
        <f t="shared" si="4"/>
        <v>0</v>
      </c>
      <c r="AC43" s="956">
        <f t="shared" si="5"/>
        <v>0</v>
      </c>
      <c r="AD43" s="956">
        <f t="shared" si="6"/>
        <v>0</v>
      </c>
      <c r="AE43" s="956">
        <f t="shared" si="7"/>
        <v>0</v>
      </c>
    </row>
    <row r="44" spans="3:31" hidden="1" outlineLevel="1">
      <c r="D44" s="871" t="s">
        <v>1619</v>
      </c>
      <c r="J44" s="871">
        <f>IS!E41/1000000</f>
        <v>0</v>
      </c>
      <c r="K44" s="871">
        <f>IS!F41/1000000</f>
        <v>-0.46</v>
      </c>
      <c r="M44" s="871">
        <f t="shared" si="16"/>
        <v>-0.46</v>
      </c>
      <c r="S44" s="878"/>
      <c r="T44" s="878"/>
      <c r="V44" s="882"/>
      <c r="W44" s="872">
        <f t="shared" si="8"/>
        <v>0</v>
      </c>
      <c r="X44" s="872">
        <f t="shared" si="0"/>
        <v>-0.46</v>
      </c>
      <c r="Y44" s="1212">
        <f t="shared" si="1"/>
        <v>0</v>
      </c>
      <c r="Z44" s="956">
        <f t="shared" si="2"/>
        <v>-0.46</v>
      </c>
      <c r="AA44" s="956">
        <f t="shared" si="3"/>
        <v>0</v>
      </c>
      <c r="AB44" s="956">
        <f t="shared" si="4"/>
        <v>0</v>
      </c>
      <c r="AC44" s="956">
        <f t="shared" si="5"/>
        <v>0</v>
      </c>
      <c r="AD44" s="956">
        <f t="shared" si="6"/>
        <v>0</v>
      </c>
      <c r="AE44" s="956">
        <f t="shared" si="7"/>
        <v>0</v>
      </c>
    </row>
    <row r="45" spans="3:31" hidden="1" outlineLevel="1">
      <c r="D45" s="871" t="s">
        <v>1620</v>
      </c>
      <c r="J45" s="871">
        <f>IS!E42/1000000</f>
        <v>-57.829000000000001</v>
      </c>
      <c r="K45" s="871">
        <f>IS!F42/1000000</f>
        <v>-8.6660000000000004</v>
      </c>
      <c r="M45" s="871">
        <f t="shared" si="16"/>
        <v>-8.6660000000000004</v>
      </c>
      <c r="S45" s="878"/>
      <c r="T45" s="878"/>
      <c r="V45" s="882"/>
      <c r="W45" s="872">
        <f t="shared" si="8"/>
        <v>-57.829000000000001</v>
      </c>
      <c r="X45" s="872">
        <f t="shared" si="0"/>
        <v>-8.6660000000000004</v>
      </c>
      <c r="Y45" s="1212">
        <f t="shared" si="1"/>
        <v>0</v>
      </c>
      <c r="Z45" s="956">
        <f t="shared" si="2"/>
        <v>-8.6660000000000004</v>
      </c>
      <c r="AA45" s="956">
        <f t="shared" si="3"/>
        <v>0</v>
      </c>
      <c r="AB45" s="956">
        <f t="shared" si="4"/>
        <v>0</v>
      </c>
      <c r="AC45" s="956">
        <f t="shared" si="5"/>
        <v>0</v>
      </c>
      <c r="AD45" s="956">
        <f t="shared" si="6"/>
        <v>0</v>
      </c>
      <c r="AE45" s="956">
        <f t="shared" si="7"/>
        <v>0</v>
      </c>
    </row>
    <row r="46" spans="3:31" hidden="1" outlineLevel="1">
      <c r="D46" s="871" t="s">
        <v>1621</v>
      </c>
      <c r="J46" s="871">
        <f>IS!E43/1000000</f>
        <v>-1000</v>
      </c>
      <c r="K46" s="871">
        <f>IS!F43/1000000</f>
        <v>-500</v>
      </c>
      <c r="M46" s="871">
        <f t="shared" si="16"/>
        <v>-500</v>
      </c>
      <c r="S46" s="878"/>
      <c r="T46" s="878"/>
      <c r="V46" s="882"/>
      <c r="W46" s="872">
        <f t="shared" si="8"/>
        <v>-1000</v>
      </c>
      <c r="X46" s="872">
        <f t="shared" si="0"/>
        <v>-500</v>
      </c>
      <c r="Y46" s="1212">
        <f t="shared" si="1"/>
        <v>0</v>
      </c>
      <c r="Z46" s="956">
        <f t="shared" si="2"/>
        <v>-500</v>
      </c>
      <c r="AA46" s="956">
        <f t="shared" si="3"/>
        <v>0</v>
      </c>
      <c r="AB46" s="956">
        <f t="shared" si="4"/>
        <v>0</v>
      </c>
      <c r="AC46" s="956">
        <f t="shared" si="5"/>
        <v>0</v>
      </c>
      <c r="AD46" s="956">
        <f t="shared" si="6"/>
        <v>0</v>
      </c>
      <c r="AE46" s="956">
        <f t="shared" si="7"/>
        <v>0</v>
      </c>
    </row>
    <row r="47" spans="3:31" hidden="1" outlineLevel="1">
      <c r="D47" s="871" t="s">
        <v>1622</v>
      </c>
      <c r="J47" s="871">
        <f>IS!E44/1000000</f>
        <v>-986.02200000000005</v>
      </c>
      <c r="K47" s="871">
        <f>IS!F44/1000000</f>
        <v>-786.005</v>
      </c>
      <c r="M47" s="871">
        <f t="shared" si="16"/>
        <v>-786.005</v>
      </c>
      <c r="S47" s="878"/>
      <c r="T47" s="878"/>
      <c r="V47" s="882"/>
      <c r="W47" s="872">
        <f t="shared" si="8"/>
        <v>-986.02200000000005</v>
      </c>
      <c r="X47" s="872">
        <f t="shared" si="0"/>
        <v>-786.005</v>
      </c>
      <c r="Y47" s="1212">
        <f t="shared" si="1"/>
        <v>0</v>
      </c>
      <c r="Z47" s="956">
        <f t="shared" si="2"/>
        <v>-786.005</v>
      </c>
      <c r="AA47" s="956">
        <f t="shared" si="3"/>
        <v>0</v>
      </c>
      <c r="AB47" s="956">
        <f t="shared" si="4"/>
        <v>0</v>
      </c>
      <c r="AC47" s="956">
        <f t="shared" si="5"/>
        <v>0</v>
      </c>
      <c r="AD47" s="956">
        <f t="shared" si="6"/>
        <v>0</v>
      </c>
      <c r="AE47" s="956">
        <f t="shared" si="7"/>
        <v>0</v>
      </c>
    </row>
    <row r="48" spans="3:31" s="878" customFormat="1" collapsed="1">
      <c r="C48" s="878" t="s">
        <v>1623</v>
      </c>
      <c r="J48" s="878">
        <f>SUM(J49:J56)</f>
        <v>12009.605</v>
      </c>
      <c r="K48" s="878">
        <f>SUM(K49:K56)</f>
        <v>4935.799</v>
      </c>
      <c r="L48" s="878">
        <f t="shared" ref="L48:R48" si="17">SUM(L49:L56)</f>
        <v>0</v>
      </c>
      <c r="M48" s="878">
        <f t="shared" si="17"/>
        <v>4935.799</v>
      </c>
      <c r="N48" s="878">
        <f t="shared" si="17"/>
        <v>0</v>
      </c>
      <c r="O48" s="878">
        <f t="shared" si="17"/>
        <v>0</v>
      </c>
      <c r="P48" s="878">
        <f t="shared" si="17"/>
        <v>0</v>
      </c>
      <c r="Q48" s="878">
        <f t="shared" si="17"/>
        <v>0</v>
      </c>
      <c r="R48" s="878">
        <f t="shared" si="17"/>
        <v>0</v>
      </c>
      <c r="U48" s="883"/>
      <c r="V48" s="880" t="s">
        <v>1623</v>
      </c>
      <c r="W48" s="881">
        <f t="shared" si="8"/>
        <v>12009.605</v>
      </c>
      <c r="X48" s="881">
        <f t="shared" si="0"/>
        <v>4935.799</v>
      </c>
      <c r="Y48" s="1211">
        <f t="shared" si="1"/>
        <v>0</v>
      </c>
      <c r="Z48" s="881">
        <f t="shared" si="2"/>
        <v>4935.799</v>
      </c>
      <c r="AA48" s="881">
        <f t="shared" si="3"/>
        <v>0</v>
      </c>
      <c r="AB48" s="884">
        <f t="shared" si="4"/>
        <v>0</v>
      </c>
      <c r="AC48" s="884">
        <f t="shared" si="5"/>
        <v>0</v>
      </c>
      <c r="AD48" s="884">
        <f t="shared" si="6"/>
        <v>0</v>
      </c>
      <c r="AE48" s="884">
        <f t="shared" si="7"/>
        <v>0</v>
      </c>
    </row>
    <row r="49" spans="2:31" hidden="1" outlineLevel="1">
      <c r="D49" s="871" t="s">
        <v>1624</v>
      </c>
      <c r="J49" s="871">
        <f>IS!E46/1000000</f>
        <v>2099.5659999999998</v>
      </c>
      <c r="K49" s="871">
        <f>IS!F46/1000000</f>
        <v>795.64200000000005</v>
      </c>
      <c r="M49" s="871">
        <f t="shared" ref="M49:M56" si="18">K49+L49</f>
        <v>795.64200000000005</v>
      </c>
      <c r="S49" s="878"/>
      <c r="T49" s="878"/>
      <c r="W49" s="872">
        <f t="shared" si="8"/>
        <v>2099.5659999999998</v>
      </c>
      <c r="X49" s="872">
        <f t="shared" si="0"/>
        <v>795.64200000000005</v>
      </c>
      <c r="Y49" s="1212">
        <f t="shared" si="1"/>
        <v>0</v>
      </c>
      <c r="Z49" s="956">
        <f t="shared" si="2"/>
        <v>795.64200000000005</v>
      </c>
      <c r="AA49" s="956">
        <f t="shared" si="3"/>
        <v>0</v>
      </c>
      <c r="AB49" s="956">
        <f t="shared" si="4"/>
        <v>0</v>
      </c>
      <c r="AC49" s="956">
        <f t="shared" si="5"/>
        <v>0</v>
      </c>
      <c r="AD49" s="956">
        <f t="shared" si="6"/>
        <v>0</v>
      </c>
      <c r="AE49" s="956">
        <f t="shared" si="7"/>
        <v>0</v>
      </c>
    </row>
    <row r="50" spans="2:31" hidden="1" outlineLevel="1">
      <c r="D50" s="871" t="s">
        <v>1625</v>
      </c>
      <c r="J50" s="871">
        <f>IS!E47/1000000</f>
        <v>6215.4750000000004</v>
      </c>
      <c r="K50" s="871">
        <f>IS!F47/1000000</f>
        <v>3116.1729999999998</v>
      </c>
      <c r="M50" s="871">
        <f t="shared" si="18"/>
        <v>3116.1729999999998</v>
      </c>
      <c r="S50" s="878"/>
      <c r="T50" s="878"/>
      <c r="W50" s="872">
        <f t="shared" si="8"/>
        <v>6215.4750000000004</v>
      </c>
      <c r="X50" s="872">
        <f t="shared" si="0"/>
        <v>3116.1729999999998</v>
      </c>
      <c r="Y50" s="1212">
        <f t="shared" si="1"/>
        <v>0</v>
      </c>
      <c r="Z50" s="956">
        <f t="shared" si="2"/>
        <v>3116.1729999999998</v>
      </c>
      <c r="AA50" s="956">
        <f t="shared" si="3"/>
        <v>0</v>
      </c>
      <c r="AB50" s="956">
        <f t="shared" si="4"/>
        <v>0</v>
      </c>
      <c r="AC50" s="956">
        <f t="shared" si="5"/>
        <v>0</v>
      </c>
      <c r="AD50" s="956">
        <f t="shared" si="6"/>
        <v>0</v>
      </c>
      <c r="AE50" s="956">
        <f t="shared" si="7"/>
        <v>0</v>
      </c>
    </row>
    <row r="51" spans="2:31" hidden="1" outlineLevel="1">
      <c r="D51" s="871" t="s">
        <v>1626</v>
      </c>
      <c r="J51" s="871">
        <f>IS!E48/1000000</f>
        <v>1327.607</v>
      </c>
      <c r="K51" s="871">
        <f>IS!F48/1000000</f>
        <v>617.07500000000005</v>
      </c>
      <c r="M51" s="871">
        <f t="shared" si="18"/>
        <v>617.07500000000005</v>
      </c>
      <c r="S51" s="878"/>
      <c r="T51" s="878"/>
      <c r="W51" s="872">
        <f t="shared" si="8"/>
        <v>1327.607</v>
      </c>
      <c r="X51" s="872">
        <f t="shared" si="0"/>
        <v>617.07500000000005</v>
      </c>
      <c r="Y51" s="1212">
        <f t="shared" si="1"/>
        <v>0</v>
      </c>
      <c r="Z51" s="956">
        <f t="shared" si="2"/>
        <v>617.07500000000005</v>
      </c>
      <c r="AA51" s="956">
        <f t="shared" si="3"/>
        <v>0</v>
      </c>
      <c r="AB51" s="956">
        <f t="shared" si="4"/>
        <v>0</v>
      </c>
      <c r="AC51" s="956">
        <f t="shared" si="5"/>
        <v>0</v>
      </c>
      <c r="AD51" s="956">
        <f t="shared" si="6"/>
        <v>0</v>
      </c>
      <c r="AE51" s="956">
        <f t="shared" si="7"/>
        <v>0</v>
      </c>
    </row>
    <row r="52" spans="2:31" hidden="1" outlineLevel="1">
      <c r="D52" s="871" t="s">
        <v>1627</v>
      </c>
      <c r="J52" s="871">
        <f>IS!E49/1000000</f>
        <v>535.6</v>
      </c>
      <c r="K52" s="871">
        <f>IS!F49/1000000</f>
        <v>256.59500000000003</v>
      </c>
      <c r="M52" s="871">
        <f t="shared" si="18"/>
        <v>256.59500000000003</v>
      </c>
      <c r="S52" s="878"/>
      <c r="T52" s="878"/>
      <c r="W52" s="872">
        <f t="shared" si="8"/>
        <v>535.6</v>
      </c>
      <c r="X52" s="872">
        <f t="shared" si="0"/>
        <v>256.59500000000003</v>
      </c>
      <c r="Y52" s="1212">
        <f t="shared" si="1"/>
        <v>0</v>
      </c>
      <c r="Z52" s="956">
        <f t="shared" si="2"/>
        <v>256.59500000000003</v>
      </c>
      <c r="AA52" s="956">
        <f t="shared" si="3"/>
        <v>0</v>
      </c>
      <c r="AB52" s="956">
        <f t="shared" si="4"/>
        <v>0</v>
      </c>
      <c r="AC52" s="956">
        <f t="shared" si="5"/>
        <v>0</v>
      </c>
      <c r="AD52" s="956">
        <f t="shared" si="6"/>
        <v>0</v>
      </c>
      <c r="AE52" s="956">
        <f t="shared" si="7"/>
        <v>0</v>
      </c>
    </row>
    <row r="53" spans="2:31" hidden="1" outlineLevel="1">
      <c r="D53" s="871" t="s">
        <v>1628</v>
      </c>
      <c r="J53" s="871">
        <f>IS!E50/1000000</f>
        <v>20.425999999999998</v>
      </c>
      <c r="K53" s="871">
        <f>IS!F50/1000000</f>
        <v>0</v>
      </c>
      <c r="M53" s="871">
        <f t="shared" si="18"/>
        <v>0</v>
      </c>
      <c r="S53" s="878"/>
      <c r="T53" s="878"/>
      <c r="W53" s="872">
        <f t="shared" si="8"/>
        <v>20.425999999999998</v>
      </c>
      <c r="X53" s="872">
        <f t="shared" si="0"/>
        <v>0</v>
      </c>
      <c r="Y53" s="1212">
        <f t="shared" si="1"/>
        <v>0</v>
      </c>
      <c r="Z53" s="956">
        <f t="shared" si="2"/>
        <v>0</v>
      </c>
      <c r="AA53" s="956">
        <f t="shared" si="3"/>
        <v>0</v>
      </c>
      <c r="AB53" s="956">
        <f t="shared" si="4"/>
        <v>0</v>
      </c>
      <c r="AC53" s="956">
        <f t="shared" si="5"/>
        <v>0</v>
      </c>
      <c r="AD53" s="956">
        <f t="shared" si="6"/>
        <v>0</v>
      </c>
      <c r="AE53" s="956">
        <f t="shared" si="7"/>
        <v>0</v>
      </c>
    </row>
    <row r="54" spans="2:31" hidden="1" outlineLevel="1">
      <c r="D54" s="871" t="s">
        <v>1629</v>
      </c>
      <c r="J54" s="871">
        <f>IS!E51/1000000</f>
        <v>795.57600000000002</v>
      </c>
      <c r="K54" s="871">
        <f>IS!F51/1000000</f>
        <v>0</v>
      </c>
      <c r="M54" s="871">
        <f t="shared" si="18"/>
        <v>0</v>
      </c>
      <c r="S54" s="878"/>
      <c r="T54" s="878"/>
      <c r="W54" s="872">
        <f t="shared" si="8"/>
        <v>795.57600000000002</v>
      </c>
      <c r="X54" s="872">
        <f t="shared" si="0"/>
        <v>0</v>
      </c>
      <c r="Y54" s="1212">
        <f t="shared" si="1"/>
        <v>0</v>
      </c>
      <c r="Z54" s="956">
        <f t="shared" si="2"/>
        <v>0</v>
      </c>
      <c r="AA54" s="956">
        <f t="shared" si="3"/>
        <v>0</v>
      </c>
      <c r="AB54" s="956">
        <f t="shared" si="4"/>
        <v>0</v>
      </c>
      <c r="AC54" s="956">
        <f t="shared" si="5"/>
        <v>0</v>
      </c>
      <c r="AD54" s="956">
        <f t="shared" si="6"/>
        <v>0</v>
      </c>
      <c r="AE54" s="956">
        <f t="shared" si="7"/>
        <v>0</v>
      </c>
    </row>
    <row r="55" spans="2:31" hidden="1" outlineLevel="1">
      <c r="D55" s="871" t="s">
        <v>1630</v>
      </c>
      <c r="J55" s="871">
        <f>IS!E52/1000000</f>
        <v>366.59100000000001</v>
      </c>
      <c r="K55" s="871">
        <f>IS!F52/1000000</f>
        <v>9.5449999999999999</v>
      </c>
      <c r="M55" s="871">
        <f t="shared" si="18"/>
        <v>9.5449999999999999</v>
      </c>
      <c r="S55" s="878"/>
      <c r="T55" s="878"/>
      <c r="W55" s="872">
        <f t="shared" si="8"/>
        <v>366.59100000000001</v>
      </c>
      <c r="X55" s="872">
        <f t="shared" si="0"/>
        <v>9.5449999999999999</v>
      </c>
      <c r="Y55" s="1212">
        <f t="shared" si="1"/>
        <v>0</v>
      </c>
      <c r="Z55" s="956">
        <f t="shared" si="2"/>
        <v>9.5449999999999999</v>
      </c>
      <c r="AA55" s="956">
        <f t="shared" si="3"/>
        <v>0</v>
      </c>
      <c r="AB55" s="956">
        <f t="shared" si="4"/>
        <v>0</v>
      </c>
      <c r="AC55" s="956">
        <f t="shared" si="5"/>
        <v>0</v>
      </c>
      <c r="AD55" s="956">
        <f t="shared" si="6"/>
        <v>0</v>
      </c>
      <c r="AE55" s="956">
        <f t="shared" si="7"/>
        <v>0</v>
      </c>
    </row>
    <row r="56" spans="2:31" hidden="1" outlineLevel="1">
      <c r="D56" s="871" t="s">
        <v>1631</v>
      </c>
      <c r="J56" s="871">
        <f>IS!E53/1000000</f>
        <v>648.76400000000001</v>
      </c>
      <c r="K56" s="871">
        <f>IS!F53/1000000</f>
        <v>140.76900000000001</v>
      </c>
      <c r="M56" s="871">
        <f t="shared" si="18"/>
        <v>140.76900000000001</v>
      </c>
      <c r="S56" s="878"/>
      <c r="T56" s="878"/>
      <c r="W56" s="872">
        <f t="shared" si="8"/>
        <v>648.76400000000001</v>
      </c>
      <c r="X56" s="872">
        <f t="shared" si="0"/>
        <v>140.76900000000001</v>
      </c>
      <c r="Y56" s="1212">
        <f t="shared" si="1"/>
        <v>0</v>
      </c>
      <c r="Z56" s="956">
        <f t="shared" si="2"/>
        <v>140.76900000000001</v>
      </c>
      <c r="AA56" s="956">
        <f t="shared" si="3"/>
        <v>0</v>
      </c>
      <c r="AB56" s="956">
        <f t="shared" si="4"/>
        <v>0</v>
      </c>
      <c r="AC56" s="956">
        <f t="shared" si="5"/>
        <v>0</v>
      </c>
      <c r="AD56" s="956">
        <f t="shared" si="6"/>
        <v>0</v>
      </c>
      <c r="AE56" s="956">
        <f t="shared" si="7"/>
        <v>0</v>
      </c>
    </row>
    <row r="57" spans="2:31" s="878" customFormat="1" collapsed="1">
      <c r="B57" s="878" t="s">
        <v>1632</v>
      </c>
      <c r="J57" s="878">
        <f>J9-J10</f>
        <v>214861.81009099993</v>
      </c>
      <c r="K57" s="878">
        <f t="shared" ref="K57:R57" si="19">K9-K10</f>
        <v>128215.55182399997</v>
      </c>
      <c r="L57" s="878">
        <f t="shared" si="19"/>
        <v>166195.87245657772</v>
      </c>
      <c r="M57" s="878">
        <f t="shared" si="19"/>
        <v>294411.42428057804</v>
      </c>
      <c r="N57" s="878">
        <f t="shared" si="19"/>
        <v>359689.72382812982</v>
      </c>
      <c r="O57" s="878">
        <f t="shared" si="19"/>
        <v>411927.85868435039</v>
      </c>
      <c r="P57" s="878">
        <f t="shared" si="19"/>
        <v>445452.35610920121</v>
      </c>
      <c r="Q57" s="878">
        <f t="shared" si="19"/>
        <v>481895.03190545284</v>
      </c>
      <c r="R57" s="878">
        <f t="shared" si="19"/>
        <v>523711.39295204589</v>
      </c>
      <c r="U57" s="883" t="s">
        <v>1632</v>
      </c>
      <c r="V57" s="883"/>
      <c r="W57" s="884">
        <f t="shared" si="8"/>
        <v>214861.81009099993</v>
      </c>
      <c r="X57" s="884">
        <f t="shared" si="0"/>
        <v>128215.55182399997</v>
      </c>
      <c r="Y57" s="1213">
        <f t="shared" si="1"/>
        <v>166195.87245657772</v>
      </c>
      <c r="Z57" s="884">
        <f t="shared" si="2"/>
        <v>294411.42428057804</v>
      </c>
      <c r="AA57" s="884">
        <f t="shared" si="3"/>
        <v>359689.72382812982</v>
      </c>
      <c r="AB57" s="884">
        <f t="shared" si="4"/>
        <v>411927.85868435039</v>
      </c>
      <c r="AC57" s="884">
        <f t="shared" si="5"/>
        <v>445452.35610920121</v>
      </c>
      <c r="AD57" s="884">
        <f t="shared" si="6"/>
        <v>481895.03190545284</v>
      </c>
      <c r="AE57" s="884">
        <f t="shared" si="7"/>
        <v>523711.39295204589</v>
      </c>
    </row>
    <row r="58" spans="2:31" s="878" customFormat="1">
      <c r="B58" s="878" t="s">
        <v>1633</v>
      </c>
      <c r="J58" s="878">
        <f>J59+J65</f>
        <v>72254.315000000002</v>
      </c>
      <c r="K58" s="878">
        <f t="shared" ref="K58:R58" si="20">K59+K65</f>
        <v>39719.626000000004</v>
      </c>
      <c r="L58" s="878">
        <f t="shared" si="20"/>
        <v>34001.97608473822</v>
      </c>
      <c r="M58" s="878">
        <f t="shared" si="20"/>
        <v>73721.602084738217</v>
      </c>
      <c r="N58" s="878">
        <f t="shared" si="20"/>
        <v>67634.365472903184</v>
      </c>
      <c r="O58" s="878">
        <f t="shared" si="20"/>
        <v>61487.013932060901</v>
      </c>
      <c r="P58" s="878">
        <f t="shared" si="20"/>
        <v>50594.228771381531</v>
      </c>
      <c r="Q58" s="878">
        <f t="shared" si="20"/>
        <v>41940.003631281485</v>
      </c>
      <c r="R58" s="878">
        <f t="shared" si="20"/>
        <v>17071.523747100393</v>
      </c>
      <c r="U58" s="878" t="s">
        <v>1633</v>
      </c>
      <c r="W58" s="879">
        <f t="shared" si="8"/>
        <v>72254.315000000002</v>
      </c>
      <c r="X58" s="879">
        <f t="shared" si="0"/>
        <v>39719.626000000004</v>
      </c>
      <c r="Y58" s="1210">
        <f t="shared" si="1"/>
        <v>34001.97608473822</v>
      </c>
      <c r="Z58" s="955">
        <f t="shared" si="2"/>
        <v>73721.602084738217</v>
      </c>
      <c r="AA58" s="955">
        <f t="shared" si="3"/>
        <v>67634.365472903184</v>
      </c>
      <c r="AB58" s="955">
        <f t="shared" si="4"/>
        <v>61487.013932060901</v>
      </c>
      <c r="AC58" s="955">
        <f t="shared" si="5"/>
        <v>50594.228771381531</v>
      </c>
      <c r="AD58" s="955">
        <f t="shared" si="6"/>
        <v>41940.003631281485</v>
      </c>
      <c r="AE58" s="955">
        <f t="shared" si="7"/>
        <v>17071.523747100393</v>
      </c>
    </row>
    <row r="59" spans="2:31" s="878" customFormat="1">
      <c r="C59" s="878" t="s">
        <v>1634</v>
      </c>
      <c r="J59" s="878">
        <f>SUM(J60:J64)</f>
        <v>81097.322</v>
      </c>
      <c r="K59" s="878">
        <f t="shared" ref="K59:R59" si="21">SUM(K60:K64)</f>
        <v>41832.530000000006</v>
      </c>
      <c r="L59" s="878">
        <f t="shared" si="21"/>
        <v>34001.97608473822</v>
      </c>
      <c r="M59" s="878">
        <f t="shared" si="21"/>
        <v>75834.506084738212</v>
      </c>
      <c r="N59" s="878">
        <f t="shared" si="21"/>
        <v>67634.365472903184</v>
      </c>
      <c r="O59" s="878">
        <f t="shared" si="21"/>
        <v>61487.013932060901</v>
      </c>
      <c r="P59" s="878">
        <f t="shared" si="21"/>
        <v>50594.228771381531</v>
      </c>
      <c r="Q59" s="878">
        <f t="shared" si="21"/>
        <v>41940.003631281485</v>
      </c>
      <c r="R59" s="878">
        <f t="shared" si="21"/>
        <v>17071.523747100393</v>
      </c>
      <c r="V59" s="882" t="s">
        <v>1634</v>
      </c>
      <c r="W59" s="872">
        <f t="shared" si="8"/>
        <v>81097.322</v>
      </c>
      <c r="X59" s="872">
        <f t="shared" si="0"/>
        <v>41832.530000000006</v>
      </c>
      <c r="Y59" s="1212">
        <f t="shared" si="1"/>
        <v>34001.97608473822</v>
      </c>
      <c r="Z59" s="956">
        <f t="shared" si="2"/>
        <v>75834.506084738212</v>
      </c>
      <c r="AA59" s="956">
        <f t="shared" si="3"/>
        <v>67634.365472903184</v>
      </c>
      <c r="AB59" s="956">
        <f t="shared" si="4"/>
        <v>61487.013932060901</v>
      </c>
      <c r="AC59" s="956">
        <f t="shared" si="5"/>
        <v>50594.228771381531</v>
      </c>
      <c r="AD59" s="956">
        <f t="shared" si="6"/>
        <v>41940.003631281485</v>
      </c>
      <c r="AE59" s="956">
        <f t="shared" si="7"/>
        <v>17071.523747100393</v>
      </c>
    </row>
    <row r="60" spans="2:31" hidden="1" outlineLevel="1">
      <c r="D60" s="871" t="s">
        <v>1635</v>
      </c>
      <c r="J60" s="871">
        <f>IS!E57/1000000</f>
        <v>80720.615000000005</v>
      </c>
      <c r="K60" s="871">
        <f>IS!F57/1000000</f>
        <v>40171.69</v>
      </c>
      <c r="L60" s="871">
        <f>NetDebt!E42</f>
        <v>34001.97608473822</v>
      </c>
      <c r="M60" s="871">
        <f>K60+L60</f>
        <v>74173.666084738215</v>
      </c>
      <c r="N60" s="871">
        <f>NetDebt!F42</f>
        <v>67634.365472903184</v>
      </c>
      <c r="O60" s="871">
        <f>NetDebt!G42</f>
        <v>61487.013932060901</v>
      </c>
      <c r="P60" s="871">
        <f>NetDebt!H42</f>
        <v>50594.228771381531</v>
      </c>
      <c r="Q60" s="871">
        <f>NetDebt!I42</f>
        <v>41940.003631281485</v>
      </c>
      <c r="R60" s="871">
        <f>NetDebt!J42</f>
        <v>17071.523747100393</v>
      </c>
      <c r="S60" s="878"/>
      <c r="T60" s="878"/>
      <c r="V60" s="882"/>
      <c r="W60" s="872">
        <f t="shared" si="8"/>
        <v>80720.615000000005</v>
      </c>
      <c r="X60" s="872">
        <f t="shared" si="0"/>
        <v>40171.69</v>
      </c>
      <c r="Y60" s="1212">
        <f t="shared" si="1"/>
        <v>34001.97608473822</v>
      </c>
      <c r="Z60" s="956">
        <f t="shared" si="2"/>
        <v>74173.666084738215</v>
      </c>
      <c r="AA60" s="956">
        <f t="shared" si="3"/>
        <v>67634.365472903184</v>
      </c>
      <c r="AB60" s="956">
        <f t="shared" si="4"/>
        <v>61487.013932060901</v>
      </c>
      <c r="AC60" s="956">
        <f t="shared" si="5"/>
        <v>50594.228771381531</v>
      </c>
      <c r="AD60" s="956">
        <f t="shared" si="6"/>
        <v>41940.003631281485</v>
      </c>
      <c r="AE60" s="956">
        <f t="shared" si="7"/>
        <v>17071.523747100393</v>
      </c>
    </row>
    <row r="61" spans="2:31" hidden="1" outlineLevel="1">
      <c r="D61" s="871" t="s">
        <v>1636</v>
      </c>
      <c r="J61" s="871">
        <f>IS!E58/1000000</f>
        <v>376.70699999999999</v>
      </c>
      <c r="K61" s="871">
        <f>IS!F58/1000000</f>
        <v>0</v>
      </c>
      <c r="M61" s="871">
        <f t="shared" ref="M61:M64" si="22">K61+L61</f>
        <v>0</v>
      </c>
      <c r="S61" s="878"/>
      <c r="T61" s="878"/>
      <c r="V61" s="882"/>
      <c r="W61" s="872">
        <f t="shared" si="8"/>
        <v>376.70699999999999</v>
      </c>
      <c r="X61" s="872">
        <f t="shared" si="0"/>
        <v>0</v>
      </c>
      <c r="Y61" s="1212">
        <f t="shared" si="1"/>
        <v>0</v>
      </c>
      <c r="Z61" s="956">
        <f t="shared" si="2"/>
        <v>0</v>
      </c>
      <c r="AA61" s="956">
        <f t="shared" si="3"/>
        <v>0</v>
      </c>
      <c r="AB61" s="956">
        <f t="shared" si="4"/>
        <v>0</v>
      </c>
      <c r="AC61" s="956">
        <f t="shared" si="5"/>
        <v>0</v>
      </c>
      <c r="AD61" s="956">
        <f t="shared" si="6"/>
        <v>0</v>
      </c>
      <c r="AE61" s="956">
        <f t="shared" si="7"/>
        <v>0</v>
      </c>
    </row>
    <row r="62" spans="2:31" hidden="1" outlineLevel="1">
      <c r="D62" s="871" t="s">
        <v>1637</v>
      </c>
      <c r="J62" s="871">
        <f>IS!E59/1000000</f>
        <v>0</v>
      </c>
      <c r="K62" s="871">
        <f>IS!F59/1000000</f>
        <v>186.245</v>
      </c>
      <c r="M62" s="871">
        <f t="shared" si="22"/>
        <v>186.245</v>
      </c>
      <c r="S62" s="878"/>
      <c r="T62" s="878"/>
      <c r="V62" s="882"/>
      <c r="W62" s="872">
        <f t="shared" si="8"/>
        <v>0</v>
      </c>
      <c r="X62" s="872">
        <f t="shared" si="0"/>
        <v>186.245</v>
      </c>
      <c r="Y62" s="1212">
        <f t="shared" si="1"/>
        <v>0</v>
      </c>
      <c r="Z62" s="956">
        <f t="shared" si="2"/>
        <v>186.245</v>
      </c>
      <c r="AA62" s="956">
        <f t="shared" si="3"/>
        <v>0</v>
      </c>
      <c r="AB62" s="956">
        <f t="shared" si="4"/>
        <v>0</v>
      </c>
      <c r="AC62" s="956">
        <f t="shared" si="5"/>
        <v>0</v>
      </c>
      <c r="AD62" s="956">
        <f t="shared" si="6"/>
        <v>0</v>
      </c>
      <c r="AE62" s="956">
        <f t="shared" si="7"/>
        <v>0</v>
      </c>
    </row>
    <row r="63" spans="2:31" hidden="1" outlineLevel="1">
      <c r="D63" s="871" t="s">
        <v>1638</v>
      </c>
      <c r="J63" s="871">
        <f>IS!E60/1000000</f>
        <v>0</v>
      </c>
      <c r="K63" s="871">
        <f>IS!F60/1000000</f>
        <v>1474.326</v>
      </c>
      <c r="M63" s="871">
        <f t="shared" si="22"/>
        <v>1474.326</v>
      </c>
      <c r="S63" s="878"/>
      <c r="T63" s="878"/>
      <c r="V63" s="882"/>
      <c r="W63" s="872">
        <f t="shared" si="8"/>
        <v>0</v>
      </c>
      <c r="X63" s="872">
        <f t="shared" si="0"/>
        <v>1474.326</v>
      </c>
      <c r="Y63" s="1212">
        <f t="shared" si="1"/>
        <v>0</v>
      </c>
      <c r="Z63" s="956">
        <f t="shared" si="2"/>
        <v>1474.326</v>
      </c>
      <c r="AA63" s="956">
        <f t="shared" si="3"/>
        <v>0</v>
      </c>
      <c r="AB63" s="956">
        <f t="shared" si="4"/>
        <v>0</v>
      </c>
      <c r="AC63" s="956">
        <f t="shared" si="5"/>
        <v>0</v>
      </c>
      <c r="AD63" s="956">
        <f t="shared" si="6"/>
        <v>0</v>
      </c>
      <c r="AE63" s="956">
        <f t="shared" si="7"/>
        <v>0</v>
      </c>
    </row>
    <row r="64" spans="2:31" hidden="1" outlineLevel="1">
      <c r="D64" s="871" t="s">
        <v>1639</v>
      </c>
      <c r="J64" s="871">
        <f>IS!E61/1000000</f>
        <v>0</v>
      </c>
      <c r="K64" s="871">
        <f>IS!F61/1000000</f>
        <v>0.26900000000000002</v>
      </c>
      <c r="M64" s="871">
        <f t="shared" si="22"/>
        <v>0.26900000000000002</v>
      </c>
      <c r="S64" s="878"/>
      <c r="T64" s="878"/>
      <c r="V64" s="882"/>
      <c r="W64" s="872">
        <f t="shared" si="8"/>
        <v>0</v>
      </c>
      <c r="X64" s="872">
        <f t="shared" si="0"/>
        <v>0.26900000000000002</v>
      </c>
      <c r="Y64" s="1212">
        <f t="shared" si="1"/>
        <v>0</v>
      </c>
      <c r="Z64" s="956">
        <f t="shared" si="2"/>
        <v>0.26900000000000002</v>
      </c>
      <c r="AA64" s="956">
        <f t="shared" si="3"/>
        <v>0</v>
      </c>
      <c r="AB64" s="956">
        <f t="shared" si="4"/>
        <v>0</v>
      </c>
      <c r="AC64" s="956">
        <f t="shared" si="5"/>
        <v>0</v>
      </c>
      <c r="AD64" s="956">
        <f t="shared" si="6"/>
        <v>0</v>
      </c>
      <c r="AE64" s="956">
        <f t="shared" si="7"/>
        <v>0</v>
      </c>
    </row>
    <row r="65" spans="2:32" s="878" customFormat="1" collapsed="1">
      <c r="C65" s="878" t="s">
        <v>1640</v>
      </c>
      <c r="J65" s="878">
        <f>SUM(J66:J69)</f>
        <v>-8843.0069999999996</v>
      </c>
      <c r="K65" s="878">
        <f>SUM(K66:K69)</f>
        <v>-2112.904</v>
      </c>
      <c r="L65" s="878">
        <f t="shared" ref="L65:R65" si="23">SUM(L66:L69)</f>
        <v>0</v>
      </c>
      <c r="M65" s="878">
        <f t="shared" si="23"/>
        <v>-2112.904</v>
      </c>
      <c r="N65" s="878">
        <f t="shared" si="23"/>
        <v>0</v>
      </c>
      <c r="O65" s="878">
        <f t="shared" si="23"/>
        <v>0</v>
      </c>
      <c r="P65" s="878">
        <f t="shared" si="23"/>
        <v>0</v>
      </c>
      <c r="Q65" s="878">
        <f t="shared" si="23"/>
        <v>0</v>
      </c>
      <c r="R65" s="878">
        <f t="shared" si="23"/>
        <v>0</v>
      </c>
      <c r="V65" s="882" t="s">
        <v>1640</v>
      </c>
      <c r="W65" s="872">
        <f t="shared" si="8"/>
        <v>-8843.0069999999996</v>
      </c>
      <c r="X65" s="872">
        <f t="shared" si="0"/>
        <v>-2112.904</v>
      </c>
      <c r="Y65" s="1212">
        <f t="shared" si="1"/>
        <v>0</v>
      </c>
      <c r="Z65" s="956">
        <f t="shared" si="2"/>
        <v>-2112.904</v>
      </c>
      <c r="AA65" s="956">
        <f t="shared" si="3"/>
        <v>0</v>
      </c>
      <c r="AB65" s="956">
        <f t="shared" si="4"/>
        <v>0</v>
      </c>
      <c r="AC65" s="956">
        <f t="shared" si="5"/>
        <v>0</v>
      </c>
      <c r="AD65" s="956">
        <f t="shared" si="6"/>
        <v>0</v>
      </c>
      <c r="AE65" s="956">
        <f t="shared" si="7"/>
        <v>0</v>
      </c>
    </row>
    <row r="66" spans="2:32" hidden="1" outlineLevel="1">
      <c r="D66" s="871" t="s">
        <v>1641</v>
      </c>
      <c r="J66" s="871">
        <f>IS!E63/1000000</f>
        <v>-3895.19</v>
      </c>
      <c r="K66" s="871">
        <f>IS!F63/1000000</f>
        <v>-2112.904</v>
      </c>
      <c r="M66" s="871">
        <f t="shared" ref="M66:M69" si="24">K66+L66</f>
        <v>-2112.904</v>
      </c>
      <c r="S66" s="878"/>
      <c r="T66" s="878"/>
      <c r="W66" s="872">
        <f t="shared" si="8"/>
        <v>-3895.19</v>
      </c>
      <c r="X66" s="872">
        <f t="shared" si="0"/>
        <v>-2112.904</v>
      </c>
      <c r="Y66" s="1212">
        <f t="shared" si="1"/>
        <v>0</v>
      </c>
      <c r="Z66" s="956">
        <f t="shared" si="2"/>
        <v>-2112.904</v>
      </c>
      <c r="AA66" s="956">
        <f t="shared" si="3"/>
        <v>0</v>
      </c>
      <c r="AB66" s="956">
        <f t="shared" si="4"/>
        <v>0</v>
      </c>
      <c r="AC66" s="956">
        <f t="shared" si="5"/>
        <v>0</v>
      </c>
      <c r="AD66" s="956">
        <f t="shared" si="6"/>
        <v>0</v>
      </c>
      <c r="AE66" s="956">
        <f t="shared" si="7"/>
        <v>0</v>
      </c>
    </row>
    <row r="67" spans="2:32" hidden="1" outlineLevel="1">
      <c r="D67" s="871" t="s">
        <v>1642</v>
      </c>
      <c r="J67" s="871">
        <f>IS!E64/1000000</f>
        <v>-169.095</v>
      </c>
      <c r="K67" s="871">
        <f>IS!F64/1000000</f>
        <v>0</v>
      </c>
      <c r="M67" s="871">
        <f t="shared" si="24"/>
        <v>0</v>
      </c>
      <c r="S67" s="878"/>
      <c r="T67" s="878"/>
      <c r="W67" s="872">
        <f t="shared" si="8"/>
        <v>-169.095</v>
      </c>
      <c r="X67" s="872">
        <f t="shared" si="0"/>
        <v>0</v>
      </c>
      <c r="Y67" s="1212">
        <f t="shared" si="1"/>
        <v>0</v>
      </c>
      <c r="Z67" s="956">
        <f t="shared" si="2"/>
        <v>0</v>
      </c>
      <c r="AA67" s="956">
        <f t="shared" si="3"/>
        <v>0</v>
      </c>
      <c r="AB67" s="956">
        <f t="shared" si="4"/>
        <v>0</v>
      </c>
      <c r="AC67" s="956">
        <f t="shared" si="5"/>
        <v>0</v>
      </c>
      <c r="AD67" s="956">
        <f t="shared" si="6"/>
        <v>0</v>
      </c>
      <c r="AE67" s="956">
        <f t="shared" si="7"/>
        <v>0</v>
      </c>
    </row>
    <row r="68" spans="2:32" hidden="1" outlineLevel="1">
      <c r="D68" s="871" t="s">
        <v>1643</v>
      </c>
      <c r="J68" s="871">
        <f>IS!E65/1000000</f>
        <v>-4652.5320000000002</v>
      </c>
      <c r="K68" s="871">
        <f>IS!F65/1000000</f>
        <v>0</v>
      </c>
      <c r="M68" s="871">
        <f t="shared" si="24"/>
        <v>0</v>
      </c>
      <c r="S68" s="878"/>
      <c r="T68" s="878"/>
      <c r="W68" s="872">
        <f t="shared" si="8"/>
        <v>-4652.5320000000002</v>
      </c>
      <c r="X68" s="872">
        <f t="shared" si="0"/>
        <v>0</v>
      </c>
      <c r="Y68" s="1212">
        <f t="shared" si="1"/>
        <v>0</v>
      </c>
      <c r="Z68" s="956">
        <f t="shared" si="2"/>
        <v>0</v>
      </c>
      <c r="AA68" s="956">
        <f t="shared" si="3"/>
        <v>0</v>
      </c>
      <c r="AB68" s="956">
        <f t="shared" si="4"/>
        <v>0</v>
      </c>
      <c r="AC68" s="956">
        <f t="shared" si="5"/>
        <v>0</v>
      </c>
      <c r="AD68" s="956">
        <f t="shared" si="6"/>
        <v>0</v>
      </c>
      <c r="AE68" s="956">
        <f t="shared" si="7"/>
        <v>0</v>
      </c>
    </row>
    <row r="69" spans="2:32" hidden="1" outlineLevel="1">
      <c r="D69" s="871" t="s">
        <v>1644</v>
      </c>
      <c r="J69" s="871">
        <f>IS!E66/1000000</f>
        <v>-126.19</v>
      </c>
      <c r="K69" s="871">
        <f>IS!F66/1000000</f>
        <v>0</v>
      </c>
      <c r="M69" s="871">
        <f t="shared" si="24"/>
        <v>0</v>
      </c>
      <c r="S69" s="878"/>
      <c r="T69" s="878"/>
      <c r="W69" s="872">
        <f t="shared" si="8"/>
        <v>-126.19</v>
      </c>
      <c r="X69" s="872">
        <f t="shared" si="0"/>
        <v>0</v>
      </c>
      <c r="Y69" s="1212">
        <f t="shared" si="1"/>
        <v>0</v>
      </c>
      <c r="Z69" s="956">
        <f t="shared" si="2"/>
        <v>0</v>
      </c>
      <c r="AA69" s="956">
        <f t="shared" si="3"/>
        <v>0</v>
      </c>
      <c r="AB69" s="956">
        <f t="shared" si="4"/>
        <v>0</v>
      </c>
      <c r="AC69" s="956">
        <f t="shared" si="5"/>
        <v>0</v>
      </c>
      <c r="AD69" s="956">
        <f t="shared" si="6"/>
        <v>0</v>
      </c>
      <c r="AE69" s="956">
        <f t="shared" si="7"/>
        <v>0</v>
      </c>
    </row>
    <row r="70" spans="2:32" s="878" customFormat="1" collapsed="1">
      <c r="B70" s="878" t="s">
        <v>1645</v>
      </c>
      <c r="J70" s="878">
        <f>J71</f>
        <v>0</v>
      </c>
      <c r="K70" s="878">
        <f t="shared" ref="K70:R70" si="25">K71</f>
        <v>0</v>
      </c>
      <c r="L70" s="878">
        <f t="shared" si="25"/>
        <v>0</v>
      </c>
      <c r="M70" s="878">
        <f t="shared" si="25"/>
        <v>0</v>
      </c>
      <c r="N70" s="878">
        <f t="shared" si="25"/>
        <v>0</v>
      </c>
      <c r="O70" s="878">
        <f t="shared" si="25"/>
        <v>0</v>
      </c>
      <c r="P70" s="878">
        <f t="shared" si="25"/>
        <v>0</v>
      </c>
      <c r="Q70" s="878">
        <f t="shared" si="25"/>
        <v>0</v>
      </c>
      <c r="R70" s="878">
        <f t="shared" si="25"/>
        <v>0</v>
      </c>
      <c r="U70" s="882" t="s">
        <v>1645</v>
      </c>
      <c r="V70" s="882"/>
      <c r="W70" s="872">
        <f t="shared" si="8"/>
        <v>0</v>
      </c>
      <c r="X70" s="872">
        <f t="shared" si="0"/>
        <v>0</v>
      </c>
      <c r="Y70" s="1212">
        <f t="shared" si="1"/>
        <v>0</v>
      </c>
      <c r="Z70" s="956">
        <f t="shared" si="2"/>
        <v>0</v>
      </c>
      <c r="AA70" s="956">
        <f t="shared" si="3"/>
        <v>0</v>
      </c>
      <c r="AB70" s="956">
        <f t="shared" si="4"/>
        <v>0</v>
      </c>
      <c r="AC70" s="956">
        <f t="shared" si="5"/>
        <v>0</v>
      </c>
      <c r="AD70" s="956">
        <f t="shared" si="6"/>
        <v>0</v>
      </c>
      <c r="AE70" s="956">
        <f t="shared" si="7"/>
        <v>0</v>
      </c>
    </row>
    <row r="71" spans="2:32" hidden="1" outlineLevel="1">
      <c r="D71" s="871" t="s">
        <v>1622</v>
      </c>
      <c r="J71" s="871">
        <f>IS!E68/1000000</f>
        <v>0</v>
      </c>
      <c r="K71" s="871">
        <f>IS!F68/1000000</f>
        <v>0</v>
      </c>
      <c r="M71" s="871">
        <f>K71+L71</f>
        <v>0</v>
      </c>
      <c r="S71" s="878"/>
      <c r="T71" s="878"/>
      <c r="U71" s="882"/>
      <c r="V71" s="882"/>
      <c r="W71" s="872">
        <f t="shared" si="8"/>
        <v>0</v>
      </c>
      <c r="X71" s="872">
        <f t="shared" ref="X71:X77" si="26">K71</f>
        <v>0</v>
      </c>
      <c r="Y71" s="1212">
        <f t="shared" ref="Y71:Y77" si="27">L71</f>
        <v>0</v>
      </c>
      <c r="Z71" s="956">
        <f t="shared" ref="Z71:Z77" si="28">M71</f>
        <v>0</v>
      </c>
      <c r="AA71" s="956">
        <f t="shared" ref="AA71:AA77" si="29">N71</f>
        <v>0</v>
      </c>
      <c r="AB71" s="956">
        <f t="shared" ref="AB71:AB77" si="30">O71</f>
        <v>0</v>
      </c>
      <c r="AC71" s="956">
        <f t="shared" ref="AC71:AC77" si="31">P71</f>
        <v>0</v>
      </c>
      <c r="AD71" s="956">
        <f t="shared" ref="AD71:AD77" si="32">Q71</f>
        <v>0</v>
      </c>
      <c r="AE71" s="956">
        <f t="shared" ref="AE71:AE77" si="33">R71</f>
        <v>0</v>
      </c>
    </row>
    <row r="72" spans="2:32" s="878" customFormat="1" collapsed="1">
      <c r="B72" s="878" t="s">
        <v>1646</v>
      </c>
      <c r="J72" s="878">
        <f>SUM(J73:J74)</f>
        <v>646.60964999999999</v>
      </c>
      <c r="K72" s="878">
        <f t="shared" ref="K72:R72" si="34">SUM(K73:K74)</f>
        <v>343.09320000000002</v>
      </c>
      <c r="L72" s="878">
        <f t="shared" si="34"/>
        <v>0</v>
      </c>
      <c r="M72" s="878">
        <f t="shared" si="34"/>
        <v>343.09320000000002</v>
      </c>
      <c r="N72" s="878">
        <f t="shared" si="34"/>
        <v>0</v>
      </c>
      <c r="O72" s="878">
        <f t="shared" si="34"/>
        <v>0</v>
      </c>
      <c r="P72" s="878">
        <f t="shared" si="34"/>
        <v>0</v>
      </c>
      <c r="Q72" s="878">
        <f t="shared" si="34"/>
        <v>0</v>
      </c>
      <c r="R72" s="878">
        <f t="shared" si="34"/>
        <v>0</v>
      </c>
      <c r="U72" s="880" t="s">
        <v>1646</v>
      </c>
      <c r="V72" s="880"/>
      <c r="W72" s="881">
        <f t="shared" ref="W72:W77" si="35">J72</f>
        <v>646.60964999999999</v>
      </c>
      <c r="X72" s="881">
        <f t="shared" si="26"/>
        <v>343.09320000000002</v>
      </c>
      <c r="Y72" s="1211">
        <f t="shared" si="27"/>
        <v>0</v>
      </c>
      <c r="Z72" s="881">
        <f t="shared" si="28"/>
        <v>343.09320000000002</v>
      </c>
      <c r="AA72" s="881">
        <f t="shared" si="29"/>
        <v>0</v>
      </c>
      <c r="AB72" s="881">
        <f t="shared" si="30"/>
        <v>0</v>
      </c>
      <c r="AC72" s="881">
        <f t="shared" si="31"/>
        <v>0</v>
      </c>
      <c r="AD72" s="881">
        <f t="shared" si="32"/>
        <v>0</v>
      </c>
      <c r="AE72" s="881">
        <f t="shared" si="33"/>
        <v>0</v>
      </c>
    </row>
    <row r="73" spans="2:32" hidden="1" outlineLevel="1">
      <c r="D73" s="871" t="s">
        <v>1348</v>
      </c>
      <c r="J73" s="871">
        <f>IS!E70/1000000</f>
        <v>646.60964999999999</v>
      </c>
      <c r="K73" s="871">
        <f>IS!F70/1000000</f>
        <v>343.09320000000002</v>
      </c>
      <c r="M73" s="871">
        <f t="shared" ref="M73:M74" si="36">K73+L73</f>
        <v>343.09320000000002</v>
      </c>
      <c r="S73" s="878"/>
      <c r="T73" s="878"/>
      <c r="W73" s="872">
        <f t="shared" si="35"/>
        <v>646.60964999999999</v>
      </c>
      <c r="X73" s="872">
        <f t="shared" si="26"/>
        <v>343.09320000000002</v>
      </c>
      <c r="Y73" s="1212">
        <f t="shared" si="27"/>
        <v>0</v>
      </c>
      <c r="Z73" s="956">
        <f t="shared" si="28"/>
        <v>343.09320000000002</v>
      </c>
      <c r="AA73" s="956">
        <f t="shared" si="29"/>
        <v>0</v>
      </c>
      <c r="AB73" s="956">
        <f t="shared" si="30"/>
        <v>0</v>
      </c>
      <c r="AC73" s="956">
        <f t="shared" si="31"/>
        <v>0</v>
      </c>
      <c r="AD73" s="956">
        <f t="shared" si="32"/>
        <v>0</v>
      </c>
      <c r="AE73" s="956">
        <f t="shared" si="33"/>
        <v>0</v>
      </c>
    </row>
    <row r="74" spans="2:32" hidden="1" outlineLevel="1">
      <c r="D74" s="871" t="s">
        <v>1631</v>
      </c>
      <c r="J74" s="871">
        <f>IS!E71/1000000</f>
        <v>0</v>
      </c>
      <c r="K74" s="871">
        <f>IS!F71/1000000</f>
        <v>0</v>
      </c>
      <c r="M74" s="871">
        <f t="shared" si="36"/>
        <v>0</v>
      </c>
      <c r="S74" s="878"/>
      <c r="T74" s="878"/>
      <c r="W74" s="872">
        <f t="shared" si="35"/>
        <v>0</v>
      </c>
      <c r="X74" s="872">
        <f t="shared" si="26"/>
        <v>0</v>
      </c>
      <c r="Y74" s="1212">
        <f t="shared" si="27"/>
        <v>0</v>
      </c>
      <c r="Z74" s="956">
        <f t="shared" si="28"/>
        <v>0</v>
      </c>
      <c r="AA74" s="956">
        <f t="shared" si="29"/>
        <v>0</v>
      </c>
      <c r="AB74" s="956">
        <f t="shared" si="30"/>
        <v>0</v>
      </c>
      <c r="AC74" s="956">
        <f t="shared" si="31"/>
        <v>0</v>
      </c>
      <c r="AD74" s="956">
        <f t="shared" si="32"/>
        <v>0</v>
      </c>
      <c r="AE74" s="956">
        <f t="shared" si="33"/>
        <v>0</v>
      </c>
    </row>
    <row r="75" spans="2:32" s="878" customFormat="1" collapsed="1">
      <c r="B75" s="878" t="s">
        <v>1647</v>
      </c>
      <c r="J75" s="878">
        <f>J57-J58+J70-J72</f>
        <v>141960.88544099993</v>
      </c>
      <c r="K75" s="878">
        <f>K57-K58+K70-K72</f>
        <v>88152.832623999959</v>
      </c>
      <c r="L75" s="878">
        <f t="shared" ref="L75:R75" si="37">L57-L58+L70-L72</f>
        <v>132193.89637183951</v>
      </c>
      <c r="M75" s="878">
        <f t="shared" si="37"/>
        <v>220346.72899583983</v>
      </c>
      <c r="N75" s="878">
        <f t="shared" si="37"/>
        <v>292055.35835522664</v>
      </c>
      <c r="O75" s="878">
        <f t="shared" si="37"/>
        <v>350440.84475228947</v>
      </c>
      <c r="P75" s="878">
        <f t="shared" si="37"/>
        <v>394858.12733781966</v>
      </c>
      <c r="Q75" s="878">
        <f t="shared" si="37"/>
        <v>439955.02827417135</v>
      </c>
      <c r="R75" s="878">
        <f t="shared" si="37"/>
        <v>506639.86920494551</v>
      </c>
      <c r="U75" s="878" t="s">
        <v>1647</v>
      </c>
      <c r="W75" s="879">
        <f t="shared" si="35"/>
        <v>141960.88544099993</v>
      </c>
      <c r="X75" s="879">
        <f t="shared" si="26"/>
        <v>88152.832623999959</v>
      </c>
      <c r="Y75" s="1210">
        <f t="shared" si="27"/>
        <v>132193.89637183951</v>
      </c>
      <c r="Z75" s="955">
        <f t="shared" si="28"/>
        <v>220346.72899583983</v>
      </c>
      <c r="AA75" s="955">
        <f t="shared" si="29"/>
        <v>292055.35835522664</v>
      </c>
      <c r="AB75" s="955">
        <f t="shared" si="30"/>
        <v>350440.84475228947</v>
      </c>
      <c r="AC75" s="955">
        <f t="shared" si="31"/>
        <v>394858.12733781966</v>
      </c>
      <c r="AD75" s="955">
        <f t="shared" si="32"/>
        <v>439955.02827417135</v>
      </c>
      <c r="AE75" s="955">
        <f t="shared" si="33"/>
        <v>506639.86920494551</v>
      </c>
    </row>
    <row r="76" spans="2:32" s="878" customFormat="1">
      <c r="B76" s="878" t="s">
        <v>1648</v>
      </c>
      <c r="J76" s="878">
        <f>IS!E73/1000000</f>
        <v>35424.391806</v>
      </c>
      <c r="K76" s="878">
        <f>IS!F73/1000000</f>
        <v>21087.578372</v>
      </c>
      <c r="L76" s="878">
        <f>M76-K76</f>
        <v>32209.930044993238</v>
      </c>
      <c r="M76" s="878">
        <f>200*$K$83+(M75-200)*$K$84</f>
        <v>53297.508416993238</v>
      </c>
      <c r="N76" s="878">
        <f>200*$L$83+(N75-200)*$L$84</f>
        <v>64230.17883814987</v>
      </c>
      <c r="O76" s="878">
        <f t="shared" ref="O76:R76" si="38">200*$L$83+(O75-200)*$L$84</f>
        <v>77074.985845503688</v>
      </c>
      <c r="P76" s="878">
        <f t="shared" si="38"/>
        <v>86846.788014320337</v>
      </c>
      <c r="Q76" s="878">
        <f t="shared" si="38"/>
        <v>96768.106220317713</v>
      </c>
      <c r="R76" s="878">
        <f t="shared" si="38"/>
        <v>111438.77122508803</v>
      </c>
      <c r="U76" s="882" t="s">
        <v>1648</v>
      </c>
      <c r="V76" s="882"/>
      <c r="W76" s="872">
        <f t="shared" si="35"/>
        <v>35424.391806</v>
      </c>
      <c r="X76" s="872">
        <f t="shared" si="26"/>
        <v>21087.578372</v>
      </c>
      <c r="Y76" s="1212">
        <f t="shared" si="27"/>
        <v>32209.930044993238</v>
      </c>
      <c r="Z76" s="956">
        <f t="shared" si="28"/>
        <v>53297.508416993238</v>
      </c>
      <c r="AA76" s="956">
        <f t="shared" si="29"/>
        <v>64230.17883814987</v>
      </c>
      <c r="AB76" s="955">
        <f t="shared" si="30"/>
        <v>77074.985845503688</v>
      </c>
      <c r="AC76" s="955">
        <f t="shared" si="31"/>
        <v>86846.788014320337</v>
      </c>
      <c r="AD76" s="955">
        <f t="shared" si="32"/>
        <v>96768.106220317713</v>
      </c>
      <c r="AE76" s="955">
        <f t="shared" si="33"/>
        <v>111438.77122508803</v>
      </c>
    </row>
    <row r="77" spans="2:32" s="878" customFormat="1" ht="12" thickBot="1">
      <c r="B77" s="885" t="s">
        <v>1649</v>
      </c>
      <c r="C77" s="885"/>
      <c r="D77" s="885"/>
      <c r="E77" s="885"/>
      <c r="F77" s="885"/>
      <c r="G77" s="885"/>
      <c r="H77" s="885"/>
      <c r="I77" s="885"/>
      <c r="J77" s="885">
        <f>J75-J76</f>
        <v>106536.49363499993</v>
      </c>
      <c r="K77" s="885">
        <f>K75-K76</f>
        <v>67065.254251999955</v>
      </c>
      <c r="L77" s="885">
        <f t="shared" ref="L77:R77" si="39">L75-L76</f>
        <v>99983.966326846275</v>
      </c>
      <c r="M77" s="885">
        <f t="shared" si="39"/>
        <v>167049.22057884658</v>
      </c>
      <c r="N77" s="885">
        <f t="shared" si="39"/>
        <v>227825.17951707676</v>
      </c>
      <c r="O77" s="885">
        <f t="shared" si="39"/>
        <v>273365.85890678578</v>
      </c>
      <c r="P77" s="885">
        <f t="shared" si="39"/>
        <v>308011.33932349936</v>
      </c>
      <c r="Q77" s="885">
        <f t="shared" si="39"/>
        <v>343186.92205385363</v>
      </c>
      <c r="R77" s="885">
        <f t="shared" si="39"/>
        <v>395201.09797985747</v>
      </c>
      <c r="U77" s="885" t="s">
        <v>1649</v>
      </c>
      <c r="V77" s="885"/>
      <c r="W77" s="886">
        <f t="shared" si="35"/>
        <v>106536.49363499993</v>
      </c>
      <c r="X77" s="886">
        <f t="shared" si="26"/>
        <v>67065.254251999955</v>
      </c>
      <c r="Y77" s="1214">
        <f t="shared" si="27"/>
        <v>99983.966326846275</v>
      </c>
      <c r="Z77" s="886">
        <f t="shared" si="28"/>
        <v>167049.22057884658</v>
      </c>
      <c r="AA77" s="886">
        <f t="shared" si="29"/>
        <v>227825.17951707676</v>
      </c>
      <c r="AB77" s="886">
        <f t="shared" si="30"/>
        <v>273365.85890678578</v>
      </c>
      <c r="AC77" s="886">
        <f t="shared" si="31"/>
        <v>308011.33932349936</v>
      </c>
      <c r="AD77" s="886">
        <f t="shared" si="32"/>
        <v>343186.92205385363</v>
      </c>
      <c r="AE77" s="886">
        <f t="shared" si="33"/>
        <v>395201.09797985747</v>
      </c>
      <c r="AF77" s="887"/>
    </row>
    <row r="78" spans="2:32">
      <c r="J78" s="888"/>
      <c r="K78" s="888"/>
      <c r="L78" s="888"/>
      <c r="M78" s="888"/>
      <c r="N78" s="888"/>
      <c r="O78" s="888"/>
      <c r="P78" s="888"/>
      <c r="Q78" s="888"/>
      <c r="R78" s="888"/>
      <c r="AF78" s="889"/>
    </row>
    <row r="80" spans="2:32">
      <c r="B80" s="890" t="s">
        <v>1729</v>
      </c>
      <c r="C80" s="891"/>
      <c r="D80" s="891"/>
      <c r="E80" s="891"/>
    </row>
    <row r="81" spans="2:31">
      <c r="B81" s="891"/>
      <c r="C81" s="891"/>
      <c r="D81" s="891"/>
      <c r="E81" s="891"/>
    </row>
    <row r="82" spans="2:31">
      <c r="B82" s="892" t="s">
        <v>1730</v>
      </c>
      <c r="C82" s="893"/>
      <c r="D82" s="893"/>
      <c r="E82" s="893"/>
      <c r="F82" s="893"/>
      <c r="G82" s="893"/>
      <c r="H82" s="893"/>
      <c r="I82" s="893" t="s">
        <v>1731</v>
      </c>
      <c r="J82" s="893" t="s">
        <v>1732</v>
      </c>
      <c r="K82" s="893" t="s">
        <v>1733</v>
      </c>
      <c r="L82" s="893" t="s">
        <v>1734</v>
      </c>
    </row>
    <row r="83" spans="2:31">
      <c r="B83" s="891" t="s">
        <v>728</v>
      </c>
      <c r="C83" s="894"/>
      <c r="D83" s="894"/>
      <c r="E83" s="894"/>
      <c r="F83" s="894"/>
      <c r="G83" s="894"/>
      <c r="H83" s="894"/>
      <c r="I83" s="894">
        <v>0.12100000000000001</v>
      </c>
      <c r="J83" s="894">
        <v>0.11</v>
      </c>
      <c r="K83" s="894">
        <v>0.11</v>
      </c>
      <c r="L83" s="894">
        <v>0.11000000000000001</v>
      </c>
    </row>
    <row r="84" spans="2:31">
      <c r="B84" s="892" t="s">
        <v>729</v>
      </c>
      <c r="C84" s="895"/>
      <c r="D84" s="895"/>
      <c r="E84" s="895"/>
      <c r="F84" s="895"/>
      <c r="G84" s="895"/>
      <c r="H84" s="895"/>
      <c r="I84" s="895">
        <v>0.24200000000000002</v>
      </c>
      <c r="J84" s="895">
        <v>0.24199999999999999</v>
      </c>
      <c r="K84" s="895">
        <v>0.24199999999999999</v>
      </c>
      <c r="L84" s="895">
        <v>0.22000000000000003</v>
      </c>
    </row>
    <row r="87" spans="2:31" ht="12" thickBot="1"/>
    <row r="88" spans="2:31">
      <c r="B88" s="874"/>
      <c r="C88" s="874"/>
      <c r="D88" s="874"/>
      <c r="E88" s="874"/>
      <c r="F88" s="874"/>
      <c r="G88" s="874"/>
      <c r="H88" s="874"/>
      <c r="I88" s="874"/>
      <c r="J88" s="875"/>
      <c r="K88" s="896" t="s">
        <v>1735</v>
      </c>
      <c r="L88" s="897" t="s">
        <v>1736</v>
      </c>
      <c r="M88" s="898"/>
      <c r="N88" s="899"/>
      <c r="O88" s="900"/>
      <c r="P88" s="900"/>
      <c r="Q88" s="900"/>
      <c r="R88" s="901"/>
    </row>
    <row r="89" spans="2:31" ht="12" thickBot="1">
      <c r="B89" s="876" t="s">
        <v>1737</v>
      </c>
      <c r="C89" s="876"/>
      <c r="D89" s="876"/>
      <c r="E89" s="876"/>
      <c r="F89" s="876"/>
      <c r="G89" s="876"/>
      <c r="H89" s="876"/>
      <c r="I89" s="876"/>
      <c r="J89" s="877" t="s">
        <v>1738</v>
      </c>
      <c r="K89" s="877" t="s">
        <v>1739</v>
      </c>
      <c r="L89" s="902" t="s">
        <v>1740</v>
      </c>
      <c r="M89" s="903" t="s">
        <v>1740</v>
      </c>
      <c r="N89" s="904" t="s">
        <v>1303</v>
      </c>
      <c r="O89" s="903" t="s">
        <v>1304</v>
      </c>
      <c r="P89" s="903" t="s">
        <v>1305</v>
      </c>
      <c r="Q89" s="903" t="s">
        <v>1306</v>
      </c>
      <c r="R89" s="905" t="s">
        <v>1307</v>
      </c>
      <c r="W89" s="684" t="s">
        <v>2143</v>
      </c>
      <c r="X89" s="684"/>
      <c r="Y89" s="1087" t="s">
        <v>2160</v>
      </c>
      <c r="Z89" s="684"/>
      <c r="AA89" s="956"/>
      <c r="AB89" s="684"/>
      <c r="AC89" s="684"/>
      <c r="AD89" s="684"/>
      <c r="AE89" s="684"/>
    </row>
    <row r="90" spans="2:31" ht="12" thickBot="1">
      <c r="B90" s="871" t="s">
        <v>1650</v>
      </c>
      <c r="L90" s="906"/>
      <c r="N90" s="907"/>
      <c r="O90" s="889"/>
      <c r="P90" s="889"/>
      <c r="Q90" s="889"/>
      <c r="R90" s="908"/>
      <c r="S90" s="909"/>
      <c r="U90" s="876" t="s">
        <v>1251</v>
      </c>
      <c r="V90" s="876"/>
      <c r="W90" s="1148">
        <v>2010</v>
      </c>
      <c r="X90" s="1148" t="s">
        <v>2161</v>
      </c>
      <c r="Y90" s="1149" t="s">
        <v>2142</v>
      </c>
      <c r="Z90" s="1148">
        <v>2011</v>
      </c>
      <c r="AA90" s="1148">
        <v>2012</v>
      </c>
      <c r="AB90" s="1148">
        <v>2013</v>
      </c>
      <c r="AC90" s="1148">
        <v>2014</v>
      </c>
      <c r="AD90" s="1148">
        <v>2015</v>
      </c>
      <c r="AE90" s="1148">
        <v>2016</v>
      </c>
    </row>
    <row r="91" spans="2:31">
      <c r="B91" s="878" t="s">
        <v>1651</v>
      </c>
      <c r="C91" s="878"/>
      <c r="D91" s="878"/>
      <c r="E91" s="878"/>
      <c r="F91" s="878"/>
      <c r="G91" s="878"/>
      <c r="H91" s="878"/>
      <c r="I91" s="878"/>
      <c r="J91" s="878">
        <f>BS!E5/1000000</f>
        <v>482887.07941100001</v>
      </c>
      <c r="K91" s="878">
        <f>BS!F5/1000000</f>
        <v>489539.469904</v>
      </c>
      <c r="L91" s="910">
        <f>L92+L93+L94+L99+L102</f>
        <v>632633.02160404751</v>
      </c>
      <c r="M91" s="878">
        <f t="shared" ref="M91:R91" si="40">M92+M93+M94+M99+M102</f>
        <v>632633.02160404751</v>
      </c>
      <c r="N91" s="911">
        <f t="shared" si="40"/>
        <v>856252.97667408921</v>
      </c>
      <c r="O91" s="887">
        <f t="shared" si="40"/>
        <v>919910.86728591786</v>
      </c>
      <c r="P91" s="887">
        <f t="shared" si="40"/>
        <v>1127241.6839829413</v>
      </c>
      <c r="Q91" s="887">
        <f t="shared" si="40"/>
        <v>1329694.8260951862</v>
      </c>
      <c r="R91" s="912">
        <f t="shared" si="40"/>
        <v>1190930.9898700337</v>
      </c>
      <c r="S91" s="909"/>
      <c r="U91" s="882" t="s">
        <v>1782</v>
      </c>
      <c r="V91" s="882"/>
      <c r="W91" s="872">
        <f>J91</f>
        <v>482887.07941100001</v>
      </c>
      <c r="X91" s="872">
        <f t="shared" ref="X91:X154" si="41">K91</f>
        <v>489539.469904</v>
      </c>
      <c r="Y91" s="1212">
        <f t="shared" ref="Y91:Y154" si="42">L91</f>
        <v>632633.02160404751</v>
      </c>
      <c r="Z91" s="872">
        <f t="shared" ref="Z91:Z154" si="43">M91</f>
        <v>632633.02160404751</v>
      </c>
      <c r="AA91" s="872">
        <f t="shared" ref="AA91:AA154" si="44">N91</f>
        <v>856252.97667408921</v>
      </c>
      <c r="AB91" s="872">
        <f t="shared" ref="AB91:AB154" si="45">O91</f>
        <v>919910.86728591786</v>
      </c>
      <c r="AC91" s="872">
        <f t="shared" ref="AC91:AC154" si="46">P91</f>
        <v>1127241.6839829413</v>
      </c>
      <c r="AD91" s="872">
        <f t="shared" ref="AD91:AD154" si="47">Q91</f>
        <v>1329694.8260951862</v>
      </c>
      <c r="AE91" s="872">
        <f t="shared" ref="AE91:AE154" si="48">R91</f>
        <v>1190930.9898700337</v>
      </c>
    </row>
    <row r="92" spans="2:31" hidden="1">
      <c r="C92" s="871" t="s">
        <v>1652</v>
      </c>
      <c r="J92" s="871">
        <f>BS!E6/1000000</f>
        <v>199123.37235300001</v>
      </c>
      <c r="K92" s="871">
        <f>BS!F6/1000000</f>
        <v>79013.351796999996</v>
      </c>
      <c r="L92" s="906">
        <f>L211</f>
        <v>318839.57218900777</v>
      </c>
      <c r="M92" s="871">
        <f>L92</f>
        <v>318839.57218900777</v>
      </c>
      <c r="N92" s="907">
        <f t="shared" ref="N92:R92" si="49">N211</f>
        <v>497907.00161261449</v>
      </c>
      <c r="O92" s="889">
        <f t="shared" si="49"/>
        <v>535712.50066258898</v>
      </c>
      <c r="P92" s="889">
        <f t="shared" si="49"/>
        <v>726721.2453470414</v>
      </c>
      <c r="Q92" s="889">
        <f t="shared" si="49"/>
        <v>912029.32576920604</v>
      </c>
      <c r="R92" s="908">
        <f t="shared" si="49"/>
        <v>755256.18212975853</v>
      </c>
      <c r="S92" s="909"/>
      <c r="V92" s="909" t="s">
        <v>1652</v>
      </c>
      <c r="W92" s="913">
        <f t="shared" ref="W92:W155" si="50">J92</f>
        <v>199123.37235300001</v>
      </c>
      <c r="X92" s="913">
        <f t="shared" si="41"/>
        <v>79013.351796999996</v>
      </c>
      <c r="Y92" s="1215">
        <f t="shared" si="42"/>
        <v>318839.57218900777</v>
      </c>
      <c r="Z92" s="913">
        <f t="shared" si="43"/>
        <v>318839.57218900777</v>
      </c>
      <c r="AA92" s="913">
        <f t="shared" si="44"/>
        <v>497907.00161261449</v>
      </c>
      <c r="AB92" s="913">
        <f t="shared" si="45"/>
        <v>535712.50066258898</v>
      </c>
      <c r="AC92" s="913">
        <f t="shared" si="46"/>
        <v>726721.2453470414</v>
      </c>
      <c r="AD92" s="913">
        <f t="shared" si="47"/>
        <v>912029.32576920604</v>
      </c>
      <c r="AE92" s="913">
        <f t="shared" si="48"/>
        <v>755256.18212975853</v>
      </c>
    </row>
    <row r="93" spans="2:31" hidden="1">
      <c r="C93" s="914" t="s">
        <v>1404</v>
      </c>
      <c r="D93" s="914"/>
      <c r="E93" s="914"/>
      <c r="F93" s="914"/>
      <c r="G93" s="914"/>
      <c r="H93" s="914"/>
      <c r="I93" s="914"/>
      <c r="J93" s="914">
        <f>BS!E7/1000000</f>
        <v>202019.01291200001</v>
      </c>
      <c r="K93" s="914">
        <f>BS!F7/1000000</f>
        <v>314577.716992</v>
      </c>
      <c r="L93" s="915">
        <f>NWC!H6</f>
        <v>212613.84123919113</v>
      </c>
      <c r="M93" s="914">
        <f>L93</f>
        <v>212613.84123919113</v>
      </c>
      <c r="N93" s="916">
        <f>NWC!I6</f>
        <v>254805.12987152152</v>
      </c>
      <c r="O93" s="917">
        <f>NWC!J6</f>
        <v>276888.58983343001</v>
      </c>
      <c r="P93" s="917">
        <f>NWC!K6</f>
        <v>290758.00919305155</v>
      </c>
      <c r="Q93" s="917">
        <f>NWC!L6</f>
        <v>305317.33330556151</v>
      </c>
      <c r="R93" s="918">
        <f>NWC!M6</f>
        <v>320600.5968130611</v>
      </c>
      <c r="S93" s="909"/>
      <c r="V93" s="909" t="s">
        <v>1404</v>
      </c>
      <c r="W93" s="913">
        <f t="shared" si="50"/>
        <v>202019.01291200001</v>
      </c>
      <c r="X93" s="913">
        <f t="shared" si="41"/>
        <v>314577.716992</v>
      </c>
      <c r="Y93" s="1215">
        <f t="shared" si="42"/>
        <v>212613.84123919113</v>
      </c>
      <c r="Z93" s="913">
        <f t="shared" si="43"/>
        <v>212613.84123919113</v>
      </c>
      <c r="AA93" s="913">
        <f t="shared" si="44"/>
        <v>254805.12987152152</v>
      </c>
      <c r="AB93" s="913">
        <f t="shared" si="45"/>
        <v>276888.58983343001</v>
      </c>
      <c r="AC93" s="913">
        <f t="shared" si="46"/>
        <v>290758.00919305155</v>
      </c>
      <c r="AD93" s="913">
        <f t="shared" si="47"/>
        <v>305317.33330556151</v>
      </c>
      <c r="AE93" s="913">
        <f t="shared" si="48"/>
        <v>320600.5968130611</v>
      </c>
    </row>
    <row r="94" spans="2:31" hidden="1">
      <c r="C94" s="871" t="s">
        <v>1653</v>
      </c>
      <c r="J94" s="871">
        <f>BS!E8/1000000</f>
        <v>35769.607551000001</v>
      </c>
      <c r="K94" s="871">
        <f>BS!F8/1000000</f>
        <v>51430.560578999997</v>
      </c>
      <c r="L94" s="906">
        <f>SUM(L95:L98)</f>
        <v>56661.767639848535</v>
      </c>
      <c r="M94" s="871">
        <f t="shared" ref="M94:R94" si="51">SUM(M95:M98)</f>
        <v>56661.767639848535</v>
      </c>
      <c r="N94" s="907">
        <f t="shared" si="51"/>
        <v>59023.004653953147</v>
      </c>
      <c r="O94" s="889">
        <f t="shared" si="51"/>
        <v>62791.936253898748</v>
      </c>
      <c r="P94" s="889">
        <f t="shared" si="51"/>
        <v>65244.588906848381</v>
      </c>
      <c r="Q94" s="889">
        <f t="shared" si="51"/>
        <v>67830.326484418663</v>
      </c>
      <c r="R94" s="908">
        <f t="shared" si="51"/>
        <v>70556.370391214121</v>
      </c>
      <c r="S94" s="909"/>
      <c r="V94" s="909" t="s">
        <v>1653</v>
      </c>
      <c r="W94" s="913">
        <f t="shared" si="50"/>
        <v>35769.607551000001</v>
      </c>
      <c r="X94" s="913">
        <f t="shared" si="41"/>
        <v>51430.560578999997</v>
      </c>
      <c r="Y94" s="1215">
        <f t="shared" si="42"/>
        <v>56661.767639848535</v>
      </c>
      <c r="Z94" s="913">
        <f t="shared" si="43"/>
        <v>56661.767639848535</v>
      </c>
      <c r="AA94" s="913">
        <f t="shared" si="44"/>
        <v>59023.004653953147</v>
      </c>
      <c r="AB94" s="913">
        <f t="shared" si="45"/>
        <v>62791.936253898748</v>
      </c>
      <c r="AC94" s="913">
        <f t="shared" si="46"/>
        <v>65244.588906848381</v>
      </c>
      <c r="AD94" s="913">
        <f t="shared" si="47"/>
        <v>67830.326484418663</v>
      </c>
      <c r="AE94" s="913">
        <f t="shared" si="48"/>
        <v>70556.370391214121</v>
      </c>
    </row>
    <row r="95" spans="2:31" hidden="1" outlineLevel="1">
      <c r="C95" s="914"/>
      <c r="D95" s="914" t="s">
        <v>1405</v>
      </c>
      <c r="E95" s="914"/>
      <c r="F95" s="914"/>
      <c r="G95" s="914"/>
      <c r="H95" s="914"/>
      <c r="I95" s="914"/>
      <c r="J95" s="914">
        <f>BS!E9/1000000</f>
        <v>33562.684999999998</v>
      </c>
      <c r="K95" s="914">
        <f>BS!F9/1000000</f>
        <v>33839.124000000003</v>
      </c>
      <c r="L95" s="915">
        <f>NWC!H7</f>
        <v>39070.330639848537</v>
      </c>
      <c r="M95" s="914">
        <f>L95</f>
        <v>39070.330639848537</v>
      </c>
      <c r="N95" s="916">
        <f>NWC!I7</f>
        <v>41431.567653953149</v>
      </c>
      <c r="O95" s="917">
        <f>NWC!J7</f>
        <v>45200.499253898743</v>
      </c>
      <c r="P95" s="917">
        <f>NWC!K7</f>
        <v>47653.151906848376</v>
      </c>
      <c r="Q95" s="917">
        <f>NWC!L7</f>
        <v>50238.889484418658</v>
      </c>
      <c r="R95" s="918">
        <f>NWC!M7</f>
        <v>52964.933391214116</v>
      </c>
      <c r="S95" s="909"/>
      <c r="V95" s="909"/>
      <c r="W95" s="913">
        <f t="shared" si="50"/>
        <v>33562.684999999998</v>
      </c>
      <c r="X95" s="913">
        <f t="shared" si="41"/>
        <v>33839.124000000003</v>
      </c>
      <c r="Y95" s="1215">
        <f t="shared" si="42"/>
        <v>39070.330639848537</v>
      </c>
      <c r="Z95" s="913">
        <f t="shared" si="43"/>
        <v>39070.330639848537</v>
      </c>
      <c r="AA95" s="913">
        <f t="shared" si="44"/>
        <v>41431.567653953149</v>
      </c>
      <c r="AB95" s="913">
        <f t="shared" si="45"/>
        <v>45200.499253898743</v>
      </c>
      <c r="AC95" s="913">
        <f t="shared" si="46"/>
        <v>47653.151906848376</v>
      </c>
      <c r="AD95" s="913">
        <f t="shared" si="47"/>
        <v>50238.889484418658</v>
      </c>
      <c r="AE95" s="913">
        <f t="shared" si="48"/>
        <v>52964.933391214116</v>
      </c>
    </row>
    <row r="96" spans="2:31" hidden="1" outlineLevel="1">
      <c r="D96" s="871" t="s">
        <v>1654</v>
      </c>
      <c r="J96" s="871">
        <f>BS!E10/1000000</f>
        <v>-73.478999999999999</v>
      </c>
      <c r="K96" s="871">
        <f>BS!F10/1000000</f>
        <v>0</v>
      </c>
      <c r="L96" s="906"/>
      <c r="M96" s="871">
        <f t="shared" ref="M96:M98" si="52">L96</f>
        <v>0</v>
      </c>
      <c r="N96" s="907"/>
      <c r="O96" s="889"/>
      <c r="P96" s="889"/>
      <c r="Q96" s="889"/>
      <c r="R96" s="908"/>
      <c r="S96" s="909"/>
      <c r="V96" s="909"/>
      <c r="W96" s="913">
        <f t="shared" si="50"/>
        <v>-73.478999999999999</v>
      </c>
      <c r="X96" s="913">
        <f t="shared" si="41"/>
        <v>0</v>
      </c>
      <c r="Y96" s="1215">
        <f t="shared" si="42"/>
        <v>0</v>
      </c>
      <c r="Z96" s="913">
        <f t="shared" si="43"/>
        <v>0</v>
      </c>
      <c r="AA96" s="913">
        <f t="shared" si="44"/>
        <v>0</v>
      </c>
      <c r="AB96" s="913">
        <f t="shared" si="45"/>
        <v>0</v>
      </c>
      <c r="AC96" s="913">
        <f t="shared" si="46"/>
        <v>0</v>
      </c>
      <c r="AD96" s="913">
        <f t="shared" si="47"/>
        <v>0</v>
      </c>
      <c r="AE96" s="913">
        <f t="shared" si="48"/>
        <v>0</v>
      </c>
    </row>
    <row r="97" spans="2:31" hidden="1" outlineLevel="1">
      <c r="D97" s="871" t="s">
        <v>1406</v>
      </c>
      <c r="J97" s="871">
        <f>BS!E11/1000000</f>
        <v>2280.6709999999998</v>
      </c>
      <c r="K97" s="871">
        <f>BS!F11/1000000</f>
        <v>17591.437000000002</v>
      </c>
      <c r="L97" s="906">
        <f>K97</f>
        <v>17591.437000000002</v>
      </c>
      <c r="M97" s="871">
        <f t="shared" si="52"/>
        <v>17591.437000000002</v>
      </c>
      <c r="N97" s="907">
        <f>M97</f>
        <v>17591.437000000002</v>
      </c>
      <c r="O97" s="889">
        <f t="shared" ref="O97:R97" si="53">N97</f>
        <v>17591.437000000002</v>
      </c>
      <c r="P97" s="889">
        <f t="shared" si="53"/>
        <v>17591.437000000002</v>
      </c>
      <c r="Q97" s="889">
        <f t="shared" si="53"/>
        <v>17591.437000000002</v>
      </c>
      <c r="R97" s="908">
        <f t="shared" si="53"/>
        <v>17591.437000000002</v>
      </c>
      <c r="S97" s="909"/>
      <c r="V97" s="909"/>
      <c r="W97" s="913">
        <f t="shared" si="50"/>
        <v>2280.6709999999998</v>
      </c>
      <c r="X97" s="913">
        <f t="shared" si="41"/>
        <v>17591.437000000002</v>
      </c>
      <c r="Y97" s="1215">
        <f t="shared" si="42"/>
        <v>17591.437000000002</v>
      </c>
      <c r="Z97" s="913">
        <f t="shared" si="43"/>
        <v>17591.437000000002</v>
      </c>
      <c r="AA97" s="913">
        <f t="shared" si="44"/>
        <v>17591.437000000002</v>
      </c>
      <c r="AB97" s="913">
        <f t="shared" si="45"/>
        <v>17591.437000000002</v>
      </c>
      <c r="AC97" s="913">
        <f t="shared" si="46"/>
        <v>17591.437000000002</v>
      </c>
      <c r="AD97" s="913">
        <f t="shared" si="47"/>
        <v>17591.437000000002</v>
      </c>
      <c r="AE97" s="913">
        <f t="shared" si="48"/>
        <v>17591.437000000002</v>
      </c>
    </row>
    <row r="98" spans="2:31" hidden="1" outlineLevel="1">
      <c r="D98" s="871" t="s">
        <v>1654</v>
      </c>
      <c r="J98" s="871">
        <f>BS!E12/1000000</f>
        <v>-0.26900000000000002</v>
      </c>
      <c r="K98" s="871">
        <f>BS!F12/1000000</f>
        <v>0</v>
      </c>
      <c r="L98" s="906"/>
      <c r="M98" s="871">
        <f t="shared" si="52"/>
        <v>0</v>
      </c>
      <c r="N98" s="907"/>
      <c r="O98" s="889"/>
      <c r="P98" s="889"/>
      <c r="Q98" s="889"/>
      <c r="R98" s="908"/>
      <c r="S98" s="909"/>
      <c r="V98" s="909"/>
      <c r="W98" s="913">
        <f t="shared" si="50"/>
        <v>-0.26900000000000002</v>
      </c>
      <c r="X98" s="913">
        <f t="shared" si="41"/>
        <v>0</v>
      </c>
      <c r="Y98" s="1215">
        <f t="shared" si="42"/>
        <v>0</v>
      </c>
      <c r="Z98" s="913">
        <f t="shared" si="43"/>
        <v>0</v>
      </c>
      <c r="AA98" s="913">
        <f t="shared" si="44"/>
        <v>0</v>
      </c>
      <c r="AB98" s="913">
        <f t="shared" si="45"/>
        <v>0</v>
      </c>
      <c r="AC98" s="913">
        <f t="shared" si="46"/>
        <v>0</v>
      </c>
      <c r="AD98" s="913">
        <f t="shared" si="47"/>
        <v>0</v>
      </c>
      <c r="AE98" s="913">
        <f t="shared" si="48"/>
        <v>0</v>
      </c>
    </row>
    <row r="99" spans="2:31" hidden="1" collapsed="1">
      <c r="C99" s="871" t="s">
        <v>1208</v>
      </c>
      <c r="J99" s="871">
        <f>BS!E13/1000000</f>
        <v>32156.784434000001</v>
      </c>
      <c r="K99" s="871">
        <f>BS!F13/1000000</f>
        <v>16258.924999999999</v>
      </c>
      <c r="L99" s="906">
        <f>K99</f>
        <v>16258.924999999999</v>
      </c>
      <c r="M99" s="871">
        <f>L99</f>
        <v>16258.924999999999</v>
      </c>
      <c r="N99" s="907">
        <f>M99</f>
        <v>16258.924999999999</v>
      </c>
      <c r="O99" s="889">
        <f t="shared" ref="O99:R99" si="54">N99</f>
        <v>16258.924999999999</v>
      </c>
      <c r="P99" s="889">
        <f t="shared" si="54"/>
        <v>16258.924999999999</v>
      </c>
      <c r="Q99" s="889">
        <f t="shared" si="54"/>
        <v>16258.924999999999</v>
      </c>
      <c r="R99" s="908">
        <f t="shared" si="54"/>
        <v>16258.924999999999</v>
      </c>
      <c r="S99" s="909"/>
      <c r="V99" s="909" t="s">
        <v>1208</v>
      </c>
      <c r="W99" s="913">
        <f t="shared" si="50"/>
        <v>32156.784434000001</v>
      </c>
      <c r="X99" s="913">
        <f t="shared" si="41"/>
        <v>16258.924999999999</v>
      </c>
      <c r="Y99" s="1215">
        <f t="shared" si="42"/>
        <v>16258.924999999999</v>
      </c>
      <c r="Z99" s="913">
        <f t="shared" si="43"/>
        <v>16258.924999999999</v>
      </c>
      <c r="AA99" s="913">
        <f t="shared" si="44"/>
        <v>16258.924999999999</v>
      </c>
      <c r="AB99" s="913">
        <f t="shared" si="45"/>
        <v>16258.924999999999</v>
      </c>
      <c r="AC99" s="913">
        <f t="shared" si="46"/>
        <v>16258.924999999999</v>
      </c>
      <c r="AD99" s="913">
        <f t="shared" si="47"/>
        <v>16258.924999999999</v>
      </c>
      <c r="AE99" s="913">
        <f t="shared" si="48"/>
        <v>16258.924999999999</v>
      </c>
    </row>
    <row r="100" spans="2:31" hidden="1" outlineLevel="1">
      <c r="D100" s="871" t="s">
        <v>1655</v>
      </c>
      <c r="J100" s="871">
        <f>BS!E14/1000000</f>
        <v>32117.269</v>
      </c>
      <c r="K100" s="871">
        <f>BS!F14/1000000</f>
        <v>0</v>
      </c>
      <c r="L100" s="906"/>
      <c r="N100" s="907"/>
      <c r="O100" s="889"/>
      <c r="P100" s="889"/>
      <c r="Q100" s="889"/>
      <c r="R100" s="908"/>
      <c r="S100" s="909"/>
      <c r="V100" s="909"/>
      <c r="W100" s="913">
        <f t="shared" si="50"/>
        <v>32117.269</v>
      </c>
      <c r="X100" s="913">
        <f t="shared" si="41"/>
        <v>0</v>
      </c>
      <c r="Y100" s="1215">
        <f t="shared" si="42"/>
        <v>0</v>
      </c>
      <c r="Z100" s="913">
        <f t="shared" si="43"/>
        <v>0</v>
      </c>
      <c r="AA100" s="913">
        <f t="shared" si="44"/>
        <v>0</v>
      </c>
      <c r="AB100" s="913">
        <f t="shared" si="45"/>
        <v>0</v>
      </c>
      <c r="AC100" s="913">
        <f t="shared" si="46"/>
        <v>0</v>
      </c>
      <c r="AD100" s="913">
        <f t="shared" si="47"/>
        <v>0</v>
      </c>
      <c r="AE100" s="913">
        <f t="shared" si="48"/>
        <v>0</v>
      </c>
    </row>
    <row r="101" spans="2:31" hidden="1" outlineLevel="1">
      <c r="D101" s="871" t="s">
        <v>1656</v>
      </c>
      <c r="J101" s="871">
        <f>BS!E15/1000000</f>
        <v>39.515000000000001</v>
      </c>
      <c r="K101" s="871">
        <f>BS!F15/1000000</f>
        <v>0</v>
      </c>
      <c r="L101" s="906"/>
      <c r="N101" s="907"/>
      <c r="O101" s="889"/>
      <c r="P101" s="889"/>
      <c r="Q101" s="889"/>
      <c r="R101" s="908"/>
      <c r="S101" s="909"/>
      <c r="V101" s="909"/>
      <c r="W101" s="913">
        <f t="shared" si="50"/>
        <v>39.515000000000001</v>
      </c>
      <c r="X101" s="913">
        <f t="shared" si="41"/>
        <v>0</v>
      </c>
      <c r="Y101" s="1215">
        <f t="shared" si="42"/>
        <v>0</v>
      </c>
      <c r="Z101" s="913">
        <f t="shared" si="43"/>
        <v>0</v>
      </c>
      <c r="AA101" s="913">
        <f t="shared" si="44"/>
        <v>0</v>
      </c>
      <c r="AB101" s="913">
        <f t="shared" si="45"/>
        <v>0</v>
      </c>
      <c r="AC101" s="913">
        <f t="shared" si="46"/>
        <v>0</v>
      </c>
      <c r="AD101" s="913">
        <f t="shared" si="47"/>
        <v>0</v>
      </c>
      <c r="AE101" s="913">
        <f t="shared" si="48"/>
        <v>0</v>
      </c>
    </row>
    <row r="102" spans="2:31" hidden="1" collapsed="1">
      <c r="C102" s="871" t="s">
        <v>1212</v>
      </c>
      <c r="J102" s="871">
        <f>BS!E16/1000000</f>
        <v>13818.302161</v>
      </c>
      <c r="K102" s="871">
        <f>BS!F16/1000000</f>
        <v>28258.915536</v>
      </c>
      <c r="L102" s="906">
        <f>K102</f>
        <v>28258.915536</v>
      </c>
      <c r="M102" s="871">
        <f>L102</f>
        <v>28258.915536</v>
      </c>
      <c r="N102" s="907">
        <f>M102</f>
        <v>28258.915536</v>
      </c>
      <c r="O102" s="889">
        <f t="shared" ref="O102:R102" si="55">N102</f>
        <v>28258.915536</v>
      </c>
      <c r="P102" s="889">
        <f t="shared" si="55"/>
        <v>28258.915536</v>
      </c>
      <c r="Q102" s="889">
        <f t="shared" si="55"/>
        <v>28258.915536</v>
      </c>
      <c r="R102" s="908">
        <f t="shared" si="55"/>
        <v>28258.915536</v>
      </c>
      <c r="S102" s="909"/>
      <c r="V102" s="909" t="s">
        <v>1212</v>
      </c>
      <c r="W102" s="913">
        <f t="shared" si="50"/>
        <v>13818.302161</v>
      </c>
      <c r="X102" s="913">
        <f t="shared" si="41"/>
        <v>28258.915536</v>
      </c>
      <c r="Y102" s="1215">
        <f t="shared" si="42"/>
        <v>28258.915536</v>
      </c>
      <c r="Z102" s="913">
        <f t="shared" si="43"/>
        <v>28258.915536</v>
      </c>
      <c r="AA102" s="913">
        <f t="shared" si="44"/>
        <v>28258.915536</v>
      </c>
      <c r="AB102" s="913">
        <f t="shared" si="45"/>
        <v>28258.915536</v>
      </c>
      <c r="AC102" s="913">
        <f t="shared" si="46"/>
        <v>28258.915536</v>
      </c>
      <c r="AD102" s="913">
        <f t="shared" si="47"/>
        <v>28258.915536</v>
      </c>
      <c r="AE102" s="913">
        <f t="shared" si="48"/>
        <v>28258.915536</v>
      </c>
    </row>
    <row r="103" spans="2:31" hidden="1" outlineLevel="1">
      <c r="D103" s="871" t="s">
        <v>1657</v>
      </c>
      <c r="J103" s="871">
        <f>BS!E17/1000000</f>
        <v>653.01900000000001</v>
      </c>
      <c r="K103" s="871">
        <f>BS!F17/1000000</f>
        <v>0</v>
      </c>
      <c r="L103" s="906"/>
      <c r="N103" s="907"/>
      <c r="O103" s="889"/>
      <c r="P103" s="889"/>
      <c r="Q103" s="889"/>
      <c r="R103" s="908"/>
      <c r="S103" s="909"/>
      <c r="V103" s="909"/>
      <c r="W103" s="913">
        <f t="shared" si="50"/>
        <v>653.01900000000001</v>
      </c>
      <c r="X103" s="913">
        <f t="shared" si="41"/>
        <v>0</v>
      </c>
      <c r="Y103" s="1215">
        <f t="shared" si="42"/>
        <v>0</v>
      </c>
      <c r="Z103" s="913">
        <f t="shared" si="43"/>
        <v>0</v>
      </c>
      <c r="AA103" s="913">
        <f t="shared" si="44"/>
        <v>0</v>
      </c>
      <c r="AB103" s="913">
        <f t="shared" si="45"/>
        <v>0</v>
      </c>
      <c r="AC103" s="913">
        <f t="shared" si="46"/>
        <v>0</v>
      </c>
      <c r="AD103" s="913">
        <f t="shared" si="47"/>
        <v>0</v>
      </c>
      <c r="AE103" s="913">
        <f t="shared" si="48"/>
        <v>0</v>
      </c>
    </row>
    <row r="104" spans="2:31" hidden="1" outlineLevel="1">
      <c r="D104" s="871" t="s">
        <v>1658</v>
      </c>
      <c r="J104" s="871">
        <f>BS!E18/1000000</f>
        <v>8210.8070000000007</v>
      </c>
      <c r="K104" s="871">
        <f>BS!F18/1000000</f>
        <v>0</v>
      </c>
      <c r="L104" s="906"/>
      <c r="N104" s="907"/>
      <c r="O104" s="889"/>
      <c r="P104" s="889"/>
      <c r="Q104" s="889"/>
      <c r="R104" s="908"/>
      <c r="S104" s="909"/>
      <c r="V104" s="909"/>
      <c r="W104" s="913">
        <f t="shared" si="50"/>
        <v>8210.8070000000007</v>
      </c>
      <c r="X104" s="913">
        <f t="shared" si="41"/>
        <v>0</v>
      </c>
      <c r="Y104" s="1215">
        <f t="shared" si="42"/>
        <v>0</v>
      </c>
      <c r="Z104" s="913">
        <f t="shared" si="43"/>
        <v>0</v>
      </c>
      <c r="AA104" s="913">
        <f t="shared" si="44"/>
        <v>0</v>
      </c>
      <c r="AB104" s="913">
        <f t="shared" si="45"/>
        <v>0</v>
      </c>
      <c r="AC104" s="913">
        <f t="shared" si="46"/>
        <v>0</v>
      </c>
      <c r="AD104" s="913">
        <f t="shared" si="47"/>
        <v>0</v>
      </c>
      <c r="AE104" s="913">
        <f t="shared" si="48"/>
        <v>0</v>
      </c>
    </row>
    <row r="105" spans="2:31" hidden="1" outlineLevel="1">
      <c r="D105" s="871" t="s">
        <v>1659</v>
      </c>
      <c r="J105" s="871">
        <f>BS!E19/1000000</f>
        <v>3204.4760000000001</v>
      </c>
      <c r="K105" s="871">
        <f>BS!F19/1000000</f>
        <v>0</v>
      </c>
      <c r="L105" s="906"/>
      <c r="N105" s="907"/>
      <c r="O105" s="889"/>
      <c r="P105" s="889"/>
      <c r="Q105" s="889"/>
      <c r="R105" s="908"/>
      <c r="S105" s="909"/>
      <c r="V105" s="909"/>
      <c r="W105" s="913">
        <f t="shared" si="50"/>
        <v>3204.4760000000001</v>
      </c>
      <c r="X105" s="913">
        <f t="shared" si="41"/>
        <v>0</v>
      </c>
      <c r="Y105" s="1215">
        <f t="shared" si="42"/>
        <v>0</v>
      </c>
      <c r="Z105" s="913">
        <f t="shared" si="43"/>
        <v>0</v>
      </c>
      <c r="AA105" s="913">
        <f t="shared" si="44"/>
        <v>0</v>
      </c>
      <c r="AB105" s="913">
        <f t="shared" si="45"/>
        <v>0</v>
      </c>
      <c r="AC105" s="913">
        <f t="shared" si="46"/>
        <v>0</v>
      </c>
      <c r="AD105" s="913">
        <f t="shared" si="47"/>
        <v>0</v>
      </c>
      <c r="AE105" s="913">
        <f t="shared" si="48"/>
        <v>0</v>
      </c>
    </row>
    <row r="106" spans="2:31" hidden="1" outlineLevel="1">
      <c r="D106" s="871" t="s">
        <v>1660</v>
      </c>
      <c r="J106" s="871">
        <f>BS!E20/1000000</f>
        <v>1750</v>
      </c>
      <c r="K106" s="871">
        <f>BS!F20/1000000</f>
        <v>0</v>
      </c>
      <c r="L106" s="906"/>
      <c r="N106" s="907"/>
      <c r="O106" s="889"/>
      <c r="P106" s="889"/>
      <c r="Q106" s="889"/>
      <c r="R106" s="908"/>
      <c r="S106" s="909"/>
      <c r="V106" s="909"/>
      <c r="W106" s="913">
        <f t="shared" si="50"/>
        <v>1750</v>
      </c>
      <c r="X106" s="913">
        <f t="shared" si="41"/>
        <v>0</v>
      </c>
      <c r="Y106" s="1215">
        <f t="shared" si="42"/>
        <v>0</v>
      </c>
      <c r="Z106" s="913">
        <f t="shared" si="43"/>
        <v>0</v>
      </c>
      <c r="AA106" s="913">
        <f t="shared" si="44"/>
        <v>0</v>
      </c>
      <c r="AB106" s="913">
        <f t="shared" si="45"/>
        <v>0</v>
      </c>
      <c r="AC106" s="913">
        <f t="shared" si="46"/>
        <v>0</v>
      </c>
      <c r="AD106" s="913">
        <f t="shared" si="47"/>
        <v>0</v>
      </c>
      <c r="AE106" s="913">
        <f t="shared" si="48"/>
        <v>0</v>
      </c>
    </row>
    <row r="107" spans="2:31" collapsed="1">
      <c r="B107" s="878" t="s">
        <v>1661</v>
      </c>
      <c r="C107" s="878"/>
      <c r="D107" s="878"/>
      <c r="E107" s="878"/>
      <c r="F107" s="878"/>
      <c r="G107" s="878"/>
      <c r="H107" s="878"/>
      <c r="I107" s="878"/>
      <c r="J107" s="878">
        <f>BS!E21/1000000</f>
        <v>2173415.9040740002</v>
      </c>
      <c r="K107" s="878">
        <f>BS!F21/1000000</f>
        <v>2183097.693039</v>
      </c>
      <c r="L107" s="910">
        <f>L108+L121+L125+L126+L131+L135+L136</f>
        <v>2204581.7468837714</v>
      </c>
      <c r="M107" s="878">
        <f t="shared" ref="M107:R107" si="56">M108+M121+M125+M126+M131+M135+M136</f>
        <v>2204581.7468837714</v>
      </c>
      <c r="N107" s="911">
        <f t="shared" si="56"/>
        <v>2253225.4699265324</v>
      </c>
      <c r="O107" s="887">
        <f t="shared" si="56"/>
        <v>2283011.6624103556</v>
      </c>
      <c r="P107" s="887">
        <f t="shared" si="56"/>
        <v>2302778.3733811937</v>
      </c>
      <c r="Q107" s="887">
        <f t="shared" si="56"/>
        <v>2321619.5536125298</v>
      </c>
      <c r="R107" s="912">
        <f t="shared" si="56"/>
        <v>2337646.7649497553</v>
      </c>
      <c r="S107" s="909"/>
      <c r="U107" s="882" t="s">
        <v>1661</v>
      </c>
      <c r="V107" s="925"/>
      <c r="W107" s="913">
        <f t="shared" si="50"/>
        <v>2173415.9040740002</v>
      </c>
      <c r="X107" s="913">
        <f t="shared" si="41"/>
        <v>2183097.693039</v>
      </c>
      <c r="Y107" s="1215">
        <f t="shared" si="42"/>
        <v>2204581.7468837714</v>
      </c>
      <c r="Z107" s="913">
        <f t="shared" si="43"/>
        <v>2204581.7468837714</v>
      </c>
      <c r="AA107" s="913">
        <f t="shared" si="44"/>
        <v>2253225.4699265324</v>
      </c>
      <c r="AB107" s="913">
        <f t="shared" si="45"/>
        <v>2283011.6624103556</v>
      </c>
      <c r="AC107" s="913">
        <f t="shared" si="46"/>
        <v>2302778.3733811937</v>
      </c>
      <c r="AD107" s="913">
        <f t="shared" si="47"/>
        <v>2321619.5536125298</v>
      </c>
      <c r="AE107" s="913">
        <f t="shared" si="48"/>
        <v>2337646.7649497553</v>
      </c>
    </row>
    <row r="108" spans="2:31" hidden="1">
      <c r="C108" s="920" t="s">
        <v>1487</v>
      </c>
      <c r="D108" s="920"/>
      <c r="E108" s="920"/>
      <c r="F108" s="920"/>
      <c r="G108" s="920"/>
      <c r="H108" s="920"/>
      <c r="I108" s="920"/>
      <c r="J108" s="920">
        <f>BS!E22/1000000</f>
        <v>366191.22957600001</v>
      </c>
      <c r="K108" s="920">
        <f>BS!F22/1000000</f>
        <v>369603.10565799999</v>
      </c>
      <c r="L108" s="921">
        <f>CAPEX!I30</f>
        <v>381186.30464597163</v>
      </c>
      <c r="M108" s="920">
        <f>L108</f>
        <v>381186.30464597163</v>
      </c>
      <c r="N108" s="922">
        <f>CAPEX!J30</f>
        <v>408681.26997513277</v>
      </c>
      <c r="O108" s="923">
        <f>CAPEX!K30</f>
        <v>424786.42708775587</v>
      </c>
      <c r="P108" s="923">
        <f>CAPEX!L30</f>
        <v>435153.60966262635</v>
      </c>
      <c r="Q108" s="923">
        <f>CAPEX!M30</f>
        <v>445294.89792079362</v>
      </c>
      <c r="R108" s="924">
        <f>CAPEX!N30</f>
        <v>453962.96066191065</v>
      </c>
      <c r="S108" s="919"/>
      <c r="U108" s="882"/>
      <c r="V108" s="925" t="s">
        <v>1487</v>
      </c>
      <c r="W108" s="913">
        <f t="shared" si="50"/>
        <v>366191.22957600001</v>
      </c>
      <c r="X108" s="913">
        <f t="shared" si="41"/>
        <v>369603.10565799999</v>
      </c>
      <c r="Y108" s="1215">
        <f t="shared" si="42"/>
        <v>381186.30464597163</v>
      </c>
      <c r="Z108" s="913">
        <f t="shared" si="43"/>
        <v>381186.30464597163</v>
      </c>
      <c r="AA108" s="913">
        <f t="shared" si="44"/>
        <v>408681.26997513277</v>
      </c>
      <c r="AB108" s="913">
        <f t="shared" si="45"/>
        <v>424786.42708775587</v>
      </c>
      <c r="AC108" s="913">
        <f t="shared" si="46"/>
        <v>435153.60966262635</v>
      </c>
      <c r="AD108" s="913">
        <f t="shared" si="47"/>
        <v>445294.89792079362</v>
      </c>
      <c r="AE108" s="913">
        <f t="shared" si="48"/>
        <v>453962.96066191065</v>
      </c>
    </row>
    <row r="109" spans="2:31" hidden="1" outlineLevel="1">
      <c r="D109" s="871" t="s">
        <v>743</v>
      </c>
      <c r="J109" s="871">
        <f>BS!E23/1000000</f>
        <v>176180.80300000001</v>
      </c>
      <c r="K109" s="871">
        <f>BS!F23/1000000</f>
        <v>0</v>
      </c>
      <c r="L109" s="906"/>
      <c r="N109" s="907"/>
      <c r="O109" s="889"/>
      <c r="P109" s="889"/>
      <c r="Q109" s="889"/>
      <c r="R109" s="908"/>
      <c r="S109" s="909"/>
      <c r="U109" s="882"/>
      <c r="V109" s="925"/>
      <c r="W109" s="913">
        <f t="shared" si="50"/>
        <v>176180.80300000001</v>
      </c>
      <c r="X109" s="913">
        <f t="shared" si="41"/>
        <v>0</v>
      </c>
      <c r="Y109" s="1215">
        <f t="shared" si="42"/>
        <v>0</v>
      </c>
      <c r="Z109" s="913">
        <f t="shared" si="43"/>
        <v>0</v>
      </c>
      <c r="AA109" s="913">
        <f t="shared" si="44"/>
        <v>0</v>
      </c>
      <c r="AB109" s="913">
        <f t="shared" si="45"/>
        <v>0</v>
      </c>
      <c r="AC109" s="913">
        <f t="shared" si="46"/>
        <v>0</v>
      </c>
      <c r="AD109" s="913">
        <f t="shared" si="47"/>
        <v>0</v>
      </c>
      <c r="AE109" s="913">
        <f t="shared" si="48"/>
        <v>0</v>
      </c>
    </row>
    <row r="110" spans="2:31" hidden="1" outlineLevel="1">
      <c r="D110" s="871" t="s">
        <v>744</v>
      </c>
      <c r="J110" s="871">
        <f>BS!E24/1000000</f>
        <v>180205.68</v>
      </c>
      <c r="K110" s="871">
        <f>BS!F24/1000000</f>
        <v>0</v>
      </c>
      <c r="L110" s="906"/>
      <c r="N110" s="907"/>
      <c r="O110" s="889"/>
      <c r="P110" s="889"/>
      <c r="Q110" s="889"/>
      <c r="R110" s="908"/>
      <c r="S110" s="909"/>
      <c r="U110" s="882"/>
      <c r="V110" s="925"/>
      <c r="W110" s="913">
        <f t="shared" si="50"/>
        <v>180205.68</v>
      </c>
      <c r="X110" s="913">
        <f t="shared" si="41"/>
        <v>0</v>
      </c>
      <c r="Y110" s="1215">
        <f t="shared" si="42"/>
        <v>0</v>
      </c>
      <c r="Z110" s="913">
        <f t="shared" si="43"/>
        <v>0</v>
      </c>
      <c r="AA110" s="913">
        <f t="shared" si="44"/>
        <v>0</v>
      </c>
      <c r="AB110" s="913">
        <f t="shared" si="45"/>
        <v>0</v>
      </c>
      <c r="AC110" s="913">
        <f t="shared" si="46"/>
        <v>0</v>
      </c>
      <c r="AD110" s="913">
        <f t="shared" si="47"/>
        <v>0</v>
      </c>
      <c r="AE110" s="913">
        <f t="shared" si="48"/>
        <v>0</v>
      </c>
    </row>
    <row r="111" spans="2:31" hidden="1" outlineLevel="1">
      <c r="D111" s="871" t="s">
        <v>813</v>
      </c>
      <c r="J111" s="871">
        <f>BS!E25/1000000</f>
        <v>-50570.724000000002</v>
      </c>
      <c r="K111" s="871">
        <f>BS!F25/1000000</f>
        <v>0</v>
      </c>
      <c r="L111" s="906"/>
      <c r="N111" s="907"/>
      <c r="O111" s="889"/>
      <c r="P111" s="889"/>
      <c r="Q111" s="889"/>
      <c r="R111" s="908"/>
      <c r="S111" s="909"/>
      <c r="U111" s="882"/>
      <c r="V111" s="925"/>
      <c r="W111" s="913">
        <f t="shared" si="50"/>
        <v>-50570.724000000002</v>
      </c>
      <c r="X111" s="913">
        <f t="shared" si="41"/>
        <v>0</v>
      </c>
      <c r="Y111" s="1215">
        <f t="shared" si="42"/>
        <v>0</v>
      </c>
      <c r="Z111" s="913">
        <f t="shared" si="43"/>
        <v>0</v>
      </c>
      <c r="AA111" s="913">
        <f t="shared" si="44"/>
        <v>0</v>
      </c>
      <c r="AB111" s="913">
        <f t="shared" si="45"/>
        <v>0</v>
      </c>
      <c r="AC111" s="913">
        <f t="shared" si="46"/>
        <v>0</v>
      </c>
      <c r="AD111" s="913">
        <f t="shared" si="47"/>
        <v>0</v>
      </c>
      <c r="AE111" s="913">
        <f t="shared" si="48"/>
        <v>0</v>
      </c>
    </row>
    <row r="112" spans="2:31" hidden="1" outlineLevel="1">
      <c r="D112" s="871" t="s">
        <v>745</v>
      </c>
      <c r="J112" s="871">
        <f>BS!E26/1000000</f>
        <v>50</v>
      </c>
      <c r="K112" s="871">
        <f>BS!F26/1000000</f>
        <v>0</v>
      </c>
      <c r="L112" s="906"/>
      <c r="N112" s="907"/>
      <c r="O112" s="889"/>
      <c r="P112" s="889"/>
      <c r="Q112" s="889"/>
      <c r="R112" s="908"/>
      <c r="S112" s="909"/>
      <c r="U112" s="882"/>
      <c r="V112" s="925"/>
      <c r="W112" s="913">
        <f t="shared" si="50"/>
        <v>50</v>
      </c>
      <c r="X112" s="913">
        <f t="shared" si="41"/>
        <v>0</v>
      </c>
      <c r="Y112" s="1215">
        <f t="shared" si="42"/>
        <v>0</v>
      </c>
      <c r="Z112" s="913">
        <f t="shared" si="43"/>
        <v>0</v>
      </c>
      <c r="AA112" s="913">
        <f t="shared" si="44"/>
        <v>0</v>
      </c>
      <c r="AB112" s="913">
        <f t="shared" si="45"/>
        <v>0</v>
      </c>
      <c r="AC112" s="913">
        <f t="shared" si="46"/>
        <v>0</v>
      </c>
      <c r="AD112" s="913">
        <f t="shared" si="47"/>
        <v>0</v>
      </c>
      <c r="AE112" s="913">
        <f t="shared" si="48"/>
        <v>0</v>
      </c>
    </row>
    <row r="113" spans="3:31" hidden="1" outlineLevel="1">
      <c r="D113" s="871" t="s">
        <v>813</v>
      </c>
      <c r="J113" s="871">
        <f>BS!E27/1000000</f>
        <v>-7.8620000000000001</v>
      </c>
      <c r="K113" s="871">
        <f>BS!F27/1000000</f>
        <v>0</v>
      </c>
      <c r="L113" s="906"/>
      <c r="N113" s="907"/>
      <c r="O113" s="889"/>
      <c r="P113" s="889"/>
      <c r="Q113" s="889"/>
      <c r="R113" s="908"/>
      <c r="S113" s="909"/>
      <c r="U113" s="882"/>
      <c r="V113" s="925"/>
      <c r="W113" s="913">
        <f t="shared" si="50"/>
        <v>-7.8620000000000001</v>
      </c>
      <c r="X113" s="913">
        <f t="shared" si="41"/>
        <v>0</v>
      </c>
      <c r="Y113" s="1215">
        <f t="shared" si="42"/>
        <v>0</v>
      </c>
      <c r="Z113" s="913">
        <f t="shared" si="43"/>
        <v>0</v>
      </c>
      <c r="AA113" s="913">
        <f t="shared" si="44"/>
        <v>0</v>
      </c>
      <c r="AB113" s="913">
        <f t="shared" si="45"/>
        <v>0</v>
      </c>
      <c r="AC113" s="913">
        <f t="shared" si="46"/>
        <v>0</v>
      </c>
      <c r="AD113" s="913">
        <f t="shared" si="47"/>
        <v>0</v>
      </c>
      <c r="AE113" s="913">
        <f t="shared" si="48"/>
        <v>0</v>
      </c>
    </row>
    <row r="114" spans="3:31" hidden="1" outlineLevel="1">
      <c r="D114" s="871" t="s">
        <v>746</v>
      </c>
      <c r="J114" s="871">
        <f>BS!E28/1000000</f>
        <v>104.54600000000001</v>
      </c>
      <c r="K114" s="871">
        <f>BS!F28/1000000</f>
        <v>0</v>
      </c>
      <c r="L114" s="906"/>
      <c r="N114" s="907"/>
      <c r="O114" s="889"/>
      <c r="P114" s="889"/>
      <c r="Q114" s="889"/>
      <c r="R114" s="908"/>
      <c r="S114" s="909"/>
      <c r="U114" s="882"/>
      <c r="V114" s="925"/>
      <c r="W114" s="913">
        <f t="shared" si="50"/>
        <v>104.54600000000001</v>
      </c>
      <c r="X114" s="913">
        <f t="shared" si="41"/>
        <v>0</v>
      </c>
      <c r="Y114" s="1215">
        <f t="shared" si="42"/>
        <v>0</v>
      </c>
      <c r="Z114" s="913">
        <f t="shared" si="43"/>
        <v>0</v>
      </c>
      <c r="AA114" s="913">
        <f t="shared" si="44"/>
        <v>0</v>
      </c>
      <c r="AB114" s="913">
        <f t="shared" si="45"/>
        <v>0</v>
      </c>
      <c r="AC114" s="913">
        <f t="shared" si="46"/>
        <v>0</v>
      </c>
      <c r="AD114" s="913">
        <f t="shared" si="47"/>
        <v>0</v>
      </c>
      <c r="AE114" s="913">
        <f t="shared" si="48"/>
        <v>0</v>
      </c>
    </row>
    <row r="115" spans="3:31" hidden="1" outlineLevel="1">
      <c r="D115" s="871" t="s">
        <v>813</v>
      </c>
      <c r="J115" s="871">
        <f>BS!E29/1000000</f>
        <v>-31.364000000000001</v>
      </c>
      <c r="K115" s="871">
        <f>BS!F29/1000000</f>
        <v>0</v>
      </c>
      <c r="L115" s="906"/>
      <c r="N115" s="907"/>
      <c r="O115" s="889"/>
      <c r="P115" s="889"/>
      <c r="Q115" s="889"/>
      <c r="R115" s="908"/>
      <c r="S115" s="909"/>
      <c r="U115" s="882"/>
      <c r="V115" s="925"/>
      <c r="W115" s="913">
        <f t="shared" si="50"/>
        <v>-31.364000000000001</v>
      </c>
      <c r="X115" s="913">
        <f t="shared" si="41"/>
        <v>0</v>
      </c>
      <c r="Y115" s="1215">
        <f t="shared" si="42"/>
        <v>0</v>
      </c>
      <c r="Z115" s="913">
        <f t="shared" si="43"/>
        <v>0</v>
      </c>
      <c r="AA115" s="913">
        <f t="shared" si="44"/>
        <v>0</v>
      </c>
      <c r="AB115" s="913">
        <f t="shared" si="45"/>
        <v>0</v>
      </c>
      <c r="AC115" s="913">
        <f t="shared" si="46"/>
        <v>0</v>
      </c>
      <c r="AD115" s="913">
        <f t="shared" si="47"/>
        <v>0</v>
      </c>
      <c r="AE115" s="913">
        <f t="shared" si="48"/>
        <v>0</v>
      </c>
    </row>
    <row r="116" spans="3:31" hidden="1" outlineLevel="1">
      <c r="D116" s="871" t="s">
        <v>747</v>
      </c>
      <c r="J116" s="871">
        <f>BS!E30/1000000</f>
        <v>134399.98499999999</v>
      </c>
      <c r="K116" s="871">
        <f>BS!F30/1000000</f>
        <v>0</v>
      </c>
      <c r="L116" s="906"/>
      <c r="N116" s="907"/>
      <c r="O116" s="889"/>
      <c r="P116" s="889"/>
      <c r="Q116" s="889"/>
      <c r="R116" s="908"/>
      <c r="S116" s="909"/>
      <c r="U116" s="882"/>
      <c r="V116" s="925"/>
      <c r="W116" s="913">
        <f t="shared" si="50"/>
        <v>134399.98499999999</v>
      </c>
      <c r="X116" s="913">
        <f t="shared" si="41"/>
        <v>0</v>
      </c>
      <c r="Y116" s="1215">
        <f t="shared" si="42"/>
        <v>0</v>
      </c>
      <c r="Z116" s="913">
        <f t="shared" si="43"/>
        <v>0</v>
      </c>
      <c r="AA116" s="913">
        <f t="shared" si="44"/>
        <v>0</v>
      </c>
      <c r="AB116" s="913">
        <f t="shared" si="45"/>
        <v>0</v>
      </c>
      <c r="AC116" s="913">
        <f t="shared" si="46"/>
        <v>0</v>
      </c>
      <c r="AD116" s="913">
        <f t="shared" si="47"/>
        <v>0</v>
      </c>
      <c r="AE116" s="913">
        <f t="shared" si="48"/>
        <v>0</v>
      </c>
    </row>
    <row r="117" spans="3:31" hidden="1" outlineLevel="1">
      <c r="D117" s="871" t="s">
        <v>813</v>
      </c>
      <c r="J117" s="871">
        <f>BS!E31/1000000</f>
        <v>-80833.794999999998</v>
      </c>
      <c r="K117" s="871">
        <f>BS!F31/1000000</f>
        <v>0</v>
      </c>
      <c r="L117" s="906"/>
      <c r="N117" s="907"/>
      <c r="O117" s="889"/>
      <c r="P117" s="889"/>
      <c r="Q117" s="889"/>
      <c r="R117" s="908"/>
      <c r="S117" s="909"/>
      <c r="U117" s="882"/>
      <c r="V117" s="925"/>
      <c r="W117" s="913">
        <f t="shared" si="50"/>
        <v>-80833.794999999998</v>
      </c>
      <c r="X117" s="913">
        <f t="shared" si="41"/>
        <v>0</v>
      </c>
      <c r="Y117" s="1215">
        <f t="shared" si="42"/>
        <v>0</v>
      </c>
      <c r="Z117" s="913">
        <f t="shared" si="43"/>
        <v>0</v>
      </c>
      <c r="AA117" s="913">
        <f t="shared" si="44"/>
        <v>0</v>
      </c>
      <c r="AB117" s="913">
        <f t="shared" si="45"/>
        <v>0</v>
      </c>
      <c r="AC117" s="913">
        <f t="shared" si="46"/>
        <v>0</v>
      </c>
      <c r="AD117" s="913">
        <f t="shared" si="47"/>
        <v>0</v>
      </c>
      <c r="AE117" s="913">
        <f t="shared" si="48"/>
        <v>0</v>
      </c>
    </row>
    <row r="118" spans="3:31" hidden="1" outlineLevel="1">
      <c r="D118" s="871" t="s">
        <v>768</v>
      </c>
      <c r="J118" s="871">
        <f>BS!E32/1000000</f>
        <v>0</v>
      </c>
      <c r="K118" s="871">
        <f>BS!F32/1000000</f>
        <v>0</v>
      </c>
      <c r="L118" s="906"/>
      <c r="N118" s="907"/>
      <c r="O118" s="889"/>
      <c r="P118" s="889"/>
      <c r="Q118" s="889"/>
      <c r="R118" s="908"/>
      <c r="S118" s="909"/>
      <c r="U118" s="882"/>
      <c r="V118" s="925"/>
      <c r="W118" s="913">
        <f t="shared" si="50"/>
        <v>0</v>
      </c>
      <c r="X118" s="913">
        <f t="shared" si="41"/>
        <v>0</v>
      </c>
      <c r="Y118" s="1215">
        <f t="shared" si="42"/>
        <v>0</v>
      </c>
      <c r="Z118" s="913">
        <f t="shared" si="43"/>
        <v>0</v>
      </c>
      <c r="AA118" s="913">
        <f t="shared" si="44"/>
        <v>0</v>
      </c>
      <c r="AB118" s="913">
        <f t="shared" si="45"/>
        <v>0</v>
      </c>
      <c r="AC118" s="913">
        <f t="shared" si="46"/>
        <v>0</v>
      </c>
      <c r="AD118" s="913">
        <f t="shared" si="47"/>
        <v>0</v>
      </c>
      <c r="AE118" s="913">
        <f t="shared" si="48"/>
        <v>0</v>
      </c>
    </row>
    <row r="119" spans="3:31" hidden="1" outlineLevel="1">
      <c r="D119" s="871" t="s">
        <v>813</v>
      </c>
      <c r="J119" s="871">
        <f>BS!E33/1000000</f>
        <v>0</v>
      </c>
      <c r="K119" s="871">
        <f>BS!F33/1000000</f>
        <v>0</v>
      </c>
      <c r="L119" s="906"/>
      <c r="N119" s="907"/>
      <c r="O119" s="889"/>
      <c r="P119" s="889"/>
      <c r="Q119" s="889"/>
      <c r="R119" s="908"/>
      <c r="S119" s="909"/>
      <c r="U119" s="882"/>
      <c r="V119" s="925"/>
      <c r="W119" s="913">
        <f t="shared" si="50"/>
        <v>0</v>
      </c>
      <c r="X119" s="913">
        <f t="shared" si="41"/>
        <v>0</v>
      </c>
      <c r="Y119" s="1215">
        <f t="shared" si="42"/>
        <v>0</v>
      </c>
      <c r="Z119" s="913">
        <f t="shared" si="43"/>
        <v>0</v>
      </c>
      <c r="AA119" s="913">
        <f t="shared" si="44"/>
        <v>0</v>
      </c>
      <c r="AB119" s="913">
        <f t="shared" si="45"/>
        <v>0</v>
      </c>
      <c r="AC119" s="913">
        <f t="shared" si="46"/>
        <v>0</v>
      </c>
      <c r="AD119" s="913">
        <f t="shared" si="47"/>
        <v>0</v>
      </c>
      <c r="AE119" s="913">
        <f t="shared" si="48"/>
        <v>0</v>
      </c>
    </row>
    <row r="120" spans="3:31" hidden="1" outlineLevel="1">
      <c r="D120" s="871" t="s">
        <v>748</v>
      </c>
      <c r="J120" s="871">
        <f>BS!E34/1000000</f>
        <v>6693.9610000000002</v>
      </c>
      <c r="K120" s="871">
        <f>BS!F34/1000000</f>
        <v>0</v>
      </c>
      <c r="L120" s="906"/>
      <c r="N120" s="907"/>
      <c r="O120" s="889"/>
      <c r="P120" s="889"/>
      <c r="Q120" s="889"/>
      <c r="R120" s="908"/>
      <c r="S120" s="909"/>
      <c r="U120" s="882"/>
      <c r="V120" s="925"/>
      <c r="W120" s="913">
        <f t="shared" si="50"/>
        <v>6693.9610000000002</v>
      </c>
      <c r="X120" s="913">
        <f t="shared" si="41"/>
        <v>0</v>
      </c>
      <c r="Y120" s="1215">
        <f t="shared" si="42"/>
        <v>0</v>
      </c>
      <c r="Z120" s="913">
        <f t="shared" si="43"/>
        <v>0</v>
      </c>
      <c r="AA120" s="913">
        <f t="shared" si="44"/>
        <v>0</v>
      </c>
      <c r="AB120" s="913">
        <f t="shared" si="45"/>
        <v>0</v>
      </c>
      <c r="AC120" s="913">
        <f t="shared" si="46"/>
        <v>0</v>
      </c>
      <c r="AD120" s="913">
        <f t="shared" si="47"/>
        <v>0</v>
      </c>
      <c r="AE120" s="913">
        <f t="shared" si="48"/>
        <v>0</v>
      </c>
    </row>
    <row r="121" spans="3:31" hidden="1" collapsed="1">
      <c r="C121" s="878" t="s">
        <v>1209</v>
      </c>
      <c r="D121" s="878"/>
      <c r="E121" s="878"/>
      <c r="F121" s="878"/>
      <c r="G121" s="878"/>
      <c r="H121" s="878"/>
      <c r="I121" s="878"/>
      <c r="J121" s="878">
        <f>BS!E35/1000000</f>
        <v>42135.437960000003</v>
      </c>
      <c r="K121" s="878">
        <f>BS!F35/1000000</f>
        <v>41959.143470000003</v>
      </c>
      <c r="L121" s="910">
        <f>K121</f>
        <v>41959.143470000003</v>
      </c>
      <c r="M121" s="878">
        <f>L121</f>
        <v>41959.143470000003</v>
      </c>
      <c r="N121" s="911">
        <f>M121</f>
        <v>41959.143470000003</v>
      </c>
      <c r="O121" s="887">
        <f t="shared" ref="O121:R121" si="57">N121</f>
        <v>41959.143470000003</v>
      </c>
      <c r="P121" s="887">
        <f t="shared" si="57"/>
        <v>41959.143470000003</v>
      </c>
      <c r="Q121" s="887">
        <f t="shared" si="57"/>
        <v>41959.143470000003</v>
      </c>
      <c r="R121" s="912">
        <f t="shared" si="57"/>
        <v>41959.143470000003</v>
      </c>
      <c r="S121" s="909"/>
      <c r="U121" s="882"/>
      <c r="V121" s="925" t="s">
        <v>1209</v>
      </c>
      <c r="W121" s="913">
        <f t="shared" si="50"/>
        <v>42135.437960000003</v>
      </c>
      <c r="X121" s="913">
        <f t="shared" si="41"/>
        <v>41959.143470000003</v>
      </c>
      <c r="Y121" s="1215">
        <f t="shared" si="42"/>
        <v>41959.143470000003</v>
      </c>
      <c r="Z121" s="913">
        <f t="shared" si="43"/>
        <v>41959.143470000003</v>
      </c>
      <c r="AA121" s="913">
        <f t="shared" si="44"/>
        <v>41959.143470000003</v>
      </c>
      <c r="AB121" s="913">
        <f t="shared" si="45"/>
        <v>41959.143470000003</v>
      </c>
      <c r="AC121" s="913">
        <f t="shared" si="46"/>
        <v>41959.143470000003</v>
      </c>
      <c r="AD121" s="913">
        <f t="shared" si="47"/>
        <v>41959.143470000003</v>
      </c>
      <c r="AE121" s="913">
        <f t="shared" si="48"/>
        <v>41959.143470000003</v>
      </c>
    </row>
    <row r="122" spans="3:31" hidden="1" outlineLevel="1">
      <c r="D122" s="871" t="s">
        <v>743</v>
      </c>
      <c r="J122" s="871">
        <f>BS!E36/1000000</f>
        <v>31056.287</v>
      </c>
      <c r="K122" s="871">
        <f>BS!F36/1000000</f>
        <v>0</v>
      </c>
      <c r="L122" s="906"/>
      <c r="N122" s="907"/>
      <c r="O122" s="889"/>
      <c r="P122" s="889"/>
      <c r="Q122" s="889"/>
      <c r="R122" s="908"/>
      <c r="S122" s="909"/>
      <c r="U122" s="882"/>
      <c r="V122" s="925"/>
      <c r="W122" s="913">
        <f t="shared" si="50"/>
        <v>31056.287</v>
      </c>
      <c r="X122" s="913">
        <f t="shared" si="41"/>
        <v>0</v>
      </c>
      <c r="Y122" s="1215">
        <f t="shared" si="42"/>
        <v>0</v>
      </c>
      <c r="Z122" s="913">
        <f t="shared" si="43"/>
        <v>0</v>
      </c>
      <c r="AA122" s="913">
        <f t="shared" si="44"/>
        <v>0</v>
      </c>
      <c r="AB122" s="913">
        <f t="shared" si="45"/>
        <v>0</v>
      </c>
      <c r="AC122" s="913">
        <f t="shared" si="46"/>
        <v>0</v>
      </c>
      <c r="AD122" s="913">
        <f t="shared" si="47"/>
        <v>0</v>
      </c>
      <c r="AE122" s="913">
        <f t="shared" si="48"/>
        <v>0</v>
      </c>
    </row>
    <row r="123" spans="3:31" hidden="1" outlineLevel="1">
      <c r="D123" s="871" t="s">
        <v>744</v>
      </c>
      <c r="J123" s="871">
        <f>BS!E37/1000000</f>
        <v>11784.329</v>
      </c>
      <c r="K123" s="871">
        <f>BS!F37/1000000</f>
        <v>0</v>
      </c>
      <c r="L123" s="906"/>
      <c r="N123" s="907"/>
      <c r="O123" s="889"/>
      <c r="P123" s="889"/>
      <c r="Q123" s="889"/>
      <c r="R123" s="908"/>
      <c r="S123" s="909"/>
      <c r="U123" s="882"/>
      <c r="V123" s="925"/>
      <c r="W123" s="913">
        <f t="shared" si="50"/>
        <v>11784.329</v>
      </c>
      <c r="X123" s="913">
        <f t="shared" si="41"/>
        <v>0</v>
      </c>
      <c r="Y123" s="1215">
        <f t="shared" si="42"/>
        <v>0</v>
      </c>
      <c r="Z123" s="913">
        <f t="shared" si="43"/>
        <v>0</v>
      </c>
      <c r="AA123" s="913">
        <f t="shared" si="44"/>
        <v>0</v>
      </c>
      <c r="AB123" s="913">
        <f t="shared" si="45"/>
        <v>0</v>
      </c>
      <c r="AC123" s="913">
        <f t="shared" si="46"/>
        <v>0</v>
      </c>
      <c r="AD123" s="913">
        <f t="shared" si="47"/>
        <v>0</v>
      </c>
      <c r="AE123" s="913">
        <f t="shared" si="48"/>
        <v>0</v>
      </c>
    </row>
    <row r="124" spans="3:31" hidden="1" outlineLevel="1">
      <c r="D124" s="871" t="s">
        <v>813</v>
      </c>
      <c r="J124" s="871">
        <f>BS!E38/1000000</f>
        <v>-705.178</v>
      </c>
      <c r="K124" s="871">
        <f>BS!F38/1000000</f>
        <v>0</v>
      </c>
      <c r="L124" s="906"/>
      <c r="N124" s="907"/>
      <c r="O124" s="889"/>
      <c r="P124" s="889"/>
      <c r="Q124" s="889"/>
      <c r="R124" s="908"/>
      <c r="S124" s="909"/>
      <c r="U124" s="882"/>
      <c r="V124" s="925"/>
      <c r="W124" s="913">
        <f t="shared" si="50"/>
        <v>-705.178</v>
      </c>
      <c r="X124" s="913">
        <f t="shared" si="41"/>
        <v>0</v>
      </c>
      <c r="Y124" s="1215">
        <f t="shared" si="42"/>
        <v>0</v>
      </c>
      <c r="Z124" s="913">
        <f t="shared" si="43"/>
        <v>0</v>
      </c>
      <c r="AA124" s="913">
        <f t="shared" si="44"/>
        <v>0</v>
      </c>
      <c r="AB124" s="913">
        <f t="shared" si="45"/>
        <v>0</v>
      </c>
      <c r="AC124" s="913">
        <f t="shared" si="46"/>
        <v>0</v>
      </c>
      <c r="AD124" s="913">
        <f t="shared" si="47"/>
        <v>0</v>
      </c>
      <c r="AE124" s="913">
        <f t="shared" si="48"/>
        <v>0</v>
      </c>
    </row>
    <row r="125" spans="3:31" hidden="1" collapsed="1">
      <c r="C125" s="878" t="s">
        <v>1662</v>
      </c>
      <c r="D125" s="878"/>
      <c r="E125" s="878"/>
      <c r="F125" s="878"/>
      <c r="G125" s="878"/>
      <c r="H125" s="878"/>
      <c r="I125" s="878"/>
      <c r="J125" s="878">
        <f>BS!E39/1000000</f>
        <v>1683324.077729</v>
      </c>
      <c r="K125" s="878">
        <f>BS!F39/1000000</f>
        <v>1683324.077729</v>
      </c>
      <c r="L125" s="910">
        <f>K125</f>
        <v>1683324.077729</v>
      </c>
      <c r="M125" s="878">
        <f>L125</f>
        <v>1683324.077729</v>
      </c>
      <c r="N125" s="911">
        <f>M125</f>
        <v>1683324.077729</v>
      </c>
      <c r="O125" s="887">
        <f t="shared" ref="O125:R125" si="58">N125</f>
        <v>1683324.077729</v>
      </c>
      <c r="P125" s="887">
        <f t="shared" si="58"/>
        <v>1683324.077729</v>
      </c>
      <c r="Q125" s="887">
        <f t="shared" si="58"/>
        <v>1683324.077729</v>
      </c>
      <c r="R125" s="912">
        <f t="shared" si="58"/>
        <v>1683324.077729</v>
      </c>
      <c r="S125" s="909"/>
      <c r="U125" s="882"/>
      <c r="V125" s="925" t="s">
        <v>1662</v>
      </c>
      <c r="W125" s="913">
        <f t="shared" si="50"/>
        <v>1683324.077729</v>
      </c>
      <c r="X125" s="913">
        <f t="shared" si="41"/>
        <v>1683324.077729</v>
      </c>
      <c r="Y125" s="1215">
        <f t="shared" si="42"/>
        <v>1683324.077729</v>
      </c>
      <c r="Z125" s="913">
        <f t="shared" si="43"/>
        <v>1683324.077729</v>
      </c>
      <c r="AA125" s="913">
        <f t="shared" si="44"/>
        <v>1683324.077729</v>
      </c>
      <c r="AB125" s="913">
        <f t="shared" si="45"/>
        <v>1683324.077729</v>
      </c>
      <c r="AC125" s="913">
        <f t="shared" si="46"/>
        <v>1683324.077729</v>
      </c>
      <c r="AD125" s="913">
        <f t="shared" si="47"/>
        <v>1683324.077729</v>
      </c>
      <c r="AE125" s="913">
        <f t="shared" si="48"/>
        <v>1683324.077729</v>
      </c>
    </row>
    <row r="126" spans="3:31" hidden="1">
      <c r="C126" s="920" t="s">
        <v>770</v>
      </c>
      <c r="D126" s="920"/>
      <c r="E126" s="920"/>
      <c r="F126" s="920"/>
      <c r="G126" s="920"/>
      <c r="H126" s="920"/>
      <c r="I126" s="920"/>
      <c r="J126" s="920">
        <f>BS!E40/1000000</f>
        <v>3926.251432</v>
      </c>
      <c r="K126" s="920">
        <f>BS!F40/1000000</f>
        <v>4365.0827609999997</v>
      </c>
      <c r="L126" s="921">
        <f>CAPEX!I31</f>
        <v>4099.5376177999997</v>
      </c>
      <c r="M126" s="920">
        <f>L126</f>
        <v>4099.5376177999997</v>
      </c>
      <c r="N126" s="922">
        <f>CAPEX!J31</f>
        <v>3559.9753314</v>
      </c>
      <c r="O126" s="923">
        <f>CAPEX!K31</f>
        <v>2874.6675345999997</v>
      </c>
      <c r="P126" s="923">
        <f>CAPEX!L31</f>
        <v>2101.0291747279998</v>
      </c>
      <c r="Q126" s="923">
        <f>CAPEX!M31</f>
        <v>1293.6343978934397</v>
      </c>
      <c r="R126" s="924">
        <f>CAPEX!N31</f>
        <v>833.99037079886455</v>
      </c>
      <c r="S126" s="919"/>
      <c r="U126" s="882"/>
      <c r="V126" s="925" t="s">
        <v>770</v>
      </c>
      <c r="W126" s="913">
        <f t="shared" si="50"/>
        <v>3926.251432</v>
      </c>
      <c r="X126" s="913">
        <f t="shared" si="41"/>
        <v>4365.0827609999997</v>
      </c>
      <c r="Y126" s="1215">
        <f t="shared" si="42"/>
        <v>4099.5376177999997</v>
      </c>
      <c r="Z126" s="913">
        <f t="shared" si="43"/>
        <v>4099.5376177999997</v>
      </c>
      <c r="AA126" s="913">
        <f t="shared" si="44"/>
        <v>3559.9753314</v>
      </c>
      <c r="AB126" s="913">
        <f t="shared" si="45"/>
        <v>2874.6675345999997</v>
      </c>
      <c r="AC126" s="913">
        <f t="shared" si="46"/>
        <v>2101.0291747279998</v>
      </c>
      <c r="AD126" s="913">
        <f t="shared" si="47"/>
        <v>1293.6343978934397</v>
      </c>
      <c r="AE126" s="913">
        <f t="shared" si="48"/>
        <v>833.99037079886455</v>
      </c>
    </row>
    <row r="127" spans="3:31" hidden="1" outlineLevel="1">
      <c r="D127" s="871" t="s">
        <v>1663</v>
      </c>
      <c r="J127" s="871">
        <f>BS!E41/1000000</f>
        <v>7.5990000000000002</v>
      </c>
      <c r="K127" s="871">
        <f>BS!F41/1000000</f>
        <v>0</v>
      </c>
      <c r="L127" s="906"/>
      <c r="N127" s="907"/>
      <c r="O127" s="889"/>
      <c r="P127" s="889"/>
      <c r="Q127" s="889"/>
      <c r="R127" s="908"/>
      <c r="S127" s="909"/>
      <c r="U127" s="882"/>
      <c r="V127" s="925"/>
      <c r="W127" s="913">
        <f t="shared" si="50"/>
        <v>7.5990000000000002</v>
      </c>
      <c r="X127" s="913">
        <f t="shared" si="41"/>
        <v>0</v>
      </c>
      <c r="Y127" s="1215">
        <f t="shared" si="42"/>
        <v>0</v>
      </c>
      <c r="Z127" s="913">
        <f t="shared" si="43"/>
        <v>0</v>
      </c>
      <c r="AA127" s="913">
        <f t="shared" si="44"/>
        <v>0</v>
      </c>
      <c r="AB127" s="913">
        <f t="shared" si="45"/>
        <v>0</v>
      </c>
      <c r="AC127" s="913">
        <f t="shared" si="46"/>
        <v>0</v>
      </c>
      <c r="AD127" s="913">
        <f t="shared" si="47"/>
        <v>0</v>
      </c>
      <c r="AE127" s="913">
        <f t="shared" si="48"/>
        <v>0</v>
      </c>
    </row>
    <row r="128" spans="3:31" hidden="1" outlineLevel="1">
      <c r="D128" s="871" t="s">
        <v>1664</v>
      </c>
      <c r="J128" s="871">
        <f>BS!E42/1000000</f>
        <v>2449.4960000000001</v>
      </c>
      <c r="K128" s="871">
        <f>BS!F42/1000000</f>
        <v>0</v>
      </c>
      <c r="L128" s="906"/>
      <c r="N128" s="907"/>
      <c r="O128" s="889"/>
      <c r="P128" s="889"/>
      <c r="Q128" s="889"/>
      <c r="R128" s="908"/>
      <c r="S128" s="909"/>
      <c r="U128" s="882"/>
      <c r="V128" s="925"/>
      <c r="W128" s="913">
        <f t="shared" si="50"/>
        <v>2449.4960000000001</v>
      </c>
      <c r="X128" s="913">
        <f t="shared" si="41"/>
        <v>0</v>
      </c>
      <c r="Y128" s="1215">
        <f t="shared" si="42"/>
        <v>0</v>
      </c>
      <c r="Z128" s="913">
        <f t="shared" si="43"/>
        <v>0</v>
      </c>
      <c r="AA128" s="913">
        <f t="shared" si="44"/>
        <v>0</v>
      </c>
      <c r="AB128" s="913">
        <f t="shared" si="45"/>
        <v>0</v>
      </c>
      <c r="AC128" s="913">
        <f t="shared" si="46"/>
        <v>0</v>
      </c>
      <c r="AD128" s="913">
        <f t="shared" si="47"/>
        <v>0</v>
      </c>
      <c r="AE128" s="913">
        <f t="shared" si="48"/>
        <v>0</v>
      </c>
    </row>
    <row r="129" spans="2:31" hidden="1" outlineLevel="1">
      <c r="D129" s="871" t="s">
        <v>1665</v>
      </c>
      <c r="J129" s="871">
        <f>BS!E43/1000000</f>
        <v>390.00099999999998</v>
      </c>
      <c r="K129" s="871">
        <f>BS!F43/1000000</f>
        <v>0</v>
      </c>
      <c r="L129" s="906"/>
      <c r="N129" s="907"/>
      <c r="O129" s="889"/>
      <c r="P129" s="889"/>
      <c r="Q129" s="889"/>
      <c r="R129" s="908"/>
      <c r="S129" s="909"/>
      <c r="U129" s="882"/>
      <c r="V129" s="925"/>
      <c r="W129" s="913">
        <f t="shared" si="50"/>
        <v>390.00099999999998</v>
      </c>
      <c r="X129" s="913">
        <f t="shared" si="41"/>
        <v>0</v>
      </c>
      <c r="Y129" s="1215">
        <f t="shared" si="42"/>
        <v>0</v>
      </c>
      <c r="Z129" s="913">
        <f t="shared" si="43"/>
        <v>0</v>
      </c>
      <c r="AA129" s="913">
        <f t="shared" si="44"/>
        <v>0</v>
      </c>
      <c r="AB129" s="913">
        <f t="shared" si="45"/>
        <v>0</v>
      </c>
      <c r="AC129" s="913">
        <f t="shared" si="46"/>
        <v>0</v>
      </c>
      <c r="AD129" s="913">
        <f t="shared" si="47"/>
        <v>0</v>
      </c>
      <c r="AE129" s="913">
        <f t="shared" si="48"/>
        <v>0</v>
      </c>
    </row>
    <row r="130" spans="2:31" hidden="1" outlineLevel="1">
      <c r="D130" s="871" t="s">
        <v>1666</v>
      </c>
      <c r="J130" s="871">
        <f>BS!E44/1000000</f>
        <v>1079.155</v>
      </c>
      <c r="K130" s="871">
        <f>BS!F44/1000000</f>
        <v>0</v>
      </c>
      <c r="L130" s="906"/>
      <c r="N130" s="907"/>
      <c r="O130" s="889"/>
      <c r="P130" s="889"/>
      <c r="Q130" s="889"/>
      <c r="R130" s="908"/>
      <c r="S130" s="909"/>
      <c r="U130" s="882"/>
      <c r="V130" s="925"/>
      <c r="W130" s="913">
        <f t="shared" si="50"/>
        <v>1079.155</v>
      </c>
      <c r="X130" s="913">
        <f t="shared" si="41"/>
        <v>0</v>
      </c>
      <c r="Y130" s="1215">
        <f t="shared" si="42"/>
        <v>0</v>
      </c>
      <c r="Z130" s="913">
        <f t="shared" si="43"/>
        <v>0</v>
      </c>
      <c r="AA130" s="913">
        <f t="shared" si="44"/>
        <v>0</v>
      </c>
      <c r="AB130" s="913">
        <f t="shared" si="45"/>
        <v>0</v>
      </c>
      <c r="AC130" s="913">
        <f t="shared" si="46"/>
        <v>0</v>
      </c>
      <c r="AD130" s="913">
        <f t="shared" si="47"/>
        <v>0</v>
      </c>
      <c r="AE130" s="913">
        <f t="shared" si="48"/>
        <v>0</v>
      </c>
    </row>
    <row r="131" spans="2:31" hidden="1" collapsed="1">
      <c r="C131" s="878" t="s">
        <v>1208</v>
      </c>
      <c r="D131" s="878"/>
      <c r="E131" s="878"/>
      <c r="F131" s="878"/>
      <c r="G131" s="878"/>
      <c r="H131" s="878"/>
      <c r="I131" s="878"/>
      <c r="J131" s="878">
        <f>BS!E45/1000000</f>
        <v>56054.787454999998</v>
      </c>
      <c r="K131" s="878">
        <f>BS!F45/1000000</f>
        <v>61234.467016000002</v>
      </c>
      <c r="L131" s="910">
        <f>SUM(L132:L134)</f>
        <v>71400.867016000004</v>
      </c>
      <c r="M131" s="878">
        <f t="shared" ref="M131:R131" si="59">SUM(M132:M134)</f>
        <v>71400.867016000004</v>
      </c>
      <c r="N131" s="911">
        <f t="shared" si="59"/>
        <v>93089.187015999996</v>
      </c>
      <c r="O131" s="887">
        <f t="shared" si="59"/>
        <v>107455.53018399999</v>
      </c>
      <c r="P131" s="887">
        <f t="shared" si="59"/>
        <v>117628.69693983998</v>
      </c>
      <c r="Q131" s="887">
        <f t="shared" si="59"/>
        <v>127135.98368984318</v>
      </c>
      <c r="R131" s="912">
        <f t="shared" si="59"/>
        <v>134954.77631304579</v>
      </c>
      <c r="S131" s="909"/>
      <c r="U131" s="882"/>
      <c r="V131" s="925" t="s">
        <v>1208</v>
      </c>
      <c r="W131" s="913">
        <f t="shared" si="50"/>
        <v>56054.787454999998</v>
      </c>
      <c r="X131" s="913">
        <f t="shared" si="41"/>
        <v>61234.467016000002</v>
      </c>
      <c r="Y131" s="1215">
        <f t="shared" si="42"/>
        <v>71400.867016000004</v>
      </c>
      <c r="Z131" s="913">
        <f t="shared" si="43"/>
        <v>71400.867016000004</v>
      </c>
      <c r="AA131" s="913">
        <f t="shared" si="44"/>
        <v>93089.187015999996</v>
      </c>
      <c r="AB131" s="913">
        <f t="shared" si="45"/>
        <v>107455.53018399999</v>
      </c>
      <c r="AC131" s="913">
        <f t="shared" si="46"/>
        <v>117628.69693983998</v>
      </c>
      <c r="AD131" s="913">
        <f t="shared" si="47"/>
        <v>127135.98368984318</v>
      </c>
      <c r="AE131" s="913">
        <f t="shared" si="48"/>
        <v>134954.77631304579</v>
      </c>
    </row>
    <row r="132" spans="2:31" hidden="1" outlineLevel="1">
      <c r="D132" s="871" t="s">
        <v>1210</v>
      </c>
      <c r="J132" s="871">
        <f>BS!E46/1000000</f>
        <v>8</v>
      </c>
      <c r="K132" s="871">
        <f t="shared" ref="K132:M133" si="60">J132</f>
        <v>8</v>
      </c>
      <c r="L132" s="906">
        <f t="shared" si="60"/>
        <v>8</v>
      </c>
      <c r="M132" s="871">
        <f t="shared" si="60"/>
        <v>8</v>
      </c>
      <c r="N132" s="907">
        <f t="shared" ref="N132:R132" si="61">M132</f>
        <v>8</v>
      </c>
      <c r="O132" s="889">
        <f t="shared" si="61"/>
        <v>8</v>
      </c>
      <c r="P132" s="889">
        <f t="shared" si="61"/>
        <v>8</v>
      </c>
      <c r="Q132" s="889">
        <f t="shared" si="61"/>
        <v>8</v>
      </c>
      <c r="R132" s="908">
        <f t="shared" si="61"/>
        <v>8</v>
      </c>
      <c r="S132" s="909"/>
      <c r="U132" s="882"/>
      <c r="V132" s="925"/>
      <c r="W132" s="913">
        <f t="shared" si="50"/>
        <v>8</v>
      </c>
      <c r="X132" s="913">
        <f t="shared" si="41"/>
        <v>8</v>
      </c>
      <c r="Y132" s="1215">
        <f t="shared" si="42"/>
        <v>8</v>
      </c>
      <c r="Z132" s="913">
        <f t="shared" si="43"/>
        <v>8</v>
      </c>
      <c r="AA132" s="913">
        <f t="shared" si="44"/>
        <v>8</v>
      </c>
      <c r="AB132" s="913">
        <f t="shared" si="45"/>
        <v>8</v>
      </c>
      <c r="AC132" s="913">
        <f t="shared" si="46"/>
        <v>8</v>
      </c>
      <c r="AD132" s="913">
        <f t="shared" si="47"/>
        <v>8</v>
      </c>
      <c r="AE132" s="913">
        <f t="shared" si="48"/>
        <v>8</v>
      </c>
    </row>
    <row r="133" spans="2:31" hidden="1" outlineLevel="1">
      <c r="D133" s="871" t="s">
        <v>1211</v>
      </c>
      <c r="J133" s="871">
        <f>BS!E47/1000000</f>
        <v>351.08499999999998</v>
      </c>
      <c r="K133" s="871">
        <f t="shared" si="60"/>
        <v>351.08499999999998</v>
      </c>
      <c r="L133" s="906">
        <f t="shared" si="60"/>
        <v>351.08499999999998</v>
      </c>
      <c r="M133" s="871">
        <f t="shared" si="60"/>
        <v>351.08499999999998</v>
      </c>
      <c r="N133" s="907">
        <f t="shared" ref="N133:R133" si="62">M133</f>
        <v>351.08499999999998</v>
      </c>
      <c r="O133" s="889">
        <f t="shared" si="62"/>
        <v>351.08499999999998</v>
      </c>
      <c r="P133" s="889">
        <f t="shared" si="62"/>
        <v>351.08499999999998</v>
      </c>
      <c r="Q133" s="889">
        <f t="shared" si="62"/>
        <v>351.08499999999998</v>
      </c>
      <c r="R133" s="908">
        <f t="shared" si="62"/>
        <v>351.08499999999998</v>
      </c>
      <c r="S133" s="909"/>
      <c r="U133" s="882"/>
      <c r="V133" s="925"/>
      <c r="W133" s="913">
        <f t="shared" si="50"/>
        <v>351.08499999999998</v>
      </c>
      <c r="X133" s="913">
        <f t="shared" si="41"/>
        <v>351.08499999999998</v>
      </c>
      <c r="Y133" s="1215">
        <f t="shared" si="42"/>
        <v>351.08499999999998</v>
      </c>
      <c r="Z133" s="913">
        <f t="shared" si="43"/>
        <v>351.08499999999998</v>
      </c>
      <c r="AA133" s="913">
        <f t="shared" si="44"/>
        <v>351.08499999999998</v>
      </c>
      <c r="AB133" s="913">
        <f t="shared" si="45"/>
        <v>351.08499999999998</v>
      </c>
      <c r="AC133" s="913">
        <f t="shared" si="46"/>
        <v>351.08499999999998</v>
      </c>
      <c r="AD133" s="913">
        <f t="shared" si="47"/>
        <v>351.08499999999998</v>
      </c>
      <c r="AE133" s="913">
        <f t="shared" si="48"/>
        <v>351.08499999999998</v>
      </c>
    </row>
    <row r="134" spans="2:31" hidden="1" outlineLevel="1">
      <c r="C134" s="914"/>
      <c r="D134" s="914" t="s">
        <v>1667</v>
      </c>
      <c r="E134" s="914"/>
      <c r="F134" s="914"/>
      <c r="G134" s="914"/>
      <c r="H134" s="914"/>
      <c r="I134" s="914"/>
      <c r="J134" s="914">
        <f>BS!E48/1000000</f>
        <v>55695.701999999997</v>
      </c>
      <c r="K134" s="914">
        <f>K131-SUM(K132:K133)</f>
        <v>60875.382016000003</v>
      </c>
      <c r="L134" s="915">
        <f>CAPEX!I32</f>
        <v>71041.782015999997</v>
      </c>
      <c r="M134" s="914">
        <f>L134</f>
        <v>71041.782015999997</v>
      </c>
      <c r="N134" s="916">
        <f>CAPEX!J32</f>
        <v>92730.10201599999</v>
      </c>
      <c r="O134" s="917">
        <f>CAPEX!K32</f>
        <v>107096.44518399998</v>
      </c>
      <c r="P134" s="917">
        <f>CAPEX!L32</f>
        <v>117269.61193983998</v>
      </c>
      <c r="Q134" s="917">
        <f>CAPEX!M32</f>
        <v>126776.89868984318</v>
      </c>
      <c r="R134" s="918">
        <f>CAPEX!N32</f>
        <v>134595.6913130458</v>
      </c>
      <c r="S134" s="909"/>
      <c r="U134" s="882"/>
      <c r="V134" s="925"/>
      <c r="W134" s="913">
        <f t="shared" si="50"/>
        <v>55695.701999999997</v>
      </c>
      <c r="X134" s="913">
        <f t="shared" si="41"/>
        <v>60875.382016000003</v>
      </c>
      <c r="Y134" s="1215">
        <f t="shared" si="42"/>
        <v>71041.782015999997</v>
      </c>
      <c r="Z134" s="913">
        <f t="shared" si="43"/>
        <v>71041.782015999997</v>
      </c>
      <c r="AA134" s="913">
        <f t="shared" si="44"/>
        <v>92730.10201599999</v>
      </c>
      <c r="AB134" s="913">
        <f t="shared" si="45"/>
        <v>107096.44518399998</v>
      </c>
      <c r="AC134" s="913">
        <f t="shared" si="46"/>
        <v>117269.61193983998</v>
      </c>
      <c r="AD134" s="913">
        <f t="shared" si="47"/>
        <v>126776.89868984318</v>
      </c>
      <c r="AE134" s="913">
        <f t="shared" si="48"/>
        <v>134595.6913130458</v>
      </c>
    </row>
    <row r="135" spans="2:31" hidden="1" collapsed="1">
      <c r="C135" s="878" t="s">
        <v>1741</v>
      </c>
      <c r="D135" s="878"/>
      <c r="E135" s="878"/>
      <c r="F135" s="878"/>
      <c r="G135" s="878"/>
      <c r="H135" s="878"/>
      <c r="I135" s="878"/>
      <c r="J135" s="878">
        <f>BS!E49/1000000</f>
        <v>16142.485101</v>
      </c>
      <c r="K135" s="878">
        <f>BS!F49/1000000</f>
        <v>16970.171584</v>
      </c>
      <c r="L135" s="910">
        <f>K135</f>
        <v>16970.171584</v>
      </c>
      <c r="M135" s="878">
        <f>L135</f>
        <v>16970.171584</v>
      </c>
      <c r="N135" s="911">
        <f>M135</f>
        <v>16970.171584</v>
      </c>
      <c r="O135" s="887">
        <f t="shared" ref="O135:R136" si="63">N135</f>
        <v>16970.171584</v>
      </c>
      <c r="P135" s="887">
        <f t="shared" si="63"/>
        <v>16970.171584</v>
      </c>
      <c r="Q135" s="887">
        <f t="shared" si="63"/>
        <v>16970.171584</v>
      </c>
      <c r="R135" s="912">
        <f t="shared" si="63"/>
        <v>16970.171584</v>
      </c>
      <c r="S135" s="909"/>
      <c r="U135" s="882"/>
      <c r="V135" s="925" t="s">
        <v>1741</v>
      </c>
      <c r="W135" s="913">
        <f t="shared" si="50"/>
        <v>16142.485101</v>
      </c>
      <c r="X135" s="913">
        <f t="shared" si="41"/>
        <v>16970.171584</v>
      </c>
      <c r="Y135" s="1215">
        <f t="shared" si="42"/>
        <v>16970.171584</v>
      </c>
      <c r="Z135" s="913">
        <f t="shared" si="43"/>
        <v>16970.171584</v>
      </c>
      <c r="AA135" s="913">
        <f t="shared" si="44"/>
        <v>16970.171584</v>
      </c>
      <c r="AB135" s="913">
        <f t="shared" si="45"/>
        <v>16970.171584</v>
      </c>
      <c r="AC135" s="913">
        <f t="shared" si="46"/>
        <v>16970.171584</v>
      </c>
      <c r="AD135" s="913">
        <f t="shared" si="47"/>
        <v>16970.171584</v>
      </c>
      <c r="AE135" s="913">
        <f t="shared" si="48"/>
        <v>16970.171584</v>
      </c>
    </row>
    <row r="136" spans="2:31" hidden="1">
      <c r="C136" s="878" t="s">
        <v>1213</v>
      </c>
      <c r="D136" s="878"/>
      <c r="E136" s="878"/>
      <c r="F136" s="878"/>
      <c r="G136" s="878"/>
      <c r="H136" s="878"/>
      <c r="I136" s="878"/>
      <c r="J136" s="878">
        <f>BS!E50/1000000</f>
        <v>5641.6348209999996</v>
      </c>
      <c r="K136" s="878">
        <f>BS!F50/1000000</f>
        <v>5641.6448209999999</v>
      </c>
      <c r="L136" s="910">
        <f>K136</f>
        <v>5641.6448209999999</v>
      </c>
      <c r="M136" s="878">
        <f>L136</f>
        <v>5641.6448209999999</v>
      </c>
      <c r="N136" s="911">
        <f>M136</f>
        <v>5641.6448209999999</v>
      </c>
      <c r="O136" s="887">
        <f t="shared" si="63"/>
        <v>5641.6448209999999</v>
      </c>
      <c r="P136" s="887">
        <f t="shared" si="63"/>
        <v>5641.6448209999999</v>
      </c>
      <c r="Q136" s="887">
        <f t="shared" si="63"/>
        <v>5641.6448209999999</v>
      </c>
      <c r="R136" s="912">
        <f t="shared" si="63"/>
        <v>5641.6448209999999</v>
      </c>
      <c r="S136" s="909"/>
      <c r="U136" s="882"/>
      <c r="V136" s="925" t="s">
        <v>1213</v>
      </c>
      <c r="W136" s="913">
        <f t="shared" si="50"/>
        <v>5641.6348209999996</v>
      </c>
      <c r="X136" s="913">
        <f t="shared" si="41"/>
        <v>5641.6448209999999</v>
      </c>
      <c r="Y136" s="1215">
        <f t="shared" si="42"/>
        <v>5641.6448209999999</v>
      </c>
      <c r="Z136" s="913">
        <f t="shared" si="43"/>
        <v>5641.6448209999999</v>
      </c>
      <c r="AA136" s="913">
        <f t="shared" si="44"/>
        <v>5641.6448209999999</v>
      </c>
      <c r="AB136" s="913">
        <f t="shared" si="45"/>
        <v>5641.6448209999999</v>
      </c>
      <c r="AC136" s="913">
        <f t="shared" si="46"/>
        <v>5641.6448209999999</v>
      </c>
      <c r="AD136" s="913">
        <f t="shared" si="47"/>
        <v>5641.6448209999999</v>
      </c>
      <c r="AE136" s="913">
        <f t="shared" si="48"/>
        <v>5641.6448209999999</v>
      </c>
    </row>
    <row r="137" spans="2:31">
      <c r="B137" s="878" t="s">
        <v>1742</v>
      </c>
      <c r="C137" s="878"/>
      <c r="D137" s="878"/>
      <c r="E137" s="878"/>
      <c r="F137" s="878"/>
      <c r="G137" s="878"/>
      <c r="H137" s="878"/>
      <c r="I137" s="878"/>
      <c r="J137" s="878">
        <f>BS!E51/1000000</f>
        <v>2656302.9834850002</v>
      </c>
      <c r="K137" s="878">
        <f>BS!F51/1000000</f>
        <v>2672637.162943</v>
      </c>
      <c r="L137" s="910">
        <f>L91+L107</f>
        <v>2837214.768487819</v>
      </c>
      <c r="M137" s="878">
        <f t="shared" ref="M137:R137" si="64">M91+M107</f>
        <v>2837214.768487819</v>
      </c>
      <c r="N137" s="911">
        <f t="shared" si="64"/>
        <v>3109478.4466006216</v>
      </c>
      <c r="O137" s="887">
        <f t="shared" si="64"/>
        <v>3202922.5296962736</v>
      </c>
      <c r="P137" s="887">
        <f t="shared" si="64"/>
        <v>3430020.057364135</v>
      </c>
      <c r="Q137" s="887">
        <f t="shared" si="64"/>
        <v>3651314.3797077159</v>
      </c>
      <c r="R137" s="912">
        <f t="shared" si="64"/>
        <v>3528577.754819789</v>
      </c>
      <c r="S137" s="909"/>
      <c r="U137" s="883" t="s">
        <v>1742</v>
      </c>
      <c r="V137" s="926"/>
      <c r="W137" s="927">
        <f t="shared" si="50"/>
        <v>2656302.9834850002</v>
      </c>
      <c r="X137" s="927">
        <f t="shared" si="41"/>
        <v>2672637.162943</v>
      </c>
      <c r="Y137" s="1216">
        <f t="shared" si="42"/>
        <v>2837214.768487819</v>
      </c>
      <c r="Z137" s="927">
        <f t="shared" si="43"/>
        <v>2837214.768487819</v>
      </c>
      <c r="AA137" s="927">
        <f t="shared" si="44"/>
        <v>3109478.4466006216</v>
      </c>
      <c r="AB137" s="927">
        <f t="shared" si="45"/>
        <v>3202922.5296962736</v>
      </c>
      <c r="AC137" s="927">
        <f t="shared" si="46"/>
        <v>3430020.057364135</v>
      </c>
      <c r="AD137" s="927">
        <f t="shared" si="47"/>
        <v>3651314.3797077159</v>
      </c>
      <c r="AE137" s="927">
        <f t="shared" si="48"/>
        <v>3528577.754819789</v>
      </c>
    </row>
    <row r="138" spans="2:31">
      <c r="B138" s="871" t="s">
        <v>1668</v>
      </c>
      <c r="L138" s="906"/>
      <c r="N138" s="907"/>
      <c r="O138" s="889"/>
      <c r="P138" s="889"/>
      <c r="Q138" s="889"/>
      <c r="R138" s="908"/>
      <c r="S138" s="909"/>
      <c r="V138" s="909"/>
      <c r="W138" s="913"/>
      <c r="X138" s="913"/>
      <c r="Y138" s="1215"/>
      <c r="Z138" s="913"/>
      <c r="AA138" s="913"/>
      <c r="AB138" s="913"/>
      <c r="AC138" s="913"/>
      <c r="AD138" s="913"/>
      <c r="AE138" s="913"/>
    </row>
    <row r="139" spans="2:31">
      <c r="B139" s="878" t="s">
        <v>1743</v>
      </c>
      <c r="C139" s="878"/>
      <c r="D139" s="878"/>
      <c r="E139" s="878"/>
      <c r="F139" s="878"/>
      <c r="G139" s="878"/>
      <c r="H139" s="878"/>
      <c r="I139" s="878"/>
      <c r="J139" s="878">
        <f>BS!E53/1000000</f>
        <v>473932.10006999999</v>
      </c>
      <c r="K139" s="878">
        <f>BS!F53/1000000</f>
        <v>252285.001238</v>
      </c>
      <c r="L139" s="910">
        <f>L140+L143+L147+L148+L151+L152+L153</f>
        <v>314815.28342931677</v>
      </c>
      <c r="M139" s="878">
        <f t="shared" ref="M139:R139" si="65">M140+M143+M147+M148+M151+M152+M153</f>
        <v>314815.28342931677</v>
      </c>
      <c r="N139" s="911">
        <f t="shared" si="65"/>
        <v>355149.49600419449</v>
      </c>
      <c r="O139" s="887">
        <f t="shared" si="65"/>
        <v>391463.91701442411</v>
      </c>
      <c r="P139" s="887">
        <f t="shared" si="65"/>
        <v>417388.34987507644</v>
      </c>
      <c r="Q139" s="887">
        <f t="shared" si="65"/>
        <v>442874.48625954962</v>
      </c>
      <c r="R139" s="912">
        <f t="shared" si="65"/>
        <v>473869.78758986981</v>
      </c>
      <c r="S139" s="909"/>
      <c r="U139" s="882" t="s">
        <v>1683</v>
      </c>
      <c r="V139" s="925"/>
      <c r="W139" s="913">
        <f t="shared" si="50"/>
        <v>473932.10006999999</v>
      </c>
      <c r="X139" s="913">
        <f t="shared" si="41"/>
        <v>252285.001238</v>
      </c>
      <c r="Y139" s="1215">
        <f t="shared" si="42"/>
        <v>314815.28342931677</v>
      </c>
      <c r="Z139" s="913">
        <f t="shared" si="43"/>
        <v>314815.28342931677</v>
      </c>
      <c r="AA139" s="913">
        <f t="shared" si="44"/>
        <v>355149.49600419449</v>
      </c>
      <c r="AB139" s="913">
        <f t="shared" si="45"/>
        <v>391463.91701442411</v>
      </c>
      <c r="AC139" s="913">
        <f t="shared" si="46"/>
        <v>417388.34987507644</v>
      </c>
      <c r="AD139" s="913">
        <f t="shared" si="47"/>
        <v>442874.48625954962</v>
      </c>
      <c r="AE139" s="913">
        <f t="shared" si="48"/>
        <v>473869.78758986981</v>
      </c>
    </row>
    <row r="140" spans="2:31">
      <c r="C140" s="878" t="s">
        <v>1744</v>
      </c>
      <c r="D140" s="878"/>
      <c r="E140" s="878"/>
      <c r="F140" s="878"/>
      <c r="G140" s="878"/>
      <c r="H140" s="878"/>
      <c r="I140" s="878"/>
      <c r="J140" s="878">
        <f>BS!E54/1000000</f>
        <v>168004.16025300001</v>
      </c>
      <c r="K140" s="878">
        <f>BS!F54/1000000</f>
        <v>190320.96969900001</v>
      </c>
      <c r="L140" s="910">
        <f>SUM(L141:L142)</f>
        <v>209241.04009512902</v>
      </c>
      <c r="M140" s="878">
        <f>SUM(M141:M142)</f>
        <v>209241.04009512902</v>
      </c>
      <c r="N140" s="911">
        <f>SUM(N141:N142)</f>
        <v>237356.39351187431</v>
      </c>
      <c r="O140" s="887">
        <f t="shared" ref="O140:R140" si="66">SUM(O141:O142)</f>
        <v>258773.03386351318</v>
      </c>
      <c r="P140" s="887">
        <f t="shared" si="66"/>
        <v>273589.68083194707</v>
      </c>
      <c r="Q140" s="887">
        <f t="shared" si="66"/>
        <v>287746.02263588703</v>
      </c>
      <c r="R140" s="912">
        <f t="shared" si="66"/>
        <v>302585.75636653526</v>
      </c>
      <c r="S140" s="919"/>
      <c r="V140" s="925" t="s">
        <v>1684</v>
      </c>
      <c r="W140" s="913">
        <f t="shared" si="50"/>
        <v>168004.16025300001</v>
      </c>
      <c r="X140" s="913">
        <f t="shared" si="41"/>
        <v>190320.96969900001</v>
      </c>
      <c r="Y140" s="1215">
        <f t="shared" si="42"/>
        <v>209241.04009512902</v>
      </c>
      <c r="Z140" s="913">
        <f t="shared" si="43"/>
        <v>209241.04009512902</v>
      </c>
      <c r="AA140" s="913">
        <f t="shared" si="44"/>
        <v>237356.39351187431</v>
      </c>
      <c r="AB140" s="913">
        <f t="shared" si="45"/>
        <v>258773.03386351318</v>
      </c>
      <c r="AC140" s="913">
        <f t="shared" si="46"/>
        <v>273589.68083194707</v>
      </c>
      <c r="AD140" s="913">
        <f t="shared" si="47"/>
        <v>287746.02263588703</v>
      </c>
      <c r="AE140" s="913">
        <f t="shared" si="48"/>
        <v>302585.75636653526</v>
      </c>
    </row>
    <row r="141" spans="2:31" hidden="1" outlineLevel="1">
      <c r="C141" s="914"/>
      <c r="D141" s="914" t="s">
        <v>1177</v>
      </c>
      <c r="E141" s="914"/>
      <c r="F141" s="914"/>
      <c r="G141" s="914"/>
      <c r="H141" s="914"/>
      <c r="I141" s="914"/>
      <c r="J141" s="914">
        <f>BS!E55/1000000</f>
        <v>119735.96799999999</v>
      </c>
      <c r="K141" s="914">
        <f>BS!F55/1000000</f>
        <v>129705.443</v>
      </c>
      <c r="L141" s="915">
        <f>NWC!H9</f>
        <v>150879.65042476458</v>
      </c>
      <c r="M141" s="914">
        <f>L141</f>
        <v>150879.65042476458</v>
      </c>
      <c r="N141" s="916">
        <f>NWC!I9</f>
        <v>180820.34874766823</v>
      </c>
      <c r="O141" s="917">
        <f>NWC!J9</f>
        <v>196491.69309572311</v>
      </c>
      <c r="P141" s="917">
        <f>NWC!K9</f>
        <v>206334.01160319961</v>
      </c>
      <c r="Q141" s="917">
        <f>NWC!L9</f>
        <v>216665.91530106397</v>
      </c>
      <c r="R141" s="918">
        <f>NWC!M9</f>
        <v>227511.55659102552</v>
      </c>
      <c r="S141" s="909"/>
      <c r="V141" s="925"/>
      <c r="W141" s="913">
        <f t="shared" si="50"/>
        <v>119735.96799999999</v>
      </c>
      <c r="X141" s="913">
        <f t="shared" si="41"/>
        <v>129705.443</v>
      </c>
      <c r="Y141" s="1215">
        <f t="shared" si="42"/>
        <v>150879.65042476458</v>
      </c>
      <c r="Z141" s="913">
        <f t="shared" si="43"/>
        <v>150879.65042476458</v>
      </c>
      <c r="AA141" s="913">
        <f t="shared" si="44"/>
        <v>180820.34874766823</v>
      </c>
      <c r="AB141" s="913">
        <f t="shared" si="45"/>
        <v>196491.69309572311</v>
      </c>
      <c r="AC141" s="913">
        <f t="shared" si="46"/>
        <v>206334.01160319961</v>
      </c>
      <c r="AD141" s="913">
        <f t="shared" si="47"/>
        <v>216665.91530106397</v>
      </c>
      <c r="AE141" s="913">
        <f t="shared" si="48"/>
        <v>227511.55659102552</v>
      </c>
    </row>
    <row r="142" spans="2:31" hidden="1" outlineLevel="1">
      <c r="C142" s="914"/>
      <c r="D142" s="914" t="s">
        <v>1176</v>
      </c>
      <c r="E142" s="914"/>
      <c r="F142" s="914"/>
      <c r="G142" s="914"/>
      <c r="H142" s="914"/>
      <c r="I142" s="914"/>
      <c r="J142" s="914">
        <f>BS!E56/1000000</f>
        <v>48268.192000000003</v>
      </c>
      <c r="K142" s="914">
        <f>BS!F56/1000000</f>
        <v>60615.527000000002</v>
      </c>
      <c r="L142" s="915">
        <f>NWC!H10</f>
        <v>58361.389670364442</v>
      </c>
      <c r="M142" s="914">
        <f>L142</f>
        <v>58361.389670364442</v>
      </c>
      <c r="N142" s="916">
        <f>NWC!I10</f>
        <v>56536.04476420609</v>
      </c>
      <c r="O142" s="917">
        <f>NWC!J10</f>
        <v>62281.340767790061</v>
      </c>
      <c r="P142" s="917">
        <f>NWC!K10</f>
        <v>67255.669228747443</v>
      </c>
      <c r="Q142" s="917">
        <f>NWC!L10</f>
        <v>71080.107334823086</v>
      </c>
      <c r="R142" s="918">
        <f>NWC!M10</f>
        <v>75074.19977550974</v>
      </c>
      <c r="S142" s="909"/>
      <c r="V142" s="925"/>
      <c r="W142" s="913">
        <f t="shared" si="50"/>
        <v>48268.192000000003</v>
      </c>
      <c r="X142" s="913">
        <f t="shared" si="41"/>
        <v>60615.527000000002</v>
      </c>
      <c r="Y142" s="1215">
        <f t="shared" si="42"/>
        <v>58361.389670364442</v>
      </c>
      <c r="Z142" s="913">
        <f t="shared" si="43"/>
        <v>58361.389670364442</v>
      </c>
      <c r="AA142" s="913">
        <f t="shared" si="44"/>
        <v>56536.04476420609</v>
      </c>
      <c r="AB142" s="913">
        <f t="shared" si="45"/>
        <v>62281.340767790061</v>
      </c>
      <c r="AC142" s="913">
        <f t="shared" si="46"/>
        <v>67255.669228747443</v>
      </c>
      <c r="AD142" s="913">
        <f t="shared" si="47"/>
        <v>71080.107334823086</v>
      </c>
      <c r="AE142" s="913">
        <f t="shared" si="48"/>
        <v>75074.19977550974</v>
      </c>
    </row>
    <row r="143" spans="2:31" collapsed="1">
      <c r="C143" s="878" t="s">
        <v>1745</v>
      </c>
      <c r="D143" s="878"/>
      <c r="E143" s="878"/>
      <c r="F143" s="878"/>
      <c r="G143" s="878"/>
      <c r="H143" s="878"/>
      <c r="I143" s="878"/>
      <c r="J143" s="878">
        <f>BS!E57/1000000</f>
        <v>210011.906896</v>
      </c>
      <c r="K143" s="878">
        <f>BS!F57/1000000</f>
        <v>0</v>
      </c>
      <c r="L143" s="910">
        <f>K143</f>
        <v>0</v>
      </c>
      <c r="M143" s="878">
        <f>L143</f>
        <v>0</v>
      </c>
      <c r="N143" s="911">
        <f>M143</f>
        <v>0</v>
      </c>
      <c r="O143" s="887">
        <f t="shared" ref="O143:R143" si="67">N143</f>
        <v>0</v>
      </c>
      <c r="P143" s="887">
        <f t="shared" si="67"/>
        <v>0</v>
      </c>
      <c r="Q143" s="887">
        <f t="shared" si="67"/>
        <v>0</v>
      </c>
      <c r="R143" s="912">
        <f t="shared" si="67"/>
        <v>0</v>
      </c>
      <c r="S143" s="909"/>
      <c r="V143" s="925" t="s">
        <v>1536</v>
      </c>
      <c r="W143" s="913">
        <f t="shared" si="50"/>
        <v>210011.906896</v>
      </c>
      <c r="X143" s="913">
        <f t="shared" si="41"/>
        <v>0</v>
      </c>
      <c r="Y143" s="1215">
        <f t="shared" si="42"/>
        <v>0</v>
      </c>
      <c r="Z143" s="913">
        <f t="shared" si="43"/>
        <v>0</v>
      </c>
      <c r="AA143" s="913">
        <f t="shared" si="44"/>
        <v>0</v>
      </c>
      <c r="AB143" s="913">
        <f t="shared" si="45"/>
        <v>0</v>
      </c>
      <c r="AC143" s="913">
        <f t="shared" si="46"/>
        <v>0</v>
      </c>
      <c r="AD143" s="913">
        <f t="shared" si="47"/>
        <v>0</v>
      </c>
      <c r="AE143" s="913">
        <f t="shared" si="48"/>
        <v>0</v>
      </c>
    </row>
    <row r="144" spans="2:31" hidden="1" outlineLevel="1">
      <c r="D144" s="871" t="s">
        <v>1669</v>
      </c>
      <c r="J144" s="871">
        <f>BS!E58/1000000</f>
        <v>50000</v>
      </c>
      <c r="K144" s="871">
        <f>BS!F58/1000000</f>
        <v>0</v>
      </c>
      <c r="L144" s="906"/>
      <c r="N144" s="907"/>
      <c r="O144" s="889"/>
      <c r="P144" s="889"/>
      <c r="Q144" s="889"/>
      <c r="R144" s="908"/>
      <c r="S144" s="909"/>
      <c r="V144" s="925"/>
      <c r="W144" s="913">
        <f t="shared" si="50"/>
        <v>50000</v>
      </c>
      <c r="X144" s="913">
        <f t="shared" si="41"/>
        <v>0</v>
      </c>
      <c r="Y144" s="1215">
        <f t="shared" si="42"/>
        <v>0</v>
      </c>
      <c r="Z144" s="913">
        <f t="shared" si="43"/>
        <v>0</v>
      </c>
      <c r="AA144" s="913">
        <f t="shared" si="44"/>
        <v>0</v>
      </c>
      <c r="AB144" s="913">
        <f t="shared" si="45"/>
        <v>0</v>
      </c>
      <c r="AC144" s="913">
        <f t="shared" si="46"/>
        <v>0</v>
      </c>
      <c r="AD144" s="913">
        <f t="shared" si="47"/>
        <v>0</v>
      </c>
      <c r="AE144" s="913">
        <f t="shared" si="48"/>
        <v>0</v>
      </c>
    </row>
    <row r="145" spans="2:31" hidden="1" outlineLevel="1">
      <c r="D145" s="871" t="s">
        <v>1437</v>
      </c>
      <c r="J145" s="871">
        <f>BS!E59/1000000</f>
        <v>149984.924</v>
      </c>
      <c r="K145" s="871">
        <f>BS!F59/1000000</f>
        <v>0</v>
      </c>
      <c r="L145" s="906"/>
      <c r="N145" s="907"/>
      <c r="O145" s="889"/>
      <c r="P145" s="889"/>
      <c r="Q145" s="889"/>
      <c r="R145" s="908"/>
      <c r="S145" s="909"/>
      <c r="V145" s="925"/>
      <c r="W145" s="913">
        <f t="shared" si="50"/>
        <v>149984.924</v>
      </c>
      <c r="X145" s="913">
        <f t="shared" si="41"/>
        <v>0</v>
      </c>
      <c r="Y145" s="1215">
        <f t="shared" si="42"/>
        <v>0</v>
      </c>
      <c r="Z145" s="913">
        <f t="shared" si="43"/>
        <v>0</v>
      </c>
      <c r="AA145" s="913">
        <f t="shared" si="44"/>
        <v>0</v>
      </c>
      <c r="AB145" s="913">
        <f t="shared" si="45"/>
        <v>0</v>
      </c>
      <c r="AC145" s="913">
        <f t="shared" si="46"/>
        <v>0</v>
      </c>
      <c r="AD145" s="913">
        <f t="shared" si="47"/>
        <v>0</v>
      </c>
      <c r="AE145" s="913">
        <f t="shared" si="48"/>
        <v>0</v>
      </c>
    </row>
    <row r="146" spans="2:31" hidden="1" outlineLevel="1">
      <c r="D146" s="871" t="s">
        <v>1670</v>
      </c>
      <c r="J146" s="871">
        <f>BS!E60/1000000</f>
        <v>10026.983</v>
      </c>
      <c r="K146" s="871">
        <f>BS!F60/1000000</f>
        <v>0</v>
      </c>
      <c r="L146" s="906"/>
      <c r="N146" s="907"/>
      <c r="O146" s="889"/>
      <c r="P146" s="889"/>
      <c r="Q146" s="889"/>
      <c r="R146" s="908"/>
      <c r="S146" s="909"/>
      <c r="V146" s="925"/>
      <c r="W146" s="913">
        <f t="shared" si="50"/>
        <v>10026.983</v>
      </c>
      <c r="X146" s="913">
        <f t="shared" si="41"/>
        <v>0</v>
      </c>
      <c r="Y146" s="1215">
        <f t="shared" si="42"/>
        <v>0</v>
      </c>
      <c r="Z146" s="913">
        <f t="shared" si="43"/>
        <v>0</v>
      </c>
      <c r="AA146" s="913">
        <f t="shared" si="44"/>
        <v>0</v>
      </c>
      <c r="AB146" s="913">
        <f t="shared" si="45"/>
        <v>0</v>
      </c>
      <c r="AC146" s="913">
        <f t="shared" si="46"/>
        <v>0</v>
      </c>
      <c r="AD146" s="913">
        <f t="shared" si="47"/>
        <v>0</v>
      </c>
      <c r="AE146" s="913">
        <f t="shared" si="48"/>
        <v>0</v>
      </c>
    </row>
    <row r="147" spans="2:31" collapsed="1">
      <c r="C147" s="878" t="s">
        <v>1746</v>
      </c>
      <c r="D147" s="878"/>
      <c r="E147" s="878"/>
      <c r="F147" s="878"/>
      <c r="G147" s="878"/>
      <c r="H147" s="878"/>
      <c r="I147" s="878"/>
      <c r="J147" s="878">
        <f>BS!E61/1000000</f>
        <v>25112.640620999999</v>
      </c>
      <c r="K147" s="878">
        <f>BS!F61/1000000</f>
        <v>0</v>
      </c>
      <c r="L147" s="910">
        <f>K147</f>
        <v>0</v>
      </c>
      <c r="M147" s="878">
        <f>L147</f>
        <v>0</v>
      </c>
      <c r="N147" s="911">
        <f t="shared" ref="N147:R147" si="68">M147</f>
        <v>0</v>
      </c>
      <c r="O147" s="887">
        <f t="shared" si="68"/>
        <v>0</v>
      </c>
      <c r="P147" s="887">
        <f t="shared" si="68"/>
        <v>0</v>
      </c>
      <c r="Q147" s="887">
        <f t="shared" si="68"/>
        <v>0</v>
      </c>
      <c r="R147" s="912">
        <f t="shared" si="68"/>
        <v>0</v>
      </c>
      <c r="S147" s="909"/>
      <c r="V147" s="925" t="s">
        <v>1685</v>
      </c>
      <c r="W147" s="913">
        <f t="shared" si="50"/>
        <v>25112.640620999999</v>
      </c>
      <c r="X147" s="913">
        <f t="shared" si="41"/>
        <v>0</v>
      </c>
      <c r="Y147" s="1215">
        <f t="shared" si="42"/>
        <v>0</v>
      </c>
      <c r="Z147" s="913">
        <f t="shared" si="43"/>
        <v>0</v>
      </c>
      <c r="AA147" s="913">
        <f t="shared" si="44"/>
        <v>0</v>
      </c>
      <c r="AB147" s="913">
        <f t="shared" si="45"/>
        <v>0</v>
      </c>
      <c r="AC147" s="913">
        <f t="shared" si="46"/>
        <v>0</v>
      </c>
      <c r="AD147" s="913">
        <f t="shared" si="47"/>
        <v>0</v>
      </c>
      <c r="AE147" s="913">
        <f t="shared" si="48"/>
        <v>0</v>
      </c>
    </row>
    <row r="148" spans="2:31">
      <c r="C148" s="878" t="s">
        <v>1747</v>
      </c>
      <c r="D148" s="878"/>
      <c r="E148" s="878"/>
      <c r="F148" s="878"/>
      <c r="G148" s="878"/>
      <c r="H148" s="878"/>
      <c r="I148" s="878"/>
      <c r="J148" s="878">
        <f>BS!E62/1000000</f>
        <v>1265.048221</v>
      </c>
      <c r="K148" s="878">
        <f>BS!F62/1000000</f>
        <v>0</v>
      </c>
      <c r="L148" s="910">
        <f>K148</f>
        <v>0</v>
      </c>
      <c r="M148" s="878">
        <f>L148</f>
        <v>0</v>
      </c>
      <c r="N148" s="911">
        <f>M148</f>
        <v>0</v>
      </c>
      <c r="O148" s="887">
        <f t="shared" ref="O148:R148" si="69">N148</f>
        <v>0</v>
      </c>
      <c r="P148" s="887">
        <f t="shared" si="69"/>
        <v>0</v>
      </c>
      <c r="Q148" s="887">
        <f t="shared" si="69"/>
        <v>0</v>
      </c>
      <c r="R148" s="912">
        <f t="shared" si="69"/>
        <v>0</v>
      </c>
      <c r="S148" s="909"/>
      <c r="V148" s="925" t="s">
        <v>1686</v>
      </c>
      <c r="W148" s="913">
        <f t="shared" si="50"/>
        <v>1265.048221</v>
      </c>
      <c r="X148" s="913">
        <f t="shared" si="41"/>
        <v>0</v>
      </c>
      <c r="Y148" s="1215">
        <f t="shared" si="42"/>
        <v>0</v>
      </c>
      <c r="Z148" s="913">
        <f t="shared" si="43"/>
        <v>0</v>
      </c>
      <c r="AA148" s="913">
        <f t="shared" si="44"/>
        <v>0</v>
      </c>
      <c r="AB148" s="913">
        <f t="shared" si="45"/>
        <v>0</v>
      </c>
      <c r="AC148" s="913">
        <f t="shared" si="46"/>
        <v>0</v>
      </c>
      <c r="AD148" s="913">
        <f t="shared" si="47"/>
        <v>0</v>
      </c>
      <c r="AE148" s="913">
        <f t="shared" si="48"/>
        <v>0</v>
      </c>
    </row>
    <row r="149" spans="2:31" hidden="1" outlineLevel="1">
      <c r="D149" s="871" t="s">
        <v>1671</v>
      </c>
      <c r="J149" s="871">
        <f>BS!E63/1000000</f>
        <v>0</v>
      </c>
      <c r="K149" s="871">
        <f>BS!F63/1000000</f>
        <v>0</v>
      </c>
      <c r="L149" s="906"/>
      <c r="N149" s="907"/>
      <c r="O149" s="889"/>
      <c r="P149" s="889"/>
      <c r="Q149" s="889"/>
      <c r="R149" s="908"/>
      <c r="S149" s="909"/>
      <c r="V149" s="925"/>
      <c r="W149" s="913">
        <f t="shared" si="50"/>
        <v>0</v>
      </c>
      <c r="X149" s="913">
        <f t="shared" si="41"/>
        <v>0</v>
      </c>
      <c r="Y149" s="1215">
        <f t="shared" si="42"/>
        <v>0</v>
      </c>
      <c r="Z149" s="913">
        <f t="shared" si="43"/>
        <v>0</v>
      </c>
      <c r="AA149" s="913">
        <f t="shared" si="44"/>
        <v>0</v>
      </c>
      <c r="AB149" s="913">
        <f t="shared" si="45"/>
        <v>0</v>
      </c>
      <c r="AC149" s="913">
        <f t="shared" si="46"/>
        <v>0</v>
      </c>
      <c r="AD149" s="913">
        <f t="shared" si="47"/>
        <v>0</v>
      </c>
      <c r="AE149" s="913">
        <f t="shared" si="48"/>
        <v>0</v>
      </c>
    </row>
    <row r="150" spans="2:31" hidden="1" outlineLevel="1">
      <c r="D150" s="871" t="s">
        <v>1672</v>
      </c>
      <c r="J150" s="871">
        <f>BS!E64/1000000</f>
        <v>1265.048</v>
      </c>
      <c r="K150" s="871">
        <f>BS!F64/1000000</f>
        <v>0</v>
      </c>
      <c r="L150" s="906"/>
      <c r="N150" s="907"/>
      <c r="O150" s="889"/>
      <c r="P150" s="889"/>
      <c r="Q150" s="889"/>
      <c r="R150" s="908"/>
      <c r="S150" s="909"/>
      <c r="V150" s="925"/>
      <c r="W150" s="913">
        <f t="shared" si="50"/>
        <v>1265.048</v>
      </c>
      <c r="X150" s="913">
        <f t="shared" si="41"/>
        <v>0</v>
      </c>
      <c r="Y150" s="1215">
        <f t="shared" si="42"/>
        <v>0</v>
      </c>
      <c r="Z150" s="913">
        <f t="shared" si="43"/>
        <v>0</v>
      </c>
      <c r="AA150" s="913">
        <f t="shared" si="44"/>
        <v>0</v>
      </c>
      <c r="AB150" s="913">
        <f t="shared" si="45"/>
        <v>0</v>
      </c>
      <c r="AC150" s="913">
        <f t="shared" si="46"/>
        <v>0</v>
      </c>
      <c r="AD150" s="913">
        <f t="shared" si="47"/>
        <v>0</v>
      </c>
      <c r="AE150" s="913">
        <f t="shared" si="48"/>
        <v>0</v>
      </c>
    </row>
    <row r="151" spans="2:31" collapsed="1">
      <c r="C151" s="920" t="s">
        <v>1748</v>
      </c>
      <c r="D151" s="920"/>
      <c r="E151" s="920"/>
      <c r="F151" s="920"/>
      <c r="G151" s="920"/>
      <c r="H151" s="920"/>
      <c r="I151" s="920"/>
      <c r="J151" s="920">
        <f>BS!E65/1000000</f>
        <v>28715.892018999999</v>
      </c>
      <c r="K151" s="920">
        <f>BS!F65/1000000</f>
        <v>14129.331222999999</v>
      </c>
      <c r="L151" s="921">
        <f>M76</f>
        <v>53297.508416993238</v>
      </c>
      <c r="M151" s="920">
        <f>L151</f>
        <v>53297.508416993238</v>
      </c>
      <c r="N151" s="922">
        <f>N76</f>
        <v>64230.17883814987</v>
      </c>
      <c r="O151" s="923">
        <f t="shared" ref="O151:R151" si="70">O76</f>
        <v>77074.985845503688</v>
      </c>
      <c r="P151" s="923">
        <f t="shared" si="70"/>
        <v>86846.788014320337</v>
      </c>
      <c r="Q151" s="923">
        <f t="shared" si="70"/>
        <v>96768.106220317713</v>
      </c>
      <c r="R151" s="924">
        <f t="shared" si="70"/>
        <v>111438.77122508803</v>
      </c>
      <c r="S151" s="919"/>
      <c r="V151" s="925" t="s">
        <v>1687</v>
      </c>
      <c r="W151" s="913">
        <f t="shared" si="50"/>
        <v>28715.892018999999</v>
      </c>
      <c r="X151" s="913">
        <f t="shared" si="41"/>
        <v>14129.331222999999</v>
      </c>
      <c r="Y151" s="1215">
        <f t="shared" si="42"/>
        <v>53297.508416993238</v>
      </c>
      <c r="Z151" s="913">
        <f t="shared" si="43"/>
        <v>53297.508416993238</v>
      </c>
      <c r="AA151" s="913">
        <f t="shared" si="44"/>
        <v>64230.17883814987</v>
      </c>
      <c r="AB151" s="913">
        <f t="shared" si="45"/>
        <v>77074.985845503688</v>
      </c>
      <c r="AC151" s="913">
        <f t="shared" si="46"/>
        <v>86846.788014320337</v>
      </c>
      <c r="AD151" s="913">
        <f t="shared" si="47"/>
        <v>96768.106220317713</v>
      </c>
      <c r="AE151" s="913">
        <f t="shared" si="48"/>
        <v>111438.77122508803</v>
      </c>
    </row>
    <row r="152" spans="2:31" hidden="1">
      <c r="C152" s="925" t="s">
        <v>2203</v>
      </c>
      <c r="D152" s="925"/>
      <c r="E152" s="925"/>
      <c r="F152" s="925"/>
      <c r="G152" s="925"/>
      <c r="H152" s="925"/>
      <c r="I152" s="925"/>
      <c r="J152" s="925">
        <f>BS!E66/1000000</f>
        <v>174.26873599999999</v>
      </c>
      <c r="K152" s="925">
        <f>BS!F66/1000000</f>
        <v>495.87232</v>
      </c>
      <c r="L152" s="1206">
        <f>K152</f>
        <v>495.87232</v>
      </c>
      <c r="M152" s="925">
        <f>L152</f>
        <v>495.87232</v>
      </c>
      <c r="N152" s="1207">
        <f>M152</f>
        <v>495.87232</v>
      </c>
      <c r="O152" s="1208">
        <f>N152</f>
        <v>495.87232</v>
      </c>
      <c r="P152" s="1208">
        <f t="shared" ref="P152:R152" si="71">O152</f>
        <v>495.87232</v>
      </c>
      <c r="Q152" s="1208">
        <f t="shared" si="71"/>
        <v>495.87232</v>
      </c>
      <c r="R152" s="1209">
        <f t="shared" si="71"/>
        <v>495.87232</v>
      </c>
      <c r="S152" s="919"/>
      <c r="V152" s="925"/>
      <c r="W152" s="913"/>
      <c r="X152" s="913"/>
      <c r="Y152" s="1215"/>
      <c r="Z152" s="913"/>
      <c r="AA152" s="913"/>
      <c r="AB152" s="913"/>
      <c r="AC152" s="913"/>
      <c r="AD152" s="913"/>
      <c r="AE152" s="913"/>
    </row>
    <row r="153" spans="2:31">
      <c r="C153" s="878" t="s">
        <v>1749</v>
      </c>
      <c r="D153" s="878"/>
      <c r="E153" s="878"/>
      <c r="F153" s="878"/>
      <c r="G153" s="878"/>
      <c r="H153" s="878"/>
      <c r="I153" s="878"/>
      <c r="J153" s="878">
        <f>BS!E67/1000000</f>
        <v>40648.183323999998</v>
      </c>
      <c r="K153" s="878">
        <f>BS!F67/1000000</f>
        <v>47338.827996</v>
      </c>
      <c r="L153" s="910">
        <f>SUM(L154:L157)</f>
        <v>51780.8625971945</v>
      </c>
      <c r="M153" s="878">
        <f t="shared" ref="M153:R153" si="72">SUM(M154:M157)</f>
        <v>51780.8625971945</v>
      </c>
      <c r="N153" s="911">
        <f t="shared" si="72"/>
        <v>53067.051334170283</v>
      </c>
      <c r="O153" s="887">
        <f t="shared" si="72"/>
        <v>55120.024985407217</v>
      </c>
      <c r="P153" s="887">
        <f t="shared" si="72"/>
        <v>56456.008708809</v>
      </c>
      <c r="Q153" s="887">
        <f t="shared" si="72"/>
        <v>57864.485083344851</v>
      </c>
      <c r="R153" s="912">
        <f t="shared" si="72"/>
        <v>59349.387678246501</v>
      </c>
      <c r="S153" s="909"/>
      <c r="V153" s="925" t="s">
        <v>1688</v>
      </c>
      <c r="W153" s="913">
        <f t="shared" si="50"/>
        <v>40648.183323999998</v>
      </c>
      <c r="X153" s="913">
        <f t="shared" si="41"/>
        <v>47338.827996</v>
      </c>
      <c r="Y153" s="1215">
        <f t="shared" si="42"/>
        <v>51780.8625971945</v>
      </c>
      <c r="Z153" s="913">
        <f t="shared" si="43"/>
        <v>51780.8625971945</v>
      </c>
      <c r="AA153" s="913">
        <f t="shared" si="44"/>
        <v>53067.051334170283</v>
      </c>
      <c r="AB153" s="913">
        <f t="shared" si="45"/>
        <v>55120.024985407217</v>
      </c>
      <c r="AC153" s="913">
        <f t="shared" si="46"/>
        <v>56456.008708809</v>
      </c>
      <c r="AD153" s="913">
        <f t="shared" si="47"/>
        <v>57864.485083344851</v>
      </c>
      <c r="AE153" s="913">
        <f t="shared" si="48"/>
        <v>59349.387678246501</v>
      </c>
    </row>
    <row r="154" spans="2:31" hidden="1" outlineLevel="1">
      <c r="D154" s="871" t="s">
        <v>1673</v>
      </c>
      <c r="J154" s="871">
        <f>BS!E68/1000000</f>
        <v>12413.92</v>
      </c>
      <c r="K154" s="928">
        <f>J154</f>
        <v>12413.92</v>
      </c>
      <c r="L154" s="906">
        <f>K154</f>
        <v>12413.92</v>
      </c>
      <c r="M154" s="871">
        <f>L154</f>
        <v>12413.92</v>
      </c>
      <c r="N154" s="907">
        <f t="shared" ref="N154:R154" si="73">M154</f>
        <v>12413.92</v>
      </c>
      <c r="O154" s="889">
        <f t="shared" si="73"/>
        <v>12413.92</v>
      </c>
      <c r="P154" s="889">
        <f t="shared" si="73"/>
        <v>12413.92</v>
      </c>
      <c r="Q154" s="889">
        <f t="shared" si="73"/>
        <v>12413.92</v>
      </c>
      <c r="R154" s="908">
        <f t="shared" si="73"/>
        <v>12413.92</v>
      </c>
      <c r="S154" s="909"/>
      <c r="V154" s="909"/>
      <c r="W154" s="913">
        <f t="shared" si="50"/>
        <v>12413.92</v>
      </c>
      <c r="X154" s="913">
        <f t="shared" si="41"/>
        <v>12413.92</v>
      </c>
      <c r="Y154" s="1215">
        <f t="shared" si="42"/>
        <v>12413.92</v>
      </c>
      <c r="Z154" s="913">
        <f t="shared" si="43"/>
        <v>12413.92</v>
      </c>
      <c r="AA154" s="913">
        <f t="shared" si="44"/>
        <v>12413.92</v>
      </c>
      <c r="AB154" s="913">
        <f t="shared" si="45"/>
        <v>12413.92</v>
      </c>
      <c r="AC154" s="913">
        <f t="shared" si="46"/>
        <v>12413.92</v>
      </c>
      <c r="AD154" s="913">
        <f t="shared" si="47"/>
        <v>12413.92</v>
      </c>
      <c r="AE154" s="913">
        <f t="shared" si="48"/>
        <v>12413.92</v>
      </c>
    </row>
    <row r="155" spans="2:31" hidden="1" outlineLevel="1">
      <c r="C155" s="914"/>
      <c r="D155" s="914" t="s">
        <v>1175</v>
      </c>
      <c r="E155" s="914"/>
      <c r="F155" s="914"/>
      <c r="G155" s="914"/>
      <c r="H155" s="914"/>
      <c r="I155" s="914"/>
      <c r="J155" s="914">
        <f>BS!E69/1000000</f>
        <v>16839.954000000002</v>
      </c>
      <c r="K155" s="929">
        <f>J155</f>
        <v>16839.954000000002</v>
      </c>
      <c r="L155" s="915">
        <f>NWC!H11</f>
        <v>21281.988601194505</v>
      </c>
      <c r="M155" s="914">
        <f>L155</f>
        <v>21281.988601194505</v>
      </c>
      <c r="N155" s="916">
        <f>NWC!I11</f>
        <v>22568.177338170288</v>
      </c>
      <c r="O155" s="917">
        <f>NWC!J11</f>
        <v>24621.150989407219</v>
      </c>
      <c r="P155" s="917">
        <f>NWC!K11</f>
        <v>25957.134712809002</v>
      </c>
      <c r="Q155" s="917">
        <f>NWC!L11</f>
        <v>27365.611087344856</v>
      </c>
      <c r="R155" s="918">
        <f>NWC!M11</f>
        <v>28850.513682246507</v>
      </c>
      <c r="S155" s="909"/>
      <c r="V155" s="909"/>
      <c r="W155" s="913">
        <f t="shared" si="50"/>
        <v>16839.954000000002</v>
      </c>
      <c r="X155" s="913">
        <f t="shared" ref="X155:X182" si="74">K155</f>
        <v>16839.954000000002</v>
      </c>
      <c r="Y155" s="1215">
        <f t="shared" ref="Y155:Y182" si="75">L155</f>
        <v>21281.988601194505</v>
      </c>
      <c r="Z155" s="913">
        <f t="shared" ref="Z155:Z182" si="76">M155</f>
        <v>21281.988601194505</v>
      </c>
      <c r="AA155" s="913">
        <f t="shared" ref="AA155:AA182" si="77">N155</f>
        <v>22568.177338170288</v>
      </c>
      <c r="AB155" s="913">
        <f t="shared" ref="AB155:AB182" si="78">O155</f>
        <v>24621.150989407219</v>
      </c>
      <c r="AC155" s="913">
        <f t="shared" ref="AC155:AC182" si="79">P155</f>
        <v>25957.134712809002</v>
      </c>
      <c r="AD155" s="913">
        <f t="shared" ref="AD155:AD182" si="80">Q155</f>
        <v>27365.611087344856</v>
      </c>
      <c r="AE155" s="913">
        <f t="shared" ref="AE155:AE182" si="81">R155</f>
        <v>28850.513682246507</v>
      </c>
    </row>
    <row r="156" spans="2:31" hidden="1" outlineLevel="1">
      <c r="D156" s="871" t="s">
        <v>1674</v>
      </c>
      <c r="J156" s="871">
        <f>BS!E70/1000000</f>
        <v>6975.2110000000002</v>
      </c>
      <c r="K156" s="928">
        <f>J156</f>
        <v>6975.2110000000002</v>
      </c>
      <c r="L156" s="906">
        <f>K156</f>
        <v>6975.2110000000002</v>
      </c>
      <c r="M156" s="871">
        <f t="shared" ref="M156:R157" si="82">L156</f>
        <v>6975.2110000000002</v>
      </c>
      <c r="N156" s="907">
        <f t="shared" si="82"/>
        <v>6975.2110000000002</v>
      </c>
      <c r="O156" s="889">
        <f t="shared" si="82"/>
        <v>6975.2110000000002</v>
      </c>
      <c r="P156" s="889">
        <f t="shared" si="82"/>
        <v>6975.2110000000002</v>
      </c>
      <c r="Q156" s="889">
        <f t="shared" si="82"/>
        <v>6975.2110000000002</v>
      </c>
      <c r="R156" s="908">
        <f t="shared" si="82"/>
        <v>6975.2110000000002</v>
      </c>
      <c r="S156" s="909"/>
      <c r="V156" s="909"/>
      <c r="W156" s="913">
        <f t="shared" ref="W156:W182" si="83">J156</f>
        <v>6975.2110000000002</v>
      </c>
      <c r="X156" s="913">
        <f t="shared" si="74"/>
        <v>6975.2110000000002</v>
      </c>
      <c r="Y156" s="1215">
        <f t="shared" si="75"/>
        <v>6975.2110000000002</v>
      </c>
      <c r="Z156" s="913">
        <f t="shared" si="76"/>
        <v>6975.2110000000002</v>
      </c>
      <c r="AA156" s="913">
        <f t="shared" si="77"/>
        <v>6975.2110000000002</v>
      </c>
      <c r="AB156" s="913">
        <f t="shared" si="78"/>
        <v>6975.2110000000002</v>
      </c>
      <c r="AC156" s="913">
        <f t="shared" si="79"/>
        <v>6975.2110000000002</v>
      </c>
      <c r="AD156" s="913">
        <f t="shared" si="80"/>
        <v>6975.2110000000002</v>
      </c>
      <c r="AE156" s="913">
        <f t="shared" si="81"/>
        <v>6975.2110000000002</v>
      </c>
    </row>
    <row r="157" spans="2:31" hidden="1" outlineLevel="1">
      <c r="D157" s="871" t="s">
        <v>1675</v>
      </c>
      <c r="J157" s="871">
        <f>BS!E71/1000000</f>
        <v>4419.098</v>
      </c>
      <c r="K157" s="928">
        <f>K153-SUM(K154:K156)</f>
        <v>11109.742995999994</v>
      </c>
      <c r="L157" s="906">
        <f>K157</f>
        <v>11109.742995999994</v>
      </c>
      <c r="M157" s="871">
        <f t="shared" si="82"/>
        <v>11109.742995999994</v>
      </c>
      <c r="N157" s="907">
        <f t="shared" si="82"/>
        <v>11109.742995999994</v>
      </c>
      <c r="O157" s="889">
        <f t="shared" si="82"/>
        <v>11109.742995999994</v>
      </c>
      <c r="P157" s="889">
        <f t="shared" si="82"/>
        <v>11109.742995999994</v>
      </c>
      <c r="Q157" s="889">
        <f t="shared" si="82"/>
        <v>11109.742995999994</v>
      </c>
      <c r="R157" s="908">
        <f t="shared" si="82"/>
        <v>11109.742995999994</v>
      </c>
      <c r="S157" s="909"/>
      <c r="V157" s="909"/>
      <c r="W157" s="913">
        <f t="shared" si="83"/>
        <v>4419.098</v>
      </c>
      <c r="X157" s="913">
        <f t="shared" si="74"/>
        <v>11109.742995999994</v>
      </c>
      <c r="Y157" s="1215">
        <f t="shared" si="75"/>
        <v>11109.742995999994</v>
      </c>
      <c r="Z157" s="913">
        <f t="shared" si="76"/>
        <v>11109.742995999994</v>
      </c>
      <c r="AA157" s="913">
        <f t="shared" si="77"/>
        <v>11109.742995999994</v>
      </c>
      <c r="AB157" s="913">
        <f t="shared" si="78"/>
        <v>11109.742995999994</v>
      </c>
      <c r="AC157" s="913">
        <f t="shared" si="79"/>
        <v>11109.742995999994</v>
      </c>
      <c r="AD157" s="913">
        <f t="shared" si="80"/>
        <v>11109.742995999994</v>
      </c>
      <c r="AE157" s="913">
        <f t="shared" si="81"/>
        <v>11109.742995999994</v>
      </c>
    </row>
    <row r="158" spans="2:31" collapsed="1">
      <c r="B158" s="878" t="s">
        <v>1750</v>
      </c>
      <c r="C158" s="878"/>
      <c r="D158" s="878"/>
      <c r="E158" s="878"/>
      <c r="F158" s="878"/>
      <c r="G158" s="878"/>
      <c r="H158" s="878"/>
      <c r="I158" s="878"/>
      <c r="J158" s="878">
        <f>BS!E72/1000000</f>
        <v>1182693.4016789999</v>
      </c>
      <c r="K158" s="878">
        <f>BS!F72/1000000</f>
        <v>1062033.484249</v>
      </c>
      <c r="L158" s="910">
        <f>L159+L160+L164+L165+L166+L169+L170</f>
        <v>1064096.8407786561</v>
      </c>
      <c r="M158" s="878">
        <f t="shared" ref="M158:R158" si="84">M159+M160+M164+M165+M166+M169+M170</f>
        <v>1064096.8407786561</v>
      </c>
      <c r="N158" s="911">
        <f t="shared" si="84"/>
        <v>1068201.1267995045</v>
      </c>
      <c r="O158" s="887">
        <f t="shared" si="84"/>
        <v>851964.92997814063</v>
      </c>
      <c r="P158" s="887">
        <f t="shared" si="84"/>
        <v>745126.68546185095</v>
      </c>
      <c r="Q158" s="887">
        <f t="shared" si="84"/>
        <v>597747.94936710503</v>
      </c>
      <c r="R158" s="912">
        <f t="shared" si="84"/>
        <v>48814.925168999995</v>
      </c>
      <c r="S158" s="909"/>
      <c r="U158" s="882" t="s">
        <v>1689</v>
      </c>
      <c r="V158" s="925"/>
      <c r="W158" s="913">
        <f t="shared" si="83"/>
        <v>1182693.4016789999</v>
      </c>
      <c r="X158" s="913">
        <f t="shared" si="74"/>
        <v>1062033.484249</v>
      </c>
      <c r="Y158" s="1215">
        <f t="shared" si="75"/>
        <v>1064096.8407786561</v>
      </c>
      <c r="Z158" s="913">
        <f t="shared" si="76"/>
        <v>1064096.8407786561</v>
      </c>
      <c r="AA158" s="913">
        <f t="shared" si="77"/>
        <v>1068201.1267995045</v>
      </c>
      <c r="AB158" s="913">
        <f t="shared" si="78"/>
        <v>851964.92997814063</v>
      </c>
      <c r="AC158" s="913">
        <f t="shared" si="79"/>
        <v>745126.68546185095</v>
      </c>
      <c r="AD158" s="913">
        <f t="shared" si="80"/>
        <v>597747.94936710503</v>
      </c>
      <c r="AE158" s="913">
        <f t="shared" si="81"/>
        <v>48814.925168999995</v>
      </c>
    </row>
    <row r="159" spans="2:31" hidden="1">
      <c r="C159" s="878" t="s">
        <v>1751</v>
      </c>
      <c r="D159" s="878"/>
      <c r="E159" s="878"/>
      <c r="F159" s="878"/>
      <c r="G159" s="878"/>
      <c r="H159" s="878"/>
      <c r="I159" s="878"/>
      <c r="J159" s="878">
        <f>BS!E73/1000000</f>
        <v>12885.845214999999</v>
      </c>
      <c r="K159" s="878">
        <f>BS!F73/1000000</f>
        <v>15968.046075</v>
      </c>
      <c r="L159" s="910">
        <f>K159</f>
        <v>15968.046075</v>
      </c>
      <c r="M159" s="878">
        <f>L159</f>
        <v>15968.046075</v>
      </c>
      <c r="N159" s="911">
        <f>M159</f>
        <v>15968.046075</v>
      </c>
      <c r="O159" s="887">
        <f t="shared" ref="O159:R159" si="85">N159</f>
        <v>15968.046075</v>
      </c>
      <c r="P159" s="887">
        <f t="shared" si="85"/>
        <v>15968.046075</v>
      </c>
      <c r="Q159" s="887">
        <f t="shared" si="85"/>
        <v>15968.046075</v>
      </c>
      <c r="R159" s="912">
        <f t="shared" si="85"/>
        <v>15968.046075</v>
      </c>
      <c r="S159" s="909"/>
      <c r="V159" s="925" t="s">
        <v>1751</v>
      </c>
      <c r="W159" s="913">
        <f t="shared" si="83"/>
        <v>12885.845214999999</v>
      </c>
      <c r="X159" s="913">
        <f t="shared" si="74"/>
        <v>15968.046075</v>
      </c>
      <c r="Y159" s="1215">
        <f t="shared" si="75"/>
        <v>15968.046075</v>
      </c>
      <c r="Z159" s="913">
        <f t="shared" si="76"/>
        <v>15968.046075</v>
      </c>
      <c r="AA159" s="913">
        <f t="shared" si="77"/>
        <v>15968.046075</v>
      </c>
      <c r="AB159" s="913">
        <f t="shared" si="78"/>
        <v>15968.046075</v>
      </c>
      <c r="AC159" s="913">
        <f t="shared" si="79"/>
        <v>15968.046075</v>
      </c>
      <c r="AD159" s="913">
        <f t="shared" si="80"/>
        <v>15968.046075</v>
      </c>
      <c r="AE159" s="913">
        <f t="shared" si="81"/>
        <v>15968.046075</v>
      </c>
    </row>
    <row r="160" spans="2:31" hidden="1">
      <c r="C160" s="878" t="s">
        <v>1745</v>
      </c>
      <c r="D160" s="878"/>
      <c r="E160" s="878"/>
      <c r="F160" s="878"/>
      <c r="G160" s="878"/>
      <c r="H160" s="878"/>
      <c r="I160" s="878"/>
      <c r="J160" s="878">
        <f>BS!E74/1000000</f>
        <v>1143859.788071</v>
      </c>
      <c r="K160" s="878">
        <f>BS!F74/1000000</f>
        <v>883815.888377</v>
      </c>
      <c r="L160" s="910">
        <f>SUM(L161:L163)</f>
        <v>885739.58089922485</v>
      </c>
      <c r="M160" s="878">
        <f t="shared" ref="M160:R160" si="86">SUM(M161:M163)</f>
        <v>885739.58089922485</v>
      </c>
      <c r="N160" s="911">
        <f t="shared" si="86"/>
        <v>889566.05699224805</v>
      </c>
      <c r="O160" s="887">
        <f t="shared" si="86"/>
        <v>793150.90982256678</v>
      </c>
      <c r="P160" s="887">
        <f t="shared" si="86"/>
        <v>696311.76029285102</v>
      </c>
      <c r="Q160" s="887">
        <f t="shared" si="86"/>
        <v>548933.02419810509</v>
      </c>
      <c r="R160" s="912">
        <f t="shared" si="86"/>
        <v>0</v>
      </c>
      <c r="S160" s="909"/>
      <c r="V160" s="925" t="s">
        <v>1745</v>
      </c>
      <c r="W160" s="913">
        <f t="shared" si="83"/>
        <v>1143859.788071</v>
      </c>
      <c r="X160" s="913">
        <f t="shared" si="74"/>
        <v>883815.888377</v>
      </c>
      <c r="Y160" s="1215">
        <f t="shared" si="75"/>
        <v>885739.58089922485</v>
      </c>
      <c r="Z160" s="913">
        <f t="shared" si="76"/>
        <v>885739.58089922485</v>
      </c>
      <c r="AA160" s="913">
        <f t="shared" si="77"/>
        <v>889566.05699224805</v>
      </c>
      <c r="AB160" s="913">
        <f t="shared" si="78"/>
        <v>793150.90982256678</v>
      </c>
      <c r="AC160" s="913">
        <f t="shared" si="79"/>
        <v>696311.76029285102</v>
      </c>
      <c r="AD160" s="913">
        <f t="shared" si="80"/>
        <v>548933.02419810509</v>
      </c>
      <c r="AE160" s="913">
        <f t="shared" si="81"/>
        <v>0</v>
      </c>
    </row>
    <row r="161" spans="2:31" hidden="1" outlineLevel="1">
      <c r="C161" s="914"/>
      <c r="D161" s="914" t="s">
        <v>1437</v>
      </c>
      <c r="E161" s="914"/>
      <c r="F161" s="914"/>
      <c r="G161" s="914"/>
      <c r="H161" s="914"/>
      <c r="I161" s="914"/>
      <c r="J161" s="914">
        <f>BS!E75/1000000</f>
        <v>1114156.1950000001</v>
      </c>
      <c r="K161" s="914">
        <f>BS!F75/1000000</f>
        <v>883815.88800000004</v>
      </c>
      <c r="L161" s="915">
        <f>NetDebt!E43</f>
        <v>885739.58089922485</v>
      </c>
      <c r="M161" s="914">
        <f t="shared" ref="M161:M166" si="87">L161</f>
        <v>885739.58089922485</v>
      </c>
      <c r="N161" s="916">
        <f>NetDebt!F43</f>
        <v>889566.05699224805</v>
      </c>
      <c r="O161" s="917">
        <f>NetDebt!G43</f>
        <v>793150.90982256678</v>
      </c>
      <c r="P161" s="917">
        <f>NetDebt!H43</f>
        <v>696311.76029285102</v>
      </c>
      <c r="Q161" s="917">
        <f>NetDebt!I43</f>
        <v>548933.02419810509</v>
      </c>
      <c r="R161" s="918">
        <f>NetDebt!J43</f>
        <v>0</v>
      </c>
      <c r="S161" s="909"/>
      <c r="V161" s="925"/>
      <c r="W161" s="913">
        <f t="shared" si="83"/>
        <v>1114156.1950000001</v>
      </c>
      <c r="X161" s="913">
        <f t="shared" si="74"/>
        <v>883815.88800000004</v>
      </c>
      <c r="Y161" s="1215">
        <f t="shared" si="75"/>
        <v>885739.58089922485</v>
      </c>
      <c r="Z161" s="913">
        <f t="shared" si="76"/>
        <v>885739.58089922485</v>
      </c>
      <c r="AA161" s="913">
        <f t="shared" si="77"/>
        <v>889566.05699224805</v>
      </c>
      <c r="AB161" s="913">
        <f t="shared" si="78"/>
        <v>793150.90982256678</v>
      </c>
      <c r="AC161" s="913">
        <f t="shared" si="79"/>
        <v>696311.76029285102</v>
      </c>
      <c r="AD161" s="913">
        <f t="shared" si="80"/>
        <v>548933.02419810509</v>
      </c>
      <c r="AE161" s="913">
        <f t="shared" si="81"/>
        <v>0</v>
      </c>
    </row>
    <row r="162" spans="2:31" hidden="1" outlineLevel="1">
      <c r="D162" s="871" t="s">
        <v>1676</v>
      </c>
      <c r="J162" s="871">
        <f>BS!E76/1000000</f>
        <v>0</v>
      </c>
      <c r="K162" s="871">
        <f>BS!F76/1000000</f>
        <v>0</v>
      </c>
      <c r="L162" s="906">
        <f>K162</f>
        <v>0</v>
      </c>
      <c r="M162" s="871">
        <f t="shared" si="87"/>
        <v>0</v>
      </c>
      <c r="N162" s="907">
        <f t="shared" ref="N162:R163" si="88">M162</f>
        <v>0</v>
      </c>
      <c r="O162" s="889">
        <f t="shared" si="88"/>
        <v>0</v>
      </c>
      <c r="P162" s="889">
        <f t="shared" si="88"/>
        <v>0</v>
      </c>
      <c r="Q162" s="889">
        <f t="shared" si="88"/>
        <v>0</v>
      </c>
      <c r="R162" s="908">
        <f t="shared" si="88"/>
        <v>0</v>
      </c>
      <c r="S162" s="909"/>
      <c r="V162" s="925"/>
      <c r="W162" s="913">
        <f t="shared" si="83"/>
        <v>0</v>
      </c>
      <c r="X162" s="913">
        <f t="shared" si="74"/>
        <v>0</v>
      </c>
      <c r="Y162" s="1215">
        <f t="shared" si="75"/>
        <v>0</v>
      </c>
      <c r="Z162" s="913">
        <f t="shared" si="76"/>
        <v>0</v>
      </c>
      <c r="AA162" s="913">
        <f t="shared" si="77"/>
        <v>0</v>
      </c>
      <c r="AB162" s="913">
        <f t="shared" si="78"/>
        <v>0</v>
      </c>
      <c r="AC162" s="913">
        <f t="shared" si="79"/>
        <v>0</v>
      </c>
      <c r="AD162" s="913">
        <f t="shared" si="80"/>
        <v>0</v>
      </c>
      <c r="AE162" s="913">
        <f t="shared" si="81"/>
        <v>0</v>
      </c>
    </row>
    <row r="163" spans="2:31" hidden="1" outlineLevel="1">
      <c r="D163" s="871" t="s">
        <v>1670</v>
      </c>
      <c r="J163" s="871">
        <f>BS!E77/1000000</f>
        <v>29703.593000000001</v>
      </c>
      <c r="K163" s="871">
        <f>BS!F77/1000000</f>
        <v>0</v>
      </c>
      <c r="L163" s="906">
        <f>K163</f>
        <v>0</v>
      </c>
      <c r="M163" s="871">
        <f t="shared" si="87"/>
        <v>0</v>
      </c>
      <c r="N163" s="907">
        <f t="shared" si="88"/>
        <v>0</v>
      </c>
      <c r="O163" s="889">
        <f t="shared" si="88"/>
        <v>0</v>
      </c>
      <c r="P163" s="889">
        <f t="shared" si="88"/>
        <v>0</v>
      </c>
      <c r="Q163" s="889">
        <f t="shared" si="88"/>
        <v>0</v>
      </c>
      <c r="R163" s="908">
        <f t="shared" si="88"/>
        <v>0</v>
      </c>
      <c r="S163" s="909"/>
      <c r="V163" s="925"/>
      <c r="W163" s="913">
        <f t="shared" si="83"/>
        <v>29703.593000000001</v>
      </c>
      <c r="X163" s="913">
        <f t="shared" si="74"/>
        <v>0</v>
      </c>
      <c r="Y163" s="1215">
        <f t="shared" si="75"/>
        <v>0</v>
      </c>
      <c r="Z163" s="913">
        <f t="shared" si="76"/>
        <v>0</v>
      </c>
      <c r="AA163" s="913">
        <f t="shared" si="77"/>
        <v>0</v>
      </c>
      <c r="AB163" s="913">
        <f t="shared" si="78"/>
        <v>0</v>
      </c>
      <c r="AC163" s="913">
        <f t="shared" si="79"/>
        <v>0</v>
      </c>
      <c r="AD163" s="913">
        <f t="shared" si="80"/>
        <v>0</v>
      </c>
      <c r="AE163" s="913">
        <f t="shared" si="81"/>
        <v>0</v>
      </c>
    </row>
    <row r="164" spans="2:31" hidden="1" collapsed="1">
      <c r="C164" s="920" t="s">
        <v>1752</v>
      </c>
      <c r="D164" s="920"/>
      <c r="E164" s="920"/>
      <c r="F164" s="920"/>
      <c r="G164" s="920"/>
      <c r="H164" s="920"/>
      <c r="I164" s="920"/>
      <c r="J164" s="920">
        <f>BS!E78/1000000</f>
        <v>0</v>
      </c>
      <c r="K164" s="920">
        <f>BS!F78/1000000</f>
        <v>129402.670703</v>
      </c>
      <c r="L164" s="921">
        <f>NetDebt!E44</f>
        <v>129542.33471043121</v>
      </c>
      <c r="M164" s="920">
        <f t="shared" si="87"/>
        <v>129542.33471043121</v>
      </c>
      <c r="N164" s="922">
        <f>NetDebt!F44</f>
        <v>129820.14463825636</v>
      </c>
      <c r="O164" s="923">
        <f>NetDebt!G44</f>
        <v>9999.0949865739094</v>
      </c>
      <c r="P164" s="923">
        <f>NetDebt!H44</f>
        <v>0</v>
      </c>
      <c r="Q164" s="923">
        <f>NetDebt!I44</f>
        <v>0</v>
      </c>
      <c r="R164" s="924">
        <f>NetDebt!J44</f>
        <v>0</v>
      </c>
      <c r="S164" s="919"/>
      <c r="V164" s="925" t="s">
        <v>1752</v>
      </c>
      <c r="W164" s="913">
        <f t="shared" si="83"/>
        <v>0</v>
      </c>
      <c r="X164" s="913">
        <f t="shared" si="74"/>
        <v>129402.670703</v>
      </c>
      <c r="Y164" s="1215">
        <f t="shared" si="75"/>
        <v>129542.33471043121</v>
      </c>
      <c r="Z164" s="913">
        <f t="shared" si="76"/>
        <v>129542.33471043121</v>
      </c>
      <c r="AA164" s="913">
        <f t="shared" si="77"/>
        <v>129820.14463825636</v>
      </c>
      <c r="AB164" s="913">
        <f t="shared" si="78"/>
        <v>9999.0949865739094</v>
      </c>
      <c r="AC164" s="913">
        <f t="shared" si="79"/>
        <v>0</v>
      </c>
      <c r="AD164" s="913">
        <f t="shared" si="80"/>
        <v>0</v>
      </c>
      <c r="AE164" s="913">
        <f t="shared" si="81"/>
        <v>0</v>
      </c>
    </row>
    <row r="165" spans="2:31" hidden="1">
      <c r="C165" s="878" t="s">
        <v>1746</v>
      </c>
      <c r="D165" s="878"/>
      <c r="E165" s="878"/>
      <c r="F165" s="878"/>
      <c r="G165" s="878"/>
      <c r="H165" s="878"/>
      <c r="I165" s="878"/>
      <c r="J165" s="878">
        <f>BS!E79/1000000</f>
        <v>0</v>
      </c>
      <c r="K165" s="878">
        <f>BS!F79/1000000</f>
        <v>0</v>
      </c>
      <c r="L165" s="910">
        <f>K165</f>
        <v>0</v>
      </c>
      <c r="M165" s="878">
        <f t="shared" si="87"/>
        <v>0</v>
      </c>
      <c r="N165" s="911">
        <f>M165</f>
        <v>0</v>
      </c>
      <c r="O165" s="887">
        <f t="shared" ref="O165:R165" si="89">N165</f>
        <v>0</v>
      </c>
      <c r="P165" s="887">
        <f t="shared" si="89"/>
        <v>0</v>
      </c>
      <c r="Q165" s="887">
        <f t="shared" si="89"/>
        <v>0</v>
      </c>
      <c r="R165" s="912">
        <f t="shared" si="89"/>
        <v>0</v>
      </c>
      <c r="S165" s="909"/>
      <c r="V165" s="925" t="s">
        <v>1746</v>
      </c>
      <c r="W165" s="913">
        <f t="shared" si="83"/>
        <v>0</v>
      </c>
      <c r="X165" s="913">
        <f t="shared" si="74"/>
        <v>0</v>
      </c>
      <c r="Y165" s="1215">
        <f t="shared" si="75"/>
        <v>0</v>
      </c>
      <c r="Z165" s="913">
        <f t="shared" si="76"/>
        <v>0</v>
      </c>
      <c r="AA165" s="913">
        <f t="shared" si="77"/>
        <v>0</v>
      </c>
      <c r="AB165" s="913">
        <f t="shared" si="78"/>
        <v>0</v>
      </c>
      <c r="AC165" s="913">
        <f t="shared" si="79"/>
        <v>0</v>
      </c>
      <c r="AD165" s="913">
        <f t="shared" si="80"/>
        <v>0</v>
      </c>
      <c r="AE165" s="913">
        <f t="shared" si="81"/>
        <v>0</v>
      </c>
    </row>
    <row r="166" spans="2:31" hidden="1">
      <c r="C166" s="878" t="s">
        <v>1747</v>
      </c>
      <c r="D166" s="878"/>
      <c r="E166" s="878"/>
      <c r="F166" s="878"/>
      <c r="G166" s="878"/>
      <c r="H166" s="878"/>
      <c r="I166" s="878"/>
      <c r="J166" s="878">
        <f>BS!E80/1000000</f>
        <v>13345.429194</v>
      </c>
      <c r="K166" s="878">
        <f>BS!F80/1000000</f>
        <v>13655.401094999999</v>
      </c>
      <c r="L166" s="910">
        <f>K166</f>
        <v>13655.401094999999</v>
      </c>
      <c r="M166" s="878">
        <f t="shared" si="87"/>
        <v>13655.401094999999</v>
      </c>
      <c r="N166" s="911">
        <f>M166</f>
        <v>13655.401094999999</v>
      </c>
      <c r="O166" s="887">
        <f t="shared" ref="O166:R166" si="90">N166</f>
        <v>13655.401094999999</v>
      </c>
      <c r="P166" s="887">
        <f t="shared" si="90"/>
        <v>13655.401094999999</v>
      </c>
      <c r="Q166" s="887">
        <f t="shared" si="90"/>
        <v>13655.401094999999</v>
      </c>
      <c r="R166" s="912">
        <f t="shared" si="90"/>
        <v>13655.401094999999</v>
      </c>
      <c r="S166" s="919"/>
      <c r="V166" s="925" t="s">
        <v>1747</v>
      </c>
      <c r="W166" s="913">
        <f t="shared" si="83"/>
        <v>13345.429194</v>
      </c>
      <c r="X166" s="913">
        <f t="shared" si="74"/>
        <v>13655.401094999999</v>
      </c>
      <c r="Y166" s="1215">
        <f t="shared" si="75"/>
        <v>13655.401094999999</v>
      </c>
      <c r="Z166" s="913">
        <f t="shared" si="76"/>
        <v>13655.401094999999</v>
      </c>
      <c r="AA166" s="913">
        <f t="shared" si="77"/>
        <v>13655.401094999999</v>
      </c>
      <c r="AB166" s="913">
        <f t="shared" si="78"/>
        <v>13655.401094999999</v>
      </c>
      <c r="AC166" s="913">
        <f t="shared" si="79"/>
        <v>13655.401094999999</v>
      </c>
      <c r="AD166" s="913">
        <f t="shared" si="80"/>
        <v>13655.401094999999</v>
      </c>
      <c r="AE166" s="913">
        <f t="shared" si="81"/>
        <v>13655.401094999999</v>
      </c>
    </row>
    <row r="167" spans="2:31" hidden="1" outlineLevel="1">
      <c r="D167" s="871" t="s">
        <v>1677</v>
      </c>
      <c r="J167" s="871">
        <f>BS!E81/1000000</f>
        <v>13345.429</v>
      </c>
      <c r="K167" s="871">
        <f>BS!F81/1000000</f>
        <v>13655.401094999999</v>
      </c>
      <c r="L167" s="906"/>
      <c r="N167" s="907"/>
      <c r="O167" s="889"/>
      <c r="P167" s="889"/>
      <c r="Q167" s="889"/>
      <c r="R167" s="908"/>
      <c r="S167" s="909"/>
      <c r="V167" s="925"/>
      <c r="W167" s="913">
        <f t="shared" si="83"/>
        <v>13345.429</v>
      </c>
      <c r="X167" s="913">
        <f t="shared" si="74"/>
        <v>13655.401094999999</v>
      </c>
      <c r="Y167" s="1215">
        <f t="shared" si="75"/>
        <v>0</v>
      </c>
      <c r="Z167" s="913">
        <f t="shared" si="76"/>
        <v>0</v>
      </c>
      <c r="AA167" s="913">
        <f t="shared" si="77"/>
        <v>0</v>
      </c>
      <c r="AB167" s="913">
        <f t="shared" si="78"/>
        <v>0</v>
      </c>
      <c r="AC167" s="913">
        <f t="shared" si="79"/>
        <v>0</v>
      </c>
      <c r="AD167" s="913">
        <f t="shared" si="80"/>
        <v>0</v>
      </c>
      <c r="AE167" s="913">
        <f t="shared" si="81"/>
        <v>0</v>
      </c>
    </row>
    <row r="168" spans="2:31" hidden="1" outlineLevel="1">
      <c r="D168" s="871" t="s">
        <v>1672</v>
      </c>
      <c r="J168" s="871">
        <f>BS!E82/1000000</f>
        <v>0</v>
      </c>
      <c r="K168" s="871">
        <f>BS!F82/1000000</f>
        <v>0</v>
      </c>
      <c r="L168" s="906"/>
      <c r="N168" s="907"/>
      <c r="O168" s="889"/>
      <c r="P168" s="889"/>
      <c r="Q168" s="889"/>
      <c r="R168" s="908"/>
      <c r="S168" s="909"/>
      <c r="V168" s="925"/>
      <c r="W168" s="913">
        <f t="shared" si="83"/>
        <v>0</v>
      </c>
      <c r="X168" s="913">
        <f t="shared" si="74"/>
        <v>0</v>
      </c>
      <c r="Y168" s="1215">
        <f t="shared" si="75"/>
        <v>0</v>
      </c>
      <c r="Z168" s="913">
        <f t="shared" si="76"/>
        <v>0</v>
      </c>
      <c r="AA168" s="913">
        <f t="shared" si="77"/>
        <v>0</v>
      </c>
      <c r="AB168" s="913">
        <f t="shared" si="78"/>
        <v>0</v>
      </c>
      <c r="AC168" s="913">
        <f t="shared" si="79"/>
        <v>0</v>
      </c>
      <c r="AD168" s="913">
        <f t="shared" si="80"/>
        <v>0</v>
      </c>
      <c r="AE168" s="913">
        <f t="shared" si="81"/>
        <v>0</v>
      </c>
    </row>
    <row r="169" spans="2:31" hidden="1" collapsed="1">
      <c r="C169" s="878" t="s">
        <v>1753</v>
      </c>
      <c r="D169" s="878"/>
      <c r="E169" s="878"/>
      <c r="F169" s="878"/>
      <c r="G169" s="878"/>
      <c r="H169" s="878"/>
      <c r="I169" s="878"/>
      <c r="J169" s="878">
        <f>BS!E83/1000000</f>
        <v>5968.0868119999996</v>
      </c>
      <c r="K169" s="878">
        <f>BS!F83/1000000</f>
        <v>12593.910781</v>
      </c>
      <c r="L169" s="910">
        <f t="shared" ref="L169:M170" si="91">K169</f>
        <v>12593.910781</v>
      </c>
      <c r="M169" s="878">
        <f t="shared" si="91"/>
        <v>12593.910781</v>
      </c>
      <c r="N169" s="911">
        <f t="shared" ref="N169:R169" si="92">M169</f>
        <v>12593.910781</v>
      </c>
      <c r="O169" s="887">
        <f t="shared" si="92"/>
        <v>12593.910781</v>
      </c>
      <c r="P169" s="887">
        <f t="shared" si="92"/>
        <v>12593.910781</v>
      </c>
      <c r="Q169" s="887">
        <f t="shared" si="92"/>
        <v>12593.910781</v>
      </c>
      <c r="R169" s="912">
        <f t="shared" si="92"/>
        <v>12593.910781</v>
      </c>
      <c r="S169" s="909"/>
      <c r="V169" s="925" t="s">
        <v>1753</v>
      </c>
      <c r="W169" s="913">
        <f t="shared" si="83"/>
        <v>5968.0868119999996</v>
      </c>
      <c r="X169" s="913">
        <f t="shared" si="74"/>
        <v>12593.910781</v>
      </c>
      <c r="Y169" s="1215">
        <f t="shared" si="75"/>
        <v>12593.910781</v>
      </c>
      <c r="Z169" s="913">
        <f t="shared" si="76"/>
        <v>12593.910781</v>
      </c>
      <c r="AA169" s="913">
        <f t="shared" si="77"/>
        <v>12593.910781</v>
      </c>
      <c r="AB169" s="913">
        <f t="shared" si="78"/>
        <v>12593.910781</v>
      </c>
      <c r="AC169" s="913">
        <f t="shared" si="79"/>
        <v>12593.910781</v>
      </c>
      <c r="AD169" s="913">
        <f t="shared" si="80"/>
        <v>12593.910781</v>
      </c>
      <c r="AE169" s="913">
        <f t="shared" si="81"/>
        <v>12593.910781</v>
      </c>
    </row>
    <row r="170" spans="2:31" hidden="1">
      <c r="C170" s="878" t="s">
        <v>1749</v>
      </c>
      <c r="D170" s="878"/>
      <c r="E170" s="878"/>
      <c r="F170" s="878"/>
      <c r="G170" s="878"/>
      <c r="H170" s="878"/>
      <c r="I170" s="878"/>
      <c r="J170" s="878">
        <f>BS!E84/1000000</f>
        <v>6634.2523870000005</v>
      </c>
      <c r="K170" s="878">
        <f>BS!F84/1000000</f>
        <v>6597.5672180000001</v>
      </c>
      <c r="L170" s="910">
        <f t="shared" si="91"/>
        <v>6597.5672180000001</v>
      </c>
      <c r="M170" s="878">
        <f t="shared" si="91"/>
        <v>6597.5672180000001</v>
      </c>
      <c r="N170" s="911">
        <f t="shared" ref="N170:R170" si="93">M170</f>
        <v>6597.5672180000001</v>
      </c>
      <c r="O170" s="887">
        <f t="shared" si="93"/>
        <v>6597.5672180000001</v>
      </c>
      <c r="P170" s="887">
        <f t="shared" si="93"/>
        <v>6597.5672180000001</v>
      </c>
      <c r="Q170" s="887">
        <f t="shared" si="93"/>
        <v>6597.5672180000001</v>
      </c>
      <c r="R170" s="912">
        <f t="shared" si="93"/>
        <v>6597.5672180000001</v>
      </c>
      <c r="V170" s="925" t="s">
        <v>1749</v>
      </c>
      <c r="W170" s="913">
        <f t="shared" si="83"/>
        <v>6634.2523870000005</v>
      </c>
      <c r="X170" s="913">
        <f t="shared" si="74"/>
        <v>6597.5672180000001</v>
      </c>
      <c r="Y170" s="1215">
        <f t="shared" si="75"/>
        <v>6597.5672180000001</v>
      </c>
      <c r="Z170" s="913">
        <f t="shared" si="76"/>
        <v>6597.5672180000001</v>
      </c>
      <c r="AA170" s="913">
        <f t="shared" si="77"/>
        <v>6597.5672180000001</v>
      </c>
      <c r="AB170" s="913">
        <f t="shared" si="78"/>
        <v>6597.5672180000001</v>
      </c>
      <c r="AC170" s="913">
        <f t="shared" si="79"/>
        <v>6597.5672180000001</v>
      </c>
      <c r="AD170" s="913">
        <f t="shared" si="80"/>
        <v>6597.5672180000001</v>
      </c>
      <c r="AE170" s="913">
        <f t="shared" si="81"/>
        <v>6597.5672180000001</v>
      </c>
    </row>
    <row r="171" spans="2:31">
      <c r="B171" s="878" t="s">
        <v>1754</v>
      </c>
      <c r="C171" s="878"/>
      <c r="D171" s="878"/>
      <c r="E171" s="878"/>
      <c r="F171" s="878"/>
      <c r="G171" s="878"/>
      <c r="H171" s="878"/>
      <c r="I171" s="878"/>
      <c r="J171" s="878">
        <f>BS!E85/1000000</f>
        <v>1656625.501749</v>
      </c>
      <c r="K171" s="878">
        <f>BS!F85/1000000</f>
        <v>1314318.4854870001</v>
      </c>
      <c r="L171" s="910">
        <f t="shared" ref="L171:R171" si="94">L139+L158</f>
        <v>1378912.1242079728</v>
      </c>
      <c r="M171" s="878">
        <f t="shared" si="94"/>
        <v>1378912.1242079728</v>
      </c>
      <c r="N171" s="911">
        <f t="shared" si="94"/>
        <v>1423350.622803699</v>
      </c>
      <c r="O171" s="887">
        <f t="shared" si="94"/>
        <v>1243428.8469925649</v>
      </c>
      <c r="P171" s="887">
        <f t="shared" si="94"/>
        <v>1162515.0353369275</v>
      </c>
      <c r="Q171" s="887">
        <f t="shared" si="94"/>
        <v>1040622.4356266547</v>
      </c>
      <c r="R171" s="912">
        <f t="shared" si="94"/>
        <v>522684.71275886981</v>
      </c>
      <c r="U171" s="883" t="s">
        <v>1755</v>
      </c>
      <c r="V171" s="926"/>
      <c r="W171" s="927">
        <f t="shared" si="83"/>
        <v>1656625.501749</v>
      </c>
      <c r="X171" s="927">
        <f t="shared" si="74"/>
        <v>1314318.4854870001</v>
      </c>
      <c r="Y171" s="1216">
        <f t="shared" si="75"/>
        <v>1378912.1242079728</v>
      </c>
      <c r="Z171" s="927">
        <f t="shared" si="76"/>
        <v>1378912.1242079728</v>
      </c>
      <c r="AA171" s="927">
        <f t="shared" si="77"/>
        <v>1423350.622803699</v>
      </c>
      <c r="AB171" s="927">
        <f t="shared" si="78"/>
        <v>1243428.8469925649</v>
      </c>
      <c r="AC171" s="927">
        <f t="shared" si="79"/>
        <v>1162515.0353369275</v>
      </c>
      <c r="AD171" s="927">
        <f t="shared" si="80"/>
        <v>1040622.4356266547</v>
      </c>
      <c r="AE171" s="927">
        <f t="shared" si="81"/>
        <v>522684.71275886981</v>
      </c>
    </row>
    <row r="172" spans="2:31">
      <c r="B172" s="871" t="s">
        <v>1678</v>
      </c>
      <c r="L172" s="906"/>
      <c r="N172" s="907"/>
      <c r="O172" s="889"/>
      <c r="P172" s="889"/>
      <c r="Q172" s="889"/>
      <c r="R172" s="908"/>
      <c r="V172" s="909"/>
      <c r="W172" s="913"/>
      <c r="X172" s="913"/>
      <c r="Y172" s="1215"/>
      <c r="Z172" s="913"/>
      <c r="AA172" s="913"/>
      <c r="AB172" s="913"/>
      <c r="AC172" s="913"/>
      <c r="AD172" s="913"/>
      <c r="AE172" s="913"/>
    </row>
    <row r="173" spans="2:31">
      <c r="B173" s="878" t="s">
        <v>1756</v>
      </c>
      <c r="C173" s="878"/>
      <c r="D173" s="878"/>
      <c r="E173" s="878"/>
      <c r="F173" s="878"/>
      <c r="G173" s="878"/>
      <c r="H173" s="878"/>
      <c r="I173" s="878"/>
      <c r="J173" s="878">
        <f>J174</f>
        <v>95504.9</v>
      </c>
      <c r="K173" s="878">
        <f>K174</f>
        <v>118038.56</v>
      </c>
      <c r="L173" s="910">
        <f>K173</f>
        <v>118038.56</v>
      </c>
      <c r="M173" s="878">
        <f>L173</f>
        <v>118038.56</v>
      </c>
      <c r="N173" s="911">
        <f t="shared" ref="N173:R173" si="95">M173</f>
        <v>118038.56</v>
      </c>
      <c r="O173" s="887">
        <f t="shared" si="95"/>
        <v>118038.56</v>
      </c>
      <c r="P173" s="887">
        <f t="shared" si="95"/>
        <v>118038.56</v>
      </c>
      <c r="Q173" s="887">
        <f t="shared" si="95"/>
        <v>118038.56</v>
      </c>
      <c r="R173" s="912">
        <f t="shared" si="95"/>
        <v>118038.56</v>
      </c>
      <c r="U173" s="882" t="s">
        <v>1756</v>
      </c>
      <c r="V173" s="925"/>
      <c r="W173" s="913">
        <f t="shared" si="83"/>
        <v>95504.9</v>
      </c>
      <c r="X173" s="913">
        <f t="shared" si="74"/>
        <v>118038.56</v>
      </c>
      <c r="Y173" s="1215">
        <f t="shared" si="75"/>
        <v>118038.56</v>
      </c>
      <c r="Z173" s="913">
        <f t="shared" si="76"/>
        <v>118038.56</v>
      </c>
      <c r="AA173" s="913">
        <f t="shared" si="77"/>
        <v>118038.56</v>
      </c>
      <c r="AB173" s="913">
        <f t="shared" si="78"/>
        <v>118038.56</v>
      </c>
      <c r="AC173" s="913">
        <f t="shared" si="79"/>
        <v>118038.56</v>
      </c>
      <c r="AD173" s="913">
        <f t="shared" si="80"/>
        <v>118038.56</v>
      </c>
      <c r="AE173" s="913">
        <f t="shared" si="81"/>
        <v>118038.56</v>
      </c>
    </row>
    <row r="174" spans="2:31" hidden="1" outlineLevel="1">
      <c r="C174" s="871" t="s">
        <v>1679</v>
      </c>
      <c r="J174" s="871">
        <f>BS!E88/1000000</f>
        <v>95504.9</v>
      </c>
      <c r="K174" s="871">
        <f>BS!F88/1000000</f>
        <v>118038.56</v>
      </c>
      <c r="L174" s="906"/>
      <c r="M174" s="882"/>
      <c r="N174" s="930"/>
      <c r="O174" s="931"/>
      <c r="P174" s="931"/>
      <c r="Q174" s="931"/>
      <c r="R174" s="932"/>
      <c r="U174" s="882"/>
      <c r="V174" s="925" t="s">
        <v>1679</v>
      </c>
      <c r="W174" s="913">
        <f t="shared" si="83"/>
        <v>95504.9</v>
      </c>
      <c r="X174" s="913">
        <f t="shared" si="74"/>
        <v>118038.56</v>
      </c>
      <c r="Y174" s="1215">
        <f t="shared" si="75"/>
        <v>0</v>
      </c>
      <c r="Z174" s="913">
        <f t="shared" si="76"/>
        <v>0</v>
      </c>
      <c r="AA174" s="913">
        <f t="shared" si="77"/>
        <v>0</v>
      </c>
      <c r="AB174" s="913">
        <f t="shared" si="78"/>
        <v>0</v>
      </c>
      <c r="AC174" s="913">
        <f t="shared" si="79"/>
        <v>0</v>
      </c>
      <c r="AD174" s="913">
        <f t="shared" si="80"/>
        <v>0</v>
      </c>
      <c r="AE174" s="913">
        <f t="shared" si="81"/>
        <v>0</v>
      </c>
    </row>
    <row r="175" spans="2:31" collapsed="1">
      <c r="B175" s="878" t="s">
        <v>1757</v>
      </c>
      <c r="C175" s="878"/>
      <c r="D175" s="878"/>
      <c r="E175" s="878"/>
      <c r="F175" s="878"/>
      <c r="G175" s="878"/>
      <c r="H175" s="878"/>
      <c r="I175" s="878"/>
      <c r="J175" s="878">
        <f>J176</f>
        <v>776172.947117</v>
      </c>
      <c r="K175" s="878">
        <f>K176</f>
        <v>1045215.2272120001</v>
      </c>
      <c r="L175" s="910">
        <f t="shared" ref="L175:M175" si="96">K175</f>
        <v>1045215.2272120001</v>
      </c>
      <c r="M175" s="878">
        <f t="shared" si="96"/>
        <v>1045215.2272120001</v>
      </c>
      <c r="N175" s="911">
        <f t="shared" ref="N175:R175" si="97">M175</f>
        <v>1045215.2272120001</v>
      </c>
      <c r="O175" s="887">
        <f t="shared" si="97"/>
        <v>1045215.2272120001</v>
      </c>
      <c r="P175" s="887">
        <f t="shared" si="97"/>
        <v>1045215.2272120001</v>
      </c>
      <c r="Q175" s="887">
        <f t="shared" si="97"/>
        <v>1045215.2272120001</v>
      </c>
      <c r="R175" s="912">
        <f t="shared" si="97"/>
        <v>1045215.2272120001</v>
      </c>
      <c r="U175" s="882" t="s">
        <v>1757</v>
      </c>
      <c r="V175" s="925"/>
      <c r="W175" s="913">
        <f t="shared" si="83"/>
        <v>776172.947117</v>
      </c>
      <c r="X175" s="913">
        <f t="shared" si="74"/>
        <v>1045215.2272120001</v>
      </c>
      <c r="Y175" s="1215">
        <f t="shared" si="75"/>
        <v>1045215.2272120001</v>
      </c>
      <c r="Z175" s="913">
        <f t="shared" si="76"/>
        <v>1045215.2272120001</v>
      </c>
      <c r="AA175" s="913">
        <f t="shared" si="77"/>
        <v>1045215.2272120001</v>
      </c>
      <c r="AB175" s="913">
        <f t="shared" si="78"/>
        <v>1045215.2272120001</v>
      </c>
      <c r="AC175" s="913">
        <f t="shared" si="79"/>
        <v>1045215.2272120001</v>
      </c>
      <c r="AD175" s="913">
        <f t="shared" si="80"/>
        <v>1045215.2272120001</v>
      </c>
      <c r="AE175" s="913">
        <f t="shared" si="81"/>
        <v>1045215.2272120001</v>
      </c>
    </row>
    <row r="176" spans="2:31" hidden="1" outlineLevel="1">
      <c r="C176" s="871" t="s">
        <v>1680</v>
      </c>
      <c r="J176" s="871">
        <f>BS!E90/1000000</f>
        <v>776172.947117</v>
      </c>
      <c r="K176" s="871">
        <f>BS!F90/1000000</f>
        <v>1045215.2272120001</v>
      </c>
      <c r="L176" s="906"/>
      <c r="N176" s="907"/>
      <c r="O176" s="889"/>
      <c r="P176" s="889"/>
      <c r="Q176" s="889"/>
      <c r="R176" s="908"/>
      <c r="U176" s="882"/>
      <c r="V176" s="925" t="s">
        <v>1680</v>
      </c>
      <c r="W176" s="913">
        <f t="shared" si="83"/>
        <v>776172.947117</v>
      </c>
      <c r="X176" s="913">
        <f t="shared" si="74"/>
        <v>1045215.2272120001</v>
      </c>
      <c r="Y176" s="1215">
        <f t="shared" si="75"/>
        <v>0</v>
      </c>
      <c r="Z176" s="913">
        <f t="shared" si="76"/>
        <v>0</v>
      </c>
      <c r="AA176" s="913">
        <f t="shared" si="77"/>
        <v>0</v>
      </c>
      <c r="AB176" s="913">
        <f t="shared" si="78"/>
        <v>0</v>
      </c>
      <c r="AC176" s="913">
        <f t="shared" si="79"/>
        <v>0</v>
      </c>
      <c r="AD176" s="913">
        <f t="shared" si="80"/>
        <v>0</v>
      </c>
      <c r="AE176" s="913">
        <f t="shared" si="81"/>
        <v>0</v>
      </c>
    </row>
    <row r="177" spans="2:31" collapsed="1">
      <c r="B177" s="878" t="s">
        <v>1758</v>
      </c>
      <c r="C177" s="878"/>
      <c r="D177" s="878"/>
      <c r="E177" s="878"/>
      <c r="F177" s="878"/>
      <c r="G177" s="878"/>
      <c r="H177" s="878"/>
      <c r="I177" s="878"/>
      <c r="J177" s="878">
        <f>J178</f>
        <v>10459.82661</v>
      </c>
      <c r="K177" s="878">
        <f>K178</f>
        <v>10459.82661</v>
      </c>
      <c r="L177" s="910">
        <f>K177</f>
        <v>10459.82661</v>
      </c>
      <c r="M177" s="878">
        <f>L177</f>
        <v>10459.82661</v>
      </c>
      <c r="N177" s="911">
        <f t="shared" ref="N177:R177" si="98">M177</f>
        <v>10459.82661</v>
      </c>
      <c r="O177" s="887">
        <f t="shared" si="98"/>
        <v>10459.82661</v>
      </c>
      <c r="P177" s="887">
        <f t="shared" si="98"/>
        <v>10459.82661</v>
      </c>
      <c r="Q177" s="887">
        <f t="shared" si="98"/>
        <v>10459.82661</v>
      </c>
      <c r="R177" s="912">
        <f t="shared" si="98"/>
        <v>10459.82661</v>
      </c>
      <c r="U177" s="882" t="s">
        <v>1758</v>
      </c>
      <c r="V177" s="925"/>
      <c r="W177" s="913">
        <f t="shared" si="83"/>
        <v>10459.82661</v>
      </c>
      <c r="X177" s="913">
        <f t="shared" si="74"/>
        <v>10459.82661</v>
      </c>
      <c r="Y177" s="1215">
        <f t="shared" si="75"/>
        <v>10459.82661</v>
      </c>
      <c r="Z177" s="913">
        <f t="shared" si="76"/>
        <v>10459.82661</v>
      </c>
      <c r="AA177" s="913">
        <f t="shared" si="77"/>
        <v>10459.82661</v>
      </c>
      <c r="AB177" s="913">
        <f t="shared" si="78"/>
        <v>10459.82661</v>
      </c>
      <c r="AC177" s="913">
        <f t="shared" si="79"/>
        <v>10459.82661</v>
      </c>
      <c r="AD177" s="913">
        <f t="shared" si="80"/>
        <v>10459.82661</v>
      </c>
      <c r="AE177" s="913">
        <f t="shared" si="81"/>
        <v>10459.82661</v>
      </c>
    </row>
    <row r="178" spans="2:31" hidden="1" outlineLevel="1">
      <c r="C178" s="871" t="s">
        <v>1681</v>
      </c>
      <c r="J178" s="871">
        <f>BS!E92/1000000</f>
        <v>10459.82661</v>
      </c>
      <c r="K178" s="871">
        <f>BS!F92/1000000</f>
        <v>10459.82661</v>
      </c>
      <c r="L178" s="906"/>
      <c r="N178" s="907"/>
      <c r="O178" s="889"/>
      <c r="P178" s="889"/>
      <c r="Q178" s="889"/>
      <c r="R178" s="908"/>
      <c r="U178" s="882"/>
      <c r="V178" s="925" t="s">
        <v>1681</v>
      </c>
      <c r="W178" s="913">
        <f t="shared" si="83"/>
        <v>10459.82661</v>
      </c>
      <c r="X178" s="913">
        <f t="shared" si="74"/>
        <v>10459.82661</v>
      </c>
      <c r="Y178" s="1215">
        <f t="shared" si="75"/>
        <v>0</v>
      </c>
      <c r="Z178" s="913">
        <f t="shared" si="76"/>
        <v>0</v>
      </c>
      <c r="AA178" s="913">
        <f t="shared" si="77"/>
        <v>0</v>
      </c>
      <c r="AB178" s="913">
        <f t="shared" si="78"/>
        <v>0</v>
      </c>
      <c r="AC178" s="913">
        <f t="shared" si="79"/>
        <v>0</v>
      </c>
      <c r="AD178" s="913">
        <f t="shared" si="80"/>
        <v>0</v>
      </c>
      <c r="AE178" s="913">
        <f t="shared" si="81"/>
        <v>0</v>
      </c>
    </row>
    <row r="179" spans="2:31" collapsed="1">
      <c r="B179" s="878" t="s">
        <v>1759</v>
      </c>
      <c r="C179" s="878"/>
      <c r="D179" s="878"/>
      <c r="E179" s="878"/>
      <c r="F179" s="878"/>
      <c r="G179" s="878"/>
      <c r="H179" s="878"/>
      <c r="I179" s="878"/>
      <c r="J179" s="878">
        <f>J180</f>
        <v>117539.808009</v>
      </c>
      <c r="K179" s="878">
        <f>K180</f>
        <v>184605.06363399999</v>
      </c>
      <c r="L179" s="910">
        <f>L180</f>
        <v>284589.0299608463</v>
      </c>
      <c r="M179" s="878">
        <f>M180</f>
        <v>284589.0299608463</v>
      </c>
      <c r="N179" s="911">
        <f t="shared" ref="N179:R179" si="99">N180</f>
        <v>512414.20947792305</v>
      </c>
      <c r="O179" s="887">
        <f t="shared" si="99"/>
        <v>785780.06838470884</v>
      </c>
      <c r="P179" s="887">
        <f t="shared" si="99"/>
        <v>1093791.4077082081</v>
      </c>
      <c r="Q179" s="887">
        <f t="shared" si="99"/>
        <v>1436978.3297620616</v>
      </c>
      <c r="R179" s="912">
        <f t="shared" si="99"/>
        <v>1832179.4277419192</v>
      </c>
      <c r="U179" s="882" t="s">
        <v>1759</v>
      </c>
      <c r="V179" s="925"/>
      <c r="W179" s="913">
        <f t="shared" si="83"/>
        <v>117539.808009</v>
      </c>
      <c r="X179" s="913">
        <f t="shared" si="74"/>
        <v>184605.06363399999</v>
      </c>
      <c r="Y179" s="1215">
        <f t="shared" si="75"/>
        <v>284589.0299608463</v>
      </c>
      <c r="Z179" s="913">
        <f t="shared" si="76"/>
        <v>284589.0299608463</v>
      </c>
      <c r="AA179" s="913">
        <f t="shared" si="77"/>
        <v>512414.20947792305</v>
      </c>
      <c r="AB179" s="913">
        <f t="shared" si="78"/>
        <v>785780.06838470884</v>
      </c>
      <c r="AC179" s="913">
        <f t="shared" si="79"/>
        <v>1093791.4077082081</v>
      </c>
      <c r="AD179" s="913">
        <f t="shared" si="80"/>
        <v>1436978.3297620616</v>
      </c>
      <c r="AE179" s="913">
        <f t="shared" si="81"/>
        <v>1832179.4277419192</v>
      </c>
    </row>
    <row r="180" spans="2:31" hidden="1" outlineLevel="1">
      <c r="C180" s="871" t="s">
        <v>1682</v>
      </c>
      <c r="J180" s="871">
        <f>BS!E94/1000000</f>
        <v>117539.808009</v>
      </c>
      <c r="K180" s="871">
        <f>BS!F94/1000000</f>
        <v>184605.06363399999</v>
      </c>
      <c r="L180" s="906">
        <f>K180+L77</f>
        <v>284589.0299608463</v>
      </c>
      <c r="M180" s="871">
        <f>L180</f>
        <v>284589.0299608463</v>
      </c>
      <c r="N180" s="907">
        <f>M180+N77</f>
        <v>512414.20947792305</v>
      </c>
      <c r="O180" s="889">
        <f>N180+O77</f>
        <v>785780.06838470884</v>
      </c>
      <c r="P180" s="889">
        <f>O180+P77</f>
        <v>1093791.4077082081</v>
      </c>
      <c r="Q180" s="889">
        <f>P180+Q77</f>
        <v>1436978.3297620616</v>
      </c>
      <c r="R180" s="908">
        <f>Q180+R77</f>
        <v>1832179.4277419192</v>
      </c>
      <c r="V180" s="909" t="s">
        <v>1682</v>
      </c>
      <c r="W180" s="913">
        <f t="shared" si="83"/>
        <v>117539.808009</v>
      </c>
      <c r="X180" s="913">
        <f t="shared" si="74"/>
        <v>184605.06363399999</v>
      </c>
      <c r="Y180" s="1215">
        <f t="shared" si="75"/>
        <v>284589.0299608463</v>
      </c>
      <c r="Z180" s="913">
        <f t="shared" si="76"/>
        <v>284589.0299608463</v>
      </c>
      <c r="AA180" s="913">
        <f t="shared" si="77"/>
        <v>512414.20947792305</v>
      </c>
      <c r="AB180" s="913">
        <f t="shared" si="78"/>
        <v>785780.06838470884</v>
      </c>
      <c r="AC180" s="913">
        <f t="shared" si="79"/>
        <v>1093791.4077082081</v>
      </c>
      <c r="AD180" s="913">
        <f t="shared" si="80"/>
        <v>1436978.3297620616</v>
      </c>
      <c r="AE180" s="913">
        <f t="shared" si="81"/>
        <v>1832179.4277419192</v>
      </c>
    </row>
    <row r="181" spans="2:31" collapsed="1">
      <c r="B181" s="878" t="s">
        <v>1760</v>
      </c>
      <c r="C181" s="878"/>
      <c r="D181" s="878"/>
      <c r="E181" s="878"/>
      <c r="F181" s="878"/>
      <c r="G181" s="878"/>
      <c r="H181" s="878"/>
      <c r="I181" s="878"/>
      <c r="J181" s="878">
        <f>BS!E95/1000000</f>
        <v>999677.48173600005</v>
      </c>
      <c r="K181" s="878">
        <f>BS!F95/1000000</f>
        <v>1358318.6774559999</v>
      </c>
      <c r="L181" s="910">
        <f>L173+L175+L177+L179</f>
        <v>1458302.6437828464</v>
      </c>
      <c r="M181" s="878">
        <f t="shared" ref="M181:R181" si="100">M173+M175+M177+M179</f>
        <v>1458302.6437828464</v>
      </c>
      <c r="N181" s="911">
        <f t="shared" si="100"/>
        <v>1686127.8232999232</v>
      </c>
      <c r="O181" s="887">
        <f t="shared" si="100"/>
        <v>1959493.6822067089</v>
      </c>
      <c r="P181" s="887">
        <f t="shared" si="100"/>
        <v>2267505.0215302082</v>
      </c>
      <c r="Q181" s="887">
        <f t="shared" si="100"/>
        <v>2610691.9435840617</v>
      </c>
      <c r="R181" s="912">
        <f t="shared" si="100"/>
        <v>3005893.0415639193</v>
      </c>
      <c r="U181" s="883" t="s">
        <v>1760</v>
      </c>
      <c r="V181" s="926"/>
      <c r="W181" s="927">
        <f t="shared" si="83"/>
        <v>999677.48173600005</v>
      </c>
      <c r="X181" s="927">
        <f t="shared" si="74"/>
        <v>1358318.6774559999</v>
      </c>
      <c r="Y181" s="1216">
        <f t="shared" si="75"/>
        <v>1458302.6437828464</v>
      </c>
      <c r="Z181" s="927">
        <f t="shared" si="76"/>
        <v>1458302.6437828464</v>
      </c>
      <c r="AA181" s="927">
        <f t="shared" si="77"/>
        <v>1686127.8232999232</v>
      </c>
      <c r="AB181" s="927">
        <f t="shared" si="78"/>
        <v>1959493.6822067089</v>
      </c>
      <c r="AC181" s="927">
        <f t="shared" si="79"/>
        <v>2267505.0215302082</v>
      </c>
      <c r="AD181" s="927">
        <f t="shared" si="80"/>
        <v>2610691.9435840617</v>
      </c>
      <c r="AE181" s="927">
        <f t="shared" si="81"/>
        <v>3005893.0415639193</v>
      </c>
    </row>
    <row r="182" spans="2:31" ht="12" thickBot="1">
      <c r="B182" s="885" t="s">
        <v>1761</v>
      </c>
      <c r="C182" s="885"/>
      <c r="D182" s="885"/>
      <c r="E182" s="885"/>
      <c r="F182" s="885"/>
      <c r="G182" s="885"/>
      <c r="H182" s="885"/>
      <c r="I182" s="885"/>
      <c r="J182" s="885">
        <f>BS!E96/1000000</f>
        <v>2656302.9834850002</v>
      </c>
      <c r="K182" s="885">
        <f>BS!F96/1000000</f>
        <v>2672637.162943</v>
      </c>
      <c r="L182" s="933">
        <f>L171+L181</f>
        <v>2837214.7679908192</v>
      </c>
      <c r="M182" s="885">
        <f t="shared" ref="M182:R182" si="101">M171+M181</f>
        <v>2837214.7679908192</v>
      </c>
      <c r="N182" s="934">
        <f t="shared" si="101"/>
        <v>3109478.4461036222</v>
      </c>
      <c r="O182" s="935">
        <f t="shared" si="101"/>
        <v>3202922.5291992738</v>
      </c>
      <c r="P182" s="935">
        <f t="shared" si="101"/>
        <v>3430020.0568671357</v>
      </c>
      <c r="Q182" s="935">
        <f t="shared" si="101"/>
        <v>3651314.3792107161</v>
      </c>
      <c r="R182" s="936">
        <f t="shared" si="101"/>
        <v>3528577.7543227891</v>
      </c>
      <c r="U182" s="885" t="s">
        <v>1761</v>
      </c>
      <c r="V182" s="937"/>
      <c r="W182" s="938">
        <f t="shared" si="83"/>
        <v>2656302.9834850002</v>
      </c>
      <c r="X182" s="938">
        <f t="shared" si="74"/>
        <v>2672637.162943</v>
      </c>
      <c r="Y182" s="1217">
        <f t="shared" si="75"/>
        <v>2837214.7679908192</v>
      </c>
      <c r="Z182" s="938">
        <f t="shared" si="76"/>
        <v>2837214.7679908192</v>
      </c>
      <c r="AA182" s="938">
        <f t="shared" si="77"/>
        <v>3109478.4461036222</v>
      </c>
      <c r="AB182" s="938">
        <f t="shared" si="78"/>
        <v>3202922.5291992738</v>
      </c>
      <c r="AC182" s="938">
        <f t="shared" si="79"/>
        <v>3430020.0568671357</v>
      </c>
      <c r="AD182" s="938">
        <f t="shared" si="80"/>
        <v>3651314.3792107161</v>
      </c>
      <c r="AE182" s="938">
        <f t="shared" si="81"/>
        <v>3528577.7543227891</v>
      </c>
    </row>
    <row r="184" spans="2:31">
      <c r="B184" s="939" t="s">
        <v>1762</v>
      </c>
      <c r="C184" s="940"/>
      <c r="D184" s="940"/>
      <c r="E184" s="940"/>
      <c r="F184" s="940"/>
      <c r="G184" s="940"/>
      <c r="H184" s="940"/>
      <c r="I184" s="940"/>
      <c r="J184" s="940">
        <f>J137</f>
        <v>2656302.9834850002</v>
      </c>
      <c r="K184" s="940">
        <f t="shared" ref="K184:R184" si="102">K137</f>
        <v>2672637.162943</v>
      </c>
      <c r="L184" s="940">
        <f t="shared" si="102"/>
        <v>2837214.768487819</v>
      </c>
      <c r="M184" s="940">
        <f t="shared" si="102"/>
        <v>2837214.768487819</v>
      </c>
      <c r="N184" s="940">
        <f t="shared" si="102"/>
        <v>3109478.4466006216</v>
      </c>
      <c r="O184" s="940">
        <f t="shared" si="102"/>
        <v>3202922.5296962736</v>
      </c>
      <c r="P184" s="940">
        <f t="shared" si="102"/>
        <v>3430020.057364135</v>
      </c>
      <c r="Q184" s="940">
        <f t="shared" si="102"/>
        <v>3651314.3797077159</v>
      </c>
      <c r="R184" s="941">
        <f t="shared" si="102"/>
        <v>3528577.754819789</v>
      </c>
      <c r="W184" s="872">
        <f>W137-W182</f>
        <v>0</v>
      </c>
      <c r="X184" s="872">
        <f t="shared" ref="X184:AE184" si="103">X137-X182</f>
        <v>0</v>
      </c>
      <c r="Y184" s="872">
        <f t="shared" si="103"/>
        <v>4.969998262822628E-4</v>
      </c>
      <c r="Z184" s="872">
        <f t="shared" si="103"/>
        <v>4.969998262822628E-4</v>
      </c>
      <c r="AA184" s="872">
        <f t="shared" si="103"/>
        <v>4.9699936062097549E-4</v>
      </c>
      <c r="AB184" s="872">
        <f t="shared" si="103"/>
        <v>4.969998262822628E-4</v>
      </c>
      <c r="AC184" s="872">
        <f t="shared" si="103"/>
        <v>4.9699936062097549E-4</v>
      </c>
      <c r="AD184" s="872">
        <f t="shared" si="103"/>
        <v>4.969998262822628E-4</v>
      </c>
      <c r="AE184" s="872">
        <f t="shared" si="103"/>
        <v>4.969998262822628E-4</v>
      </c>
    </row>
    <row r="185" spans="2:31">
      <c r="B185" s="942" t="s">
        <v>1697</v>
      </c>
      <c r="C185" s="889"/>
      <c r="D185" s="889"/>
      <c r="E185" s="889"/>
      <c r="F185" s="889"/>
      <c r="G185" s="889"/>
      <c r="H185" s="889"/>
      <c r="I185" s="889"/>
      <c r="J185" s="889">
        <f>J182</f>
        <v>2656302.9834850002</v>
      </c>
      <c r="K185" s="889">
        <f t="shared" ref="K185:R185" si="104">K182</f>
        <v>2672637.162943</v>
      </c>
      <c r="L185" s="889">
        <f t="shared" si="104"/>
        <v>2837214.7679908192</v>
      </c>
      <c r="M185" s="889">
        <f t="shared" si="104"/>
        <v>2837214.7679908192</v>
      </c>
      <c r="N185" s="889">
        <f t="shared" si="104"/>
        <v>3109478.4461036222</v>
      </c>
      <c r="O185" s="889">
        <f t="shared" si="104"/>
        <v>3202922.5291992738</v>
      </c>
      <c r="P185" s="889">
        <f t="shared" si="104"/>
        <v>3430020.0568671357</v>
      </c>
      <c r="Q185" s="889">
        <f t="shared" si="104"/>
        <v>3651314.3792107161</v>
      </c>
      <c r="R185" s="943">
        <f t="shared" si="104"/>
        <v>3528577.7543227891</v>
      </c>
    </row>
    <row r="186" spans="2:31">
      <c r="B186" s="944" t="s">
        <v>1763</v>
      </c>
      <c r="C186" s="945"/>
      <c r="D186" s="945"/>
      <c r="E186" s="945"/>
      <c r="F186" s="945"/>
      <c r="G186" s="945"/>
      <c r="H186" s="945"/>
      <c r="I186" s="945"/>
      <c r="J186" s="945">
        <f>J184-J185</f>
        <v>0</v>
      </c>
      <c r="K186" s="945">
        <f t="shared" ref="K186:R186" si="105">K184-K185</f>
        <v>0</v>
      </c>
      <c r="L186" s="945">
        <f t="shared" si="105"/>
        <v>4.969998262822628E-4</v>
      </c>
      <c r="M186" s="945">
        <f t="shared" si="105"/>
        <v>4.969998262822628E-4</v>
      </c>
      <c r="N186" s="945">
        <f t="shared" si="105"/>
        <v>4.9699936062097549E-4</v>
      </c>
      <c r="O186" s="945">
        <f t="shared" si="105"/>
        <v>4.969998262822628E-4</v>
      </c>
      <c r="P186" s="945">
        <f t="shared" si="105"/>
        <v>4.9699936062097549E-4</v>
      </c>
      <c r="Q186" s="945">
        <f t="shared" si="105"/>
        <v>4.969998262822628E-4</v>
      </c>
      <c r="R186" s="946">
        <f t="shared" si="105"/>
        <v>4.969998262822628E-4</v>
      </c>
    </row>
    <row r="189" spans="2:31" ht="12" thickBot="1"/>
    <row r="190" spans="2:31">
      <c r="B190" s="874"/>
      <c r="C190" s="874"/>
      <c r="D190" s="874"/>
      <c r="E190" s="874"/>
      <c r="F190" s="874"/>
      <c r="G190" s="874"/>
      <c r="H190" s="874"/>
      <c r="I190" s="874"/>
      <c r="J190" s="875"/>
      <c r="K190" s="896" t="s">
        <v>1735</v>
      </c>
      <c r="L190" s="897" t="s">
        <v>1736</v>
      </c>
      <c r="M190" s="898"/>
      <c r="N190" s="899"/>
      <c r="O190" s="900"/>
      <c r="P190" s="900"/>
      <c r="Q190" s="900"/>
      <c r="R190" s="901"/>
    </row>
    <row r="191" spans="2:31" ht="12" thickBot="1">
      <c r="B191" s="876" t="s">
        <v>1737</v>
      </c>
      <c r="C191" s="876"/>
      <c r="D191" s="876"/>
      <c r="E191" s="876"/>
      <c r="F191" s="876"/>
      <c r="G191" s="876"/>
      <c r="H191" s="876"/>
      <c r="I191" s="876"/>
      <c r="J191" s="877" t="s">
        <v>1738</v>
      </c>
      <c r="K191" s="877" t="s">
        <v>1739</v>
      </c>
      <c r="L191" s="902" t="s">
        <v>1740</v>
      </c>
      <c r="M191" s="903" t="s">
        <v>1740</v>
      </c>
      <c r="N191" s="904" t="s">
        <v>1303</v>
      </c>
      <c r="O191" s="903" t="s">
        <v>1304</v>
      </c>
      <c r="P191" s="903" t="s">
        <v>1305</v>
      </c>
      <c r="Q191" s="903" t="s">
        <v>1306</v>
      </c>
      <c r="R191" s="905" t="s">
        <v>1307</v>
      </c>
    </row>
    <row r="192" spans="2:31">
      <c r="B192" s="920" t="s">
        <v>1764</v>
      </c>
      <c r="C192" s="920"/>
      <c r="D192" s="920"/>
      <c r="E192" s="920"/>
      <c r="F192" s="920"/>
      <c r="G192" s="920"/>
      <c r="H192" s="920"/>
      <c r="I192" s="920"/>
      <c r="J192" s="920"/>
      <c r="K192" s="920"/>
      <c r="L192" s="921">
        <f>SUM(L193:L198)</f>
        <v>281684.02905980434</v>
      </c>
      <c r="M192" s="920"/>
      <c r="N192" s="922">
        <f>SUM(N193:N198)</f>
        <v>269423.72030893317</v>
      </c>
      <c r="O192" s="923">
        <f>SUM(O193:O198)</f>
        <v>329831.76664380729</v>
      </c>
      <c r="P192" s="923">
        <f>SUM(P193:P198)</f>
        <v>363092.65627975471</v>
      </c>
      <c r="Q192" s="923">
        <f>SUM(Q193:Q198)</f>
        <v>397383.86719347618</v>
      </c>
      <c r="R192" s="924">
        <f>SUM(R193:R198)</f>
        <v>452276.61980688525</v>
      </c>
    </row>
    <row r="193" spans="2:18">
      <c r="C193" s="871" t="s">
        <v>1765</v>
      </c>
      <c r="L193" s="906">
        <f>L77</f>
        <v>99983.966326846275</v>
      </c>
      <c r="N193" s="907">
        <f t="shared" ref="N193:R193" si="106">N77</f>
        <v>227825.17951707676</v>
      </c>
      <c r="O193" s="889">
        <f t="shared" si="106"/>
        <v>273365.85890678578</v>
      </c>
      <c r="P193" s="889">
        <f t="shared" si="106"/>
        <v>308011.33932349936</v>
      </c>
      <c r="Q193" s="889">
        <f t="shared" si="106"/>
        <v>343186.92205385363</v>
      </c>
      <c r="R193" s="908">
        <f t="shared" si="106"/>
        <v>395201.09797985747</v>
      </c>
    </row>
    <row r="194" spans="2:18">
      <c r="C194" s="871" t="s">
        <v>1766</v>
      </c>
      <c r="L194" s="906">
        <f>L19</f>
        <v>19981.129679824939</v>
      </c>
      <c r="N194" s="907">
        <f t="shared" ref="N194:R194" si="107">N19</f>
        <v>40901.901556165321</v>
      </c>
      <c r="O194" s="889">
        <f t="shared" si="107"/>
        <v>41375.188023609779</v>
      </c>
      <c r="P194" s="889">
        <f t="shared" si="107"/>
        <v>41416.39768014384</v>
      </c>
      <c r="Q194" s="889">
        <f t="shared" si="107"/>
        <v>42308.370678765932</v>
      </c>
      <c r="R194" s="908">
        <f t="shared" si="107"/>
        <v>42465.173174223091</v>
      </c>
    </row>
    <row r="195" spans="2:18">
      <c r="C195" s="871" t="s">
        <v>1767</v>
      </c>
      <c r="L195" s="906">
        <f>NetDebt!E38</f>
        <v>2063.356906656024</v>
      </c>
      <c r="N195" s="907">
        <f>NetDebt!F38</f>
        <v>4104.2860208483953</v>
      </c>
      <c r="O195" s="889">
        <f>NetDebt!G38</f>
        <v>3763.8031786362326</v>
      </c>
      <c r="P195" s="889">
        <f>NetDebt!H38</f>
        <v>3161.7554837103089</v>
      </c>
      <c r="Q195" s="889">
        <f>NetDebt!I38</f>
        <v>2621.2639052540835</v>
      </c>
      <c r="R195" s="908">
        <f>NetDebt!J38</f>
        <v>1066.9758018949153</v>
      </c>
    </row>
    <row r="196" spans="2:18">
      <c r="C196" s="871" t="s">
        <v>1768</v>
      </c>
      <c r="L196" s="906">
        <f>L20</f>
        <v>392.62514320000002</v>
      </c>
      <c r="N196" s="907">
        <f t="shared" ref="N196:R196" si="108">N20</f>
        <v>810.6662864000001</v>
      </c>
      <c r="O196" s="889">
        <f t="shared" si="108"/>
        <v>864.88708640000004</v>
      </c>
      <c r="P196" s="889">
        <f t="shared" si="108"/>
        <v>900.80294432000005</v>
      </c>
      <c r="Q196" s="889">
        <f t="shared" si="108"/>
        <v>926.23586120959999</v>
      </c>
      <c r="R196" s="908">
        <f t="shared" si="108"/>
        <v>557.37893488460793</v>
      </c>
    </row>
    <row r="197" spans="2:18">
      <c r="C197" s="871" t="s">
        <v>1769</v>
      </c>
      <c r="L197" s="906">
        <f>-NWC!H13</f>
        <v>120094.77380928386</v>
      </c>
      <c r="N197" s="907">
        <f>-NWC!I13</f>
        <v>-15150.983492713887</v>
      </c>
      <c r="O197" s="889">
        <f>-NWC!J13</f>
        <v>-2382.7775589782977</v>
      </c>
      <c r="P197" s="889">
        <f>-NWC!K13</f>
        <v>-169.44132073549554</v>
      </c>
      <c r="Q197" s="889">
        <f>-NWC!L13</f>
        <v>-1580.2435116044362</v>
      </c>
      <c r="R197" s="908">
        <f>-NWC!M13</f>
        <v>-1684.6710887451773</v>
      </c>
    </row>
    <row r="198" spans="2:18">
      <c r="C198" s="871" t="s">
        <v>1770</v>
      </c>
      <c r="L198" s="906">
        <f>L151-K151</f>
        <v>39168.177193993237</v>
      </c>
      <c r="N198" s="907">
        <f>N151-M151</f>
        <v>10932.670421156632</v>
      </c>
      <c r="O198" s="889">
        <f t="shared" ref="O198:R198" si="109">O151-N151</f>
        <v>12844.807007353818</v>
      </c>
      <c r="P198" s="889">
        <f t="shared" si="109"/>
        <v>9771.8021688166482</v>
      </c>
      <c r="Q198" s="889">
        <f t="shared" si="109"/>
        <v>9921.3182059973769</v>
      </c>
      <c r="R198" s="908">
        <f t="shared" si="109"/>
        <v>14670.665004770315</v>
      </c>
    </row>
    <row r="199" spans="2:18">
      <c r="B199" s="945"/>
      <c r="C199" s="945"/>
      <c r="D199" s="945"/>
      <c r="E199" s="945"/>
      <c r="F199" s="945"/>
      <c r="G199" s="945"/>
      <c r="H199" s="945"/>
      <c r="I199" s="945"/>
      <c r="J199" s="945"/>
      <c r="K199" s="945"/>
      <c r="L199" s="947"/>
      <c r="M199" s="945"/>
      <c r="N199" s="948"/>
      <c r="O199" s="945"/>
      <c r="P199" s="945"/>
      <c r="Q199" s="945"/>
      <c r="R199" s="949"/>
    </row>
    <row r="200" spans="2:18">
      <c r="B200" s="920" t="s">
        <v>1771</v>
      </c>
      <c r="C200" s="920"/>
      <c r="D200" s="920"/>
      <c r="E200" s="920"/>
      <c r="F200" s="920"/>
      <c r="G200" s="920"/>
      <c r="H200" s="920"/>
      <c r="I200" s="920"/>
      <c r="J200" s="920"/>
      <c r="K200" s="920"/>
      <c r="L200" s="921">
        <f>SUM(L201:L203)</f>
        <v>-41857.80866779654</v>
      </c>
      <c r="M200" s="920"/>
      <c r="N200" s="922">
        <f t="shared" ref="N200:R200" si="110">SUM(N201:N203)</f>
        <v>-90356.290885326482</v>
      </c>
      <c r="O200" s="923">
        <f t="shared" si="110"/>
        <v>-72026.267593832832</v>
      </c>
      <c r="P200" s="923">
        <f t="shared" si="110"/>
        <v>-62083.911595302285</v>
      </c>
      <c r="Q200" s="923">
        <f t="shared" si="110"/>
        <v>-62075.786771311476</v>
      </c>
      <c r="R200" s="924">
        <f t="shared" si="110"/>
        <v>-59049.76344633277</v>
      </c>
    </row>
    <row r="201" spans="2:18">
      <c r="C201" s="871" t="s">
        <v>1772</v>
      </c>
      <c r="L201" s="906">
        <f>-SUM(CAPEX!I6:I11)</f>
        <v>-31564.328667796537</v>
      </c>
      <c r="N201" s="907">
        <f>-SUM(CAPEX!J6:J11)</f>
        <v>-68396.866885326483</v>
      </c>
      <c r="O201" s="889">
        <f>-SUM(CAPEX!K6:K11)</f>
        <v>-57480.345136232834</v>
      </c>
      <c r="P201" s="889">
        <f>-SUM(CAPEX!L6:L11)</f>
        <v>-51783.580255014283</v>
      </c>
      <c r="Q201" s="889">
        <f>-SUM(CAPEX!M6:M11)</f>
        <v>-52449.658936933236</v>
      </c>
      <c r="R201" s="908">
        <f>-SUM(CAPEX!N6:N11)</f>
        <v>-51133.235915340105</v>
      </c>
    </row>
    <row r="202" spans="2:18">
      <c r="C202" s="871" t="s">
        <v>1773</v>
      </c>
      <c r="L202" s="906">
        <f>-CAPEX!I12</f>
        <v>-127.08</v>
      </c>
      <c r="N202" s="907">
        <f>-CAPEX!J12</f>
        <v>-271.10399999999998</v>
      </c>
      <c r="O202" s="889">
        <f>-CAPEX!K12</f>
        <v>-179.57928959999998</v>
      </c>
      <c r="P202" s="889">
        <f>-CAPEX!L12</f>
        <v>-127.164584448</v>
      </c>
      <c r="Q202" s="889">
        <f>-CAPEX!M12</f>
        <v>-118.84108437504</v>
      </c>
      <c r="R202" s="908">
        <f>-CAPEX!N12</f>
        <v>-97.734907790032906</v>
      </c>
    </row>
    <row r="203" spans="2:18">
      <c r="C203" s="871" t="s">
        <v>1774</v>
      </c>
      <c r="L203" s="906">
        <f>-CAPEX!I13</f>
        <v>-10166.4</v>
      </c>
      <c r="N203" s="907">
        <f>-CAPEX!J13</f>
        <v>-21688.32</v>
      </c>
      <c r="O203" s="889">
        <f>-CAPEX!K13</f>
        <v>-14366.343167999998</v>
      </c>
      <c r="P203" s="889">
        <f>-CAPEX!L13</f>
        <v>-10173.166755839999</v>
      </c>
      <c r="Q203" s="889">
        <f>-CAPEX!M13</f>
        <v>-9507.2867500032007</v>
      </c>
      <c r="R203" s="908">
        <f>-CAPEX!N13</f>
        <v>-7818.7926232026321</v>
      </c>
    </row>
    <row r="204" spans="2:18">
      <c r="B204" s="945"/>
      <c r="C204" s="945"/>
      <c r="D204" s="945"/>
      <c r="E204" s="945"/>
      <c r="F204" s="945"/>
      <c r="G204" s="945"/>
      <c r="H204" s="945"/>
      <c r="I204" s="945"/>
      <c r="J204" s="945"/>
      <c r="K204" s="945"/>
      <c r="L204" s="947"/>
      <c r="M204" s="945"/>
      <c r="N204" s="948"/>
      <c r="O204" s="945"/>
      <c r="P204" s="945"/>
      <c r="Q204" s="945"/>
      <c r="R204" s="949"/>
    </row>
    <row r="205" spans="2:18">
      <c r="B205" s="920" t="s">
        <v>1775</v>
      </c>
      <c r="C205" s="920"/>
      <c r="D205" s="920"/>
      <c r="E205" s="920"/>
      <c r="F205" s="920"/>
      <c r="G205" s="920"/>
      <c r="H205" s="920"/>
      <c r="I205" s="920"/>
      <c r="J205" s="920"/>
      <c r="K205" s="920"/>
      <c r="L205" s="921">
        <f>SUM(L206:L207)</f>
        <v>0</v>
      </c>
      <c r="M205" s="920"/>
      <c r="N205" s="922">
        <f t="shared" ref="N205:R205" si="111">SUM(N206:N207)</f>
        <v>0</v>
      </c>
      <c r="O205" s="923">
        <f t="shared" si="111"/>
        <v>-220000</v>
      </c>
      <c r="P205" s="923">
        <f t="shared" si="111"/>
        <v>-110000</v>
      </c>
      <c r="Q205" s="923">
        <f t="shared" si="111"/>
        <v>-150000</v>
      </c>
      <c r="R205" s="924">
        <f t="shared" si="111"/>
        <v>-550000</v>
      </c>
    </row>
    <row r="206" spans="2:18">
      <c r="C206" s="871" t="s">
        <v>1776</v>
      </c>
      <c r="L206" s="906">
        <f>-NetDebt!E33</f>
        <v>0</v>
      </c>
      <c r="N206" s="907">
        <f>-NetDebt!F33</f>
        <v>0</v>
      </c>
      <c r="O206" s="889">
        <f>-NetDebt!G33</f>
        <v>-100000</v>
      </c>
      <c r="P206" s="889">
        <f>-NetDebt!H33</f>
        <v>-100000</v>
      </c>
      <c r="Q206" s="889">
        <f>-NetDebt!I33</f>
        <v>-150000</v>
      </c>
      <c r="R206" s="908">
        <f>-NetDebt!J33</f>
        <v>-550000</v>
      </c>
    </row>
    <row r="207" spans="2:18">
      <c r="C207" s="871" t="s">
        <v>1777</v>
      </c>
      <c r="L207" s="906">
        <f>-NetDebt!E34</f>
        <v>0</v>
      </c>
      <c r="N207" s="907">
        <f>-NetDebt!F34</f>
        <v>0</v>
      </c>
      <c r="O207" s="889">
        <f>-NetDebt!G34</f>
        <v>-120000</v>
      </c>
      <c r="P207" s="889">
        <f>-NetDebt!H34</f>
        <v>-10000</v>
      </c>
      <c r="Q207" s="889">
        <f>-NetDebt!I34</f>
        <v>0</v>
      </c>
      <c r="R207" s="908">
        <f>-NetDebt!J34</f>
        <v>0</v>
      </c>
    </row>
    <row r="208" spans="2:18">
      <c r="B208" s="945"/>
      <c r="C208" s="945"/>
      <c r="D208" s="945"/>
      <c r="E208" s="945"/>
      <c r="F208" s="945"/>
      <c r="G208" s="945"/>
      <c r="H208" s="945"/>
      <c r="I208" s="945"/>
      <c r="J208" s="945"/>
      <c r="K208" s="945"/>
      <c r="L208" s="947"/>
      <c r="M208" s="945"/>
      <c r="N208" s="948"/>
      <c r="O208" s="945"/>
      <c r="P208" s="945"/>
      <c r="Q208" s="945"/>
      <c r="R208" s="949"/>
    </row>
    <row r="209" spans="2:18">
      <c r="B209" s="920" t="s">
        <v>1778</v>
      </c>
      <c r="C209" s="920"/>
      <c r="D209" s="920"/>
      <c r="E209" s="920"/>
      <c r="F209" s="920"/>
      <c r="G209" s="920"/>
      <c r="H209" s="920"/>
      <c r="I209" s="920"/>
      <c r="J209" s="920"/>
      <c r="K209" s="920"/>
      <c r="L209" s="921">
        <f>L192+L200+L205</f>
        <v>239826.22039200779</v>
      </c>
      <c r="M209" s="920"/>
      <c r="N209" s="922">
        <f t="shared" ref="N209:R209" si="112">N192+N200+N205</f>
        <v>179067.42942360669</v>
      </c>
      <c r="O209" s="923">
        <f t="shared" si="112"/>
        <v>37805.49904997446</v>
      </c>
      <c r="P209" s="923">
        <f t="shared" si="112"/>
        <v>191008.74468445242</v>
      </c>
      <c r="Q209" s="923">
        <f t="shared" si="112"/>
        <v>185308.0804221647</v>
      </c>
      <c r="R209" s="924">
        <f t="shared" si="112"/>
        <v>-156773.14363944752</v>
      </c>
    </row>
    <row r="210" spans="2:18">
      <c r="B210" s="871" t="s">
        <v>1779</v>
      </c>
      <c r="L210" s="906">
        <f>K92</f>
        <v>79013.351796999996</v>
      </c>
      <c r="N210" s="907">
        <f>L211</f>
        <v>318839.57218900777</v>
      </c>
      <c r="O210" s="889">
        <f>N211</f>
        <v>497907.00161261449</v>
      </c>
      <c r="P210" s="889">
        <f t="shared" ref="P210:R210" si="113">O211</f>
        <v>535712.50066258898</v>
      </c>
      <c r="Q210" s="889">
        <f t="shared" si="113"/>
        <v>726721.2453470414</v>
      </c>
      <c r="R210" s="908">
        <f t="shared" si="113"/>
        <v>912029.32576920604</v>
      </c>
    </row>
    <row r="211" spans="2:18" ht="12" thickBot="1">
      <c r="B211" s="950" t="s">
        <v>1780</v>
      </c>
      <c r="C211" s="950"/>
      <c r="D211" s="950"/>
      <c r="E211" s="950"/>
      <c r="F211" s="950"/>
      <c r="G211" s="950"/>
      <c r="H211" s="950"/>
      <c r="I211" s="950"/>
      <c r="J211" s="950"/>
      <c r="K211" s="950"/>
      <c r="L211" s="951">
        <f>L209+L210</f>
        <v>318839.57218900777</v>
      </c>
      <c r="M211" s="950"/>
      <c r="N211" s="952">
        <f t="shared" ref="N211:R211" si="114">N209+N210</f>
        <v>497907.00161261449</v>
      </c>
      <c r="O211" s="953">
        <f t="shared" si="114"/>
        <v>535712.50066258898</v>
      </c>
      <c r="P211" s="953">
        <f t="shared" si="114"/>
        <v>726721.2453470414</v>
      </c>
      <c r="Q211" s="953">
        <f t="shared" si="114"/>
        <v>912029.32576920604</v>
      </c>
      <c r="R211" s="954">
        <f t="shared" si="114"/>
        <v>755256.18212975853</v>
      </c>
    </row>
  </sheetData>
  <phoneticPr fontId="2" type="noConversion"/>
  <pageMargins left="0.6" right="0.6" top="1" bottom="1" header="0.5" footer="0.5"/>
  <pageSetup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S84"/>
  <sheetViews>
    <sheetView showGridLines="0" tabSelected="1" topLeftCell="C4" zoomScale="115" zoomScaleNormal="115" workbookViewId="0">
      <selection activeCell="E52" sqref="E52"/>
    </sheetView>
  </sheetViews>
  <sheetFormatPr defaultColWidth="9" defaultRowHeight="14.5"/>
  <cols>
    <col min="1" max="1" width="1.6640625" style="2" customWidth="1"/>
    <col min="2" max="2" width="11.83203125" style="2" customWidth="1"/>
    <col min="3" max="3" width="9" style="2"/>
    <col min="4" max="4" width="9.6640625" style="2" bestFit="1" customWidth="1"/>
    <col min="5" max="5" width="14.6640625" style="2" bestFit="1" customWidth="1"/>
    <col min="6" max="8" width="10.08203125" style="2" customWidth="1"/>
    <col min="9" max="9" width="11.5" style="2" customWidth="1"/>
    <col min="10" max="16" width="10.08203125" style="2" customWidth="1"/>
    <col min="17" max="18" width="9.6640625" style="2" bestFit="1" customWidth="1"/>
    <col min="19" max="16384" width="9" style="2"/>
  </cols>
  <sheetData>
    <row r="1" spans="2:19" ht="17">
      <c r="B1" s="1" t="s">
        <v>720</v>
      </c>
    </row>
    <row r="3" spans="2:19">
      <c r="B3" s="560" t="s">
        <v>1186</v>
      </c>
      <c r="C3" s="561"/>
      <c r="D3" s="562"/>
      <c r="E3" s="563">
        <v>40724</v>
      </c>
    </row>
    <row r="5" spans="2:19" ht="15" thickBot="1">
      <c r="B5" s="94" t="s">
        <v>1185</v>
      </c>
      <c r="C5" s="94"/>
      <c r="D5" s="94"/>
      <c r="E5" s="1157">
        <v>2008</v>
      </c>
      <c r="F5" s="1157">
        <v>2009</v>
      </c>
      <c r="G5" s="1157">
        <v>2010</v>
      </c>
      <c r="H5" s="1157" t="s">
        <v>32</v>
      </c>
      <c r="I5" s="1157" t="s">
        <v>33</v>
      </c>
      <c r="J5" s="1218">
        <v>2011</v>
      </c>
      <c r="K5" s="1157">
        <v>2012</v>
      </c>
      <c r="L5" s="1157">
        <v>2013</v>
      </c>
      <c r="M5" s="1157">
        <v>2014</v>
      </c>
      <c r="N5" s="1157">
        <v>2015</v>
      </c>
      <c r="O5" s="1157">
        <v>2016</v>
      </c>
    </row>
    <row r="6" spans="2:19" ht="16">
      <c r="B6" s="208" t="s">
        <v>213</v>
      </c>
      <c r="C6" s="208"/>
      <c r="D6" s="208"/>
      <c r="E6" s="2">
        <f>매출추정!F11</f>
        <v>1491976.22114</v>
      </c>
      <c r="F6" s="2">
        <f>매출추정!G11</f>
        <v>2663947.8663639999</v>
      </c>
      <c r="G6" s="2">
        <f>매출추정!H11</f>
        <v>3046678.6757970001</v>
      </c>
      <c r="H6" s="2">
        <f>매출추정!I11</f>
        <v>1606909.618359</v>
      </c>
      <c r="I6" s="2">
        <f>매출추정!J11</f>
        <v>1826768.9985385463</v>
      </c>
      <c r="J6" s="466">
        <f>매출추정!K11</f>
        <v>3433678.6168975462</v>
      </c>
      <c r="K6" s="2">
        <f>매출추정!L11</f>
        <v>3874341.5840919763</v>
      </c>
      <c r="L6" s="2">
        <f>매출추정!M11</f>
        <v>4226781.2635950102</v>
      </c>
      <c r="M6" s="2">
        <f>매출추정!N11</f>
        <v>4456133.2940086992</v>
      </c>
      <c r="N6" s="2">
        <f>매출추정!O11</f>
        <v>4697930.3388611386</v>
      </c>
      <c r="O6" s="2">
        <f>매출추정!P11</f>
        <v>4952847.6848899331</v>
      </c>
    </row>
    <row r="7" spans="2:19" ht="16">
      <c r="B7" s="213" t="s">
        <v>2159</v>
      </c>
      <c r="C7" s="208"/>
      <c r="D7" s="208"/>
      <c r="G7" s="222">
        <f>G6/F6-1</f>
        <v>0.14367053284544418</v>
      </c>
      <c r="I7" s="222">
        <f>I6/H6-1</f>
        <v>0.13682124848071409</v>
      </c>
      <c r="J7" s="1118">
        <f>J6/G6-1</f>
        <v>0.1270235499972141</v>
      </c>
      <c r="K7" s="196">
        <f>K6/J6-1</f>
        <v>0.12833553059563418</v>
      </c>
      <c r="L7" s="196">
        <f t="shared" ref="L7:O7" si="0">L6/K6-1</f>
        <v>9.0967632010081179E-2</v>
      </c>
      <c r="M7" s="196">
        <f t="shared" si="0"/>
        <v>5.4261627491605235E-2</v>
      </c>
      <c r="N7" s="196">
        <f t="shared" si="0"/>
        <v>5.4261627491605013E-2</v>
      </c>
      <c r="O7" s="196">
        <f t="shared" si="0"/>
        <v>5.4261627491605458E-2</v>
      </c>
    </row>
    <row r="8" spans="2:19" ht="16">
      <c r="B8" s="209" t="s">
        <v>703</v>
      </c>
      <c r="C8" s="209"/>
      <c r="D8" s="209"/>
      <c r="E8" s="2">
        <f>매출원가추정!E6</f>
        <v>1113092.579931</v>
      </c>
      <c r="F8" s="2">
        <f>매출원가추정!F6</f>
        <v>2005984.3105349999</v>
      </c>
      <c r="G8" s="2">
        <f>매출원가추정!G6</f>
        <v>2286620.4427060001</v>
      </c>
      <c r="H8" s="2">
        <f>매출원가추정!H6</f>
        <v>1195964.884535</v>
      </c>
      <c r="I8" s="2">
        <f>매출원가추정!I6</f>
        <v>1356934.8915909547</v>
      </c>
      <c r="J8" s="466">
        <f>매출원가추정!J6</f>
        <v>2552899.7761259545</v>
      </c>
      <c r="K8" s="2">
        <f>매출원가추정!K6</f>
        <v>2866586.5397059345</v>
      </c>
      <c r="L8" s="2">
        <f>매출원가추정!L6</f>
        <v>3115027.9627999715</v>
      </c>
      <c r="M8" s="2">
        <f>매출원가추정!M6</f>
        <v>3271060.4997817618</v>
      </c>
      <c r="N8" s="2">
        <f>매출원가추정!N6</f>
        <v>3434854.5432893671</v>
      </c>
      <c r="O8" s="2">
        <f>매출원가추정!O6</f>
        <v>3606792.9868971063</v>
      </c>
    </row>
    <row r="9" spans="2:19" ht="16">
      <c r="B9" s="210" t="s">
        <v>700</v>
      </c>
      <c r="C9" s="211"/>
      <c r="D9" s="211"/>
      <c r="E9" s="218">
        <f t="shared" ref="E9:O9" si="1">E8/E$6</f>
        <v>0.74605249343752955</v>
      </c>
      <c r="F9" s="218">
        <f t="shared" si="1"/>
        <v>0.75301184976752233</v>
      </c>
      <c r="G9" s="218">
        <f t="shared" si="1"/>
        <v>0.75052891559292134</v>
      </c>
      <c r="H9" s="218">
        <f t="shared" si="1"/>
        <v>0.74426394046750255</v>
      </c>
      <c r="I9" s="218">
        <f t="shared" si="1"/>
        <v>0.74280595558416596</v>
      </c>
      <c r="J9" s="467">
        <f t="shared" si="1"/>
        <v>0.74348827044057852</v>
      </c>
      <c r="K9" s="1253">
        <f t="shared" si="1"/>
        <v>0.73988998581749266</v>
      </c>
      <c r="L9" s="1253">
        <f t="shared" si="1"/>
        <v>0.73697401605081936</v>
      </c>
      <c r="M9" s="1253">
        <f t="shared" si="1"/>
        <v>0.73405804628414606</v>
      </c>
      <c r="N9" s="1253">
        <f t="shared" si="1"/>
        <v>0.73114207651747276</v>
      </c>
      <c r="O9" s="1253">
        <f t="shared" si="1"/>
        <v>0.72822610675079946</v>
      </c>
      <c r="Q9" s="636">
        <v>9.8158519345563217E-2</v>
      </c>
      <c r="R9" s="636">
        <v>9.6823362962982301E-2</v>
      </c>
      <c r="S9" s="636">
        <v>9.5871868178855804E-2</v>
      </c>
    </row>
    <row r="10" spans="2:19" ht="16">
      <c r="B10" s="212" t="s">
        <v>721</v>
      </c>
      <c r="C10" s="212"/>
      <c r="D10" s="212"/>
      <c r="E10" s="212">
        <f t="shared" ref="E10:O10" si="2">E6-E8</f>
        <v>378883.64120900002</v>
      </c>
      <c r="F10" s="212">
        <f t="shared" si="2"/>
        <v>657963.55582899996</v>
      </c>
      <c r="G10" s="212">
        <f t="shared" si="2"/>
        <v>760058.233091</v>
      </c>
      <c r="H10" s="212">
        <f t="shared" si="2"/>
        <v>410944.733824</v>
      </c>
      <c r="I10" s="212">
        <f t="shared" si="2"/>
        <v>469834.10694759153</v>
      </c>
      <c r="J10" s="468">
        <f t="shared" si="2"/>
        <v>880778.84077159176</v>
      </c>
      <c r="K10" s="212">
        <f t="shared" si="2"/>
        <v>1007755.0443860418</v>
      </c>
      <c r="L10" s="212">
        <f t="shared" si="2"/>
        <v>1111753.3007950387</v>
      </c>
      <c r="M10" s="212">
        <f t="shared" si="2"/>
        <v>1185072.7942269375</v>
      </c>
      <c r="N10" s="212">
        <f t="shared" si="2"/>
        <v>1263075.7955717715</v>
      </c>
      <c r="O10" s="212">
        <f t="shared" si="2"/>
        <v>1346054.6979928268</v>
      </c>
      <c r="Q10" s="636"/>
      <c r="R10" s="636">
        <f>R9-Q9</f>
        <v>-1.3351563825809154E-3</v>
      </c>
      <c r="S10" s="636">
        <f>S9-R9</f>
        <v>-9.5149478412649702E-4</v>
      </c>
    </row>
    <row r="11" spans="2:19" ht="16">
      <c r="B11" s="209" t="s">
        <v>722</v>
      </c>
      <c r="C11" s="209"/>
      <c r="D11" s="209"/>
      <c r="E11" s="209">
        <f>'R-SG&amp;A'!D31</f>
        <v>330026.20809700002</v>
      </c>
      <c r="F11" s="209">
        <f>'R-SG&amp;A'!E31</f>
        <v>476792.342</v>
      </c>
      <c r="G11" s="209">
        <f>'R-SG&amp;A'!F31</f>
        <v>545797.12099999993</v>
      </c>
      <c r="H11" s="209">
        <f>'R-SG&amp;A'!G31</f>
        <v>284644.701</v>
      </c>
      <c r="I11" s="209">
        <f>'R-SG&amp;A'!H31</f>
        <v>303638.23449101381</v>
      </c>
      <c r="J11" s="469">
        <f>'R-SG&amp;A'!I31</f>
        <v>588282.93549101381</v>
      </c>
      <c r="K11" s="209">
        <f>'R-SG&amp;A'!J31</f>
        <v>648065.32055791211</v>
      </c>
      <c r="L11" s="209">
        <f>'R-SG&amp;A'!K31</f>
        <v>699825.44211068831</v>
      </c>
      <c r="M11" s="209">
        <f>'R-SG&amp;A'!L31</f>
        <v>739620.43811773637</v>
      </c>
      <c r="N11" s="209">
        <f>'R-SG&amp;A'!M31</f>
        <v>781180.7636663185</v>
      </c>
      <c r="O11" s="209">
        <f>'R-SG&amp;A'!N31</f>
        <v>822343.30504078115</v>
      </c>
      <c r="P11" s="209"/>
    </row>
    <row r="12" spans="2:19" ht="16">
      <c r="B12" s="210" t="s">
        <v>723</v>
      </c>
      <c r="C12" s="211"/>
      <c r="D12" s="211"/>
      <c r="E12" s="218">
        <f t="shared" ref="E12:O12" si="3">E11/E$6</f>
        <v>0.22120071581625558</v>
      </c>
      <c r="F12" s="218">
        <f t="shared" si="3"/>
        <v>0.17897960692855822</v>
      </c>
      <c r="G12" s="218">
        <f t="shared" si="3"/>
        <v>0.17914495720728454</v>
      </c>
      <c r="H12" s="218">
        <f t="shared" si="3"/>
        <v>0.17713796578720054</v>
      </c>
      <c r="I12" s="218">
        <f t="shared" si="3"/>
        <v>0.16621599925000413</v>
      </c>
      <c r="J12" s="467">
        <f t="shared" si="3"/>
        <v>0.17132731426756209</v>
      </c>
      <c r="K12" s="218">
        <f t="shared" si="3"/>
        <v>0.16727108503258065</v>
      </c>
      <c r="L12" s="218">
        <f t="shared" si="3"/>
        <v>0.1655693537156131</v>
      </c>
      <c r="M12" s="218">
        <f t="shared" si="3"/>
        <v>0.1659780777007189</v>
      </c>
      <c r="N12" s="218">
        <f t="shared" si="3"/>
        <v>0.16628189592434239</v>
      </c>
      <c r="O12" s="218">
        <f t="shared" si="3"/>
        <v>0.16603444268023276</v>
      </c>
    </row>
    <row r="13" spans="2:19" ht="16">
      <c r="B13" s="212" t="s">
        <v>724</v>
      </c>
      <c r="C13" s="212"/>
      <c r="D13" s="212"/>
      <c r="E13" s="212">
        <f t="shared" ref="E13:O13" si="4">E10-E11</f>
        <v>48857.433111999999</v>
      </c>
      <c r="F13" s="212">
        <f t="shared" si="4"/>
        <v>181171.21382899996</v>
      </c>
      <c r="G13" s="212">
        <f t="shared" si="4"/>
        <v>214261.11209100008</v>
      </c>
      <c r="H13" s="212">
        <f t="shared" si="4"/>
        <v>126300.03282399999</v>
      </c>
      <c r="I13" s="212">
        <f t="shared" si="4"/>
        <v>166195.87245657772</v>
      </c>
      <c r="J13" s="468">
        <f t="shared" si="4"/>
        <v>292495.90528057795</v>
      </c>
      <c r="K13" s="212">
        <f t="shared" si="4"/>
        <v>359689.7238281297</v>
      </c>
      <c r="L13" s="212">
        <f t="shared" si="4"/>
        <v>411927.85868435039</v>
      </c>
      <c r="M13" s="212">
        <f t="shared" si="4"/>
        <v>445452.35610920109</v>
      </c>
      <c r="N13" s="212">
        <f t="shared" si="4"/>
        <v>481895.03190545295</v>
      </c>
      <c r="O13" s="212">
        <f t="shared" si="4"/>
        <v>523711.39295204566</v>
      </c>
    </row>
    <row r="14" spans="2:19" ht="16">
      <c r="B14" s="213" t="s">
        <v>725</v>
      </c>
      <c r="C14" s="214"/>
      <c r="D14" s="214"/>
      <c r="E14" s="222">
        <f t="shared" ref="E14:O14" si="5">E13/E$6</f>
        <v>3.2746790746214879E-2</v>
      </c>
      <c r="F14" s="222">
        <f t="shared" si="5"/>
        <v>6.8008543303919464E-2</v>
      </c>
      <c r="G14" s="222">
        <f t="shared" si="5"/>
        <v>7.03261271997941E-2</v>
      </c>
      <c r="H14" s="222">
        <f t="shared" si="5"/>
        <v>7.8598093745296929E-2</v>
      </c>
      <c r="I14" s="222">
        <f t="shared" si="5"/>
        <v>9.0978045165829899E-2</v>
      </c>
      <c r="J14" s="470">
        <f t="shared" si="5"/>
        <v>8.5184415291859397E-2</v>
      </c>
      <c r="K14" s="222">
        <f t="shared" si="5"/>
        <v>9.2838929149926683E-2</v>
      </c>
      <c r="L14" s="222">
        <f t="shared" si="5"/>
        <v>9.745663023356757E-2</v>
      </c>
      <c r="M14" s="222">
        <f t="shared" si="5"/>
        <v>9.9963876015135081E-2</v>
      </c>
      <c r="N14" s="222">
        <f t="shared" si="5"/>
        <v>0.10257602755818487</v>
      </c>
      <c r="O14" s="222">
        <f t="shared" si="5"/>
        <v>0.10573945056896779</v>
      </c>
    </row>
    <row r="15" spans="2:19" ht="16">
      <c r="B15" s="213" t="s">
        <v>726</v>
      </c>
      <c r="C15" s="214"/>
      <c r="D15" s="214"/>
      <c r="E15" s="220">
        <f>IF(E16&lt;0,0,IF(E16&lt;200,E16*E17,(E16-200)*E18+200*E17))</f>
        <v>13404.994105800002</v>
      </c>
      <c r="F15" s="220">
        <f>IF(F16&lt;0,0,IF(F16&lt;200,F16*F17,(F16-200)*F18+200*F17))</f>
        <v>43819.233746617989</v>
      </c>
      <c r="G15" s="220">
        <f>IF(G16&lt;0,0,IF(G16&lt;200,G16*G17,(G16-200)*G18+200*G17))</f>
        <v>51824.78912602202</v>
      </c>
      <c r="H15" s="227">
        <f>J15-I15</f>
        <v>30564.607943408053</v>
      </c>
      <c r="I15" s="220">
        <f t="shared" ref="I15:O15" si="6">IF(I16&lt;0,0,IF(I16&lt;200,I16*I17,(I16-200)*I18+200*I17))</f>
        <v>40193.001134491809</v>
      </c>
      <c r="J15" s="471">
        <f t="shared" si="6"/>
        <v>70757.609077899862</v>
      </c>
      <c r="K15" s="220">
        <f t="shared" si="6"/>
        <v>79109.739242188545</v>
      </c>
      <c r="L15" s="220">
        <f t="shared" si="6"/>
        <v>90602.12891055709</v>
      </c>
      <c r="M15" s="220">
        <f t="shared" si="6"/>
        <v>97977.518344024254</v>
      </c>
      <c r="N15" s="220">
        <f t="shared" si="6"/>
        <v>105994.90701919966</v>
      </c>
      <c r="O15" s="220">
        <f t="shared" si="6"/>
        <v>115194.50644945005</v>
      </c>
    </row>
    <row r="16" spans="2:19" ht="16">
      <c r="B16" s="213" t="s">
        <v>727</v>
      </c>
      <c r="C16" s="214"/>
      <c r="D16" s="214"/>
      <c r="E16" s="221">
        <f t="shared" ref="E16:O16" si="7">IF((E13-D27)&lt;0,0,E13-D27)</f>
        <v>48857.433111999999</v>
      </c>
      <c r="F16" s="221">
        <f t="shared" si="7"/>
        <v>181171.21382899996</v>
      </c>
      <c r="G16" s="221">
        <f t="shared" si="7"/>
        <v>214261.11209100008</v>
      </c>
      <c r="H16" s="221">
        <f t="shared" si="7"/>
        <v>126300.03282399999</v>
      </c>
      <c r="I16" s="221">
        <f t="shared" si="7"/>
        <v>166195.87245657772</v>
      </c>
      <c r="J16" s="472">
        <f t="shared" si="7"/>
        <v>292495.90528057795</v>
      </c>
      <c r="K16" s="221">
        <f t="shared" si="7"/>
        <v>359689.7238281297</v>
      </c>
      <c r="L16" s="221">
        <f t="shared" si="7"/>
        <v>411927.85868435039</v>
      </c>
      <c r="M16" s="221">
        <f t="shared" si="7"/>
        <v>445452.35610920109</v>
      </c>
      <c r="N16" s="221">
        <f t="shared" si="7"/>
        <v>481895.03190545295</v>
      </c>
      <c r="O16" s="221">
        <f t="shared" si="7"/>
        <v>523711.39295204566</v>
      </c>
    </row>
    <row r="17" spans="2:16" ht="16">
      <c r="B17" s="213" t="s">
        <v>728</v>
      </c>
      <c r="C17" s="214"/>
      <c r="D17" s="214"/>
      <c r="E17" s="222">
        <f t="shared" ref="E17:H18" si="8">D82</f>
        <v>0.12100000000000001</v>
      </c>
      <c r="F17" s="222">
        <f t="shared" si="8"/>
        <v>0.12100000000000001</v>
      </c>
      <c r="G17" s="222">
        <f t="shared" si="8"/>
        <v>0.11</v>
      </c>
      <c r="H17" s="222">
        <f t="shared" si="8"/>
        <v>0.11</v>
      </c>
      <c r="I17" s="222">
        <f>J17</f>
        <v>0.11</v>
      </c>
      <c r="J17" s="470">
        <f>G82</f>
        <v>0.11</v>
      </c>
      <c r="K17" s="222">
        <f>$H$82</f>
        <v>0.11000000000000001</v>
      </c>
      <c r="L17" s="222">
        <f>$H$82</f>
        <v>0.11000000000000001</v>
      </c>
      <c r="M17" s="222">
        <f>$H$82</f>
        <v>0.11000000000000001</v>
      </c>
      <c r="N17" s="222">
        <f>$H$82</f>
        <v>0.11000000000000001</v>
      </c>
      <c r="O17" s="222">
        <f>$H$82</f>
        <v>0.11000000000000001</v>
      </c>
    </row>
    <row r="18" spans="2:16" ht="16">
      <c r="B18" s="210" t="s">
        <v>729</v>
      </c>
      <c r="C18" s="211"/>
      <c r="D18" s="211"/>
      <c r="E18" s="218">
        <f t="shared" si="8"/>
        <v>0.27500000000000002</v>
      </c>
      <c r="F18" s="218">
        <f t="shared" si="8"/>
        <v>0.24200000000000002</v>
      </c>
      <c r="G18" s="218">
        <f t="shared" si="8"/>
        <v>0.24199999999999999</v>
      </c>
      <c r="H18" s="218">
        <f t="shared" si="8"/>
        <v>0.24199999999999999</v>
      </c>
      <c r="I18" s="218">
        <f>J18</f>
        <v>0.24199999999999999</v>
      </c>
      <c r="J18" s="467">
        <f>G83</f>
        <v>0.24199999999999999</v>
      </c>
      <c r="K18" s="218">
        <f>$H$83</f>
        <v>0.22000000000000003</v>
      </c>
      <c r="L18" s="218">
        <f>$H$83</f>
        <v>0.22000000000000003</v>
      </c>
      <c r="M18" s="218">
        <f>$H$83</f>
        <v>0.22000000000000003</v>
      </c>
      <c r="N18" s="218">
        <f>$H$83</f>
        <v>0.22000000000000003</v>
      </c>
      <c r="O18" s="218">
        <f>$H$83</f>
        <v>0.22000000000000003</v>
      </c>
    </row>
    <row r="19" spans="2:16" ht="16">
      <c r="B19" s="215" t="s">
        <v>730</v>
      </c>
      <c r="C19" s="215"/>
      <c r="D19" s="215"/>
      <c r="E19" s="215">
        <f t="shared" ref="E19:O19" si="9">E13-E15</f>
        <v>35452.439006199995</v>
      </c>
      <c r="F19" s="215">
        <f t="shared" si="9"/>
        <v>137351.98008238198</v>
      </c>
      <c r="G19" s="215">
        <f t="shared" si="9"/>
        <v>162436.32296497806</v>
      </c>
      <c r="H19" s="215">
        <f t="shared" si="9"/>
        <v>95735.424880591949</v>
      </c>
      <c r="I19" s="215">
        <f t="shared" si="9"/>
        <v>126002.87132208591</v>
      </c>
      <c r="J19" s="473">
        <f t="shared" si="9"/>
        <v>221738.29620267809</v>
      </c>
      <c r="K19" s="215">
        <f t="shared" si="9"/>
        <v>280579.98458594119</v>
      </c>
      <c r="L19" s="215">
        <f t="shared" si="9"/>
        <v>321325.72977379331</v>
      </c>
      <c r="M19" s="215">
        <f t="shared" si="9"/>
        <v>347474.83776517684</v>
      </c>
      <c r="N19" s="215">
        <f t="shared" si="9"/>
        <v>375900.12488625327</v>
      </c>
      <c r="O19" s="215">
        <f t="shared" si="9"/>
        <v>408516.88650259562</v>
      </c>
    </row>
    <row r="20" spans="2:16" ht="16">
      <c r="B20" s="208" t="s">
        <v>731</v>
      </c>
      <c r="C20" s="208"/>
      <c r="D20" s="208"/>
      <c r="E20" s="208">
        <f t="shared" ref="E20:O20" si="10">SUM(E21:E22)</f>
        <v>71639.902925000002</v>
      </c>
      <c r="F20" s="208">
        <f t="shared" si="10"/>
        <v>35570.682999999997</v>
      </c>
      <c r="G20" s="208">
        <f t="shared" si="10"/>
        <v>36597.596000000005</v>
      </c>
      <c r="H20" s="208">
        <f t="shared" si="10"/>
        <v>19756.434000000001</v>
      </c>
      <c r="I20" s="208">
        <f t="shared" si="10"/>
        <v>20373.754823024938</v>
      </c>
      <c r="J20" s="474">
        <f t="shared" si="10"/>
        <v>40130.188823024939</v>
      </c>
      <c r="K20" s="208">
        <f t="shared" si="10"/>
        <v>41712.567842565324</v>
      </c>
      <c r="L20" s="208">
        <f t="shared" si="10"/>
        <v>42240.075110009777</v>
      </c>
      <c r="M20" s="208">
        <f t="shared" si="10"/>
        <v>42317.20062446384</v>
      </c>
      <c r="N20" s="208">
        <f t="shared" si="10"/>
        <v>43234.606539975532</v>
      </c>
      <c r="O20" s="208">
        <f t="shared" si="10"/>
        <v>43022.552109107703</v>
      </c>
    </row>
    <row r="21" spans="2:16" ht="16">
      <c r="B21" s="213" t="s">
        <v>732</v>
      </c>
      <c r="C21" s="214"/>
      <c r="D21" s="214"/>
      <c r="E21" s="214">
        <f>'R-SG&amp;A'!D29</f>
        <v>19307.619867000001</v>
      </c>
      <c r="F21" s="214">
        <f>'R-SG&amp;A'!E29</f>
        <v>35250.284</v>
      </c>
      <c r="G21" s="214">
        <f>'R-SG&amp;A'!F29</f>
        <v>36189.728000000003</v>
      </c>
      <c r="H21" s="214">
        <f>'R-SG&amp;A'!G29</f>
        <v>19527.25</v>
      </c>
      <c r="I21" s="214">
        <f>'R-SG&amp;A'!H29</f>
        <v>19981.129679824939</v>
      </c>
      <c r="J21" s="464">
        <f>'R-SG&amp;A'!I29</f>
        <v>39508.379679824939</v>
      </c>
      <c r="K21" s="214">
        <f>'R-SG&amp;A'!J29</f>
        <v>40901.901556165321</v>
      </c>
      <c r="L21" s="214">
        <f>'R-SG&amp;A'!K29</f>
        <v>41375.188023609779</v>
      </c>
      <c r="M21" s="214">
        <f>'R-SG&amp;A'!L29</f>
        <v>41416.39768014384</v>
      </c>
      <c r="N21" s="214">
        <f>'R-SG&amp;A'!M29</f>
        <v>42308.370678765932</v>
      </c>
      <c r="O21" s="214">
        <f>'R-SG&amp;A'!N29</f>
        <v>42465.173174223091</v>
      </c>
      <c r="P21" s="214"/>
    </row>
    <row r="22" spans="2:16" ht="16">
      <c r="B22" s="210" t="s">
        <v>733</v>
      </c>
      <c r="C22" s="211"/>
      <c r="D22" s="211"/>
      <c r="E22" s="211">
        <f>'R-SG&amp;A'!D30</f>
        <v>52332.283058000001</v>
      </c>
      <c r="F22" s="211">
        <f>'R-SG&amp;A'!E30</f>
        <v>320.399</v>
      </c>
      <c r="G22" s="211">
        <f>'R-SG&amp;A'!F30</f>
        <v>407.86799999999999</v>
      </c>
      <c r="H22" s="211">
        <f>'R-SG&amp;A'!G30</f>
        <v>229.184</v>
      </c>
      <c r="I22" s="211">
        <f>'R-SG&amp;A'!H30</f>
        <v>392.62514320000002</v>
      </c>
      <c r="J22" s="465">
        <f>'R-SG&amp;A'!I30</f>
        <v>621.80914319999999</v>
      </c>
      <c r="K22" s="211">
        <f>'R-SG&amp;A'!J30</f>
        <v>810.6662864000001</v>
      </c>
      <c r="L22" s="211">
        <f>'R-SG&amp;A'!K30</f>
        <v>864.88708640000004</v>
      </c>
      <c r="M22" s="211">
        <f>'R-SG&amp;A'!L30</f>
        <v>900.80294432000005</v>
      </c>
      <c r="N22" s="211">
        <f>'R-SG&amp;A'!M30</f>
        <v>926.23586120959999</v>
      </c>
      <c r="O22" s="211">
        <f>'R-SG&amp;A'!N30</f>
        <v>557.37893488460793</v>
      </c>
    </row>
    <row r="23" spans="2:16" ht="16">
      <c r="B23" s="212" t="s">
        <v>734</v>
      </c>
      <c r="C23" s="212"/>
      <c r="D23" s="212"/>
      <c r="E23" s="212">
        <f>NWC!D13</f>
        <v>-5339.888426999998</v>
      </c>
      <c r="F23" s="212">
        <f>NWC!E13</f>
        <v>1872.5297150000406</v>
      </c>
      <c r="G23" s="212">
        <f>NWC!F13</f>
        <v>92827.329486999981</v>
      </c>
      <c r="H23" s="212">
        <f>NWC!G13</f>
        <v>90591.812080000003</v>
      </c>
      <c r="I23" s="212">
        <f>NWC!H13</f>
        <v>-120094.77380928386</v>
      </c>
      <c r="J23" s="468">
        <f>H23+I23</f>
        <v>-29502.961729283852</v>
      </c>
      <c r="K23" s="212">
        <f>NWC!I13</f>
        <v>15150.983492713887</v>
      </c>
      <c r="L23" s="212">
        <f>NWC!J13</f>
        <v>2382.7775589782977</v>
      </c>
      <c r="M23" s="212">
        <f>NWC!K13</f>
        <v>169.44132073549554</v>
      </c>
      <c r="N23" s="212">
        <f>NWC!L13</f>
        <v>1580.2435116044362</v>
      </c>
      <c r="O23" s="212">
        <f>NWC!M13</f>
        <v>1684.6710887451773</v>
      </c>
    </row>
    <row r="24" spans="2:16" ht="16">
      <c r="B24" s="212" t="s">
        <v>735</v>
      </c>
      <c r="C24" s="212"/>
      <c r="D24" s="212"/>
      <c r="E24" s="212">
        <f>CAPEX!E14</f>
        <v>26073.311956000001</v>
      </c>
      <c r="F24" s="212">
        <f>CAPEX!F14</f>
        <v>40779.931739000007</v>
      </c>
      <c r="G24" s="212">
        <f>CAPEX!G14</f>
        <v>36091.923864999997</v>
      </c>
      <c r="H24" s="212">
        <f>CAPEX!H14</f>
        <v>31555.024251000003</v>
      </c>
      <c r="I24" s="212">
        <f>CAPEX!I14</f>
        <v>41857.80866779654</v>
      </c>
      <c r="J24" s="468">
        <f>H24+I24</f>
        <v>73412.832918796543</v>
      </c>
      <c r="K24" s="212">
        <f>CAPEX!J14</f>
        <v>90356.290885326482</v>
      </c>
      <c r="L24" s="212">
        <f>CAPEX!K14</f>
        <v>72026.267593832832</v>
      </c>
      <c r="M24" s="212">
        <f>CAPEX!L14</f>
        <v>62083.911595302285</v>
      </c>
      <c r="N24" s="212">
        <f>CAPEX!M14</f>
        <v>62075.786771311476</v>
      </c>
      <c r="O24" s="212">
        <f>CAPEX!N14</f>
        <v>59049.76344633277</v>
      </c>
      <c r="P24" s="212"/>
    </row>
    <row r="25" spans="2:16" ht="16">
      <c r="B25" s="216" t="s">
        <v>736</v>
      </c>
      <c r="C25" s="216"/>
      <c r="D25" s="216"/>
      <c r="E25" s="216">
        <f t="shared" ref="E25:O25" si="11">E19+E20-E23-E24</f>
        <v>86358.918402199997</v>
      </c>
      <c r="F25" s="216">
        <f t="shared" si="11"/>
        <v>130270.20162838192</v>
      </c>
      <c r="G25" s="216">
        <f t="shared" si="11"/>
        <v>70114.665612978104</v>
      </c>
      <c r="H25" s="216">
        <f t="shared" si="11"/>
        <v>-6654.9774504080488</v>
      </c>
      <c r="I25" s="216">
        <f t="shared" si="11"/>
        <v>224613.59128659812</v>
      </c>
      <c r="J25" s="475">
        <f t="shared" si="11"/>
        <v>217958.61383619034</v>
      </c>
      <c r="K25" s="216">
        <f t="shared" si="11"/>
        <v>216785.27805046612</v>
      </c>
      <c r="L25" s="216">
        <f t="shared" si="11"/>
        <v>289156.75973099191</v>
      </c>
      <c r="M25" s="216">
        <f t="shared" si="11"/>
        <v>327538.68547360291</v>
      </c>
      <c r="N25" s="216">
        <f t="shared" si="11"/>
        <v>355478.70114331285</v>
      </c>
      <c r="O25" s="216">
        <f t="shared" si="11"/>
        <v>390805.0040766254</v>
      </c>
    </row>
    <row r="26" spans="2:16" ht="16"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</row>
    <row r="27" spans="2:16" ht="16">
      <c r="B27" s="217" t="s">
        <v>737</v>
      </c>
      <c r="C27" s="217"/>
      <c r="D27" s="217">
        <v>0</v>
      </c>
      <c r="E27" s="223">
        <f t="shared" ref="E27:O27" si="12">IF((D27-E13)&gt;0,D27-E13,0)</f>
        <v>0</v>
      </c>
      <c r="F27" s="223">
        <f t="shared" si="12"/>
        <v>0</v>
      </c>
      <c r="G27" s="223">
        <f t="shared" si="12"/>
        <v>0</v>
      </c>
      <c r="H27" s="223">
        <f t="shared" si="12"/>
        <v>0</v>
      </c>
      <c r="I27" s="223">
        <f t="shared" si="12"/>
        <v>0</v>
      </c>
      <c r="J27" s="223">
        <f t="shared" si="12"/>
        <v>0</v>
      </c>
      <c r="K27" s="223">
        <f t="shared" si="12"/>
        <v>0</v>
      </c>
      <c r="L27" s="223">
        <f t="shared" si="12"/>
        <v>0</v>
      </c>
      <c r="M27" s="223">
        <f t="shared" si="12"/>
        <v>0</v>
      </c>
      <c r="N27" s="223">
        <f t="shared" si="12"/>
        <v>0</v>
      </c>
      <c r="O27" s="223">
        <f t="shared" si="12"/>
        <v>0</v>
      </c>
    </row>
    <row r="30" spans="2:16">
      <c r="B30" s="560" t="s">
        <v>1187</v>
      </c>
      <c r="C30" s="561"/>
      <c r="D30" s="561"/>
      <c r="E30" s="561"/>
      <c r="F30" s="565">
        <v>0.01</v>
      </c>
      <c r="H30" s="2" t="s">
        <v>2338</v>
      </c>
      <c r="I30" s="1069">
        <f>I31-1%</f>
        <v>9.1294848218429286E-2</v>
      </c>
      <c r="J30" s="1069"/>
      <c r="M30" s="197" t="s">
        <v>2345</v>
      </c>
      <c r="N30" s="636">
        <f>WACC!D62</f>
        <v>9.1294848218429286E-2</v>
      </c>
    </row>
    <row r="31" spans="2:16">
      <c r="H31" s="2" t="s">
        <v>2337</v>
      </c>
      <c r="I31" s="1069">
        <f>N32</f>
        <v>0.10129484821842928</v>
      </c>
      <c r="J31" s="1257"/>
      <c r="M31" s="197" t="s">
        <v>2346</v>
      </c>
      <c r="N31" s="636">
        <v>0.01</v>
      </c>
    </row>
    <row r="32" spans="2:16">
      <c r="B32" s="560" t="s">
        <v>1188</v>
      </c>
      <c r="C32" s="561"/>
      <c r="D32" s="561"/>
      <c r="E32" s="561"/>
      <c r="F32" s="1127">
        <f>I31</f>
        <v>0.10129484821842928</v>
      </c>
      <c r="H32" s="2" t="s">
        <v>2339</v>
      </c>
      <c r="I32" s="1069">
        <f>I31+1%</f>
        <v>0.11129484821842928</v>
      </c>
      <c r="J32" s="1069"/>
      <c r="M32" s="1069"/>
      <c r="N32" s="636">
        <f>N30+N31</f>
        <v>0.10129484821842928</v>
      </c>
    </row>
    <row r="33" spans="2:11">
      <c r="H33" s="2">
        <f>K74</f>
        <v>122823.4513407856</v>
      </c>
      <c r="I33" s="197"/>
      <c r="J33" s="197"/>
      <c r="K33" s="1069"/>
    </row>
    <row r="34" spans="2:11">
      <c r="B34" s="560" t="s">
        <v>1192</v>
      </c>
      <c r="C34" s="561"/>
      <c r="D34" s="561"/>
      <c r="E34" s="561"/>
      <c r="F34" s="564">
        <f>SUM(E40:J40)</f>
        <v>1322609.5983117649</v>
      </c>
    </row>
    <row r="36" spans="2:11">
      <c r="B36" s="177" t="s">
        <v>1185</v>
      </c>
      <c r="C36" s="177"/>
      <c r="D36" s="177"/>
      <c r="E36" s="1219" t="s">
        <v>33</v>
      </c>
      <c r="F36" s="1219">
        <v>2012</v>
      </c>
      <c r="G36" s="1219">
        <v>2013</v>
      </c>
      <c r="H36" s="1219">
        <v>2014</v>
      </c>
      <c r="I36" s="1219">
        <v>2015</v>
      </c>
      <c r="J36" s="1219">
        <v>2016</v>
      </c>
      <c r="K36" s="1219" t="s">
        <v>1193</v>
      </c>
    </row>
    <row r="37" spans="2:11">
      <c r="B37" s="249" t="s">
        <v>736</v>
      </c>
      <c r="C37" s="249"/>
      <c r="D37" s="249"/>
      <c r="E37" s="249">
        <f>I25</f>
        <v>224613.59128659812</v>
      </c>
      <c r="F37" s="249">
        <f>K25</f>
        <v>216785.27805046612</v>
      </c>
      <c r="G37" s="249">
        <f>L25</f>
        <v>289156.75973099191</v>
      </c>
      <c r="H37" s="249">
        <f>M25</f>
        <v>327538.68547360291</v>
      </c>
      <c r="I37" s="249">
        <f>N25</f>
        <v>355478.70114331285</v>
      </c>
      <c r="J37" s="249">
        <f>O25</f>
        <v>390805.0040766254</v>
      </c>
      <c r="K37" s="249">
        <f>E46*(1+$F$30)/($F$32-$F$30)</f>
        <v>4323497.5666207708</v>
      </c>
    </row>
    <row r="38" spans="2:11">
      <c r="B38" s="197" t="s">
        <v>1189</v>
      </c>
      <c r="C38" s="197"/>
      <c r="D38" s="197"/>
      <c r="E38" s="566">
        <v>0.5</v>
      </c>
      <c r="F38" s="567">
        <f>E38+1</f>
        <v>1.5</v>
      </c>
      <c r="G38" s="567">
        <f>F38+1</f>
        <v>2.5</v>
      </c>
      <c r="H38" s="567">
        <f>G38+1</f>
        <v>3.5</v>
      </c>
      <c r="I38" s="567">
        <f>H38+1</f>
        <v>4.5</v>
      </c>
      <c r="J38" s="567">
        <f>I38+1</f>
        <v>5.5</v>
      </c>
      <c r="K38" s="567">
        <f>J38</f>
        <v>5.5</v>
      </c>
    </row>
    <row r="39" spans="2:11">
      <c r="B39" s="197" t="s">
        <v>1190</v>
      </c>
      <c r="C39" s="197"/>
      <c r="D39" s="197"/>
      <c r="E39" s="568">
        <f t="shared" ref="E39:K39" si="13">1/(1+$F$32)^E38</f>
        <v>0.95290190722531376</v>
      </c>
      <c r="F39" s="568">
        <f t="shared" si="13"/>
        <v>0.86525593828648917</v>
      </c>
      <c r="G39" s="568">
        <f t="shared" si="13"/>
        <v>0.78567146635273788</v>
      </c>
      <c r="H39" s="568">
        <f t="shared" si="13"/>
        <v>0.71340701141363083</v>
      </c>
      <c r="I39" s="568">
        <f t="shared" si="13"/>
        <v>0.64778929327392509</v>
      </c>
      <c r="J39" s="568">
        <f t="shared" si="13"/>
        <v>0.58820695867401662</v>
      </c>
      <c r="K39" s="568">
        <f t="shared" si="13"/>
        <v>0.58820695867401662</v>
      </c>
    </row>
    <row r="40" spans="2:11">
      <c r="B40" s="569" t="s">
        <v>1191</v>
      </c>
      <c r="C40" s="569"/>
      <c r="D40" s="569"/>
      <c r="E40" s="569">
        <f t="shared" ref="E40:K40" si="14">E37*E39</f>
        <v>214034.71952572645</v>
      </c>
      <c r="F40" s="569">
        <f t="shared" si="14"/>
        <v>187574.74916625352</v>
      </c>
      <c r="G40" s="569">
        <f t="shared" si="14"/>
        <v>227182.21542365471</v>
      </c>
      <c r="H40" s="569">
        <f t="shared" si="14"/>
        <v>233668.39472607226</v>
      </c>
      <c r="I40" s="569">
        <f t="shared" si="14"/>
        <v>230275.29658755945</v>
      </c>
      <c r="J40" s="569">
        <f t="shared" si="14"/>
        <v>229874.22288249849</v>
      </c>
      <c r="K40" s="569">
        <f t="shared" si="14"/>
        <v>2543111.3544965154</v>
      </c>
    </row>
    <row r="43" spans="2:11">
      <c r="B43" s="560" t="s">
        <v>1194</v>
      </c>
      <c r="C43" s="561"/>
      <c r="D43" s="561"/>
      <c r="E43" s="561"/>
      <c r="F43" s="570">
        <f>K40</f>
        <v>2543111.3544965154</v>
      </c>
    </row>
    <row r="44" spans="2:11">
      <c r="B44" s="249" t="s">
        <v>1195</v>
      </c>
      <c r="C44" s="249"/>
      <c r="D44" s="249"/>
      <c r="E44" s="249">
        <f>J37</f>
        <v>390805.0040766254</v>
      </c>
    </row>
    <row r="45" spans="2:11">
      <c r="B45" s="197" t="s">
        <v>1196</v>
      </c>
      <c r="C45" s="197"/>
      <c r="D45" s="197"/>
      <c r="E45" s="197"/>
    </row>
    <row r="46" spans="2:11">
      <c r="B46" s="8"/>
      <c r="C46" s="8"/>
      <c r="D46" s="8"/>
      <c r="E46" s="8">
        <f>E44+E45</f>
        <v>390805.0040766254</v>
      </c>
    </row>
    <row r="49" spans="2:6">
      <c r="B49" s="560" t="s">
        <v>1201</v>
      </c>
      <c r="C49" s="561"/>
      <c r="D49" s="561"/>
      <c r="E49" s="561"/>
      <c r="F49" s="570">
        <f>E53</f>
        <v>3913321.7410992803</v>
      </c>
    </row>
    <row r="50" spans="2:6">
      <c r="B50" s="249" t="s">
        <v>1197</v>
      </c>
      <c r="C50" s="249"/>
      <c r="D50" s="249"/>
      <c r="E50" s="249">
        <f>F34</f>
        <v>1322609.5983117649</v>
      </c>
    </row>
    <row r="51" spans="2:6">
      <c r="B51" s="197" t="s">
        <v>1198</v>
      </c>
      <c r="C51" s="197"/>
      <c r="D51" s="197"/>
      <c r="E51" s="197">
        <f>F43</f>
        <v>2543111.3544965154</v>
      </c>
    </row>
    <row r="52" spans="2:6">
      <c r="B52" s="197" t="s">
        <v>1199</v>
      </c>
      <c r="C52" s="197"/>
      <c r="D52" s="197"/>
      <c r="E52" s="197">
        <f>D61</f>
        <v>47600.788291000004</v>
      </c>
    </row>
    <row r="53" spans="2:6">
      <c r="B53" s="8" t="s">
        <v>1200</v>
      </c>
      <c r="C53" s="8"/>
      <c r="D53" s="8"/>
      <c r="E53" s="8">
        <f>SUM(E50:E52)</f>
        <v>3913321.7410992803</v>
      </c>
    </row>
    <row r="56" spans="2:6">
      <c r="B56" s="2" t="s">
        <v>1209</v>
      </c>
      <c r="D56" s="2">
        <f>BS!F35/1000000</f>
        <v>41959.143470000003</v>
      </c>
    </row>
    <row r="57" spans="2:6">
      <c r="B57" s="228" t="s">
        <v>1210</v>
      </c>
      <c r="C57" s="228"/>
      <c r="D57" s="228"/>
      <c r="E57" s="228" t="s">
        <v>1246</v>
      </c>
    </row>
    <row r="58" spans="2:6">
      <c r="B58" s="228" t="s">
        <v>1211</v>
      </c>
      <c r="C58" s="228"/>
      <c r="D58" s="228"/>
      <c r="E58" s="228" t="s">
        <v>1246</v>
      </c>
    </row>
    <row r="59" spans="2:6">
      <c r="B59" s="2" t="s">
        <v>1212</v>
      </c>
      <c r="E59" s="2" t="s">
        <v>1214</v>
      </c>
    </row>
    <row r="60" spans="2:6">
      <c r="B60" s="2" t="s">
        <v>1213</v>
      </c>
      <c r="D60" s="2">
        <f>BS!F50/1000000</f>
        <v>5641.6448209999999</v>
      </c>
    </row>
    <row r="61" spans="2:6">
      <c r="D61" s="2">
        <f>SUM(D56:D60)</f>
        <v>47600.788291000004</v>
      </c>
    </row>
    <row r="64" spans="2:6">
      <c r="B64" s="560" t="s">
        <v>1202</v>
      </c>
      <c r="C64" s="561"/>
      <c r="D64" s="561"/>
      <c r="E64" s="561"/>
      <c r="F64" s="570">
        <f>E69</f>
        <v>1013741.075</v>
      </c>
    </row>
    <row r="65" spans="2:12">
      <c r="B65" s="249" t="s">
        <v>1203</v>
      </c>
      <c r="C65" s="249"/>
      <c r="D65" s="249"/>
      <c r="E65" s="249"/>
    </row>
    <row r="66" spans="2:12">
      <c r="B66" s="197" t="s">
        <v>1215</v>
      </c>
      <c r="C66" s="197"/>
      <c r="D66" s="197"/>
      <c r="E66" s="197">
        <f>NetDebt!D67</f>
        <v>900000</v>
      </c>
    </row>
    <row r="67" spans="2:12">
      <c r="B67" s="197" t="s">
        <v>1216</v>
      </c>
      <c r="C67" s="197"/>
      <c r="D67" s="197"/>
      <c r="E67" s="197">
        <f>NetDebt!E67</f>
        <v>130000</v>
      </c>
    </row>
    <row r="68" spans="2:12">
      <c r="B68" s="197" t="s">
        <v>1424</v>
      </c>
      <c r="C68" s="197"/>
      <c r="D68" s="197"/>
      <c r="E68" s="197">
        <f>BS!F13/1000000</f>
        <v>16258.924999999999</v>
      </c>
    </row>
    <row r="69" spans="2:12">
      <c r="B69" s="8" t="s">
        <v>1423</v>
      </c>
      <c r="C69" s="8"/>
      <c r="D69" s="8"/>
      <c r="E69" s="8">
        <f>E66+E67-E68</f>
        <v>1013741.075</v>
      </c>
    </row>
    <row r="72" spans="2:12">
      <c r="B72" s="560" t="s">
        <v>1207</v>
      </c>
      <c r="C72" s="561"/>
      <c r="D72" s="561"/>
      <c r="E72" s="561"/>
      <c r="F72" s="570">
        <f>E75</f>
        <v>2899580.6660992801</v>
      </c>
      <c r="J72" s="249" t="s">
        <v>1250</v>
      </c>
      <c r="K72" s="249">
        <f>F72</f>
        <v>2899580.6660992801</v>
      </c>
      <c r="L72" s="249" t="s">
        <v>1251</v>
      </c>
    </row>
    <row r="73" spans="2:12">
      <c r="B73" s="249" t="s">
        <v>1204</v>
      </c>
      <c r="C73" s="249"/>
      <c r="D73" s="249"/>
      <c r="E73" s="249">
        <f>F49</f>
        <v>3913321.7410992803</v>
      </c>
      <c r="J73" s="197" t="s">
        <v>1252</v>
      </c>
      <c r="K73" s="197">
        <v>23607712</v>
      </c>
      <c r="L73" s="197" t="s">
        <v>1255</v>
      </c>
    </row>
    <row r="74" spans="2:12">
      <c r="B74" s="197" t="s">
        <v>1205</v>
      </c>
      <c r="C74" s="197"/>
      <c r="D74" s="197"/>
      <c r="E74" s="197">
        <f>F64</f>
        <v>1013741.075</v>
      </c>
      <c r="J74" s="8" t="s">
        <v>1253</v>
      </c>
      <c r="K74" s="8">
        <f>K72/K73*1000000</f>
        <v>122823.4513407856</v>
      </c>
      <c r="L74" s="8" t="s">
        <v>1254</v>
      </c>
    </row>
    <row r="75" spans="2:12">
      <c r="B75" s="8" t="s">
        <v>1206</v>
      </c>
      <c r="C75" s="8"/>
      <c r="D75" s="8"/>
      <c r="E75" s="8">
        <f>E73-E74</f>
        <v>2899580.6660992801</v>
      </c>
    </row>
    <row r="79" spans="2:12" ht="16">
      <c r="B79" s="212" t="s">
        <v>739</v>
      </c>
      <c r="C79" s="209"/>
      <c r="D79" s="209"/>
      <c r="E79" s="209"/>
    </row>
    <row r="80" spans="2:12" ht="16">
      <c r="B80" s="209"/>
      <c r="C80" s="209"/>
      <c r="D80" s="209"/>
      <c r="E80" s="209"/>
    </row>
    <row r="81" spans="2:8" ht="16">
      <c r="B81" s="224" t="s">
        <v>738</v>
      </c>
      <c r="C81" s="224"/>
      <c r="D81" s="225" t="s">
        <v>1296</v>
      </c>
      <c r="E81" s="225" t="s">
        <v>1295</v>
      </c>
      <c r="F81" s="225" t="s">
        <v>1297</v>
      </c>
      <c r="G81" s="225" t="s">
        <v>740</v>
      </c>
      <c r="H81" s="225" t="s">
        <v>741</v>
      </c>
    </row>
    <row r="82" spans="2:8" ht="16">
      <c r="B82" s="209" t="s">
        <v>728</v>
      </c>
      <c r="C82" s="209"/>
      <c r="D82" s="219">
        <v>0.12100000000000001</v>
      </c>
      <c r="E82" s="219">
        <v>0.12100000000000001</v>
      </c>
      <c r="F82" s="219">
        <v>0.11</v>
      </c>
      <c r="G82" s="219">
        <v>0.11</v>
      </c>
      <c r="H82" s="219">
        <v>0.11000000000000001</v>
      </c>
    </row>
    <row r="83" spans="2:8" ht="16">
      <c r="B83" s="224" t="s">
        <v>729</v>
      </c>
      <c r="C83" s="224"/>
      <c r="D83" s="226">
        <v>0.27500000000000002</v>
      </c>
      <c r="E83" s="226">
        <v>0.24200000000000002</v>
      </c>
      <c r="F83" s="226">
        <v>0.24199999999999999</v>
      </c>
      <c r="G83" s="226">
        <v>0.24199999999999999</v>
      </c>
      <c r="H83" s="226">
        <v>0.22000000000000003</v>
      </c>
    </row>
    <row r="84" spans="2:8">
      <c r="B84" s="228" t="s">
        <v>742</v>
      </c>
    </row>
  </sheetData>
  <phoneticPr fontId="2" type="noConversion"/>
  <pageMargins left="0.6" right="0.6" top="1" bottom="1" header="0.5" footer="0.5"/>
  <pageSetup scale="44" orientation="landscape" r:id="rId1"/>
  <ignoredErrors>
    <ignoredError sqref="E13:O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404"/>
  <sheetViews>
    <sheetView showGridLines="0" zoomScale="99" workbookViewId="0">
      <selection activeCell="E22" sqref="E22"/>
    </sheetView>
  </sheetViews>
  <sheetFormatPr defaultColWidth="9" defaultRowHeight="14.5" outlineLevelRow="1"/>
  <cols>
    <col min="1" max="1" width="1.58203125" style="93" customWidth="1"/>
    <col min="2" max="2" width="1.58203125" style="179" customWidth="1"/>
    <col min="3" max="3" width="27.6640625" style="93" customWidth="1"/>
    <col min="4" max="4" width="11" style="93" customWidth="1"/>
    <col min="5" max="5" width="10.5" style="93" bestFit="1" customWidth="1"/>
    <col min="6" max="9" width="11.1640625" style="93" bestFit="1" customWidth="1"/>
    <col min="10" max="14" width="10.5" style="93" bestFit="1" customWidth="1"/>
    <col min="15" max="16" width="9.58203125" style="93" bestFit="1" customWidth="1"/>
    <col min="17" max="16384" width="9" style="93"/>
  </cols>
  <sheetData>
    <row r="1" spans="1:18" s="1332" customFormat="1">
      <c r="A1" s="93"/>
      <c r="B1" s="1331" t="s">
        <v>3000</v>
      </c>
      <c r="C1" s="1331"/>
    </row>
    <row r="2" spans="1:18">
      <c r="C2" s="92"/>
    </row>
    <row r="3" spans="1:18">
      <c r="C3" s="191" t="s">
        <v>699</v>
      </c>
      <c r="D3" s="192"/>
      <c r="E3" s="1328">
        <v>1</v>
      </c>
    </row>
    <row r="4" spans="1:18">
      <c r="C4" s="1329" t="s">
        <v>1143</v>
      </c>
      <c r="D4" s="114"/>
      <c r="E4" s="1327">
        <v>1</v>
      </c>
    </row>
    <row r="5" spans="1:18">
      <c r="C5" s="1330" t="s">
        <v>1142</v>
      </c>
      <c r="D5" s="106"/>
      <c r="E5" s="1187">
        <v>2</v>
      </c>
    </row>
    <row r="6" spans="1:18">
      <c r="C6" s="92"/>
    </row>
    <row r="7" spans="1:18">
      <c r="C7" s="92"/>
    </row>
    <row r="8" spans="1:18" s="1332" customFormat="1">
      <c r="A8" s="93"/>
      <c r="B8" s="1331" t="s">
        <v>2999</v>
      </c>
      <c r="C8" s="1331"/>
    </row>
    <row r="9" spans="1:18">
      <c r="C9" s="92"/>
      <c r="F9" s="1319" t="s">
        <v>28</v>
      </c>
      <c r="G9" s="1319" t="s">
        <v>28</v>
      </c>
      <c r="H9" s="1319" t="s">
        <v>28</v>
      </c>
      <c r="I9" s="1319" t="s">
        <v>28</v>
      </c>
      <c r="J9" s="1319" t="s">
        <v>29</v>
      </c>
      <c r="K9" s="1319" t="s">
        <v>29</v>
      </c>
      <c r="L9" s="1319" t="s">
        <v>29</v>
      </c>
      <c r="M9" s="1319" t="s">
        <v>29</v>
      </c>
      <c r="N9" s="1319" t="s">
        <v>29</v>
      </c>
      <c r="O9" s="1319" t="s">
        <v>29</v>
      </c>
      <c r="P9" s="1319" t="s">
        <v>29</v>
      </c>
    </row>
    <row r="10" spans="1:18" ht="15" thickBot="1">
      <c r="C10" s="110" t="s">
        <v>2996</v>
      </c>
      <c r="D10" s="94"/>
      <c r="E10" s="94"/>
      <c r="F10" s="1318">
        <v>2008</v>
      </c>
      <c r="G10" s="1318">
        <v>2009</v>
      </c>
      <c r="H10" s="1318">
        <v>2010</v>
      </c>
      <c r="I10" s="1318" t="s">
        <v>32</v>
      </c>
      <c r="J10" s="1318" t="s">
        <v>33</v>
      </c>
      <c r="K10" s="1318">
        <v>2011</v>
      </c>
      <c r="L10" s="1318">
        <v>2012</v>
      </c>
      <c r="M10" s="1318">
        <v>2013</v>
      </c>
      <c r="N10" s="1318">
        <v>2014</v>
      </c>
      <c r="O10" s="1318">
        <v>2015</v>
      </c>
      <c r="P10" s="1318">
        <v>2016</v>
      </c>
    </row>
    <row r="11" spans="1:18" s="146" customFormat="1">
      <c r="B11" s="1337"/>
      <c r="C11" s="1320" t="s">
        <v>752</v>
      </c>
      <c r="D11" s="1338"/>
      <c r="E11" s="1338"/>
      <c r="F11" s="1339">
        <f>IS!C4/1000000</f>
        <v>1491976.22114</v>
      </c>
      <c r="G11" s="1339">
        <f>IS!D4/1000000</f>
        <v>2663947.8663639999</v>
      </c>
      <c r="H11" s="1339">
        <f>IS!E4/1000000</f>
        <v>3046678.6757970001</v>
      </c>
      <c r="I11" s="1339">
        <f>IS!F4/1000000</f>
        <v>1606909.618359</v>
      </c>
      <c r="J11" s="1339">
        <f t="shared" ref="J11:P11" si="0">($E$3=1)*J12+($E$3=2)*J13</f>
        <v>1826768.9985385463</v>
      </c>
      <c r="K11" s="1339">
        <f t="shared" si="0"/>
        <v>3433678.6168975462</v>
      </c>
      <c r="L11" s="1339">
        <f t="shared" si="0"/>
        <v>3874341.5840919763</v>
      </c>
      <c r="M11" s="1339">
        <f t="shared" si="0"/>
        <v>4226781.2635950102</v>
      </c>
      <c r="N11" s="1339">
        <f t="shared" si="0"/>
        <v>4456133.2940086992</v>
      </c>
      <c r="O11" s="1339">
        <f t="shared" si="0"/>
        <v>4697930.3388611386</v>
      </c>
      <c r="P11" s="1339">
        <f t="shared" si="0"/>
        <v>4952847.6848899331</v>
      </c>
    </row>
    <row r="12" spans="1:18">
      <c r="C12" s="202" t="s">
        <v>2994</v>
      </c>
      <c r="D12" s="179"/>
      <c r="E12" s="179"/>
      <c r="F12" s="180"/>
      <c r="G12" s="180"/>
      <c r="H12" s="180"/>
      <c r="I12" s="180"/>
      <c r="J12" s="180">
        <f>H26</f>
        <v>1826768.9985385463</v>
      </c>
      <c r="K12" s="180">
        <f>J12+I11</f>
        <v>3433678.6168975462</v>
      </c>
      <c r="L12" s="180">
        <f>J26</f>
        <v>3874341.5840919763</v>
      </c>
      <c r="M12" s="180">
        <f>K26</f>
        <v>4226781.2635950102</v>
      </c>
      <c r="N12" s="180">
        <f>L26</f>
        <v>4456133.2940086992</v>
      </c>
      <c r="O12" s="180">
        <f>M26</f>
        <v>4697930.3388611386</v>
      </c>
      <c r="P12" s="180">
        <f>N26</f>
        <v>4952847.6848899331</v>
      </c>
    </row>
    <row r="13" spans="1:18">
      <c r="C13" s="1321" t="s">
        <v>2995</v>
      </c>
      <c r="D13" s="1322"/>
      <c r="E13" s="1322"/>
      <c r="F13" s="1323"/>
      <c r="G13" s="1323"/>
      <c r="H13" s="1323"/>
      <c r="I13" s="1323"/>
      <c r="J13" s="1323">
        <f>H136</f>
        <v>1736758.8776109687</v>
      </c>
      <c r="K13" s="1323">
        <f>I11+J13</f>
        <v>3343668.4959699688</v>
      </c>
      <c r="L13" s="1323">
        <f>J136</f>
        <v>3834198.1685512364</v>
      </c>
      <c r="M13" s="1323">
        <f>K136</f>
        <v>4159643.0612915186</v>
      </c>
      <c r="N13" s="1323">
        <f>L136</f>
        <v>4454188.8208212471</v>
      </c>
      <c r="O13" s="1323">
        <f>M136</f>
        <v>4743078.3264034251</v>
      </c>
      <c r="P13" s="1323">
        <f>N136</f>
        <v>5025207.9366642078</v>
      </c>
    </row>
    <row r="14" spans="1:18">
      <c r="C14" s="1324" t="s">
        <v>2997</v>
      </c>
      <c r="D14" s="1324"/>
      <c r="E14" s="1324"/>
      <c r="F14" s="1324"/>
      <c r="G14" s="1324"/>
      <c r="H14" s="1324"/>
      <c r="I14" s="1324"/>
      <c r="J14" s="1324"/>
      <c r="K14" s="1324"/>
      <c r="L14" s="1324"/>
      <c r="M14" s="1324"/>
      <c r="N14" s="1324"/>
      <c r="O14" s="1324"/>
      <c r="P14" s="1324"/>
    </row>
    <row r="15" spans="1:18">
      <c r="C15" s="1325" t="s">
        <v>2998</v>
      </c>
      <c r="D15" s="179"/>
      <c r="E15" s="179"/>
      <c r="F15" s="181"/>
      <c r="G15" s="181"/>
      <c r="H15" s="181">
        <f>H11/G11-1</f>
        <v>0.14367053284544418</v>
      </c>
      <c r="I15" s="179"/>
      <c r="J15" s="179"/>
      <c r="K15" s="181">
        <f>K11/H11-1</f>
        <v>0.1270235499972141</v>
      </c>
      <c r="L15" s="181">
        <f>L11/K11-1</f>
        <v>0.12833553059563418</v>
      </c>
      <c r="M15" s="181">
        <f>M11/L11-1</f>
        <v>9.0967632010081179E-2</v>
      </c>
      <c r="N15" s="181">
        <f>N11/M11-1</f>
        <v>5.4261627491605235E-2</v>
      </c>
      <c r="O15" s="181">
        <f>O11/N11-1</f>
        <v>5.4261627491605013E-2</v>
      </c>
      <c r="P15" s="181">
        <f>P11/O11-1</f>
        <v>5.4261627491605458E-2</v>
      </c>
    </row>
    <row r="16" spans="1:18">
      <c r="C16" s="1325" t="s">
        <v>204</v>
      </c>
      <c r="D16" s="179"/>
      <c r="E16" s="179"/>
      <c r="F16" s="179"/>
      <c r="G16" s="179"/>
      <c r="H16" s="180">
        <f>F130</f>
        <v>283</v>
      </c>
      <c r="I16" s="180">
        <f t="shared" ref="I16:K16" si="1">G130</f>
        <v>295</v>
      </c>
      <c r="J16" s="180">
        <f t="shared" si="1"/>
        <v>307</v>
      </c>
      <c r="K16" s="180">
        <f t="shared" si="1"/>
        <v>307</v>
      </c>
      <c r="L16" s="180">
        <f t="shared" ref="L16" si="2">J130</f>
        <v>332</v>
      </c>
      <c r="M16" s="180">
        <f t="shared" ref="M16" si="3">K130</f>
        <v>348</v>
      </c>
      <c r="N16" s="180">
        <f t="shared" ref="N16" si="4">L130</f>
        <v>359</v>
      </c>
      <c r="O16" s="180">
        <f t="shared" ref="O16" si="5">M130</f>
        <v>369</v>
      </c>
      <c r="P16" s="180">
        <f t="shared" ref="P16" si="6">N130</f>
        <v>377</v>
      </c>
      <c r="Q16" s="179"/>
      <c r="R16" s="179"/>
    </row>
    <row r="17" spans="1:18">
      <c r="C17" s="1326" t="s">
        <v>206</v>
      </c>
      <c r="D17" s="179"/>
      <c r="E17" s="179"/>
      <c r="F17" s="179"/>
      <c r="G17" s="179"/>
      <c r="H17" s="180">
        <f t="shared" ref="H17:P17" si="7">H11/H16</f>
        <v>10765.649031084806</v>
      </c>
      <c r="I17" s="180">
        <f t="shared" si="7"/>
        <v>5447.151248674576</v>
      </c>
      <c r="J17" s="180">
        <f t="shared" si="7"/>
        <v>5950.3876173894014</v>
      </c>
      <c r="K17" s="180">
        <f t="shared" si="7"/>
        <v>11184.620901946404</v>
      </c>
      <c r="L17" s="180">
        <f t="shared" si="7"/>
        <v>11669.703566542097</v>
      </c>
      <c r="M17" s="180">
        <f t="shared" si="7"/>
        <v>12145.92317125003</v>
      </c>
      <c r="N17" s="180">
        <f t="shared" si="7"/>
        <v>12412.627559912811</v>
      </c>
      <c r="O17" s="180">
        <f t="shared" si="7"/>
        <v>12731.51853349902</v>
      </c>
      <c r="P17" s="180">
        <f t="shared" si="7"/>
        <v>13137.527015623165</v>
      </c>
      <c r="Q17" s="179"/>
      <c r="R17" s="179"/>
    </row>
    <row r="18" spans="1:18" ht="15" thickBot="1">
      <c r="C18" s="1336" t="s">
        <v>1147</v>
      </c>
      <c r="D18" s="117"/>
      <c r="E18" s="117"/>
      <c r="F18" s="117"/>
      <c r="G18" s="117"/>
      <c r="H18" s="117"/>
      <c r="I18" s="117"/>
      <c r="J18" s="117"/>
      <c r="K18" s="119">
        <f>K17/H17-1</f>
        <v>3.8917474427399235E-2</v>
      </c>
      <c r="L18" s="119">
        <f>L17/K17-1</f>
        <v>4.3370505701384676E-2</v>
      </c>
      <c r="M18" s="119">
        <f t="shared" ref="M18:P18" si="8">M17/L17-1</f>
        <v>4.0808200653295934E-2</v>
      </c>
      <c r="N18" s="119">
        <f t="shared" si="8"/>
        <v>2.1958346426402819E-2</v>
      </c>
      <c r="O18" s="119">
        <f t="shared" si="8"/>
        <v>2.5690851678824567E-2</v>
      </c>
      <c r="P18" s="119">
        <f t="shared" si="8"/>
        <v>3.1890027969237122E-2</v>
      </c>
      <c r="Q18" s="179"/>
      <c r="R18" s="179"/>
    </row>
    <row r="19" spans="1:18"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</row>
    <row r="20" spans="1:18"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</row>
    <row r="21" spans="1:18" s="1332" customFormat="1">
      <c r="A21" s="93"/>
      <c r="B21" s="1331" t="s">
        <v>1143</v>
      </c>
      <c r="C21" s="1331"/>
    </row>
    <row r="22" spans="1:18">
      <c r="C22" s="92"/>
      <c r="F22" s="95"/>
      <c r="G22" s="95"/>
      <c r="H22" s="95"/>
      <c r="I22" s="95"/>
      <c r="J22" s="95"/>
    </row>
    <row r="23" spans="1:18" ht="15" thickBot="1">
      <c r="C23" s="110" t="s">
        <v>680</v>
      </c>
      <c r="D23" s="94"/>
      <c r="E23" s="94"/>
      <c r="F23" s="1157">
        <v>2010</v>
      </c>
      <c r="G23" s="1157" t="s">
        <v>32</v>
      </c>
      <c r="H23" s="1157" t="s">
        <v>33</v>
      </c>
      <c r="I23" s="1157">
        <v>2011</v>
      </c>
      <c r="J23" s="1157">
        <v>2012</v>
      </c>
      <c r="K23" s="1157">
        <v>2013</v>
      </c>
      <c r="L23" s="1157">
        <v>2014</v>
      </c>
      <c r="M23" s="1157">
        <v>2015</v>
      </c>
      <c r="N23" s="1157">
        <v>2016</v>
      </c>
    </row>
    <row r="24" spans="1:18">
      <c r="C24" s="103" t="s">
        <v>676</v>
      </c>
      <c r="F24" s="95">
        <f>E54</f>
        <v>23003000</v>
      </c>
      <c r="G24" s="95"/>
      <c r="H24" s="95"/>
      <c r="I24" s="95">
        <f>G54</f>
        <v>24371000</v>
      </c>
      <c r="J24" s="95">
        <f t="shared" ref="J24:N24" si="9">H54</f>
        <v>26314000</v>
      </c>
      <c r="K24" s="95">
        <f t="shared" si="9"/>
        <v>27994000</v>
      </c>
      <c r="L24" s="95">
        <f t="shared" si="9"/>
        <v>29513000</v>
      </c>
      <c r="M24" s="95">
        <f t="shared" si="9"/>
        <v>31114423.412159745</v>
      </c>
      <c r="N24" s="95">
        <f t="shared" si="9"/>
        <v>32802742.664966438</v>
      </c>
    </row>
    <row r="25" spans="1:18">
      <c r="C25" s="103" t="s">
        <v>677</v>
      </c>
      <c r="F25" s="112">
        <f>F26/F24</f>
        <v>0.13263487371212451</v>
      </c>
      <c r="G25" s="95"/>
      <c r="H25" s="112"/>
      <c r="I25" s="112">
        <f>I26/I24</f>
        <v>0.14089198707059811</v>
      </c>
      <c r="J25" s="112">
        <f t="shared" ref="J25:N25" si="10">H66</f>
        <v>0.147234992174963</v>
      </c>
      <c r="K25" s="112">
        <f t="shared" si="10"/>
        <v>0.15098882844877509</v>
      </c>
      <c r="L25" s="112">
        <f t="shared" si="10"/>
        <v>0.15098882844877509</v>
      </c>
      <c r="M25" s="112">
        <f t="shared" si="10"/>
        <v>0.15098882844877509</v>
      </c>
      <c r="N25" s="112">
        <f t="shared" si="10"/>
        <v>0.15098882844877509</v>
      </c>
    </row>
    <row r="26" spans="1:18">
      <c r="C26" s="113" t="s">
        <v>678</v>
      </c>
      <c r="D26" s="114"/>
      <c r="E26" s="114"/>
      <c r="F26" s="115">
        <f>F136</f>
        <v>3051000</v>
      </c>
      <c r="G26" s="115">
        <f>G136</f>
        <v>1606909.618359</v>
      </c>
      <c r="H26" s="115">
        <f>F34+F36</f>
        <v>1826768.9985385463</v>
      </c>
      <c r="I26" s="115">
        <f>F35+F36</f>
        <v>3433678.6168975462</v>
      </c>
      <c r="J26" s="115">
        <f t="shared" ref="J26:N26" si="11">J24*J25</f>
        <v>3874341.5840919763</v>
      </c>
      <c r="K26" s="115">
        <f t="shared" si="11"/>
        <v>4226781.2635950102</v>
      </c>
      <c r="L26" s="115">
        <f t="shared" si="11"/>
        <v>4456133.2940086992</v>
      </c>
      <c r="M26" s="115">
        <f t="shared" si="11"/>
        <v>4697930.3388611386</v>
      </c>
      <c r="N26" s="115">
        <f t="shared" si="11"/>
        <v>4952847.6848899331</v>
      </c>
    </row>
    <row r="27" spans="1:18" ht="15" thickBot="1">
      <c r="C27" s="116" t="s">
        <v>194</v>
      </c>
      <c r="D27" s="117"/>
      <c r="E27" s="117"/>
      <c r="F27" s="118"/>
      <c r="G27" s="118"/>
      <c r="H27" s="118"/>
      <c r="I27" s="119">
        <f>I26/F26-1</f>
        <v>0.12542727528598707</v>
      </c>
      <c r="J27" s="119">
        <f>J26/I26-1</f>
        <v>0.12833553059563418</v>
      </c>
      <c r="K27" s="119">
        <f t="shared" ref="K27:N27" si="12">K26/J26-1</f>
        <v>9.0967632010081179E-2</v>
      </c>
      <c r="L27" s="119">
        <f t="shared" si="12"/>
        <v>5.4261627491605235E-2</v>
      </c>
      <c r="M27" s="119">
        <f t="shared" si="12"/>
        <v>5.4261627491605013E-2</v>
      </c>
      <c r="N27" s="119">
        <f t="shared" si="12"/>
        <v>5.4261627491605458E-2</v>
      </c>
    </row>
    <row r="28" spans="1:18">
      <c r="C28" s="92"/>
      <c r="F28" s="95"/>
      <c r="G28" s="95"/>
      <c r="H28" s="95"/>
      <c r="I28" s="95"/>
      <c r="J28" s="95"/>
    </row>
    <row r="29" spans="1:18">
      <c r="C29" s="92"/>
      <c r="F29" s="95"/>
      <c r="G29" s="95"/>
      <c r="H29" s="95"/>
      <c r="I29" s="95"/>
      <c r="J29" s="95"/>
    </row>
    <row r="30" spans="1:18">
      <c r="C30" s="92" t="s">
        <v>1256</v>
      </c>
      <c r="F30" s="95"/>
      <c r="G30" s="95"/>
      <c r="H30" s="95"/>
      <c r="I30" s="95"/>
      <c r="J30" s="95"/>
    </row>
    <row r="31" spans="1:18">
      <c r="C31" s="92"/>
      <c r="F31" s="95"/>
      <c r="G31" s="95"/>
      <c r="H31" s="95"/>
      <c r="I31" s="95"/>
      <c r="J31" s="95"/>
    </row>
    <row r="32" spans="1:18">
      <c r="C32" s="189" t="s">
        <v>1266</v>
      </c>
      <c r="D32" s="601"/>
      <c r="E32" s="602" t="s">
        <v>1265</v>
      </c>
      <c r="F32" s="602" t="s">
        <v>1264</v>
      </c>
      <c r="H32" s="95"/>
      <c r="I32" s="95"/>
      <c r="J32" s="95"/>
    </row>
    <row r="33" spans="3:12">
      <c r="C33" s="103" t="s">
        <v>1258</v>
      </c>
      <c r="E33" s="95"/>
      <c r="F33" s="95">
        <f>G26</f>
        <v>1606909.618359</v>
      </c>
      <c r="H33" s="95"/>
      <c r="I33" s="95"/>
      <c r="J33" s="95"/>
      <c r="K33" s="104"/>
    </row>
    <row r="34" spans="3:12">
      <c r="C34" s="103" t="s">
        <v>1259</v>
      </c>
      <c r="E34" s="95"/>
      <c r="F34" s="95">
        <v>921517</v>
      </c>
      <c r="H34" s="95"/>
      <c r="I34" s="95"/>
      <c r="J34" s="95"/>
    </row>
    <row r="35" spans="3:12">
      <c r="C35" s="103" t="s">
        <v>1260</v>
      </c>
      <c r="E35" s="95">
        <v>2243455</v>
      </c>
      <c r="F35" s="96">
        <f>SUM(F33:F34)</f>
        <v>2528426.618359</v>
      </c>
      <c r="H35" s="95"/>
      <c r="I35" s="95"/>
      <c r="J35" s="95"/>
    </row>
    <row r="36" spans="3:12">
      <c r="C36" s="599" t="s">
        <v>1261</v>
      </c>
      <c r="D36" s="171"/>
      <c r="E36" s="600">
        <v>803223.67579700006</v>
      </c>
      <c r="F36" s="174">
        <f>E36*E40</f>
        <v>905251.99853854638</v>
      </c>
      <c r="G36" s="95"/>
      <c r="H36" s="95"/>
      <c r="I36" s="95"/>
      <c r="J36" s="95"/>
    </row>
    <row r="37" spans="3:12">
      <c r="C37" s="92"/>
      <c r="E37" s="96"/>
      <c r="F37" s="95"/>
      <c r="G37" s="95"/>
      <c r="H37" s="95"/>
      <c r="I37" s="95"/>
      <c r="J37" s="95"/>
    </row>
    <row r="38" spans="3:12">
      <c r="C38" s="92" t="s">
        <v>1257</v>
      </c>
      <c r="E38" s="96"/>
      <c r="F38" s="95"/>
      <c r="G38" s="95"/>
      <c r="H38" s="95"/>
      <c r="I38" s="95"/>
      <c r="J38" s="95"/>
    </row>
    <row r="39" spans="3:12">
      <c r="C39" s="92"/>
      <c r="E39" s="96"/>
      <c r="F39" s="95"/>
      <c r="G39" s="95"/>
      <c r="H39" s="95"/>
      <c r="I39" s="95"/>
      <c r="J39" s="95"/>
    </row>
    <row r="40" spans="3:12">
      <c r="C40" s="113" t="s">
        <v>1264</v>
      </c>
      <c r="D40" s="597">
        <f>F35</f>
        <v>2528426.618359</v>
      </c>
      <c r="E40" s="598">
        <f>D40/D41</f>
        <v>1.1270235499972141</v>
      </c>
      <c r="F40" s="95"/>
      <c r="G40" s="95"/>
      <c r="H40" s="95"/>
      <c r="I40" s="95"/>
      <c r="J40" s="95"/>
    </row>
    <row r="41" spans="3:12">
      <c r="C41" s="105" t="s">
        <v>1265</v>
      </c>
      <c r="D41" s="145">
        <f>E35</f>
        <v>2243455</v>
      </c>
      <c r="E41" s="145"/>
      <c r="F41" s="95"/>
      <c r="G41" s="95"/>
      <c r="H41" s="95"/>
      <c r="I41" s="95"/>
      <c r="J41" s="95"/>
    </row>
    <row r="42" spans="3:12">
      <c r="C42" s="92"/>
      <c r="F42" s="95"/>
      <c r="G42" s="95"/>
      <c r="H42" s="95"/>
      <c r="I42" s="95"/>
      <c r="J42" s="95"/>
    </row>
    <row r="43" spans="3:12">
      <c r="C43" s="1333" t="s">
        <v>695</v>
      </c>
      <c r="D43" s="1334"/>
      <c r="E43" s="1334"/>
      <c r="F43" s="1335"/>
      <c r="G43" s="1335"/>
      <c r="H43" s="1335"/>
      <c r="I43" s="1335"/>
      <c r="J43" s="1335"/>
      <c r="K43" s="1334"/>
      <c r="L43" s="1334"/>
    </row>
    <row r="44" spans="3:12">
      <c r="C44" s="92"/>
      <c r="F44" s="95"/>
      <c r="G44" s="95"/>
      <c r="H44" s="95"/>
      <c r="I44" s="95"/>
      <c r="J44" s="95"/>
    </row>
    <row r="45" spans="3:12">
      <c r="C45" s="191" t="s">
        <v>1263</v>
      </c>
      <c r="D45" s="192"/>
      <c r="E45" s="1185">
        <v>2</v>
      </c>
      <c r="F45" s="95"/>
      <c r="G45" s="95"/>
      <c r="H45" s="95"/>
      <c r="I45" s="95"/>
      <c r="J45" s="95"/>
    </row>
    <row r="46" spans="3:12">
      <c r="C46" s="193" t="s">
        <v>688</v>
      </c>
      <c r="D46" s="179"/>
      <c r="E46" s="1186">
        <v>1</v>
      </c>
      <c r="F46" s="95"/>
      <c r="G46" s="95"/>
      <c r="H46" s="95"/>
      <c r="I46" s="95"/>
      <c r="J46" s="95"/>
    </row>
    <row r="47" spans="3:12">
      <c r="C47" s="194" t="s">
        <v>1262</v>
      </c>
      <c r="D47" s="106"/>
      <c r="E47" s="1187">
        <v>2</v>
      </c>
      <c r="F47" s="95"/>
      <c r="G47" s="95"/>
      <c r="H47" s="95"/>
      <c r="I47" s="95"/>
      <c r="J47" s="104">
        <f>J51/I51-1</f>
        <v>5.4261627491605235E-2</v>
      </c>
    </row>
    <row r="48" spans="3:12">
      <c r="C48" s="92"/>
      <c r="F48" s="95"/>
      <c r="G48" s="95"/>
      <c r="H48" s="95"/>
      <c r="I48" s="95"/>
      <c r="J48" s="95"/>
    </row>
    <row r="49" spans="2:12">
      <c r="C49" s="103"/>
      <c r="D49" s="111"/>
      <c r="E49" s="1220" t="s">
        <v>691</v>
      </c>
      <c r="F49" s="1221"/>
      <c r="G49" s="1220" t="s">
        <v>692</v>
      </c>
      <c r="H49" s="1221"/>
      <c r="I49" s="1221"/>
      <c r="J49" s="1221"/>
      <c r="K49" s="1222"/>
      <c r="L49" s="1222"/>
    </row>
    <row r="50" spans="2:12">
      <c r="C50" s="102" t="s">
        <v>679</v>
      </c>
      <c r="D50" s="102"/>
      <c r="E50" s="1150">
        <v>2010</v>
      </c>
      <c r="F50" s="1150" t="s">
        <v>673</v>
      </c>
      <c r="G50" s="1150">
        <v>2011</v>
      </c>
      <c r="H50" s="1150">
        <v>2012</v>
      </c>
      <c r="I50" s="1150">
        <v>2013</v>
      </c>
      <c r="J50" s="1150">
        <v>2014</v>
      </c>
      <c r="K50" s="1150">
        <v>2015</v>
      </c>
      <c r="L50" s="1150">
        <v>2016</v>
      </c>
    </row>
    <row r="51" spans="2:12">
      <c r="C51" s="92" t="s">
        <v>693</v>
      </c>
      <c r="E51" s="96">
        <f>I95*1000</f>
        <v>23003000</v>
      </c>
      <c r="G51" s="95">
        <f>K298*1000</f>
        <v>24371000</v>
      </c>
      <c r="H51" s="95">
        <f>L298*1000</f>
        <v>26314000</v>
      </c>
      <c r="I51" s="95">
        <f>M298*1000</f>
        <v>27994000</v>
      </c>
      <c r="J51" s="95">
        <f>N298*1000</f>
        <v>29513000</v>
      </c>
      <c r="K51" s="95"/>
      <c r="L51" s="95"/>
    </row>
    <row r="52" spans="2:12">
      <c r="C52" s="103" t="s">
        <v>696</v>
      </c>
      <c r="F52" s="104">
        <f>J95</f>
        <v>2.4194665096035406E-2</v>
      </c>
      <c r="G52" s="112">
        <f>F52</f>
        <v>2.4194665096035406E-2</v>
      </c>
      <c r="H52" s="112">
        <f t="shared" ref="H52:L52" si="13">G52</f>
        <v>2.4194665096035406E-2</v>
      </c>
      <c r="I52" s="112">
        <f t="shared" si="13"/>
        <v>2.4194665096035406E-2</v>
      </c>
      <c r="J52" s="112">
        <f t="shared" si="13"/>
        <v>2.4194665096035406E-2</v>
      </c>
      <c r="K52" s="112">
        <f t="shared" si="13"/>
        <v>2.4194665096035406E-2</v>
      </c>
      <c r="L52" s="112">
        <f t="shared" si="13"/>
        <v>2.4194665096035406E-2</v>
      </c>
    </row>
    <row r="53" spans="2:12">
      <c r="C53" s="103" t="s">
        <v>697</v>
      </c>
      <c r="F53" s="104">
        <f>(J51/G51)^(1/3)-1</f>
        <v>6.589232741275719E-2</v>
      </c>
      <c r="G53" s="112">
        <f>G51/E51-1</f>
        <v>5.9470503847324219E-2</v>
      </c>
      <c r="H53" s="112">
        <f>H51/G51-1</f>
        <v>7.9725903738049331E-2</v>
      </c>
      <c r="I53" s="112">
        <f t="shared" ref="I53:J53" si="14">I51/H51-1</f>
        <v>6.3844341415216332E-2</v>
      </c>
      <c r="J53" s="112">
        <f t="shared" si="14"/>
        <v>5.4261627491605235E-2</v>
      </c>
      <c r="K53" s="596">
        <f>J53</f>
        <v>5.4261627491605235E-2</v>
      </c>
      <c r="L53" s="596">
        <f>K53</f>
        <v>5.4261627491605235E-2</v>
      </c>
    </row>
    <row r="54" spans="2:12">
      <c r="C54" s="189" t="s">
        <v>694</v>
      </c>
      <c r="D54" s="106"/>
      <c r="E54" s="145">
        <f>E51</f>
        <v>23003000</v>
      </c>
      <c r="F54" s="107"/>
      <c r="G54" s="107">
        <f>G51</f>
        <v>24371000</v>
      </c>
      <c r="H54" s="107">
        <f t="shared" ref="H54:J54" si="15">H51</f>
        <v>26314000</v>
      </c>
      <c r="I54" s="107">
        <f t="shared" si="15"/>
        <v>27994000</v>
      </c>
      <c r="J54" s="107">
        <f t="shared" si="15"/>
        <v>29513000</v>
      </c>
      <c r="K54" s="107">
        <f>J54*(1+(($E$45=1)*K$52+($E$45=2)*K$53))</f>
        <v>31114423.412159745</v>
      </c>
      <c r="L54" s="107">
        <f>K54*(1+(($E$45=1)*L$52+($E$45=2)*L$53))</f>
        <v>32802742.664966438</v>
      </c>
    </row>
    <row r="55" spans="2:12">
      <c r="C55" s="92"/>
      <c r="F55" s="95"/>
      <c r="G55" s="95"/>
      <c r="H55" s="95"/>
      <c r="I55" s="95"/>
      <c r="J55" s="95"/>
    </row>
    <row r="56" spans="2:12">
      <c r="C56" s="92"/>
      <c r="F56" s="95"/>
      <c r="G56" s="95"/>
      <c r="H56" s="104">
        <f>H51/G51-1</f>
        <v>7.9725903738049331E-2</v>
      </c>
      <c r="I56" s="104">
        <f t="shared" ref="I56:J56" si="16">I51/H51-1</f>
        <v>6.3844341415216332E-2</v>
      </c>
      <c r="J56" s="104">
        <f t="shared" si="16"/>
        <v>5.4261627491605235E-2</v>
      </c>
    </row>
    <row r="57" spans="2:12">
      <c r="B57" s="93"/>
      <c r="C57" s="1333" t="s">
        <v>690</v>
      </c>
      <c r="D57" s="1334"/>
      <c r="E57" s="1334"/>
      <c r="F57" s="1335"/>
      <c r="G57" s="1335"/>
      <c r="H57" s="1335"/>
      <c r="I57" s="1335"/>
      <c r="J57" s="1335"/>
      <c r="K57" s="1334"/>
      <c r="L57" s="1334"/>
    </row>
    <row r="58" spans="2:12">
      <c r="C58" s="92"/>
      <c r="F58" s="95"/>
      <c r="G58" s="95"/>
      <c r="H58" s="95"/>
      <c r="I58" s="95"/>
      <c r="J58" s="95"/>
    </row>
    <row r="59" spans="2:12">
      <c r="C59" s="463" t="s">
        <v>1145</v>
      </c>
      <c r="F59" s="95"/>
      <c r="G59" s="95"/>
      <c r="H59" s="95"/>
      <c r="I59" s="95"/>
      <c r="J59" s="95"/>
    </row>
    <row r="60" spans="2:12">
      <c r="C60" s="92"/>
      <c r="F60" s="95"/>
      <c r="G60" s="95"/>
      <c r="H60" s="95"/>
      <c r="I60" s="95"/>
      <c r="J60" s="95"/>
    </row>
    <row r="61" spans="2:12">
      <c r="C61" s="1251" t="s">
        <v>2342</v>
      </c>
      <c r="D61" s="1252">
        <v>0.8</v>
      </c>
      <c r="F61" s="95"/>
      <c r="G61" s="95"/>
      <c r="H61" s="95"/>
      <c r="I61" s="95"/>
      <c r="J61" s="95"/>
    </row>
    <row r="62" spans="2:12">
      <c r="C62" s="92"/>
      <c r="F62" s="95"/>
      <c r="G62" s="95"/>
      <c r="H62" s="95"/>
      <c r="I62" s="95"/>
      <c r="J62" s="95"/>
    </row>
    <row r="63" spans="2:12">
      <c r="C63" s="103"/>
      <c r="D63" s="111"/>
      <c r="E63" s="190" t="s">
        <v>691</v>
      </c>
      <c r="F63" s="120"/>
      <c r="G63" s="190" t="s">
        <v>692</v>
      </c>
      <c r="H63" s="120"/>
      <c r="I63" s="120"/>
      <c r="J63" s="120"/>
      <c r="K63" s="111"/>
      <c r="L63" s="111"/>
    </row>
    <row r="64" spans="2:12">
      <c r="C64" s="102" t="s">
        <v>679</v>
      </c>
      <c r="D64" s="102"/>
      <c r="E64" s="1150">
        <v>2010</v>
      </c>
      <c r="F64" s="1150" t="s">
        <v>673</v>
      </c>
      <c r="G64" s="1150">
        <v>2011</v>
      </c>
      <c r="H64" s="1150">
        <v>2012</v>
      </c>
      <c r="I64" s="1150">
        <v>2013</v>
      </c>
      <c r="J64" s="1150">
        <v>2014</v>
      </c>
      <c r="K64" s="1150">
        <v>2015</v>
      </c>
      <c r="L64" s="1150">
        <v>2016</v>
      </c>
    </row>
    <row r="65" spans="2:13">
      <c r="C65" s="92"/>
      <c r="F65" s="95"/>
      <c r="G65" s="95"/>
      <c r="H65" s="95"/>
      <c r="I65" s="95"/>
      <c r="J65" s="95"/>
    </row>
    <row r="66" spans="2:13">
      <c r="C66" s="111" t="s">
        <v>3002</v>
      </c>
      <c r="D66" s="98">
        <f>H112</f>
        <v>0.12125346795833902</v>
      </c>
      <c r="E66" s="98">
        <f>E75</f>
        <v>0.13263487371212451</v>
      </c>
      <c r="F66" s="95"/>
      <c r="G66" s="104">
        <f>I25</f>
        <v>0.14089198707059811</v>
      </c>
      <c r="H66" s="104">
        <f>G66+$G$68*(H67/$G$67)</f>
        <v>0.147234992174963</v>
      </c>
      <c r="I66" s="104">
        <f>H66+$G$68*(I67/$G$67)</f>
        <v>0.15098882844877509</v>
      </c>
      <c r="J66" s="104">
        <f>I66</f>
        <v>0.15098882844877509</v>
      </c>
      <c r="K66" s="104">
        <f>J66</f>
        <v>0.15098882844877509</v>
      </c>
      <c r="L66" s="104">
        <f>K66</f>
        <v>0.15098882844877509</v>
      </c>
    </row>
    <row r="67" spans="2:13">
      <c r="C67" s="105" t="s">
        <v>1144</v>
      </c>
      <c r="D67" s="140"/>
      <c r="E67" s="462">
        <f>F131</f>
        <v>3.2846715328467058E-2</v>
      </c>
      <c r="F67" s="141"/>
      <c r="G67" s="462">
        <f t="shared" ref="G67:L67" si="17">I131</f>
        <v>8.4805653710247286E-2</v>
      </c>
      <c r="H67" s="462">
        <f t="shared" si="17"/>
        <v>8.1433224755700362E-2</v>
      </c>
      <c r="I67" s="462">
        <f t="shared" si="17"/>
        <v>4.8192771084337283E-2</v>
      </c>
      <c r="J67" s="462">
        <f t="shared" si="17"/>
        <v>3.1609195402298784E-2</v>
      </c>
      <c r="K67" s="462">
        <f t="shared" si="17"/>
        <v>2.7855153203342642E-2</v>
      </c>
      <c r="L67" s="462">
        <f t="shared" si="17"/>
        <v>2.1680216802167918E-2</v>
      </c>
      <c r="M67" s="112"/>
    </row>
    <row r="68" spans="2:13">
      <c r="C68" s="92"/>
      <c r="E68" s="104">
        <f>E66-D66</f>
        <v>1.138140575378549E-2</v>
      </c>
      <c r="F68" s="95"/>
      <c r="G68" s="603">
        <f>(G66-E66)*$D$61</f>
        <v>6.605690686778876E-3</v>
      </c>
      <c r="H68" s="104"/>
      <c r="I68" s="104"/>
      <c r="J68" s="95"/>
    </row>
    <row r="69" spans="2:13">
      <c r="C69" s="92"/>
      <c r="F69" s="95"/>
      <c r="G69" s="95"/>
      <c r="H69" s="95"/>
      <c r="I69" s="95"/>
      <c r="J69" s="95"/>
    </row>
    <row r="70" spans="2:13">
      <c r="C70" s="463" t="s">
        <v>1146</v>
      </c>
      <c r="F70" s="95"/>
      <c r="G70" s="95"/>
      <c r="H70" s="95"/>
      <c r="I70" s="95"/>
      <c r="J70" s="95"/>
    </row>
    <row r="71" spans="2:13">
      <c r="C71" s="92"/>
      <c r="F71" s="95"/>
      <c r="G71" s="95"/>
      <c r="H71" s="95"/>
      <c r="I71" s="95"/>
      <c r="J71" s="95"/>
    </row>
    <row r="72" spans="2:13" s="111" customFormat="1">
      <c r="B72" s="135"/>
      <c r="C72" s="103"/>
      <c r="E72" s="190" t="s">
        <v>691</v>
      </c>
      <c r="F72" s="120"/>
      <c r="G72" s="190" t="s">
        <v>692</v>
      </c>
      <c r="H72" s="120"/>
      <c r="I72" s="120"/>
      <c r="J72" s="120"/>
      <c r="M72" s="135"/>
    </row>
    <row r="73" spans="2:13" s="111" customFormat="1">
      <c r="B73" s="135"/>
      <c r="C73" s="102" t="s">
        <v>679</v>
      </c>
      <c r="D73" s="102"/>
      <c r="E73" s="1150">
        <v>2010</v>
      </c>
      <c r="F73" s="1150" t="s">
        <v>2204</v>
      </c>
      <c r="G73" s="1150">
        <v>2011</v>
      </c>
      <c r="H73" s="1150">
        <v>2012</v>
      </c>
      <c r="I73" s="1150">
        <v>2013</v>
      </c>
      <c r="J73" s="1150">
        <v>2014</v>
      </c>
      <c r="K73" s="1150">
        <v>2015</v>
      </c>
      <c r="L73" s="1150">
        <v>2016</v>
      </c>
      <c r="M73" s="1150"/>
    </row>
    <row r="74" spans="2:13" s="111" customFormat="1">
      <c r="B74" s="135"/>
      <c r="C74" s="92" t="s">
        <v>704</v>
      </c>
      <c r="F74" s="120"/>
      <c r="G74" s="120"/>
      <c r="H74" s="120"/>
      <c r="I74" s="120"/>
      <c r="J74" s="120"/>
      <c r="M74" s="135"/>
    </row>
    <row r="75" spans="2:13" s="111" customFormat="1">
      <c r="B75" s="135"/>
      <c r="C75" s="103" t="s">
        <v>185</v>
      </c>
      <c r="D75" s="111" t="s">
        <v>3002</v>
      </c>
      <c r="E75" s="121">
        <f>I112</f>
        <v>0.13263487371212451</v>
      </c>
      <c r="F75" s="121">
        <f>J112</f>
        <v>7.4994274591832832E-2</v>
      </c>
      <c r="G75" s="122">
        <f t="shared" ref="G75:G80" si="18">E75*(1+$F75)</f>
        <v>0.14258172985174464</v>
      </c>
      <c r="H75" s="122">
        <f t="shared" ref="H75:L80" si="19">G75*(1+$F75)</f>
        <v>0.15327454325202491</v>
      </c>
      <c r="I75" s="122">
        <f t="shared" si="19"/>
        <v>0.16476925643660503</v>
      </c>
      <c r="J75" s="122">
        <f t="shared" si="19"/>
        <v>0.1771260072981039</v>
      </c>
      <c r="K75" s="122">
        <f t="shared" si="19"/>
        <v>0.1904094437267729</v>
      </c>
      <c r="L75" s="122">
        <f t="shared" si="19"/>
        <v>0.20468906183449664</v>
      </c>
    </row>
    <row r="76" spans="2:13" s="111" customFormat="1">
      <c r="B76" s="135"/>
      <c r="C76" s="103"/>
      <c r="D76" s="111" t="s">
        <v>186</v>
      </c>
      <c r="E76" s="121">
        <f t="shared" ref="E76:F80" si="20">I113</f>
        <v>2.3605604186671302E-2</v>
      </c>
      <c r="F76" s="121">
        <f t="shared" si="20"/>
        <v>-7.5741530387170353E-2</v>
      </c>
      <c r="G76" s="122">
        <f t="shared" si="18"/>
        <v>2.1817679599859023E-2</v>
      </c>
      <c r="H76" s="122">
        <f t="shared" si="19"/>
        <v>2.0165175157468754E-2</v>
      </c>
      <c r="I76" s="122">
        <f t="shared" si="19"/>
        <v>1.8637833930516722E-2</v>
      </c>
      <c r="J76" s="122">
        <f t="shared" si="19"/>
        <v>1.7226175865517456E-2</v>
      </c>
      <c r="K76" s="122">
        <f t="shared" si="19"/>
        <v>1.5921438942744625E-2</v>
      </c>
      <c r="L76" s="122">
        <f t="shared" si="19"/>
        <v>1.4715524791255256E-2</v>
      </c>
    </row>
    <row r="77" spans="2:13" s="111" customFormat="1">
      <c r="B77" s="135"/>
      <c r="C77" s="103" t="s">
        <v>188</v>
      </c>
      <c r="D77" s="111" t="s">
        <v>189</v>
      </c>
      <c r="E77" s="121">
        <f t="shared" si="20"/>
        <v>7.5182846921879765E-2</v>
      </c>
      <c r="F77" s="121">
        <f t="shared" si="20"/>
        <v>0.10738238482976681</v>
      </c>
      <c r="G77" s="122">
        <f t="shared" si="18"/>
        <v>8.3256160322642506E-2</v>
      </c>
      <c r="H77" s="122">
        <f t="shared" si="19"/>
        <v>9.2196405369857265E-2</v>
      </c>
      <c r="I77" s="122">
        <f t="shared" si="19"/>
        <v>0.10209667525120446</v>
      </c>
      <c r="J77" s="122">
        <f t="shared" si="19"/>
        <v>0.11306005972286902</v>
      </c>
      <c r="K77" s="122">
        <f t="shared" si="19"/>
        <v>0.12520071856490655</v>
      </c>
      <c r="L77" s="122">
        <f t="shared" si="19"/>
        <v>0.13864507030680667</v>
      </c>
    </row>
    <row r="78" spans="2:13" s="111" customFormat="1">
      <c r="B78" s="135"/>
      <c r="C78" s="103"/>
      <c r="D78" s="111" t="s">
        <v>668</v>
      </c>
      <c r="E78" s="121">
        <f t="shared" si="20"/>
        <v>5.0499449792418383E-2</v>
      </c>
      <c r="F78" s="121">
        <f t="shared" si="20"/>
        <v>0.13303183565043142</v>
      </c>
      <c r="G78" s="122">
        <f t="shared" si="18"/>
        <v>5.7217484297640599E-2</v>
      </c>
      <c r="H78" s="122">
        <f t="shared" si="19"/>
        <v>6.4829231265055465E-2</v>
      </c>
      <c r="I78" s="122">
        <f t="shared" si="19"/>
        <v>7.3453582904052128E-2</v>
      </c>
      <c r="J78" s="122">
        <f t="shared" si="19"/>
        <v>8.3225247872879327E-2</v>
      </c>
      <c r="K78" s="122">
        <f t="shared" si="19"/>
        <v>9.4296855369870633E-2</v>
      </c>
      <c r="L78" s="122">
        <f t="shared" si="19"/>
        <v>0.10684133913578776</v>
      </c>
    </row>
    <row r="79" spans="2:13" s="111" customFormat="1">
      <c r="B79" s="135"/>
      <c r="C79" s="103" t="s">
        <v>197</v>
      </c>
      <c r="E79" s="121">
        <f t="shared" si="20"/>
        <v>0.23698445961501785</v>
      </c>
      <c r="F79" s="121">
        <f t="shared" si="20"/>
        <v>9.5603999033895937E-2</v>
      </c>
      <c r="G79" s="122">
        <f t="shared" si="18"/>
        <v>0.25964112166310038</v>
      </c>
      <c r="H79" s="122">
        <f t="shared" si="19"/>
        <v>0.28446385120773909</v>
      </c>
      <c r="I79" s="122">
        <f t="shared" si="19"/>
        <v>0.31165973296378208</v>
      </c>
      <c r="J79" s="122">
        <f t="shared" si="19"/>
        <v>0.34145564977295578</v>
      </c>
      <c r="K79" s="122">
        <f t="shared" si="19"/>
        <v>0.37410017538396778</v>
      </c>
      <c r="L79" s="122">
        <f t="shared" si="19"/>
        <v>0.40986564818995691</v>
      </c>
    </row>
    <row r="80" spans="2:13" s="111" customFormat="1">
      <c r="B80" s="135"/>
      <c r="C80" s="123" t="s">
        <v>192</v>
      </c>
      <c r="D80" s="124"/>
      <c r="E80" s="125">
        <f t="shared" si="20"/>
        <v>0.48109276577188814</v>
      </c>
      <c r="F80" s="125">
        <f t="shared" si="20"/>
        <v>-6.736378189481218E-2</v>
      </c>
      <c r="G80" s="126">
        <f t="shared" si="18"/>
        <v>0.44868453762725868</v>
      </c>
      <c r="H80" s="126">
        <f t="shared" si="19"/>
        <v>0.4184594502949614</v>
      </c>
      <c r="I80" s="126">
        <f t="shared" si="19"/>
        <v>0.3902704391534686</v>
      </c>
      <c r="J80" s="126">
        <f t="shared" si="19"/>
        <v>0.36398034641034177</v>
      </c>
      <c r="K80" s="126">
        <f t="shared" si="19"/>
        <v>0.33946125374075731</v>
      </c>
      <c r="L80" s="126">
        <f t="shared" si="19"/>
        <v>0.31659385988202543</v>
      </c>
    </row>
    <row r="81" spans="2:12" s="111" customFormat="1">
      <c r="B81" s="135"/>
      <c r="C81" s="127" t="s">
        <v>675</v>
      </c>
      <c r="D81" s="128"/>
      <c r="E81" s="129">
        <f>SUM(E75:E80)</f>
        <v>1</v>
      </c>
      <c r="F81" s="130"/>
      <c r="G81" s="129">
        <f t="shared" ref="G81:L81" si="21">SUM(G75:G80)</f>
        <v>1.0131987133622458</v>
      </c>
      <c r="H81" s="129">
        <f t="shared" si="21"/>
        <v>1.0333886565471069</v>
      </c>
      <c r="I81" s="129">
        <f t="shared" si="21"/>
        <v>1.0608875206396289</v>
      </c>
      <c r="J81" s="129">
        <f t="shared" si="21"/>
        <v>1.0960734869426672</v>
      </c>
      <c r="K81" s="129">
        <f t="shared" si="21"/>
        <v>1.1393898857290199</v>
      </c>
      <c r="L81" s="129">
        <f t="shared" si="21"/>
        <v>1.1913505041403287</v>
      </c>
    </row>
    <row r="82" spans="2:12" s="111" customFormat="1">
      <c r="B82" s="135"/>
      <c r="C82" s="113"/>
      <c r="D82" s="131"/>
      <c r="E82" s="132"/>
      <c r="F82" s="133"/>
      <c r="G82" s="132"/>
      <c r="H82" s="132"/>
      <c r="I82" s="132"/>
      <c r="J82" s="132"/>
      <c r="K82" s="132"/>
      <c r="L82" s="132"/>
    </row>
    <row r="83" spans="2:12" s="111" customFormat="1">
      <c r="B83" s="135"/>
      <c r="C83" s="134" t="s">
        <v>681</v>
      </c>
      <c r="D83" s="135"/>
      <c r="E83" s="135"/>
      <c r="F83" s="136"/>
      <c r="G83" s="136"/>
      <c r="H83" s="136"/>
      <c r="I83" s="136"/>
      <c r="J83" s="136"/>
      <c r="K83" s="135"/>
      <c r="L83" s="135"/>
    </row>
    <row r="84" spans="2:12" s="111" customFormat="1">
      <c r="B84" s="135"/>
      <c r="C84" s="137" t="s">
        <v>185</v>
      </c>
      <c r="D84" s="135" t="s">
        <v>3002</v>
      </c>
      <c r="E84" s="135"/>
      <c r="F84" s="136"/>
      <c r="G84" s="138">
        <f t="shared" ref="G84:L89" si="22">G$90*G75/G$81</f>
        <v>0.1407243494996108</v>
      </c>
      <c r="H84" s="138">
        <f t="shared" si="22"/>
        <v>0.14832226218174857</v>
      </c>
      <c r="I84" s="138">
        <f t="shared" si="22"/>
        <v>0.15531265400997701</v>
      </c>
      <c r="J84" s="138">
        <f t="shared" si="22"/>
        <v>0.16160048519389916</v>
      </c>
      <c r="K84" s="138">
        <f t="shared" si="22"/>
        <v>0.16711526590824752</v>
      </c>
      <c r="L84" s="138">
        <f t="shared" si="22"/>
        <v>0.17181262871265499</v>
      </c>
    </row>
    <row r="85" spans="2:12" s="111" customFormat="1">
      <c r="B85" s="135"/>
      <c r="C85" s="137"/>
      <c r="D85" s="135" t="s">
        <v>186</v>
      </c>
      <c r="E85" s="135"/>
      <c r="F85" s="136"/>
      <c r="G85" s="138">
        <f t="shared" si="22"/>
        <v>2.1533465560233708E-2</v>
      </c>
      <c r="H85" s="138">
        <f t="shared" si="22"/>
        <v>1.9513640903362797E-2</v>
      </c>
      <c r="I85" s="138">
        <f t="shared" si="22"/>
        <v>1.7568152672094422E-2</v>
      </c>
      <c r="J85" s="138">
        <f t="shared" si="22"/>
        <v>1.5716259968633392E-2</v>
      </c>
      <c r="K85" s="138">
        <f t="shared" si="22"/>
        <v>1.3973653042002872E-2</v>
      </c>
      <c r="L85" s="138">
        <f t="shared" si="22"/>
        <v>1.2351969248440358E-2</v>
      </c>
    </row>
    <row r="86" spans="2:12" s="111" customFormat="1">
      <c r="B86" s="135"/>
      <c r="C86" s="137" t="s">
        <v>188</v>
      </c>
      <c r="D86" s="135" t="s">
        <v>189</v>
      </c>
      <c r="E86" s="135"/>
      <c r="F86" s="136"/>
      <c r="G86" s="138">
        <f t="shared" si="22"/>
        <v>8.2171600915640117E-2</v>
      </c>
      <c r="H86" s="138">
        <f t="shared" si="22"/>
        <v>8.9217551195032399E-2</v>
      </c>
      <c r="I86" s="138">
        <f t="shared" si="22"/>
        <v>9.6237040463675608E-2</v>
      </c>
      <c r="J86" s="138">
        <f t="shared" si="22"/>
        <v>0.10315007257244505</v>
      </c>
      <c r="K86" s="138">
        <f t="shared" si="22"/>
        <v>0.10988400031723902</v>
      </c>
      <c r="L86" s="138">
        <f t="shared" si="22"/>
        <v>0.11637638950499468</v>
      </c>
    </row>
    <row r="87" spans="2:12" s="111" customFormat="1">
      <c r="B87" s="135"/>
      <c r="C87" s="137"/>
      <c r="D87" s="135" t="s">
        <v>668</v>
      </c>
      <c r="E87" s="135"/>
      <c r="F87" s="136"/>
      <c r="G87" s="138">
        <f t="shared" si="22"/>
        <v>5.6472124908022669E-2</v>
      </c>
      <c r="H87" s="138">
        <f t="shared" si="22"/>
        <v>6.2734607017722988E-2</v>
      </c>
      <c r="I87" s="138">
        <f t="shared" si="22"/>
        <v>6.9237861201124878E-2</v>
      </c>
      <c r="J87" s="138">
        <f t="shared" si="22"/>
        <v>7.5930353999368871E-2</v>
      </c>
      <c r="K87" s="138">
        <f t="shared" si="22"/>
        <v>8.2760832398943357E-2</v>
      </c>
      <c r="L87" s="138">
        <f t="shared" si="22"/>
        <v>8.9680861144121327E-2</v>
      </c>
    </row>
    <row r="88" spans="2:12" s="111" customFormat="1">
      <c r="B88" s="135"/>
      <c r="C88" s="137" t="s">
        <v>197</v>
      </c>
      <c r="D88" s="135"/>
      <c r="E88" s="135"/>
      <c r="F88" s="136"/>
      <c r="G88" s="138">
        <f t="shared" si="22"/>
        <v>0.25625883475660488</v>
      </c>
      <c r="H88" s="138">
        <f t="shared" si="22"/>
        <v>0.27527286022107778</v>
      </c>
      <c r="I88" s="138">
        <f t="shared" si="22"/>
        <v>0.29377264497924965</v>
      </c>
      <c r="J88" s="138">
        <f t="shared" si="22"/>
        <v>0.31152623783045347</v>
      </c>
      <c r="K88" s="138">
        <f t="shared" si="22"/>
        <v>0.32833376886139898</v>
      </c>
      <c r="L88" s="138">
        <f t="shared" si="22"/>
        <v>0.34403447748210209</v>
      </c>
    </row>
    <row r="89" spans="2:12" s="111" customFormat="1">
      <c r="B89" s="135"/>
      <c r="C89" s="123" t="s">
        <v>192</v>
      </c>
      <c r="D89" s="124"/>
      <c r="E89" s="124"/>
      <c r="F89" s="139"/>
      <c r="G89" s="126">
        <f t="shared" si="22"/>
        <v>0.44283962435988794</v>
      </c>
      <c r="H89" s="126">
        <f t="shared" si="22"/>
        <v>0.40493907848105548</v>
      </c>
      <c r="I89" s="126">
        <f t="shared" si="22"/>
        <v>0.36787164667387856</v>
      </c>
      <c r="J89" s="126">
        <f t="shared" si="22"/>
        <v>0.33207659043520016</v>
      </c>
      <c r="K89" s="126">
        <f t="shared" si="22"/>
        <v>0.29793247947216822</v>
      </c>
      <c r="L89" s="126">
        <f t="shared" si="22"/>
        <v>0.2657436739076865</v>
      </c>
    </row>
    <row r="90" spans="2:12" s="111" customFormat="1">
      <c r="B90" s="135"/>
      <c r="C90" s="105" t="s">
        <v>675</v>
      </c>
      <c r="D90" s="140"/>
      <c r="E90" s="140"/>
      <c r="F90" s="141"/>
      <c r="G90" s="142">
        <v>1</v>
      </c>
      <c r="H90" s="142">
        <v>1</v>
      </c>
      <c r="I90" s="142">
        <v>1</v>
      </c>
      <c r="J90" s="142">
        <v>1</v>
      </c>
      <c r="K90" s="142">
        <v>1</v>
      </c>
      <c r="L90" s="142">
        <v>1</v>
      </c>
    </row>
    <row r="91" spans="2:12">
      <c r="C91" s="92"/>
      <c r="F91" s="95"/>
      <c r="G91" s="95"/>
      <c r="H91" s="95"/>
      <c r="I91" s="95"/>
      <c r="J91" s="95"/>
    </row>
    <row r="92" spans="2:12">
      <c r="C92" s="92"/>
      <c r="F92" s="95"/>
      <c r="G92" s="95"/>
      <c r="H92" s="95"/>
      <c r="I92" s="95"/>
      <c r="J92" s="95"/>
    </row>
    <row r="93" spans="2:12">
      <c r="C93" s="92"/>
      <c r="F93" s="95"/>
      <c r="G93" s="95"/>
      <c r="H93" s="95"/>
      <c r="I93" s="95"/>
      <c r="J93" s="95"/>
    </row>
    <row r="94" spans="2:12">
      <c r="C94" s="91" t="s">
        <v>207</v>
      </c>
      <c r="D94" s="102"/>
      <c r="E94" s="102"/>
      <c r="F94" s="1150">
        <v>2007</v>
      </c>
      <c r="G94" s="1150">
        <v>2008</v>
      </c>
      <c r="H94" s="1150">
        <v>2009</v>
      </c>
      <c r="I94" s="1150">
        <v>2010</v>
      </c>
      <c r="J94" s="102" t="s">
        <v>673</v>
      </c>
    </row>
    <row r="95" spans="2:12">
      <c r="C95" s="92" t="s">
        <v>173</v>
      </c>
      <c r="F95" s="143">
        <f>F173</f>
        <v>21411</v>
      </c>
      <c r="G95" s="143">
        <f>G173</f>
        <v>21708</v>
      </c>
      <c r="H95" s="143">
        <f>H173</f>
        <v>21987</v>
      </c>
      <c r="I95" s="143">
        <f>I173</f>
        <v>23003</v>
      </c>
      <c r="J95" s="122">
        <f>(I95/F95)^(1/3)-1</f>
        <v>2.4194665096035406E-2</v>
      </c>
    </row>
    <row r="96" spans="2:12">
      <c r="C96" s="103" t="s">
        <v>196</v>
      </c>
      <c r="D96" s="103" t="s">
        <v>3002</v>
      </c>
      <c r="E96" s="111"/>
      <c r="F96" s="120">
        <f>F178</f>
        <v>2286</v>
      </c>
      <c r="G96" s="120">
        <f>G178</f>
        <v>2445</v>
      </c>
      <c r="H96" s="120">
        <f>H178</f>
        <v>2666</v>
      </c>
      <c r="I96" s="120">
        <f>I178</f>
        <v>3051</v>
      </c>
      <c r="J96" s="95"/>
    </row>
    <row r="97" spans="3:10">
      <c r="C97" s="111"/>
      <c r="D97" s="103" t="s">
        <v>186</v>
      </c>
      <c r="E97" s="111"/>
      <c r="F97" s="120">
        <f>F181</f>
        <v>640.13526805200001</v>
      </c>
      <c r="G97" s="120">
        <f>G181</f>
        <v>658.90404616199999</v>
      </c>
      <c r="H97" s="120">
        <f>H181</f>
        <v>608.76611260999994</v>
      </c>
      <c r="I97" s="120">
        <f>I181</f>
        <v>542.99971310599994</v>
      </c>
      <c r="J97" s="95"/>
    </row>
    <row r="98" spans="3:10">
      <c r="C98" s="111" t="s">
        <v>188</v>
      </c>
      <c r="D98" s="103" t="s">
        <v>189</v>
      </c>
      <c r="E98" s="111"/>
      <c r="F98" s="120">
        <f>F185</f>
        <v>1185.3944396600002</v>
      </c>
      <c r="G98" s="120">
        <f>G185</f>
        <v>1314.724760053</v>
      </c>
      <c r="H98" s="120">
        <f>H185</f>
        <v>1463.2125664109999</v>
      </c>
      <c r="I98" s="120">
        <f>I185</f>
        <v>1729.4310277440002</v>
      </c>
      <c r="J98" s="95"/>
    </row>
    <row r="99" spans="3:10">
      <c r="C99" s="111"/>
      <c r="D99" s="103" t="s">
        <v>669</v>
      </c>
      <c r="E99" s="111"/>
      <c r="F99" s="120">
        <f>F188</f>
        <v>743.35669912599997</v>
      </c>
      <c r="G99" s="120">
        <f>G188</f>
        <v>784.29581930000006</v>
      </c>
      <c r="H99" s="120">
        <f>H188</f>
        <v>901.50604835299998</v>
      </c>
      <c r="I99" s="120">
        <f>I188</f>
        <v>1161.638843575</v>
      </c>
      <c r="J99" s="95"/>
    </row>
    <row r="100" spans="3:10">
      <c r="C100" s="111" t="s">
        <v>197</v>
      </c>
      <c r="D100" s="111"/>
      <c r="E100" s="111"/>
      <c r="F100" s="120">
        <f>F191</f>
        <v>3858.3</v>
      </c>
      <c r="G100" s="120">
        <f>G191</f>
        <v>4104.1000000000004</v>
      </c>
      <c r="H100" s="120">
        <f>H191</f>
        <v>4730</v>
      </c>
      <c r="I100" s="120">
        <f>I191</f>
        <v>5451.3535245242556</v>
      </c>
      <c r="J100" s="95"/>
    </row>
    <row r="101" spans="3:10">
      <c r="C101" s="103" t="s">
        <v>192</v>
      </c>
      <c r="D101" s="111"/>
      <c r="E101" s="111"/>
      <c r="F101" s="120">
        <f>F194</f>
        <v>12697.813593162002</v>
      </c>
      <c r="G101" s="120">
        <f>G194</f>
        <v>12400.975374485</v>
      </c>
      <c r="H101" s="120">
        <f>H194</f>
        <v>11617.515272626</v>
      </c>
      <c r="I101" s="120">
        <f>I194</f>
        <v>11066.576891050743</v>
      </c>
      <c r="J101" s="95"/>
    </row>
    <row r="102" spans="3:10">
      <c r="C102" s="105"/>
      <c r="D102" s="140"/>
      <c r="E102" s="140"/>
      <c r="F102" s="141"/>
      <c r="G102" s="141"/>
      <c r="H102" s="141"/>
      <c r="I102" s="141"/>
      <c r="J102" s="107"/>
    </row>
    <row r="103" spans="3:10">
      <c r="C103" s="92" t="s">
        <v>671</v>
      </c>
      <c r="E103" s="111"/>
      <c r="F103" s="120"/>
      <c r="G103" s="120"/>
      <c r="H103" s="120"/>
      <c r="I103" s="120"/>
      <c r="J103" s="95"/>
    </row>
    <row r="104" spans="3:10">
      <c r="C104" s="103" t="s">
        <v>196</v>
      </c>
      <c r="D104" s="103" t="s">
        <v>3002</v>
      </c>
      <c r="E104" s="111"/>
      <c r="F104" s="120"/>
      <c r="G104" s="122">
        <f>G96/F96-1</f>
        <v>6.9553805774278166E-2</v>
      </c>
      <c r="H104" s="122">
        <f t="shared" ref="H104:I104" si="23">H96/G96-1</f>
        <v>9.038854805725971E-2</v>
      </c>
      <c r="I104" s="122">
        <f t="shared" si="23"/>
        <v>0.14441110277569402</v>
      </c>
      <c r="J104" s="122">
        <f>(I96/F96)^(1/3)-1</f>
        <v>0.10100340104573768</v>
      </c>
    </row>
    <row r="105" spans="3:10">
      <c r="C105" s="111"/>
      <c r="D105" s="103" t="s">
        <v>186</v>
      </c>
      <c r="E105" s="111"/>
      <c r="F105" s="120"/>
      <c r="G105" s="122">
        <f t="shared" ref="G105:I105" si="24">G97/F97-1</f>
        <v>2.9320018825263805E-2</v>
      </c>
      <c r="H105" s="122">
        <f t="shared" si="24"/>
        <v>-7.6092921031589822E-2</v>
      </c>
      <c r="I105" s="122">
        <f t="shared" si="24"/>
        <v>-0.10803229375241619</v>
      </c>
      <c r="J105" s="122">
        <f t="shared" ref="J105:J109" si="25">(I97/F97)^(1/3)-1</f>
        <v>-5.3379406252713868E-2</v>
      </c>
    </row>
    <row r="106" spans="3:10">
      <c r="C106" s="111" t="s">
        <v>188</v>
      </c>
      <c r="D106" s="103" t="s">
        <v>189</v>
      </c>
      <c r="E106" s="111"/>
      <c r="F106" s="120"/>
      <c r="G106" s="122">
        <f t="shared" ref="G106:I106" si="26">G98/F98-1</f>
        <v>0.10910319473920826</v>
      </c>
      <c r="H106" s="122">
        <f t="shared" si="26"/>
        <v>0.1129421236061714</v>
      </c>
      <c r="I106" s="122">
        <f t="shared" si="26"/>
        <v>0.18194107093133205</v>
      </c>
      <c r="J106" s="122">
        <f t="shared" si="25"/>
        <v>0.13417513076397181</v>
      </c>
    </row>
    <row r="107" spans="3:10">
      <c r="C107" s="111"/>
      <c r="D107" s="103" t="s">
        <v>669</v>
      </c>
      <c r="E107" s="111"/>
      <c r="F107" s="120"/>
      <c r="G107" s="122">
        <f t="shared" ref="G107:I107" si="27">G99/F99-1</f>
        <v>5.5073318397660387E-2</v>
      </c>
      <c r="H107" s="122">
        <f t="shared" si="27"/>
        <v>0.14944645396377654</v>
      </c>
      <c r="I107" s="122">
        <f t="shared" si="27"/>
        <v>0.28855357731348308</v>
      </c>
      <c r="J107" s="122">
        <f t="shared" si="25"/>
        <v>0.16044516145713983</v>
      </c>
    </row>
    <row r="108" spans="3:10">
      <c r="C108" s="111" t="s">
        <v>197</v>
      </c>
      <c r="D108" s="111"/>
      <c r="E108" s="111"/>
      <c r="F108" s="120"/>
      <c r="G108" s="122">
        <f t="shared" ref="G108:I108" si="28">G100/F100-1</f>
        <v>6.3706813881761359E-2</v>
      </c>
      <c r="H108" s="122">
        <f t="shared" si="28"/>
        <v>0.15250603055481093</v>
      </c>
      <c r="I108" s="122">
        <f t="shared" si="28"/>
        <v>0.15250603055481093</v>
      </c>
      <c r="J108" s="122">
        <f t="shared" si="25"/>
        <v>0.12211177086839808</v>
      </c>
    </row>
    <row r="109" spans="3:10">
      <c r="C109" s="103" t="s">
        <v>192</v>
      </c>
      <c r="D109" s="111"/>
      <c r="E109" s="111"/>
      <c r="F109" s="120"/>
      <c r="G109" s="122">
        <f t="shared" ref="G109:I109" si="29">G101/F101-1</f>
        <v>-2.3377112642199549E-2</v>
      </c>
      <c r="H109" s="122">
        <f t="shared" si="29"/>
        <v>-6.3177296801263605E-2</v>
      </c>
      <c r="I109" s="122">
        <f t="shared" si="29"/>
        <v>-4.742308218637914E-2</v>
      </c>
      <c r="J109" s="122">
        <f t="shared" si="25"/>
        <v>-4.4798960941324184E-2</v>
      </c>
    </row>
    <row r="110" spans="3:10">
      <c r="C110" s="105"/>
      <c r="D110" s="140"/>
      <c r="E110" s="140"/>
      <c r="F110" s="141"/>
      <c r="G110" s="141"/>
      <c r="H110" s="141"/>
      <c r="I110" s="141"/>
      <c r="J110" s="107"/>
    </row>
    <row r="111" spans="3:10">
      <c r="C111" s="92" t="s">
        <v>672</v>
      </c>
      <c r="E111" s="111"/>
      <c r="F111" s="120"/>
      <c r="G111" s="120"/>
      <c r="H111" s="120"/>
      <c r="I111" s="120"/>
      <c r="J111" s="95"/>
    </row>
    <row r="112" spans="3:10">
      <c r="C112" s="103" t="s">
        <v>196</v>
      </c>
      <c r="D112" s="103" t="s">
        <v>3002</v>
      </c>
      <c r="E112" s="111"/>
      <c r="F112" s="122">
        <f t="shared" ref="F112:I117" si="30">F96/F$95</f>
        <v>0.1067675493905002</v>
      </c>
      <c r="G112" s="122">
        <f t="shared" si="30"/>
        <v>0.11263128800442233</v>
      </c>
      <c r="H112" s="122">
        <f t="shared" si="30"/>
        <v>0.12125346795833902</v>
      </c>
      <c r="I112" s="122">
        <f t="shared" si="30"/>
        <v>0.13263487371212451</v>
      </c>
      <c r="J112" s="122">
        <f>(I112/F112)^(1/3)-1</f>
        <v>7.4994274591832832E-2</v>
      </c>
    </row>
    <row r="113" spans="1:14">
      <c r="C113" s="111"/>
      <c r="D113" s="103" t="s">
        <v>186</v>
      </c>
      <c r="E113" s="111"/>
      <c r="F113" s="122">
        <f t="shared" si="30"/>
        <v>2.9897495121759845E-2</v>
      </c>
      <c r="G113" s="122">
        <f t="shared" si="30"/>
        <v>3.0353051693477059E-2</v>
      </c>
      <c r="H113" s="122">
        <f t="shared" si="30"/>
        <v>2.7687547760494834E-2</v>
      </c>
      <c r="I113" s="122">
        <f t="shared" si="30"/>
        <v>2.3605604186671302E-2</v>
      </c>
      <c r="J113" s="122">
        <f t="shared" ref="J113:J117" si="31">(I113/F113)^(1/3)-1</f>
        <v>-7.5741530387170353E-2</v>
      </c>
    </row>
    <row r="114" spans="1:14">
      <c r="C114" s="111" t="s">
        <v>188</v>
      </c>
      <c r="D114" s="103" t="s">
        <v>189</v>
      </c>
      <c r="E114" s="111"/>
      <c r="F114" s="122">
        <f t="shared" si="30"/>
        <v>5.5363805504647153E-2</v>
      </c>
      <c r="G114" s="122">
        <f t="shared" si="30"/>
        <v>6.0564066705960935E-2</v>
      </c>
      <c r="H114" s="122">
        <f t="shared" si="30"/>
        <v>6.6548986510710867E-2</v>
      </c>
      <c r="I114" s="122">
        <f t="shared" si="30"/>
        <v>7.5182846921879765E-2</v>
      </c>
      <c r="J114" s="122">
        <f t="shared" si="31"/>
        <v>0.10738238482976681</v>
      </c>
    </row>
    <row r="115" spans="1:14">
      <c r="C115" s="111"/>
      <c r="D115" s="103" t="s">
        <v>669</v>
      </c>
      <c r="E115" s="111"/>
      <c r="F115" s="122">
        <f t="shared" si="30"/>
        <v>3.471844842025127E-2</v>
      </c>
      <c r="G115" s="122">
        <f t="shared" si="30"/>
        <v>3.612934490971071E-2</v>
      </c>
      <c r="H115" s="122">
        <f t="shared" si="30"/>
        <v>4.1001775974575883E-2</v>
      </c>
      <c r="I115" s="122">
        <f t="shared" si="30"/>
        <v>5.0499449792418383E-2</v>
      </c>
      <c r="J115" s="122">
        <f t="shared" si="31"/>
        <v>0.13303183565043142</v>
      </c>
    </row>
    <row r="116" spans="1:14">
      <c r="C116" s="111" t="s">
        <v>197</v>
      </c>
      <c r="D116" s="111"/>
      <c r="E116" s="111"/>
      <c r="F116" s="122">
        <f t="shared" si="30"/>
        <v>0.18020176544766708</v>
      </c>
      <c r="G116" s="122">
        <f t="shared" si="30"/>
        <v>0.18905933296480562</v>
      </c>
      <c r="H116" s="122">
        <f t="shared" si="30"/>
        <v>0.21512712057124664</v>
      </c>
      <c r="I116" s="122">
        <f t="shared" si="30"/>
        <v>0.23698445961501785</v>
      </c>
      <c r="J116" s="122">
        <f t="shared" si="31"/>
        <v>9.5603999033895937E-2</v>
      </c>
    </row>
    <row r="117" spans="1:14">
      <c r="C117" s="137" t="s">
        <v>192</v>
      </c>
      <c r="D117" s="135"/>
      <c r="E117" s="135"/>
      <c r="F117" s="138">
        <f t="shared" si="30"/>
        <v>0.59305093611517457</v>
      </c>
      <c r="G117" s="138">
        <f t="shared" si="30"/>
        <v>0.57126291572162335</v>
      </c>
      <c r="H117" s="138">
        <f t="shared" si="30"/>
        <v>0.52838110122463278</v>
      </c>
      <c r="I117" s="138">
        <f t="shared" si="30"/>
        <v>0.48109276577188814</v>
      </c>
      <c r="J117" s="138">
        <f t="shared" si="31"/>
        <v>-6.736378189481218E-2</v>
      </c>
    </row>
    <row r="118" spans="1:14">
      <c r="C118" s="105"/>
      <c r="D118" s="140"/>
      <c r="E118" s="140"/>
      <c r="F118" s="141"/>
      <c r="G118" s="141"/>
      <c r="H118" s="141"/>
      <c r="I118" s="141"/>
      <c r="J118" s="107"/>
    </row>
    <row r="119" spans="1:14">
      <c r="C119" s="137"/>
      <c r="D119" s="135"/>
      <c r="E119" s="135"/>
      <c r="F119" s="136"/>
      <c r="G119" s="136"/>
      <c r="H119" s="136"/>
      <c r="I119" s="136"/>
      <c r="J119" s="180"/>
    </row>
    <row r="120" spans="1:14">
      <c r="C120" s="137"/>
      <c r="D120" s="135"/>
      <c r="E120" s="135"/>
      <c r="F120" s="136"/>
      <c r="G120" s="136"/>
      <c r="H120" s="136"/>
      <c r="I120" s="136"/>
      <c r="J120" s="180"/>
    </row>
    <row r="121" spans="1:14" s="1332" customFormat="1">
      <c r="A121" s="93"/>
      <c r="B121" s="1331" t="s">
        <v>1142</v>
      </c>
      <c r="C121" s="1331"/>
    </row>
    <row r="122" spans="1:14" outlineLevel="1"/>
    <row r="123" spans="1:14" outlineLevel="1">
      <c r="C123" s="92"/>
    </row>
    <row r="124" spans="1:14" outlineLevel="1">
      <c r="C124" s="191" t="s">
        <v>687</v>
      </c>
      <c r="D124" s="192"/>
      <c r="E124" s="1185">
        <v>2</v>
      </c>
    </row>
    <row r="125" spans="1:14" outlineLevel="1">
      <c r="C125" s="193" t="s">
        <v>688</v>
      </c>
      <c r="D125" s="179"/>
      <c r="E125" s="1186">
        <v>1</v>
      </c>
    </row>
    <row r="126" spans="1:14" outlineLevel="1">
      <c r="C126" s="194" t="s">
        <v>689</v>
      </c>
      <c r="D126" s="106"/>
      <c r="E126" s="1187">
        <v>2</v>
      </c>
    </row>
    <row r="127" spans="1:14" outlineLevel="1">
      <c r="C127" s="92"/>
      <c r="J127" s="104">
        <f t="shared" ref="J127" si="32">J130/I130-1</f>
        <v>8.1433224755700362E-2</v>
      </c>
      <c r="K127" s="104">
        <f>K130/J130-1</f>
        <v>4.8192771084337283E-2</v>
      </c>
      <c r="L127" s="104">
        <f t="shared" ref="L127:N127" si="33">L130/K130-1</f>
        <v>3.1609195402298784E-2</v>
      </c>
      <c r="M127" s="104">
        <f t="shared" si="33"/>
        <v>2.7855153203342642E-2</v>
      </c>
      <c r="N127" s="104">
        <f t="shared" si="33"/>
        <v>2.1680216802167918E-2</v>
      </c>
    </row>
    <row r="128" spans="1:14" ht="15" outlineLevel="1" thickBot="1">
      <c r="C128" s="110" t="s">
        <v>680</v>
      </c>
      <c r="D128" s="94"/>
      <c r="E128" s="1318">
        <v>2009</v>
      </c>
      <c r="F128" s="1318">
        <v>2010</v>
      </c>
      <c r="G128" s="1318" t="s">
        <v>32</v>
      </c>
      <c r="H128" s="1318" t="s">
        <v>33</v>
      </c>
      <c r="I128" s="1318">
        <v>2011</v>
      </c>
      <c r="J128" s="1318">
        <v>2012</v>
      </c>
      <c r="K128" s="1318">
        <v>2013</v>
      </c>
      <c r="L128" s="1318">
        <v>2014</v>
      </c>
      <c r="M128" s="1318">
        <v>2015</v>
      </c>
      <c r="N128" s="1318">
        <v>2016</v>
      </c>
    </row>
    <row r="129" spans="3:15" outlineLevel="1">
      <c r="C129" s="92" t="s">
        <v>210</v>
      </c>
    </row>
    <row r="130" spans="3:15" outlineLevel="1">
      <c r="C130" s="188" t="s">
        <v>211</v>
      </c>
      <c r="E130" s="1223">
        <f>H242</f>
        <v>274</v>
      </c>
      <c r="F130" s="1223">
        <f t="shared" ref="F130:H130" si="34">I242</f>
        <v>283</v>
      </c>
      <c r="G130" s="1223">
        <f t="shared" si="34"/>
        <v>295</v>
      </c>
      <c r="H130" s="1223">
        <f t="shared" si="34"/>
        <v>307</v>
      </c>
      <c r="I130" s="95">
        <f>H130</f>
        <v>307</v>
      </c>
      <c r="J130" s="95">
        <f>L242</f>
        <v>332</v>
      </c>
      <c r="K130" s="95">
        <f t="shared" ref="K130:N130" si="35">M242</f>
        <v>348</v>
      </c>
      <c r="L130" s="95">
        <f t="shared" si="35"/>
        <v>359</v>
      </c>
      <c r="M130" s="95">
        <f t="shared" si="35"/>
        <v>369</v>
      </c>
      <c r="N130" s="95">
        <f t="shared" si="35"/>
        <v>377</v>
      </c>
      <c r="O130" s="93">
        <v>376.88833462482245</v>
      </c>
    </row>
    <row r="131" spans="3:15" outlineLevel="1">
      <c r="C131" s="188" t="s">
        <v>1141</v>
      </c>
      <c r="F131" s="1134">
        <f>F130/E130-1</f>
        <v>3.2846715328467058E-2</v>
      </c>
      <c r="G131" s="95"/>
      <c r="H131" s="95"/>
      <c r="I131" s="104">
        <f>I130/F130-1</f>
        <v>8.4805653710247286E-2</v>
      </c>
      <c r="J131" s="104">
        <f>J130/I130-1</f>
        <v>8.1433224755700362E-2</v>
      </c>
      <c r="K131" s="104">
        <f t="shared" ref="K131:M131" si="36">K130/J130-1</f>
        <v>4.8192771084337283E-2</v>
      </c>
      <c r="L131" s="104">
        <f t="shared" si="36"/>
        <v>3.1609195402298784E-2</v>
      </c>
      <c r="M131" s="104">
        <f t="shared" si="36"/>
        <v>2.7855153203342642E-2</v>
      </c>
      <c r="N131" s="104">
        <f>N130/M130-1</f>
        <v>2.1680216802167918E-2</v>
      </c>
    </row>
    <row r="132" spans="3:15" outlineLevel="1">
      <c r="C132" s="92" t="s">
        <v>208</v>
      </c>
    </row>
    <row r="133" spans="3:15" outlineLevel="1">
      <c r="C133" s="188" t="s">
        <v>209</v>
      </c>
      <c r="F133" s="95">
        <f>I201*1000</f>
        <v>10780.918727915194</v>
      </c>
      <c r="G133" s="96">
        <f>K144</f>
        <v>5447.151248674576</v>
      </c>
      <c r="H133" s="95">
        <f>F133*(1+(($E$124=1)*H$134+($E$124=2)*H$135))-G133</f>
        <v>5657.1950410780737</v>
      </c>
      <c r="I133" s="95"/>
      <c r="J133" s="95">
        <f>F133*(1+(($E$124=1)*J$134+($E$124=2)*J$135))^2</f>
        <v>11548.789664310953</v>
      </c>
      <c r="K133" s="95">
        <f>J133*(1+(($E$124=1)*J$134+($E$124=2)*J$135))</f>
        <v>11952.997302561835</v>
      </c>
      <c r="L133" s="95">
        <f t="shared" ref="L133:N133" si="37">K133*(1+(($E$124=1)*K$134+($E$124=2)*K$135))</f>
        <v>12407.211200059184</v>
      </c>
      <c r="M133" s="95">
        <f t="shared" si="37"/>
        <v>12853.870803261316</v>
      </c>
      <c r="N133" s="95">
        <f t="shared" si="37"/>
        <v>13329.464022981983</v>
      </c>
    </row>
    <row r="134" spans="3:15" outlineLevel="1">
      <c r="C134" s="188" t="s">
        <v>698</v>
      </c>
      <c r="G134" s="98">
        <f>$J$145</f>
        <v>6.3424288905068238E-2</v>
      </c>
      <c r="H134" s="98">
        <f t="shared" ref="H134:N134" si="38">$J$145</f>
        <v>6.3424288905068238E-2</v>
      </c>
      <c r="I134" s="98"/>
      <c r="J134" s="98">
        <f t="shared" si="38"/>
        <v>6.3424288905068238E-2</v>
      </c>
      <c r="K134" s="98">
        <f t="shared" si="38"/>
        <v>6.3424288905068238E-2</v>
      </c>
      <c r="L134" s="98">
        <f t="shared" si="38"/>
        <v>6.3424288905068238E-2</v>
      </c>
      <c r="M134" s="98">
        <f t="shared" si="38"/>
        <v>6.3424288905068238E-2</v>
      </c>
      <c r="N134" s="98">
        <f t="shared" si="38"/>
        <v>6.3424288905068238E-2</v>
      </c>
    </row>
    <row r="135" spans="3:15" outlineLevel="1">
      <c r="C135" s="188" t="s">
        <v>686</v>
      </c>
      <c r="G135" s="98"/>
      <c r="H135" s="98">
        <f>F154</f>
        <v>0.03</v>
      </c>
      <c r="I135" s="98"/>
      <c r="J135" s="98">
        <f>G154</f>
        <v>3.5000000000000003E-2</v>
      </c>
      <c r="K135" s="98">
        <f t="shared" ref="K135:N135" si="39">H154</f>
        <v>3.7999999999999999E-2</v>
      </c>
      <c r="L135" s="98">
        <f t="shared" si="39"/>
        <v>3.6000000000000004E-2</v>
      </c>
      <c r="M135" s="98">
        <f t="shared" si="39"/>
        <v>3.7000000000000005E-2</v>
      </c>
      <c r="N135" s="98">
        <f t="shared" si="39"/>
        <v>3.7000000000000005E-2</v>
      </c>
    </row>
    <row r="136" spans="3:15" ht="15" outlineLevel="1" thickBot="1">
      <c r="C136" s="99" t="s">
        <v>216</v>
      </c>
      <c r="D136" s="100"/>
      <c r="E136" s="100"/>
      <c r="F136" s="101">
        <f>F130*F133</f>
        <v>3051000</v>
      </c>
      <c r="G136" s="101">
        <f>G130*G133</f>
        <v>1606909.618359</v>
      </c>
      <c r="H136" s="101">
        <f>H130*H133</f>
        <v>1736758.8776109687</v>
      </c>
      <c r="I136" s="101">
        <f>G136+H136</f>
        <v>3343668.4959699688</v>
      </c>
      <c r="J136" s="101">
        <f t="shared" ref="J136:M136" si="40">J130*J133</f>
        <v>3834198.1685512364</v>
      </c>
      <c r="K136" s="101">
        <f t="shared" si="40"/>
        <v>4159643.0612915186</v>
      </c>
      <c r="L136" s="101">
        <f t="shared" si="40"/>
        <v>4454188.8208212471</v>
      </c>
      <c r="M136" s="101">
        <f t="shared" si="40"/>
        <v>4743078.3264034251</v>
      </c>
      <c r="N136" s="101">
        <f t="shared" ref="N136" si="41">N130*N133</f>
        <v>5025207.9366642078</v>
      </c>
    </row>
    <row r="137" spans="3:15" outlineLevel="1">
      <c r="C137" s="92"/>
    </row>
    <row r="138" spans="3:15" outlineLevel="1">
      <c r="C138" s="92"/>
    </row>
    <row r="139" spans="3:15" outlineLevel="1">
      <c r="C139" s="1333" t="s">
        <v>682</v>
      </c>
      <c r="D139" s="1334"/>
      <c r="E139" s="1334"/>
      <c r="F139" s="1334"/>
      <c r="G139" s="1334"/>
      <c r="H139" s="1334"/>
      <c r="I139" s="1334"/>
      <c r="J139" s="1334"/>
      <c r="K139" s="1334"/>
    </row>
    <row r="140" spans="3:15" outlineLevel="1">
      <c r="C140" s="92"/>
    </row>
    <row r="141" spans="3:15" outlineLevel="1">
      <c r="C141" s="91" t="s">
        <v>680</v>
      </c>
      <c r="D141" s="102"/>
      <c r="E141" s="102"/>
      <c r="F141" s="1150">
        <v>2007</v>
      </c>
      <c r="G141" s="1150">
        <v>2008</v>
      </c>
      <c r="H141" s="1150">
        <v>2009</v>
      </c>
      <c r="I141" s="1150">
        <v>2010</v>
      </c>
      <c r="J141" s="1150" t="s">
        <v>215</v>
      </c>
      <c r="K141" s="1150" t="s">
        <v>212</v>
      </c>
    </row>
    <row r="142" spans="3:15" outlineLevel="1">
      <c r="C142" s="103" t="s">
        <v>214</v>
      </c>
      <c r="F142" s="96">
        <f>F178*1000</f>
        <v>2286000</v>
      </c>
      <c r="G142" s="96">
        <f>G178*1000</f>
        <v>2445000</v>
      </c>
      <c r="H142" s="96">
        <f>H178*1000</f>
        <v>2666000</v>
      </c>
      <c r="I142" s="96">
        <f>I178*1000</f>
        <v>3051000</v>
      </c>
      <c r="J142" s="104">
        <f>(I142/F142)^(1/3)-1</f>
        <v>0.10100340104573768</v>
      </c>
      <c r="K142" s="96">
        <f>IS!F4/1000000</f>
        <v>1606909.618359</v>
      </c>
    </row>
    <row r="143" spans="3:15" outlineLevel="1">
      <c r="C143" s="103" t="s">
        <v>217</v>
      </c>
      <c r="F143" s="96">
        <f>F200</f>
        <v>255</v>
      </c>
      <c r="G143" s="96">
        <f t="shared" ref="G143:I143" si="42">G200</f>
        <v>258</v>
      </c>
      <c r="H143" s="96">
        <f t="shared" si="42"/>
        <v>274</v>
      </c>
      <c r="I143" s="96">
        <f t="shared" si="42"/>
        <v>283</v>
      </c>
      <c r="J143" s="104">
        <f>(I143/F143)^(1/3)-1</f>
        <v>3.533783507931898E-2</v>
      </c>
      <c r="K143" s="95">
        <v>295</v>
      </c>
    </row>
    <row r="144" spans="3:15" outlineLevel="1">
      <c r="C144" s="103" t="s">
        <v>218</v>
      </c>
      <c r="F144" s="95">
        <f>F142/F143</f>
        <v>8964.7058823529405</v>
      </c>
      <c r="G144" s="95">
        <f t="shared" ref="G144:I144" si="43">G142/G143</f>
        <v>9476.7441860465115</v>
      </c>
      <c r="H144" s="95">
        <f t="shared" si="43"/>
        <v>9729.9270072992695</v>
      </c>
      <c r="I144" s="95">
        <f t="shared" si="43"/>
        <v>10780.918727915194</v>
      </c>
      <c r="J144" s="104"/>
      <c r="K144" s="95">
        <f>K142/K143</f>
        <v>5447.151248674576</v>
      </c>
    </row>
    <row r="145" spans="3:12" outlineLevel="1">
      <c r="C145" s="105" t="s">
        <v>194</v>
      </c>
      <c r="D145" s="106"/>
      <c r="E145" s="106"/>
      <c r="F145" s="107"/>
      <c r="G145" s="108">
        <f>G144/F144-1</f>
        <v>5.7117133614112303E-2</v>
      </c>
      <c r="H145" s="108">
        <f t="shared" ref="H145:I145" si="44">H144/G144-1</f>
        <v>2.6716224083113138E-2</v>
      </c>
      <c r="I145" s="108">
        <f t="shared" si="44"/>
        <v>0.10801640339413487</v>
      </c>
      <c r="J145" s="108">
        <f>(I144/F144)^(1/3)-1</f>
        <v>6.3424288905068238E-2</v>
      </c>
      <c r="K145" s="107"/>
    </row>
    <row r="146" spans="3:12" outlineLevel="1">
      <c r="C146" s="92"/>
      <c r="F146" s="95"/>
      <c r="G146" s="95"/>
      <c r="H146" s="95"/>
      <c r="I146" s="95"/>
      <c r="J146" s="95"/>
    </row>
    <row r="147" spans="3:12" outlineLevel="1">
      <c r="C147" s="92"/>
      <c r="F147" s="95"/>
      <c r="G147" s="95"/>
      <c r="H147" s="95"/>
      <c r="I147" s="95"/>
      <c r="J147" s="95"/>
    </row>
    <row r="148" spans="3:12" outlineLevel="1">
      <c r="C148" s="1333" t="s">
        <v>683</v>
      </c>
      <c r="D148" s="1334"/>
      <c r="E148" s="1334"/>
      <c r="F148" s="1335"/>
      <c r="G148" s="1335"/>
      <c r="H148" s="1335"/>
      <c r="I148" s="1335"/>
      <c r="J148" s="1335"/>
      <c r="K148" s="1334"/>
    </row>
    <row r="149" spans="3:12" outlineLevel="1">
      <c r="C149" s="92"/>
      <c r="F149" s="95"/>
      <c r="G149" s="95"/>
      <c r="H149" s="95"/>
      <c r="I149" s="95"/>
      <c r="J149" s="95"/>
    </row>
    <row r="150" spans="3:12" outlineLevel="1">
      <c r="C150" s="102"/>
      <c r="D150" s="102"/>
      <c r="E150" s="102"/>
      <c r="F150" s="1150">
        <v>2011</v>
      </c>
      <c r="G150" s="1150">
        <v>2012</v>
      </c>
      <c r="H150" s="1150">
        <v>2013</v>
      </c>
      <c r="I150" s="1150">
        <v>2014</v>
      </c>
      <c r="J150" s="1150">
        <v>2015</v>
      </c>
      <c r="K150" s="1150">
        <v>2016</v>
      </c>
    </row>
    <row r="151" spans="3:12" outlineLevel="1">
      <c r="C151" s="92" t="s">
        <v>684</v>
      </c>
      <c r="F151" s="112">
        <f>$J$145</f>
        <v>6.3424288905068238E-2</v>
      </c>
      <c r="G151" s="112">
        <f t="shared" ref="G151:K151" si="45">$J$145</f>
        <v>6.3424288905068238E-2</v>
      </c>
      <c r="H151" s="112">
        <f t="shared" si="45"/>
        <v>6.3424288905068238E-2</v>
      </c>
      <c r="I151" s="112">
        <f t="shared" si="45"/>
        <v>6.3424288905068238E-2</v>
      </c>
      <c r="J151" s="112">
        <f t="shared" si="45"/>
        <v>6.3424288905068238E-2</v>
      </c>
      <c r="K151" s="112">
        <f t="shared" si="45"/>
        <v>6.3424288905068238E-2</v>
      </c>
    </row>
    <row r="152" spans="3:12" outlineLevel="1">
      <c r="C152" s="92" t="s">
        <v>685</v>
      </c>
      <c r="F152" s="104">
        <f>(1+F153)*(1+F154)-1</f>
        <v>3.2704504140577795E-2</v>
      </c>
      <c r="G152" s="104">
        <f t="shared" ref="G152:K152" si="46">(1+G153)*(1+G154)-1</f>
        <v>3.8127518130539606E-2</v>
      </c>
      <c r="H152" s="104">
        <f t="shared" si="46"/>
        <v>4.0501707170114587E-2</v>
      </c>
      <c r="I152" s="104">
        <f t="shared" si="46"/>
        <v>3.7868162692847207E-2</v>
      </c>
      <c r="J152" s="104">
        <f t="shared" si="46"/>
        <v>3.6999999999999922E-2</v>
      </c>
      <c r="K152" s="104">
        <f t="shared" si="46"/>
        <v>3.6999999999999922E-2</v>
      </c>
    </row>
    <row r="153" spans="3:12" outlineLevel="1">
      <c r="C153" s="185" t="s">
        <v>534</v>
      </c>
      <c r="F153" s="112">
        <f t="shared" ref="F153:J154" si="47">G168</f>
        <v>2.6257321753182516E-3</v>
      </c>
      <c r="G153" s="112">
        <f t="shared" si="47"/>
        <v>3.0217566478645264E-3</v>
      </c>
      <c r="H153" s="112">
        <f t="shared" si="47"/>
        <v>2.410122514561186E-3</v>
      </c>
      <c r="I153" s="112">
        <f t="shared" si="47"/>
        <v>1.8032458425165654E-3</v>
      </c>
      <c r="J153" s="112">
        <f t="shared" si="47"/>
        <v>0</v>
      </c>
      <c r="K153" s="112">
        <f>J153</f>
        <v>0</v>
      </c>
    </row>
    <row r="154" spans="3:12" outlineLevel="1">
      <c r="C154" s="186" t="s">
        <v>569</v>
      </c>
      <c r="D154" s="106"/>
      <c r="E154" s="106"/>
      <c r="F154" s="187">
        <f t="shared" si="47"/>
        <v>0.03</v>
      </c>
      <c r="G154" s="187">
        <f t="shared" si="47"/>
        <v>3.5000000000000003E-2</v>
      </c>
      <c r="H154" s="187">
        <f t="shared" si="47"/>
        <v>3.7999999999999999E-2</v>
      </c>
      <c r="I154" s="187">
        <f t="shared" si="47"/>
        <v>3.6000000000000004E-2</v>
      </c>
      <c r="J154" s="187">
        <f t="shared" si="47"/>
        <v>3.7000000000000005E-2</v>
      </c>
      <c r="K154" s="187">
        <f>J154</f>
        <v>3.7000000000000005E-2</v>
      </c>
    </row>
    <row r="155" spans="3:12" outlineLevel="1">
      <c r="C155" s="92"/>
      <c r="F155" s="95"/>
      <c r="G155" s="95"/>
      <c r="H155" s="95"/>
      <c r="I155" s="95"/>
      <c r="J155" s="95"/>
    </row>
    <row r="156" spans="3:12" outlineLevel="1">
      <c r="C156" s="92"/>
      <c r="F156" s="95"/>
      <c r="G156" s="95"/>
      <c r="H156" s="95"/>
      <c r="I156" s="95"/>
      <c r="J156" s="95"/>
      <c r="K156" s="95"/>
      <c r="L156" s="95"/>
    </row>
    <row r="157" spans="3:12" outlineLevel="1">
      <c r="C157" s="92"/>
      <c r="F157" s="95"/>
      <c r="G157" s="95"/>
      <c r="H157" s="95"/>
      <c r="I157" s="95"/>
      <c r="J157" s="95"/>
      <c r="K157" s="95"/>
      <c r="L157" s="95"/>
    </row>
    <row r="158" spans="3:12" outlineLevel="1">
      <c r="C158" s="103"/>
      <c r="D158" s="111"/>
      <c r="E158" s="111"/>
      <c r="F158" s="120"/>
      <c r="G158" s="120"/>
      <c r="H158" s="120"/>
      <c r="I158" s="120"/>
      <c r="J158" s="95"/>
    </row>
    <row r="159" spans="3:12">
      <c r="C159" s="103"/>
      <c r="D159" s="111"/>
      <c r="E159" s="111"/>
      <c r="F159" s="120"/>
      <c r="G159" s="120"/>
      <c r="H159" s="120"/>
      <c r="I159" s="120"/>
      <c r="J159" s="95"/>
    </row>
    <row r="160" spans="3:12">
      <c r="C160" s="103"/>
      <c r="D160" s="111"/>
      <c r="E160" s="111"/>
      <c r="F160" s="120"/>
      <c r="G160" s="120"/>
      <c r="H160" s="120"/>
      <c r="I160" s="120"/>
      <c r="J160" s="95"/>
    </row>
    <row r="161" spans="3:20">
      <c r="C161" s="189" t="s">
        <v>220</v>
      </c>
      <c r="D161" s="189"/>
      <c r="E161" s="189"/>
      <c r="F161" s="189" t="s">
        <v>237</v>
      </c>
      <c r="G161" s="189" t="s">
        <v>238</v>
      </c>
      <c r="H161" s="189" t="s">
        <v>239</v>
      </c>
      <c r="I161" s="189" t="s">
        <v>240</v>
      </c>
      <c r="J161" s="189" t="s">
        <v>241</v>
      </c>
      <c r="K161" s="189" t="s">
        <v>242</v>
      </c>
    </row>
    <row r="162" spans="3:20">
      <c r="C162" s="103" t="s">
        <v>278</v>
      </c>
      <c r="F162" s="104">
        <v>6.1620000000000001E-2</v>
      </c>
      <c r="G162" s="104">
        <v>3.9E-2</v>
      </c>
      <c r="H162" s="104">
        <v>3.9E-2</v>
      </c>
      <c r="I162" s="104">
        <v>4.0999999999999995E-2</v>
      </c>
      <c r="J162" s="104">
        <v>3.7000000000000005E-2</v>
      </c>
      <c r="K162" s="104">
        <v>3.9E-2</v>
      </c>
      <c r="N162" s="109"/>
      <c r="O162" s="109"/>
      <c r="P162" s="109"/>
      <c r="Q162" s="109"/>
      <c r="R162" s="109"/>
      <c r="S162" s="109"/>
      <c r="T162" s="109"/>
    </row>
    <row r="163" spans="3:20">
      <c r="C163" s="103" t="s">
        <v>281</v>
      </c>
      <c r="F163" s="104">
        <v>4.1399999999999999E-2</v>
      </c>
      <c r="G163" s="104">
        <v>3.1E-2</v>
      </c>
      <c r="H163" s="104">
        <v>3.5000000000000003E-2</v>
      </c>
      <c r="I163" s="104">
        <v>3.7999999999999999E-2</v>
      </c>
      <c r="J163" s="104">
        <v>3.6000000000000004E-2</v>
      </c>
      <c r="K163" s="104">
        <v>3.7000000000000005E-2</v>
      </c>
      <c r="N163" s="109"/>
      <c r="O163" s="109"/>
      <c r="P163" s="109"/>
      <c r="Q163" s="109"/>
      <c r="R163" s="109"/>
      <c r="S163" s="109"/>
      <c r="T163" s="109"/>
    </row>
    <row r="164" spans="3:20">
      <c r="C164" s="103" t="s">
        <v>396</v>
      </c>
      <c r="F164" s="104">
        <v>2.6000000000000002E-2</v>
      </c>
      <c r="G164" s="104">
        <v>4.0999999999999995E-2</v>
      </c>
      <c r="H164" s="104">
        <v>2.8999999999999998E-2</v>
      </c>
      <c r="I164" s="104">
        <v>2.4E-2</v>
      </c>
      <c r="J164" s="104">
        <v>2.7000000000000003E-2</v>
      </c>
      <c r="K164" s="104">
        <v>2.5000000000000001E-2</v>
      </c>
      <c r="N164" s="109"/>
      <c r="O164" s="109"/>
      <c r="P164" s="109"/>
      <c r="Q164" s="109"/>
      <c r="R164" s="109"/>
      <c r="S164" s="109"/>
      <c r="T164" s="109"/>
    </row>
    <row r="165" spans="3:20">
      <c r="C165" s="103" t="s">
        <v>508</v>
      </c>
      <c r="F165" s="104">
        <v>2.9559999999999999E-2</v>
      </c>
      <c r="G165" s="104">
        <v>4.4000000000000004E-2</v>
      </c>
      <c r="H165" s="104">
        <v>3.1E-2</v>
      </c>
      <c r="I165" s="104">
        <v>0.03</v>
      </c>
      <c r="J165" s="104">
        <v>3.1E-2</v>
      </c>
      <c r="K165" s="104">
        <v>2.8999999999999998E-2</v>
      </c>
      <c r="N165" s="109"/>
      <c r="O165" s="109"/>
      <c r="P165" s="109"/>
      <c r="Q165" s="109"/>
      <c r="R165" s="109"/>
      <c r="S165" s="109"/>
      <c r="T165" s="109"/>
    </row>
    <row r="166" spans="3:20">
      <c r="C166" s="103" t="s">
        <v>514</v>
      </c>
      <c r="F166" s="1083">
        <v>3.8339999999999999E-2</v>
      </c>
      <c r="G166" s="1083">
        <v>5.9000000000000004E-2</v>
      </c>
      <c r="H166" s="1083">
        <v>2.4E-2</v>
      </c>
      <c r="I166" s="1083">
        <v>3.5000000000000003E-2</v>
      </c>
      <c r="J166" s="1083">
        <v>0.03</v>
      </c>
      <c r="K166" s="1083">
        <v>2.7999999999999997E-2</v>
      </c>
      <c r="N166" s="109"/>
      <c r="O166" s="109"/>
      <c r="P166" s="109"/>
      <c r="Q166" s="109"/>
      <c r="R166" s="109"/>
      <c r="S166" s="109"/>
      <c r="T166" s="109"/>
    </row>
    <row r="167" spans="3:20">
      <c r="C167" s="103" t="s">
        <v>517</v>
      </c>
      <c r="F167" s="104">
        <v>6.9000000000000006E-2</v>
      </c>
      <c r="G167" s="104">
        <v>6.2E-2</v>
      </c>
      <c r="H167" s="104">
        <v>5.7000000000000002E-2</v>
      </c>
      <c r="I167" s="104">
        <v>5.4000000000000006E-2</v>
      </c>
      <c r="J167" s="104">
        <v>5.4000000000000006E-2</v>
      </c>
      <c r="K167" s="104">
        <v>5.2000000000000005E-2</v>
      </c>
      <c r="N167" s="109"/>
      <c r="O167" s="109"/>
      <c r="P167" s="109"/>
      <c r="Q167" s="109"/>
      <c r="R167" s="109"/>
      <c r="S167" s="109"/>
      <c r="T167" s="109"/>
    </row>
    <row r="168" spans="3:20">
      <c r="C168" s="103" t="s">
        <v>534</v>
      </c>
      <c r="F168" s="1083">
        <v>2.4296416278597466E-3</v>
      </c>
      <c r="G168" s="1083">
        <v>2.6257321753182516E-3</v>
      </c>
      <c r="H168" s="1083">
        <v>3.0217566478645264E-3</v>
      </c>
      <c r="I168" s="1083">
        <v>2.410122514561186E-3</v>
      </c>
      <c r="J168" s="1083">
        <v>1.8032458425165654E-3</v>
      </c>
      <c r="K168" s="1083">
        <v>0</v>
      </c>
      <c r="N168" s="109"/>
      <c r="O168" s="109"/>
      <c r="P168" s="109"/>
      <c r="Q168" s="109"/>
      <c r="R168" s="109"/>
      <c r="S168" s="109"/>
      <c r="T168" s="109"/>
    </row>
    <row r="169" spans="3:20">
      <c r="C169" s="105" t="s">
        <v>667</v>
      </c>
      <c r="D169" s="106"/>
      <c r="E169" s="106" t="s">
        <v>267</v>
      </c>
      <c r="F169" s="1084">
        <v>3.7999999999999999E-2</v>
      </c>
      <c r="G169" s="1084">
        <v>0.03</v>
      </c>
      <c r="H169" s="1084">
        <v>3.5000000000000003E-2</v>
      </c>
      <c r="I169" s="1084">
        <v>3.7999999999999999E-2</v>
      </c>
      <c r="J169" s="1084">
        <v>3.6000000000000004E-2</v>
      </c>
      <c r="K169" s="1084">
        <v>3.7000000000000005E-2</v>
      </c>
      <c r="N169" s="109"/>
      <c r="O169" s="109"/>
      <c r="P169" s="109"/>
      <c r="Q169" s="109"/>
      <c r="R169" s="109"/>
      <c r="S169" s="109"/>
      <c r="T169" s="109"/>
    </row>
    <row r="170" spans="3:20">
      <c r="C170" s="92"/>
      <c r="F170" s="95"/>
      <c r="G170" s="95"/>
      <c r="H170" s="95"/>
      <c r="I170" s="95"/>
      <c r="J170" s="95"/>
      <c r="K170" s="95"/>
      <c r="L170" s="95"/>
    </row>
    <row r="171" spans="3:20">
      <c r="G171" s="104"/>
      <c r="H171" s="104"/>
      <c r="I171" s="104"/>
    </row>
    <row r="172" spans="3:20">
      <c r="C172" s="102" t="s">
        <v>207</v>
      </c>
      <c r="D172" s="102"/>
      <c r="E172" s="102"/>
      <c r="F172" s="1150">
        <v>2007</v>
      </c>
      <c r="G172" s="1150">
        <v>2008</v>
      </c>
      <c r="H172" s="1150">
        <v>2009</v>
      </c>
      <c r="I172" s="1150">
        <v>2010</v>
      </c>
    </row>
    <row r="173" spans="3:20">
      <c r="C173" s="92" t="s">
        <v>173</v>
      </c>
      <c r="F173" s="143">
        <f>SUM(F174:F175)</f>
        <v>21411</v>
      </c>
      <c r="G173" s="143">
        <f t="shared" ref="G173:I173" si="48">SUM(G174:G175)</f>
        <v>21708</v>
      </c>
      <c r="H173" s="143">
        <f t="shared" si="48"/>
        <v>21987</v>
      </c>
      <c r="I173" s="143">
        <f t="shared" si="48"/>
        <v>23003</v>
      </c>
    </row>
    <row r="174" spans="3:20">
      <c r="C174" s="97" t="s">
        <v>182</v>
      </c>
      <c r="F174" s="96">
        <f>F294</f>
        <v>14555</v>
      </c>
      <c r="G174" s="96">
        <f t="shared" ref="G174:I174" si="49">G294</f>
        <v>15267</v>
      </c>
      <c r="H174" s="96">
        <f t="shared" si="49"/>
        <v>15659</v>
      </c>
      <c r="I174" s="96">
        <f t="shared" si="49"/>
        <v>16381</v>
      </c>
    </row>
    <row r="175" spans="3:20">
      <c r="C175" s="144" t="s">
        <v>183</v>
      </c>
      <c r="D175" s="106"/>
      <c r="E175" s="106"/>
      <c r="F175" s="145">
        <f>F296</f>
        <v>6856</v>
      </c>
      <c r="G175" s="145">
        <f t="shared" ref="G175:I175" si="50">G296</f>
        <v>6441</v>
      </c>
      <c r="H175" s="145">
        <f t="shared" si="50"/>
        <v>6328</v>
      </c>
      <c r="I175" s="145">
        <f t="shared" si="50"/>
        <v>6622</v>
      </c>
    </row>
    <row r="176" spans="3:20">
      <c r="C176" s="92" t="s">
        <v>184</v>
      </c>
    </row>
    <row r="177" spans="3:11">
      <c r="C177" s="146" t="s">
        <v>196</v>
      </c>
      <c r="D177" s="146"/>
      <c r="E177" s="146"/>
      <c r="F177" s="147">
        <f>F178+F181</f>
        <v>2926.1352680519999</v>
      </c>
      <c r="G177" s="147">
        <f t="shared" ref="G177:I177" si="51">G178+G181</f>
        <v>3103.9040461619998</v>
      </c>
      <c r="H177" s="147">
        <f t="shared" si="51"/>
        <v>3274.7661126100002</v>
      </c>
      <c r="I177" s="147">
        <f t="shared" si="51"/>
        <v>3593.9997131059999</v>
      </c>
    </row>
    <row r="178" spans="3:11">
      <c r="C178" s="97" t="s">
        <v>3002</v>
      </c>
      <c r="F178" s="96">
        <f>F307</f>
        <v>2286</v>
      </c>
      <c r="G178" s="96">
        <f t="shared" ref="G178:I178" si="52">G307</f>
        <v>2445</v>
      </c>
      <c r="H178" s="96">
        <f t="shared" si="52"/>
        <v>2666</v>
      </c>
      <c r="I178" s="96">
        <f t="shared" si="52"/>
        <v>3051</v>
      </c>
      <c r="K178" s="109"/>
    </row>
    <row r="179" spans="3:11">
      <c r="C179" s="148" t="s">
        <v>194</v>
      </c>
      <c r="D179" s="149"/>
      <c r="E179" s="149"/>
      <c r="F179" s="150"/>
      <c r="G179" s="151">
        <f>G178/F178-1</f>
        <v>6.9553805774278166E-2</v>
      </c>
      <c r="H179" s="151">
        <f t="shared" ref="H179:I179" si="53">H178/G178-1</f>
        <v>9.038854805725971E-2</v>
      </c>
      <c r="I179" s="151">
        <f t="shared" si="53"/>
        <v>0.14441110277569402</v>
      </c>
    </row>
    <row r="180" spans="3:11">
      <c r="C180" s="152" t="s">
        <v>195</v>
      </c>
      <c r="D180" s="153"/>
      <c r="E180" s="153"/>
      <c r="F180" s="154">
        <f>F178/F$173</f>
        <v>0.1067675493905002</v>
      </c>
      <c r="G180" s="154">
        <f>G178/G$173</f>
        <v>0.11263128800442233</v>
      </c>
      <c r="H180" s="154">
        <f t="shared" ref="H180:I180" si="54">H178/H$173</f>
        <v>0.12125346795833902</v>
      </c>
      <c r="I180" s="154">
        <f t="shared" si="54"/>
        <v>0.13263487371212451</v>
      </c>
    </row>
    <row r="181" spans="3:11">
      <c r="C181" s="97" t="s">
        <v>187</v>
      </c>
      <c r="F181" s="95">
        <f>매출원가추정!D104/1000</f>
        <v>640.13526805200001</v>
      </c>
      <c r="G181" s="95">
        <f>매출원가추정!E104/1000</f>
        <v>658.90404616199999</v>
      </c>
      <c r="H181" s="95">
        <f>매출원가추정!F104/1000</f>
        <v>608.76611260999994</v>
      </c>
      <c r="I181" s="95">
        <f>매출원가추정!G104/1000</f>
        <v>542.99971310599994</v>
      </c>
    </row>
    <row r="182" spans="3:11">
      <c r="C182" s="148" t="s">
        <v>194</v>
      </c>
      <c r="D182" s="149"/>
      <c r="E182" s="149"/>
      <c r="F182" s="150"/>
      <c r="G182" s="151">
        <f>G181/F181-1</f>
        <v>2.9320018825263805E-2</v>
      </c>
      <c r="H182" s="151">
        <f t="shared" ref="H182" si="55">H181/G181-1</f>
        <v>-7.6092921031589822E-2</v>
      </c>
      <c r="I182" s="151">
        <f t="shared" ref="I182" si="56">I181/H181-1</f>
        <v>-0.10803229375241619</v>
      </c>
    </row>
    <row r="183" spans="3:11">
      <c r="C183" s="155" t="s">
        <v>195</v>
      </c>
      <c r="D183" s="156"/>
      <c r="E183" s="156"/>
      <c r="F183" s="157">
        <f>F181/F$173</f>
        <v>2.9897495121759845E-2</v>
      </c>
      <c r="G183" s="157">
        <f>G181/G$173</f>
        <v>3.0353051693477059E-2</v>
      </c>
      <c r="H183" s="157">
        <f t="shared" ref="H183:I183" si="57">H181/H$173</f>
        <v>2.7687547760494834E-2</v>
      </c>
      <c r="I183" s="157">
        <f t="shared" si="57"/>
        <v>2.3605604186671302E-2</v>
      </c>
    </row>
    <row r="184" spans="3:11">
      <c r="C184" s="146" t="s">
        <v>198</v>
      </c>
      <c r="D184" s="146"/>
      <c r="E184" s="146"/>
      <c r="F184" s="147">
        <f>F185+F188</f>
        <v>1928.7511387860002</v>
      </c>
      <c r="G184" s="147">
        <f t="shared" ref="G184:I184" si="58">G185+G188</f>
        <v>2099.0205793529999</v>
      </c>
      <c r="H184" s="147">
        <f t="shared" si="58"/>
        <v>2364.718614764</v>
      </c>
      <c r="I184" s="147">
        <f t="shared" si="58"/>
        <v>2891.0698713190004</v>
      </c>
    </row>
    <row r="185" spans="3:11">
      <c r="C185" s="97" t="s">
        <v>190</v>
      </c>
      <c r="F185" s="95">
        <f>매출원가추정!D93/1000</f>
        <v>1185.3944396600002</v>
      </c>
      <c r="G185" s="95">
        <f>매출원가추정!E93/1000</f>
        <v>1314.724760053</v>
      </c>
      <c r="H185" s="95">
        <f>매출원가추정!F93/1000</f>
        <v>1463.2125664109999</v>
      </c>
      <c r="I185" s="95">
        <f>매출원가추정!G93/1000</f>
        <v>1729.4310277440002</v>
      </c>
    </row>
    <row r="186" spans="3:11">
      <c r="C186" s="148" t="s">
        <v>194</v>
      </c>
      <c r="D186" s="149"/>
      <c r="E186" s="149"/>
      <c r="F186" s="150"/>
      <c r="G186" s="151">
        <f>G185/F185-1</f>
        <v>0.10910319473920826</v>
      </c>
      <c r="H186" s="151">
        <f t="shared" ref="H186" si="59">H185/G185-1</f>
        <v>0.1129421236061714</v>
      </c>
      <c r="I186" s="151">
        <f t="shared" ref="I186" si="60">I185/H185-1</f>
        <v>0.18194107093133205</v>
      </c>
    </row>
    <row r="187" spans="3:11">
      <c r="C187" s="152" t="s">
        <v>193</v>
      </c>
      <c r="D187" s="153"/>
      <c r="E187" s="153"/>
      <c r="F187" s="154">
        <f>F185/F$173</f>
        <v>5.5363805504647153E-2</v>
      </c>
      <c r="G187" s="154">
        <f>G185/G$173</f>
        <v>6.0564066705960935E-2</v>
      </c>
      <c r="H187" s="154">
        <f t="shared" ref="H187:I187" si="61">H185/H$173</f>
        <v>6.6548986510710867E-2</v>
      </c>
      <c r="I187" s="154">
        <f t="shared" si="61"/>
        <v>7.5182846921879765E-2</v>
      </c>
    </row>
    <row r="188" spans="3:11">
      <c r="C188" s="97" t="s">
        <v>670</v>
      </c>
      <c r="F188" s="95">
        <f>매출원가추정!D98/1000</f>
        <v>743.35669912599997</v>
      </c>
      <c r="G188" s="95">
        <f>매출원가추정!E98/1000</f>
        <v>784.29581930000006</v>
      </c>
      <c r="H188" s="95">
        <f>매출원가추정!F98/1000</f>
        <v>901.50604835299998</v>
      </c>
      <c r="I188" s="95">
        <f>매출원가추정!G98/1000</f>
        <v>1161.638843575</v>
      </c>
    </row>
    <row r="189" spans="3:11">
      <c r="C189" s="148" t="s">
        <v>194</v>
      </c>
      <c r="D189" s="149"/>
      <c r="E189" s="149"/>
      <c r="F189" s="150"/>
      <c r="G189" s="151">
        <f>G188/F188-1</f>
        <v>5.5073318397660387E-2</v>
      </c>
      <c r="H189" s="151">
        <f t="shared" ref="H189" si="62">H188/G188-1</f>
        <v>0.14944645396377654</v>
      </c>
      <c r="I189" s="151">
        <f t="shared" ref="I189" si="63">I188/H188-1</f>
        <v>0.28855357731348308</v>
      </c>
    </row>
    <row r="190" spans="3:11">
      <c r="C190" s="155" t="s">
        <v>195</v>
      </c>
      <c r="D190" s="156"/>
      <c r="E190" s="156"/>
      <c r="F190" s="157">
        <f>F188/F$173</f>
        <v>3.471844842025127E-2</v>
      </c>
      <c r="G190" s="157">
        <f>G188/G$173</f>
        <v>3.612934490971071E-2</v>
      </c>
      <c r="H190" s="157">
        <f t="shared" ref="H190:I190" si="64">H188/H$173</f>
        <v>4.1001775974575883E-2</v>
      </c>
      <c r="I190" s="157">
        <f t="shared" si="64"/>
        <v>5.0499449792418383E-2</v>
      </c>
    </row>
    <row r="191" spans="3:11">
      <c r="C191" s="146" t="s">
        <v>199</v>
      </c>
      <c r="D191" s="146"/>
      <c r="E191" s="146"/>
      <c r="F191" s="147">
        <v>3858.3</v>
      </c>
      <c r="G191" s="147">
        <v>4104.1000000000004</v>
      </c>
      <c r="H191" s="147">
        <v>4730</v>
      </c>
      <c r="I191" s="158">
        <f>H191*(1+H192)</f>
        <v>5451.3535245242556</v>
      </c>
    </row>
    <row r="192" spans="3:11">
      <c r="C192" s="148" t="s">
        <v>194</v>
      </c>
      <c r="D192" s="149"/>
      <c r="E192" s="149"/>
      <c r="F192" s="150"/>
      <c r="G192" s="151">
        <f>G191/F191-1</f>
        <v>6.3706813881761359E-2</v>
      </c>
      <c r="H192" s="151">
        <f t="shared" ref="H192" si="65">H191/G191-1</f>
        <v>0.15250603055481093</v>
      </c>
      <c r="I192" s="151">
        <f t="shared" ref="I192" si="66">I191/H191-1</f>
        <v>0.15250603055481093</v>
      </c>
    </row>
    <row r="193" spans="3:9">
      <c r="C193" s="155" t="s">
        <v>195</v>
      </c>
      <c r="D193" s="156"/>
      <c r="E193" s="156"/>
      <c r="F193" s="157">
        <f>F191/F$173</f>
        <v>0.18020176544766708</v>
      </c>
      <c r="G193" s="157">
        <f>G191/G$173</f>
        <v>0.18905933296480562</v>
      </c>
      <c r="H193" s="157">
        <f t="shared" ref="H193:I193" si="67">H191/H$173</f>
        <v>0.21512712057124664</v>
      </c>
      <c r="I193" s="157">
        <f t="shared" si="67"/>
        <v>0.23698445961501785</v>
      </c>
    </row>
    <row r="194" spans="3:9">
      <c r="C194" s="146" t="s">
        <v>200</v>
      </c>
      <c r="D194" s="146"/>
      <c r="E194" s="146"/>
      <c r="F194" s="147">
        <f>F173-F177-F184-F191</f>
        <v>12697.813593162002</v>
      </c>
      <c r="G194" s="147">
        <f t="shared" ref="G194:I194" si="68">G173-G177-G184-G191</f>
        <v>12400.975374485</v>
      </c>
      <c r="H194" s="147">
        <f t="shared" si="68"/>
        <v>11617.515272626</v>
      </c>
      <c r="I194" s="147">
        <f t="shared" si="68"/>
        <v>11066.576891050743</v>
      </c>
    </row>
    <row r="195" spans="3:9">
      <c r="C195" s="148" t="s">
        <v>194</v>
      </c>
      <c r="D195" s="149"/>
      <c r="E195" s="149"/>
      <c r="F195" s="150"/>
      <c r="G195" s="151">
        <f>G194/F194-1</f>
        <v>-2.3377112642199549E-2</v>
      </c>
      <c r="H195" s="151">
        <f t="shared" ref="H195" si="69">H194/G194-1</f>
        <v>-6.3177296801263605E-2</v>
      </c>
      <c r="I195" s="151">
        <f t="shared" ref="I195" si="70">I194/H194-1</f>
        <v>-4.742308218637914E-2</v>
      </c>
    </row>
    <row r="196" spans="3:9">
      <c r="C196" s="155" t="s">
        <v>195</v>
      </c>
      <c r="D196" s="156"/>
      <c r="E196" s="156"/>
      <c r="F196" s="157">
        <f>F194/F$173</f>
        <v>0.59305093611517457</v>
      </c>
      <c r="G196" s="157">
        <f>G194/G$173</f>
        <v>0.57126291572162335</v>
      </c>
      <c r="H196" s="157">
        <f t="shared" ref="H196:I196" si="71">H194/H$173</f>
        <v>0.52838110122463278</v>
      </c>
      <c r="I196" s="157">
        <f t="shared" si="71"/>
        <v>0.48109276577188814</v>
      </c>
    </row>
    <row r="197" spans="3:9">
      <c r="C197" s="92" t="s">
        <v>206</v>
      </c>
    </row>
    <row r="198" spans="3:9">
      <c r="C198" s="146" t="s">
        <v>196</v>
      </c>
      <c r="D198" s="146"/>
      <c r="E198" s="146"/>
      <c r="F198" s="147"/>
      <c r="G198" s="147"/>
      <c r="H198" s="147"/>
      <c r="I198" s="147"/>
    </row>
    <row r="199" spans="3:9">
      <c r="C199" s="97" t="s">
        <v>3002</v>
      </c>
      <c r="F199" s="96"/>
      <c r="G199" s="96"/>
      <c r="H199" s="96"/>
      <c r="I199" s="96"/>
    </row>
    <row r="200" spans="3:9">
      <c r="C200" s="148" t="s">
        <v>204</v>
      </c>
      <c r="D200" s="149"/>
      <c r="E200" s="149"/>
      <c r="F200" s="150">
        <f>E258</f>
        <v>255</v>
      </c>
      <c r="G200" s="150">
        <f t="shared" ref="G200:I200" si="72">F258</f>
        <v>258</v>
      </c>
      <c r="H200" s="150">
        <f t="shared" si="72"/>
        <v>274</v>
      </c>
      <c r="I200" s="150">
        <f t="shared" si="72"/>
        <v>283</v>
      </c>
    </row>
    <row r="201" spans="3:9">
      <c r="C201" s="152" t="s">
        <v>206</v>
      </c>
      <c r="D201" s="153"/>
      <c r="E201" s="153"/>
      <c r="F201" s="159">
        <f>F178/F200</f>
        <v>8.9647058823529413</v>
      </c>
      <c r="G201" s="159">
        <f t="shared" ref="G201:I201" si="73">G178/G200</f>
        <v>9.4767441860465116</v>
      </c>
      <c r="H201" s="159">
        <f t="shared" si="73"/>
        <v>9.7299270072992705</v>
      </c>
      <c r="I201" s="159">
        <f t="shared" si="73"/>
        <v>10.780918727915195</v>
      </c>
    </row>
    <row r="202" spans="3:9">
      <c r="C202" s="97" t="s">
        <v>187</v>
      </c>
      <c r="F202" s="95">
        <f>매출원가추정!D125/1000</f>
        <v>0</v>
      </c>
      <c r="G202" s="95">
        <f>매출원가추정!E125/1000</f>
        <v>0</v>
      </c>
      <c r="H202" s="95">
        <f>매출원가추정!F125/1000</f>
        <v>0</v>
      </c>
      <c r="I202" s="95">
        <f>매출원가추정!G125/1000</f>
        <v>0</v>
      </c>
    </row>
    <row r="203" spans="3:9">
      <c r="C203" s="148" t="s">
        <v>203</v>
      </c>
      <c r="D203" s="149"/>
      <c r="E203" s="149"/>
      <c r="F203" s="150">
        <f>E261</f>
        <v>100</v>
      </c>
      <c r="G203" s="150">
        <f t="shared" ref="G203:I203" si="74">F261</f>
        <v>109</v>
      </c>
      <c r="H203" s="150">
        <f t="shared" si="74"/>
        <v>106</v>
      </c>
      <c r="I203" s="150">
        <f t="shared" si="74"/>
        <v>110</v>
      </c>
    </row>
    <row r="204" spans="3:9">
      <c r="C204" s="155" t="s">
        <v>205</v>
      </c>
      <c r="D204" s="156"/>
      <c r="E204" s="156"/>
      <c r="F204" s="160">
        <f>F181/F203</f>
        <v>6.4013526805200005</v>
      </c>
      <c r="G204" s="160">
        <f t="shared" ref="G204" si="75">G181/G203</f>
        <v>6.0449912491926607</v>
      </c>
      <c r="H204" s="160">
        <f t="shared" ref="H204" si="76">H181/H203</f>
        <v>5.7430765340566028</v>
      </c>
      <c r="I204" s="160">
        <f t="shared" ref="I204" si="77">I181/I203</f>
        <v>4.9363610282363632</v>
      </c>
    </row>
    <row r="205" spans="3:9">
      <c r="C205" s="146" t="s">
        <v>198</v>
      </c>
      <c r="D205" s="146"/>
      <c r="E205" s="146"/>
      <c r="F205" s="147">
        <f>F206+F209</f>
        <v>0</v>
      </c>
      <c r="G205" s="147">
        <f t="shared" ref="G205" si="78">G206+G209</f>
        <v>0</v>
      </c>
      <c r="H205" s="147">
        <f t="shared" ref="H205" si="79">H206+H209</f>
        <v>0</v>
      </c>
      <c r="I205" s="147">
        <f t="shared" ref="I205" si="80">I206+I209</f>
        <v>0</v>
      </c>
    </row>
    <row r="206" spans="3:9">
      <c r="C206" s="97" t="s">
        <v>190</v>
      </c>
      <c r="F206" s="95">
        <f>매출원가추정!D114/1000</f>
        <v>0</v>
      </c>
      <c r="G206" s="95">
        <f>매출원가추정!E114/1000</f>
        <v>0</v>
      </c>
      <c r="H206" s="95">
        <f>매출원가추정!F114/1000</f>
        <v>0</v>
      </c>
      <c r="I206" s="95">
        <f>매출원가추정!G114/1000</f>
        <v>0</v>
      </c>
    </row>
    <row r="207" spans="3:9">
      <c r="C207" s="148" t="s">
        <v>203</v>
      </c>
      <c r="D207" s="149"/>
      <c r="E207" s="149"/>
      <c r="F207" s="150">
        <f>E260</f>
        <v>242</v>
      </c>
      <c r="G207" s="150">
        <f t="shared" ref="G207:I207" si="81">F260</f>
        <v>280</v>
      </c>
      <c r="H207" s="150">
        <f t="shared" si="81"/>
        <v>267</v>
      </c>
      <c r="I207" s="150">
        <f t="shared" si="81"/>
        <v>270</v>
      </c>
    </row>
    <row r="208" spans="3:9">
      <c r="C208" s="152" t="s">
        <v>205</v>
      </c>
      <c r="D208" s="153"/>
      <c r="E208" s="153"/>
      <c r="F208" s="159">
        <f>F185/F207</f>
        <v>4.8983241308264471</v>
      </c>
      <c r="G208" s="159">
        <f t="shared" ref="G208" si="82">G185/G207</f>
        <v>4.6954455716178574</v>
      </c>
      <c r="H208" s="159">
        <f t="shared" ref="H208" si="83">H185/H207</f>
        <v>5.4801968779438202</v>
      </c>
      <c r="I208" s="159">
        <f t="shared" ref="I208" si="84">I185/I207</f>
        <v>6.4053001027555565</v>
      </c>
    </row>
    <row r="209" spans="3:9">
      <c r="C209" s="97" t="s">
        <v>191</v>
      </c>
      <c r="F209" s="95">
        <f>매출원가추정!D119/1000</f>
        <v>0</v>
      </c>
      <c r="G209" s="95">
        <f>매출원가추정!E119/1000</f>
        <v>0</v>
      </c>
      <c r="H209" s="95">
        <f>매출원가추정!F119/1000</f>
        <v>0</v>
      </c>
      <c r="I209" s="95">
        <f>매출원가추정!G119/1000</f>
        <v>0</v>
      </c>
    </row>
    <row r="210" spans="3:9">
      <c r="C210" s="148" t="s">
        <v>203</v>
      </c>
      <c r="D210" s="149"/>
      <c r="E210" s="149"/>
      <c r="F210" s="150">
        <f>E259</f>
        <v>200</v>
      </c>
      <c r="G210" s="150">
        <f t="shared" ref="G210:I210" si="85">F259</f>
        <v>213</v>
      </c>
      <c r="H210" s="150">
        <f t="shared" si="85"/>
        <v>217</v>
      </c>
      <c r="I210" s="150">
        <f t="shared" si="85"/>
        <v>280</v>
      </c>
    </row>
    <row r="211" spans="3:9">
      <c r="C211" s="155" t="s">
        <v>205</v>
      </c>
      <c r="D211" s="156"/>
      <c r="E211" s="156"/>
      <c r="F211" s="160">
        <f>F188/F210</f>
        <v>3.7167834956299997</v>
      </c>
      <c r="G211" s="160">
        <f t="shared" ref="G211" si="86">G188/G210</f>
        <v>3.6821399967136155</v>
      </c>
      <c r="H211" s="160">
        <f t="shared" ref="H211" si="87">H188/H210</f>
        <v>4.1544057527788016</v>
      </c>
      <c r="I211" s="160">
        <f t="shared" ref="I211" si="88">I188/I210</f>
        <v>4.1487101556250003</v>
      </c>
    </row>
    <row r="212" spans="3:9">
      <c r="C212" s="146" t="s">
        <v>199</v>
      </c>
      <c r="D212" s="146"/>
      <c r="E212" s="146"/>
      <c r="F212" s="147">
        <v>3858.3</v>
      </c>
      <c r="G212" s="147">
        <v>4104.1000000000004</v>
      </c>
      <c r="H212" s="147">
        <v>4730</v>
      </c>
      <c r="I212" s="158"/>
    </row>
    <row r="213" spans="3:9">
      <c r="C213" s="148" t="s">
        <v>203</v>
      </c>
      <c r="D213" s="149"/>
      <c r="E213" s="149"/>
      <c r="F213" s="150"/>
      <c r="G213" s="151"/>
      <c r="H213" s="151"/>
      <c r="I213" s="151"/>
    </row>
    <row r="214" spans="3:9">
      <c r="C214" s="155" t="s">
        <v>205</v>
      </c>
      <c r="D214" s="156"/>
      <c r="E214" s="156"/>
      <c r="F214" s="160"/>
      <c r="G214" s="160"/>
      <c r="H214" s="160"/>
      <c r="I214" s="160"/>
    </row>
    <row r="215" spans="3:9">
      <c r="C215" s="146" t="s">
        <v>200</v>
      </c>
      <c r="D215" s="146"/>
      <c r="E215" s="146"/>
      <c r="F215" s="147">
        <f>F194-F198-F205-F212</f>
        <v>8839.5135931620025</v>
      </c>
      <c r="G215" s="147">
        <f t="shared" ref="G215:I215" si="89">G194-G198-G205-G212</f>
        <v>8296.8753744850001</v>
      </c>
      <c r="H215" s="147">
        <f t="shared" si="89"/>
        <v>6887.5152726260003</v>
      </c>
      <c r="I215" s="147">
        <f t="shared" si="89"/>
        <v>11066.576891050743</v>
      </c>
    </row>
    <row r="216" spans="3:9">
      <c r="C216" s="148" t="s">
        <v>203</v>
      </c>
      <c r="D216" s="149"/>
      <c r="E216" s="149"/>
      <c r="F216" s="150">
        <f>E262</f>
        <v>9319</v>
      </c>
      <c r="G216" s="150">
        <f t="shared" ref="G216:I216" si="90">F262</f>
        <v>9020</v>
      </c>
      <c r="H216" s="150">
        <f t="shared" si="90"/>
        <v>8792</v>
      </c>
      <c r="I216" s="150">
        <f t="shared" si="90"/>
        <v>8512</v>
      </c>
    </row>
    <row r="217" spans="3:9">
      <c r="C217" s="155" t="s">
        <v>205</v>
      </c>
      <c r="D217" s="156"/>
      <c r="E217" s="156"/>
      <c r="F217" s="160">
        <f>F194/F216</f>
        <v>1.3625725499690955</v>
      </c>
      <c r="G217" s="160">
        <f t="shared" ref="G217" si="91">G194/G216</f>
        <v>1.3748309727810422</v>
      </c>
      <c r="H217" s="160">
        <f t="shared" ref="H217" si="92">H194/H216</f>
        <v>1.3213734386517288</v>
      </c>
      <c r="I217" s="160">
        <f t="shared" ref="I217" si="93">I194/I216</f>
        <v>1.3001147663358485</v>
      </c>
    </row>
    <row r="218" spans="3:9">
      <c r="C218" s="93" t="s">
        <v>201</v>
      </c>
      <c r="D218" s="161"/>
      <c r="E218" s="161"/>
      <c r="F218" s="162"/>
      <c r="G218" s="163"/>
      <c r="H218" s="163"/>
      <c r="I218" s="163"/>
    </row>
    <row r="219" spans="3:9">
      <c r="C219" s="93" t="s">
        <v>202</v>
      </c>
      <c r="D219" s="161"/>
      <c r="E219" s="161"/>
      <c r="F219" s="162"/>
      <c r="G219" s="163"/>
      <c r="H219" s="163"/>
      <c r="I219" s="163"/>
    </row>
    <row r="220" spans="3:9">
      <c r="C220" s="164"/>
      <c r="D220" s="161"/>
      <c r="E220" s="161"/>
      <c r="F220" s="162"/>
      <c r="G220" s="163"/>
      <c r="H220" s="163"/>
      <c r="I220" s="163"/>
    </row>
    <row r="221" spans="3:9">
      <c r="C221" s="164"/>
      <c r="D221" s="161"/>
      <c r="E221" s="161"/>
      <c r="F221" s="162"/>
      <c r="G221" s="163"/>
      <c r="H221" s="163"/>
      <c r="I221" s="163"/>
    </row>
    <row r="228" spans="3:15">
      <c r="C228" s="102" t="s">
        <v>177</v>
      </c>
      <c r="D228" s="102"/>
      <c r="E228" s="102"/>
      <c r="F228" s="1150">
        <v>2007</v>
      </c>
      <c r="G228" s="1150">
        <v>2008</v>
      </c>
      <c r="H228" s="1150">
        <v>2009</v>
      </c>
      <c r="I228" s="1150">
        <v>2010</v>
      </c>
      <c r="J228" s="1150" t="s">
        <v>32</v>
      </c>
      <c r="K228" s="1150" t="s">
        <v>33</v>
      </c>
      <c r="L228" s="1150">
        <v>2012</v>
      </c>
      <c r="M228" s="1150">
        <v>2013</v>
      </c>
      <c r="N228" s="1150">
        <v>2014</v>
      </c>
      <c r="O228" s="1150">
        <v>2015</v>
      </c>
    </row>
    <row r="229" spans="3:15">
      <c r="C229" s="165" t="s">
        <v>27</v>
      </c>
      <c r="D229" s="166"/>
      <c r="E229" s="166"/>
      <c r="F229" s="167">
        <v>2294</v>
      </c>
      <c r="G229" s="167">
        <v>2451</v>
      </c>
      <c r="H229" s="167">
        <v>2663</v>
      </c>
      <c r="I229" s="167">
        <v>3052</v>
      </c>
      <c r="J229" s="167"/>
      <c r="K229" s="167"/>
      <c r="L229" s="167"/>
      <c r="M229" s="167"/>
      <c r="N229" s="167"/>
      <c r="O229" s="167"/>
    </row>
    <row r="230" spans="3:15">
      <c r="C230" s="168" t="s">
        <v>3005</v>
      </c>
      <c r="D230" s="169"/>
      <c r="E230" s="169"/>
      <c r="F230" s="170">
        <v>255</v>
      </c>
      <c r="G230" s="170">
        <v>258</v>
      </c>
      <c r="H230" s="170">
        <v>274</v>
      </c>
      <c r="I230" s="170">
        <v>283</v>
      </c>
      <c r="J230" s="170">
        <v>295</v>
      </c>
      <c r="K230" s="170"/>
      <c r="L230" s="170"/>
      <c r="M230" s="170"/>
      <c r="N230" s="170"/>
      <c r="O230" s="170"/>
    </row>
    <row r="231" spans="3:15">
      <c r="C231" s="144" t="s">
        <v>169</v>
      </c>
      <c r="D231" s="106"/>
      <c r="E231" s="106"/>
      <c r="F231" s="107">
        <f>F229/F230</f>
        <v>8.996078431372549</v>
      </c>
      <c r="G231" s="107">
        <f>G229/G230</f>
        <v>9.5</v>
      </c>
      <c r="H231" s="107">
        <f>H229/H230</f>
        <v>9.7189781021897819</v>
      </c>
      <c r="I231" s="107">
        <f>I229/I230</f>
        <v>10.784452296819788</v>
      </c>
      <c r="J231" s="107"/>
      <c r="K231" s="107"/>
      <c r="L231" s="107"/>
      <c r="M231" s="107"/>
      <c r="N231" s="107"/>
      <c r="O231" s="107"/>
    </row>
    <row r="232" spans="3:15">
      <c r="C232" s="93" t="s">
        <v>170</v>
      </c>
      <c r="G232" s="104">
        <f>G229/F229-1</f>
        <v>6.8439407149084586E-2</v>
      </c>
      <c r="H232" s="104">
        <f t="shared" ref="H232:I232" si="94">H229/G229-1</f>
        <v>8.649530803753569E-2</v>
      </c>
      <c r="I232" s="104">
        <f t="shared" si="94"/>
        <v>0.14607585429966208</v>
      </c>
      <c r="J232" s="104"/>
    </row>
    <row r="233" spans="3:15">
      <c r="C233" s="93" t="s">
        <v>171</v>
      </c>
      <c r="G233" s="104">
        <f t="shared" ref="G233:I233" si="95">G230/F230-1</f>
        <v>1.1764705882352899E-2</v>
      </c>
      <c r="H233" s="104">
        <f t="shared" si="95"/>
        <v>6.2015503875969102E-2</v>
      </c>
      <c r="I233" s="104">
        <f t="shared" si="95"/>
        <v>3.2846715328467058E-2</v>
      </c>
    </row>
    <row r="234" spans="3:15">
      <c r="C234" s="106" t="s">
        <v>172</v>
      </c>
      <c r="D234" s="106"/>
      <c r="E234" s="106"/>
      <c r="F234" s="106"/>
      <c r="G234" s="108">
        <f t="shared" ref="G234:I234" si="96">G231/F231-1</f>
        <v>5.6015693112467346E-2</v>
      </c>
      <c r="H234" s="108">
        <f t="shared" si="96"/>
        <v>2.305032654629291E-2</v>
      </c>
      <c r="I234" s="108">
        <f t="shared" si="96"/>
        <v>0.10962821229013198</v>
      </c>
      <c r="J234" s="106"/>
      <c r="K234" s="106"/>
      <c r="L234" s="106"/>
      <c r="M234" s="106"/>
      <c r="N234" s="106"/>
      <c r="O234" s="106"/>
    </row>
    <row r="235" spans="3:15">
      <c r="C235" s="93" t="s">
        <v>3006</v>
      </c>
    </row>
    <row r="240" spans="3:15">
      <c r="C240" s="92" t="s">
        <v>4</v>
      </c>
    </row>
    <row r="241" spans="3:16">
      <c r="C241" s="102"/>
      <c r="D241" s="102"/>
      <c r="E241" s="102"/>
      <c r="F241" s="1150">
        <v>2007</v>
      </c>
      <c r="G241" s="1150">
        <v>2008</v>
      </c>
      <c r="H241" s="1150">
        <v>2009</v>
      </c>
      <c r="I241" s="1150">
        <v>2010</v>
      </c>
      <c r="J241" s="1150" t="s">
        <v>2969</v>
      </c>
      <c r="K241" s="1150" t="s">
        <v>2970</v>
      </c>
      <c r="L241" s="1150">
        <v>2012</v>
      </c>
      <c r="M241" s="1150">
        <v>2013</v>
      </c>
      <c r="N241" s="1150">
        <v>2014</v>
      </c>
      <c r="O241" s="1150">
        <v>2015</v>
      </c>
      <c r="P241" s="1150">
        <v>2016</v>
      </c>
    </row>
    <row r="242" spans="3:16">
      <c r="C242" s="171" t="s">
        <v>3005</v>
      </c>
      <c r="D242" s="171"/>
      <c r="E242" s="171"/>
      <c r="F242" s="175">
        <v>255</v>
      </c>
      <c r="G242" s="175">
        <v>258</v>
      </c>
      <c r="H242" s="175">
        <v>274</v>
      </c>
      <c r="I242" s="175">
        <v>283</v>
      </c>
      <c r="J242" s="175">
        <v>295</v>
      </c>
      <c r="K242" s="175">
        <v>307</v>
      </c>
      <c r="L242" s="175">
        <v>332</v>
      </c>
      <c r="M242" s="175">
        <v>348</v>
      </c>
      <c r="N242" s="175">
        <v>359</v>
      </c>
      <c r="O242" s="175">
        <v>369</v>
      </c>
      <c r="P242" s="175">
        <v>377</v>
      </c>
    </row>
    <row r="243" spans="3:16">
      <c r="C243" s="93" t="s">
        <v>5</v>
      </c>
      <c r="F243" s="95"/>
      <c r="G243" s="95">
        <f>G242-F242</f>
        <v>3</v>
      </c>
      <c r="H243" s="95">
        <f t="shared" ref="H243:I243" si="97">H242-G242</f>
        <v>16</v>
      </c>
      <c r="I243" s="95">
        <f t="shared" si="97"/>
        <v>9</v>
      </c>
      <c r="J243" s="95"/>
      <c r="K243" s="95">
        <f>K242-I242</f>
        <v>24</v>
      </c>
      <c r="L243" s="95">
        <f>L242-K242</f>
        <v>25</v>
      </c>
      <c r="M243" s="95">
        <f>M242-L242</f>
        <v>16</v>
      </c>
      <c r="N243" s="95">
        <f>N242-M242</f>
        <v>11</v>
      </c>
      <c r="O243" s="95">
        <f>O242-N242</f>
        <v>10</v>
      </c>
      <c r="P243" s="95">
        <f>P242-O242</f>
        <v>8</v>
      </c>
    </row>
    <row r="244" spans="3:16">
      <c r="F244" s="95"/>
      <c r="G244" s="95"/>
      <c r="H244" s="95"/>
      <c r="I244" s="95"/>
      <c r="J244" s="95"/>
      <c r="K244" s="95"/>
      <c r="L244" s="95"/>
      <c r="M244" s="95"/>
      <c r="N244" s="95"/>
      <c r="O244" s="95"/>
    </row>
    <row r="245" spans="3:16">
      <c r="E245" s="93" t="s">
        <v>2968</v>
      </c>
      <c r="F245" s="95">
        <v>255</v>
      </c>
      <c r="G245" s="95">
        <v>258</v>
      </c>
      <c r="H245" s="95">
        <v>274</v>
      </c>
      <c r="I245" s="95">
        <v>283</v>
      </c>
      <c r="J245" s="95">
        <v>295</v>
      </c>
      <c r="K245" s="95">
        <v>307</v>
      </c>
      <c r="L245" s="95">
        <v>332</v>
      </c>
      <c r="M245" s="95">
        <v>348</v>
      </c>
      <c r="N245" s="95">
        <v>359</v>
      </c>
      <c r="O245" s="95">
        <v>369</v>
      </c>
      <c r="P245" s="95">
        <v>377</v>
      </c>
    </row>
    <row r="246" spans="3:16">
      <c r="F246" s="95"/>
      <c r="G246" s="95"/>
      <c r="H246" s="95"/>
      <c r="I246" s="95"/>
      <c r="J246" s="95">
        <f>J245-I245</f>
        <v>12</v>
      </c>
      <c r="K246" s="95">
        <f t="shared" ref="K246:P246" si="98">K245-J245</f>
        <v>12</v>
      </c>
      <c r="L246" s="95">
        <f t="shared" si="98"/>
        <v>25</v>
      </c>
      <c r="M246" s="95">
        <f t="shared" si="98"/>
        <v>16</v>
      </c>
      <c r="N246" s="95">
        <f t="shared" si="98"/>
        <v>11</v>
      </c>
      <c r="O246" s="95">
        <f t="shared" si="98"/>
        <v>10</v>
      </c>
      <c r="P246" s="95">
        <f t="shared" si="98"/>
        <v>8</v>
      </c>
    </row>
    <row r="247" spans="3:16"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</row>
    <row r="248" spans="3:16"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</row>
    <row r="249" spans="3:16"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</row>
    <row r="250" spans="3:16">
      <c r="F250" s="95"/>
      <c r="G250" s="95"/>
      <c r="H250" s="95"/>
      <c r="I250" s="95"/>
      <c r="J250" s="95"/>
      <c r="K250" s="95"/>
      <c r="L250" s="95"/>
      <c r="M250" s="95"/>
      <c r="N250" s="95"/>
      <c r="O250" s="95"/>
    </row>
    <row r="251" spans="3:16">
      <c r="F251" s="95"/>
      <c r="G251" s="95"/>
      <c r="H251" s="95"/>
      <c r="I251" s="95"/>
      <c r="J251" s="95"/>
      <c r="K251" s="95"/>
      <c r="L251" s="95"/>
      <c r="M251" s="95"/>
      <c r="N251" s="95"/>
      <c r="O251" s="95"/>
    </row>
    <row r="252" spans="3:16">
      <c r="C252" s="93" t="s">
        <v>6</v>
      </c>
    </row>
    <row r="253" spans="3:16">
      <c r="C253" s="93" t="s">
        <v>7</v>
      </c>
    </row>
    <row r="254" spans="3:16">
      <c r="C254" s="93" t="s">
        <v>8</v>
      </c>
    </row>
    <row r="256" spans="3:16">
      <c r="C256" s="172"/>
      <c r="D256" s="172"/>
      <c r="E256" s="1340" t="s">
        <v>20</v>
      </c>
      <c r="F256" s="1340"/>
      <c r="G256" s="1340"/>
      <c r="H256" s="1340"/>
      <c r="I256" s="1340" t="s">
        <v>21</v>
      </c>
      <c r="J256" s="1340"/>
      <c r="K256" s="1340"/>
      <c r="L256" s="1340"/>
    </row>
    <row r="257" spans="3:15">
      <c r="C257" s="102"/>
      <c r="D257" s="102"/>
      <c r="E257" s="1150">
        <v>2007</v>
      </c>
      <c r="F257" s="1150">
        <v>2008</v>
      </c>
      <c r="G257" s="1150">
        <v>2009</v>
      </c>
      <c r="H257" s="1150">
        <v>2010</v>
      </c>
      <c r="I257" s="1150">
        <v>2007</v>
      </c>
      <c r="J257" s="1150">
        <v>2008</v>
      </c>
      <c r="K257" s="1150">
        <v>2009</v>
      </c>
      <c r="L257" s="1150">
        <v>2010</v>
      </c>
    </row>
    <row r="258" spans="3:15">
      <c r="C258" s="93" t="s">
        <v>3002</v>
      </c>
      <c r="E258" s="95">
        <f>F242</f>
        <v>255</v>
      </c>
      <c r="F258" s="95">
        <f t="shared" ref="F258:H258" si="99">G242</f>
        <v>258</v>
      </c>
      <c r="G258" s="95">
        <f t="shared" si="99"/>
        <v>274</v>
      </c>
      <c r="H258" s="95">
        <f t="shared" si="99"/>
        <v>283</v>
      </c>
      <c r="I258" s="95">
        <v>374</v>
      </c>
      <c r="J258" s="95">
        <v>378</v>
      </c>
      <c r="K258" s="95">
        <v>395</v>
      </c>
      <c r="L258" s="95">
        <v>413</v>
      </c>
    </row>
    <row r="259" spans="3:15">
      <c r="C259" s="93" t="s">
        <v>18</v>
      </c>
      <c r="E259" s="95">
        <v>200</v>
      </c>
      <c r="F259" s="95">
        <v>213</v>
      </c>
      <c r="G259" s="95">
        <v>217</v>
      </c>
      <c r="H259" s="95">
        <v>280</v>
      </c>
      <c r="I259" s="95">
        <v>112</v>
      </c>
      <c r="J259" s="95">
        <v>119</v>
      </c>
      <c r="K259" s="95">
        <v>111</v>
      </c>
      <c r="L259" s="95">
        <v>129</v>
      </c>
    </row>
    <row r="260" spans="3:15">
      <c r="C260" s="93" t="s">
        <v>19</v>
      </c>
      <c r="E260" s="95">
        <v>242</v>
      </c>
      <c r="F260" s="95">
        <v>280</v>
      </c>
      <c r="G260" s="95">
        <v>267</v>
      </c>
      <c r="H260" s="95">
        <v>270</v>
      </c>
      <c r="I260" s="95">
        <v>138</v>
      </c>
      <c r="J260" s="95">
        <v>160</v>
      </c>
      <c r="K260" s="95">
        <v>150</v>
      </c>
      <c r="L260" s="95">
        <v>154</v>
      </c>
    </row>
    <row r="261" spans="3:15">
      <c r="C261" s="93" t="s">
        <v>12</v>
      </c>
      <c r="E261" s="95">
        <v>100</v>
      </c>
      <c r="F261" s="95">
        <v>109</v>
      </c>
      <c r="G261" s="95">
        <v>106</v>
      </c>
      <c r="H261" s="95">
        <v>110</v>
      </c>
      <c r="I261" s="95">
        <v>95</v>
      </c>
      <c r="J261" s="95">
        <v>107</v>
      </c>
      <c r="K261" s="95">
        <v>105</v>
      </c>
      <c r="L261" s="95">
        <v>110</v>
      </c>
    </row>
    <row r="262" spans="3:15">
      <c r="C262" s="93" t="s">
        <v>13</v>
      </c>
      <c r="E262" s="95">
        <v>9319</v>
      </c>
      <c r="F262" s="95">
        <v>9020</v>
      </c>
      <c r="G262" s="95">
        <v>8792</v>
      </c>
      <c r="H262" s="95">
        <v>8512</v>
      </c>
      <c r="I262" s="95">
        <v>2245</v>
      </c>
      <c r="J262" s="95">
        <v>2152</v>
      </c>
      <c r="K262" s="95">
        <v>2091</v>
      </c>
      <c r="L262" s="95">
        <v>1989</v>
      </c>
    </row>
    <row r="263" spans="3:15">
      <c r="C263" s="173" t="s">
        <v>22</v>
      </c>
      <c r="D263" s="173"/>
      <c r="E263" s="174">
        <f>SUM(E258:E262)</f>
        <v>10116</v>
      </c>
      <c r="F263" s="174">
        <f>SUM(F258:F262)</f>
        <v>9880</v>
      </c>
      <c r="G263" s="174">
        <f t="shared" ref="G263:H263" si="100">SUM(G258:G262)</f>
        <v>9656</v>
      </c>
      <c r="H263" s="174">
        <f t="shared" si="100"/>
        <v>9455</v>
      </c>
      <c r="I263" s="174">
        <f t="shared" ref="I263" si="101">SUM(I258:I262)</f>
        <v>2964</v>
      </c>
      <c r="J263" s="174">
        <f t="shared" ref="J263" si="102">SUM(J258:J262)</f>
        <v>2916</v>
      </c>
      <c r="K263" s="174">
        <f t="shared" ref="K263" si="103">SUM(K258:K262)</f>
        <v>2852</v>
      </c>
      <c r="L263" s="174">
        <f t="shared" ref="L263" si="104">SUM(L258:L262)</f>
        <v>2795</v>
      </c>
    </row>
    <row r="264" spans="3:15">
      <c r="C264" s="93" t="s">
        <v>3007</v>
      </c>
    </row>
    <row r="266" spans="3:15">
      <c r="C266" s="102" t="s">
        <v>17</v>
      </c>
      <c r="D266" s="102"/>
      <c r="E266" s="1150">
        <v>2005</v>
      </c>
      <c r="F266" s="1150">
        <v>2006</v>
      </c>
      <c r="G266" s="1150">
        <v>2007</v>
      </c>
      <c r="H266" s="1150">
        <v>2008</v>
      </c>
      <c r="I266" s="1150">
        <v>2009</v>
      </c>
      <c r="J266" s="1150">
        <v>2010</v>
      </c>
      <c r="K266" s="1150">
        <v>2011</v>
      </c>
      <c r="L266" s="1150">
        <v>2012</v>
      </c>
      <c r="M266" s="1150">
        <v>2013</v>
      </c>
      <c r="N266" s="1150">
        <v>2014</v>
      </c>
      <c r="O266" s="1150">
        <v>2015</v>
      </c>
    </row>
    <row r="267" spans="3:15">
      <c r="C267" s="93" t="s">
        <v>23</v>
      </c>
      <c r="E267" s="95">
        <v>2865</v>
      </c>
      <c r="F267" s="95">
        <v>3037</v>
      </c>
      <c r="G267" s="95">
        <v>2965</v>
      </c>
      <c r="H267" s="95">
        <v>2915</v>
      </c>
      <c r="I267" s="95">
        <v>2851</v>
      </c>
      <c r="J267" s="95">
        <v>2794</v>
      </c>
      <c r="K267" s="95">
        <v>2744</v>
      </c>
      <c r="L267" s="95">
        <v>2700</v>
      </c>
      <c r="M267" s="95">
        <v>2662</v>
      </c>
      <c r="N267" s="95">
        <v>2628</v>
      </c>
      <c r="O267" s="95">
        <v>2615</v>
      </c>
    </row>
    <row r="268" spans="3:15">
      <c r="C268" s="93" t="s">
        <v>24</v>
      </c>
      <c r="E268" s="95">
        <v>10230</v>
      </c>
      <c r="F268" s="95">
        <v>10465</v>
      </c>
      <c r="G268" s="95">
        <v>10115</v>
      </c>
      <c r="H268" s="95">
        <v>9879</v>
      </c>
      <c r="I268" s="95">
        <v>9654</v>
      </c>
      <c r="J268" s="95">
        <v>9457</v>
      </c>
      <c r="K268" s="95">
        <v>9277</v>
      </c>
      <c r="L268" s="95">
        <v>9117</v>
      </c>
      <c r="M268" s="95">
        <v>8977</v>
      </c>
      <c r="N268" s="95">
        <v>8857</v>
      </c>
      <c r="O268" s="95">
        <v>8768</v>
      </c>
    </row>
    <row r="269" spans="3:15">
      <c r="C269" s="171" t="s">
        <v>25</v>
      </c>
      <c r="D269" s="171"/>
      <c r="E269" s="175">
        <f>E267/E268*1000</f>
        <v>280.05865102639291</v>
      </c>
      <c r="F269" s="175">
        <f t="shared" ref="F269:O269" si="105">F267/F268*1000</f>
        <v>290.20544672718586</v>
      </c>
      <c r="G269" s="175">
        <f t="shared" si="105"/>
        <v>293.12901631240732</v>
      </c>
      <c r="H269" s="175">
        <f t="shared" si="105"/>
        <v>295.07035125012652</v>
      </c>
      <c r="I269" s="175">
        <f t="shared" si="105"/>
        <v>295.31800290035221</v>
      </c>
      <c r="J269" s="175">
        <f t="shared" si="105"/>
        <v>295.44252934334355</v>
      </c>
      <c r="K269" s="175">
        <f t="shared" si="105"/>
        <v>295.78527541231006</v>
      </c>
      <c r="L269" s="175">
        <f t="shared" si="105"/>
        <v>296.15004935834156</v>
      </c>
      <c r="M269" s="175">
        <f t="shared" si="105"/>
        <v>296.53559095466193</v>
      </c>
      <c r="N269" s="175">
        <f t="shared" si="105"/>
        <v>296.71446313650216</v>
      </c>
      <c r="O269" s="175">
        <f t="shared" si="105"/>
        <v>298.24361313868616</v>
      </c>
    </row>
    <row r="270" spans="3:15">
      <c r="C270" s="93" t="s">
        <v>26</v>
      </c>
    </row>
    <row r="274" spans="3:15" outlineLevel="1"/>
    <row r="275" spans="3:15" outlineLevel="1"/>
    <row r="276" spans="3:15" outlineLevel="1"/>
    <row r="277" spans="3:15" outlineLevel="1">
      <c r="C277" s="92" t="s">
        <v>9</v>
      </c>
    </row>
    <row r="278" spans="3:15" outlineLevel="1"/>
    <row r="279" spans="3:15" outlineLevel="1">
      <c r="C279" s="102" t="s">
        <v>17</v>
      </c>
      <c r="D279" s="102"/>
      <c r="E279" s="1150">
        <v>2005</v>
      </c>
      <c r="F279" s="1150">
        <v>2006</v>
      </c>
      <c r="G279" s="1150">
        <v>2007</v>
      </c>
      <c r="H279" s="1150">
        <v>2008</v>
      </c>
      <c r="I279" s="1150">
        <v>2009</v>
      </c>
      <c r="J279" s="1150">
        <v>2010</v>
      </c>
      <c r="K279" s="1150">
        <v>2011</v>
      </c>
      <c r="L279" s="1150">
        <v>2012</v>
      </c>
      <c r="M279" s="1150">
        <v>2013</v>
      </c>
      <c r="N279" s="1150">
        <v>2014</v>
      </c>
      <c r="O279" s="1150">
        <v>2015</v>
      </c>
    </row>
    <row r="280" spans="3:15" outlineLevel="1">
      <c r="C280" s="93" t="s">
        <v>14</v>
      </c>
      <c r="E280" s="95">
        <v>6323</v>
      </c>
      <c r="F280" s="95">
        <v>6582</v>
      </c>
      <c r="G280" s="95">
        <v>6520</v>
      </c>
      <c r="H280" s="95">
        <v>6462</v>
      </c>
      <c r="I280" s="95">
        <v>6530</v>
      </c>
      <c r="J280" s="95">
        <v>6892</v>
      </c>
      <c r="K280" s="95">
        <v>7030</v>
      </c>
      <c r="L280" s="95">
        <v>7135</v>
      </c>
      <c r="M280" s="95">
        <v>7207</v>
      </c>
      <c r="N280" s="95">
        <v>7243</v>
      </c>
      <c r="O280" s="95">
        <v>7258</v>
      </c>
    </row>
    <row r="281" spans="3:15" outlineLevel="1">
      <c r="C281" s="93" t="s">
        <v>10</v>
      </c>
      <c r="F281" s="104">
        <f>F280/E280-1</f>
        <v>4.0961568875533816E-2</v>
      </c>
      <c r="G281" s="104">
        <f t="shared" ref="G281:O281" si="106">G280/F280-1</f>
        <v>-9.4196292920084579E-3</v>
      </c>
      <c r="H281" s="104">
        <f t="shared" si="106"/>
        <v>-8.8957055214723413E-3</v>
      </c>
      <c r="I281" s="104">
        <f t="shared" si="106"/>
        <v>1.0523057876818287E-2</v>
      </c>
      <c r="J281" s="104">
        <f t="shared" si="106"/>
        <v>5.5436447166921976E-2</v>
      </c>
      <c r="K281" s="104">
        <f t="shared" si="106"/>
        <v>2.0023215322112486E-2</v>
      </c>
      <c r="L281" s="104">
        <f t="shared" si="106"/>
        <v>1.4935988620199181E-2</v>
      </c>
      <c r="M281" s="104">
        <f t="shared" si="106"/>
        <v>1.0091100210231296E-2</v>
      </c>
      <c r="N281" s="104">
        <f t="shared" si="106"/>
        <v>4.9951436103787827E-3</v>
      </c>
      <c r="O281" s="104">
        <f t="shared" si="106"/>
        <v>2.0709650697225968E-3</v>
      </c>
    </row>
    <row r="282" spans="3:15" outlineLevel="1">
      <c r="C282" s="93" t="s">
        <v>11</v>
      </c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</row>
    <row r="283" spans="3:15" outlineLevel="1">
      <c r="C283" s="97" t="s">
        <v>3002</v>
      </c>
      <c r="F283" s="104">
        <v>0.32</v>
      </c>
      <c r="G283" s="104">
        <v>0.33</v>
      </c>
      <c r="H283" s="104">
        <v>0.34</v>
      </c>
      <c r="I283" s="104">
        <v>0.35</v>
      </c>
      <c r="J283" s="104">
        <v>0.35</v>
      </c>
      <c r="K283" s="104"/>
      <c r="L283" s="104"/>
      <c r="M283" s="104"/>
      <c r="N283" s="104"/>
      <c r="O283" s="104"/>
    </row>
    <row r="284" spans="3:15" outlineLevel="1">
      <c r="C284" s="97" t="s">
        <v>15</v>
      </c>
      <c r="F284" s="104">
        <v>0.13</v>
      </c>
      <c r="G284" s="104">
        <v>0.18</v>
      </c>
      <c r="H284" s="104">
        <v>0.2</v>
      </c>
      <c r="I284" s="104">
        <v>0.2</v>
      </c>
      <c r="J284" s="104">
        <v>0.2</v>
      </c>
      <c r="K284" s="104"/>
      <c r="L284" s="104"/>
      <c r="M284" s="104"/>
      <c r="N284" s="104"/>
      <c r="O284" s="104"/>
    </row>
    <row r="285" spans="3:15" outlineLevel="1">
      <c r="C285" s="97" t="s">
        <v>16</v>
      </c>
      <c r="F285" s="104">
        <v>0.1</v>
      </c>
      <c r="G285" s="104">
        <v>0.11</v>
      </c>
      <c r="H285" s="104">
        <v>0.12</v>
      </c>
      <c r="I285" s="104">
        <v>0.12</v>
      </c>
      <c r="J285" s="104">
        <v>0.15</v>
      </c>
      <c r="K285" s="104"/>
      <c r="L285" s="104"/>
      <c r="M285" s="104"/>
      <c r="N285" s="104"/>
      <c r="O285" s="104"/>
    </row>
    <row r="286" spans="3:15" outlineLevel="1">
      <c r="C286" s="97" t="s">
        <v>12</v>
      </c>
      <c r="F286" s="104">
        <v>0.09</v>
      </c>
      <c r="G286" s="104">
        <v>0.1</v>
      </c>
      <c r="H286" s="104">
        <v>0.1</v>
      </c>
      <c r="I286" s="104">
        <v>0.09</v>
      </c>
      <c r="J286" s="104">
        <v>0.09</v>
      </c>
      <c r="K286" s="104"/>
      <c r="L286" s="104"/>
      <c r="M286" s="104"/>
      <c r="N286" s="104"/>
      <c r="O286" s="104"/>
    </row>
    <row r="287" spans="3:15" outlineLevel="1">
      <c r="C287" s="144" t="s">
        <v>13</v>
      </c>
      <c r="D287" s="106"/>
      <c r="E287" s="106"/>
      <c r="F287" s="108">
        <v>0.37</v>
      </c>
      <c r="G287" s="108">
        <v>0.28000000000000003</v>
      </c>
      <c r="H287" s="108">
        <v>0.23</v>
      </c>
      <c r="I287" s="108">
        <v>0.23</v>
      </c>
      <c r="J287" s="108">
        <v>0.21</v>
      </c>
      <c r="K287" s="108"/>
      <c r="L287" s="108"/>
      <c r="M287" s="108"/>
      <c r="N287" s="108"/>
      <c r="O287" s="108"/>
    </row>
    <row r="288" spans="3:15" outlineLevel="1">
      <c r="C288" s="93" t="s">
        <v>26</v>
      </c>
    </row>
    <row r="289" spans="3:14" outlineLevel="1"/>
    <row r="290" spans="3:14" outlineLevel="1"/>
    <row r="291" spans="3:14" outlineLevel="1"/>
    <row r="292" spans="3:14" outlineLevel="1">
      <c r="C292" s="102" t="s">
        <v>17</v>
      </c>
      <c r="D292" s="102"/>
      <c r="E292" s="102"/>
      <c r="F292" s="1150">
        <v>2007</v>
      </c>
      <c r="G292" s="1150">
        <v>2008</v>
      </c>
      <c r="H292" s="1150">
        <v>2009</v>
      </c>
      <c r="I292" s="1150">
        <v>2010</v>
      </c>
      <c r="J292" s="1150" t="s">
        <v>176</v>
      </c>
      <c r="K292" s="1150">
        <v>2011</v>
      </c>
      <c r="L292" s="1150">
        <v>2012</v>
      </c>
      <c r="M292" s="1150">
        <v>2013</v>
      </c>
      <c r="N292" s="1150">
        <v>2014</v>
      </c>
    </row>
    <row r="293" spans="3:14" outlineLevel="1">
      <c r="C293" s="176" t="s">
        <v>173</v>
      </c>
      <c r="D293" s="177"/>
      <c r="E293" s="177"/>
      <c r="F293" s="178"/>
      <c r="G293" s="178"/>
      <c r="H293" s="178"/>
      <c r="I293" s="178"/>
      <c r="J293" s="178"/>
      <c r="K293" s="178"/>
      <c r="L293" s="178"/>
      <c r="M293" s="178"/>
      <c r="N293" s="178"/>
    </row>
    <row r="294" spans="3:14" outlineLevel="1">
      <c r="C294" s="93" t="s">
        <v>30</v>
      </c>
      <c r="F294" s="95">
        <v>14555</v>
      </c>
      <c r="G294" s="95">
        <v>15267</v>
      </c>
      <c r="H294" s="95">
        <v>15659</v>
      </c>
      <c r="I294" s="95">
        <v>16381</v>
      </c>
      <c r="J294" s="95"/>
      <c r="K294" s="95">
        <v>17487</v>
      </c>
      <c r="L294" s="95">
        <v>19158</v>
      </c>
      <c r="M294" s="95">
        <v>20555</v>
      </c>
      <c r="N294" s="95">
        <v>21781</v>
      </c>
    </row>
    <row r="295" spans="3:14" outlineLevel="1">
      <c r="C295" s="93" t="s">
        <v>10</v>
      </c>
      <c r="F295" s="95"/>
      <c r="G295" s="104">
        <f>G294/F294-1</f>
        <v>4.8917897629680462E-2</v>
      </c>
      <c r="H295" s="104">
        <f t="shared" ref="H295:I295" si="107">H294/G294-1</f>
        <v>2.5676295277395678E-2</v>
      </c>
      <c r="I295" s="104">
        <f t="shared" si="107"/>
        <v>4.6107669710709454E-2</v>
      </c>
      <c r="J295" s="104">
        <f>(I294/F294)^(1/3)-1</f>
        <v>4.0182158072034291E-2</v>
      </c>
      <c r="K295" s="104">
        <f>K294/I294-1</f>
        <v>6.7517245589402419E-2</v>
      </c>
      <c r="L295" s="104">
        <f>L294/K294-1</f>
        <v>9.5556699262309142E-2</v>
      </c>
      <c r="M295" s="104">
        <f>M294/L294-1</f>
        <v>7.2919929011379114E-2</v>
      </c>
      <c r="N295" s="104">
        <f>N294/M294-1</f>
        <v>5.9644855266358654E-2</v>
      </c>
    </row>
    <row r="296" spans="3:14" outlineLevel="1">
      <c r="C296" s="93" t="s">
        <v>31</v>
      </c>
      <c r="F296" s="95">
        <v>6856</v>
      </c>
      <c r="G296" s="95">
        <v>6441</v>
      </c>
      <c r="H296" s="95">
        <v>6328</v>
      </c>
      <c r="I296" s="95">
        <v>6622</v>
      </c>
      <c r="J296" s="95"/>
      <c r="K296" s="95">
        <v>6884</v>
      </c>
      <c r="L296" s="95">
        <v>7156</v>
      </c>
      <c r="M296" s="95">
        <v>7439</v>
      </c>
      <c r="N296" s="95">
        <v>7732</v>
      </c>
    </row>
    <row r="297" spans="3:14" outlineLevel="1">
      <c r="C297" s="93" t="s">
        <v>10</v>
      </c>
      <c r="F297" s="95"/>
      <c r="G297" s="104">
        <f>G296/F296-1</f>
        <v>-6.0530921820303396E-2</v>
      </c>
      <c r="H297" s="104">
        <f t="shared" ref="H297:I297" si="108">H296/G296-1</f>
        <v>-1.7543859649122862E-2</v>
      </c>
      <c r="I297" s="104">
        <f t="shared" si="108"/>
        <v>4.6460176991150348E-2</v>
      </c>
      <c r="J297" s="104">
        <f>(I296/F296)^(1/3)-1</f>
        <v>-1.1508841452420593E-2</v>
      </c>
      <c r="K297" s="104">
        <f>K296/I296-1</f>
        <v>3.9565086076714051E-2</v>
      </c>
      <c r="L297" s="104">
        <f>L296/K296-1</f>
        <v>3.9511911679256162E-2</v>
      </c>
      <c r="M297" s="104">
        <f>M296/L296-1</f>
        <v>3.954723309111241E-2</v>
      </c>
      <c r="N297" s="104">
        <f>N296/M296-1</f>
        <v>3.9387014383653662E-2</v>
      </c>
    </row>
    <row r="298" spans="3:14" outlineLevel="1">
      <c r="C298" s="114" t="s">
        <v>22</v>
      </c>
      <c r="D298" s="114"/>
      <c r="E298" s="114"/>
      <c r="F298" s="115">
        <f>F294+F296</f>
        <v>21411</v>
      </c>
      <c r="G298" s="115">
        <f t="shared" ref="G298:I298" si="109">G294+G296</f>
        <v>21708</v>
      </c>
      <c r="H298" s="115">
        <f t="shared" si="109"/>
        <v>21987</v>
      </c>
      <c r="I298" s="115">
        <f t="shared" si="109"/>
        <v>23003</v>
      </c>
      <c r="J298" s="115"/>
      <c r="K298" s="115">
        <f>K294+K296</f>
        <v>24371</v>
      </c>
      <c r="L298" s="115">
        <f>L294+L296</f>
        <v>26314</v>
      </c>
      <c r="M298" s="115">
        <f>M294+M296</f>
        <v>27994</v>
      </c>
      <c r="N298" s="115">
        <f>N294+N296</f>
        <v>29513</v>
      </c>
    </row>
    <row r="299" spans="3:14" outlineLevel="1">
      <c r="C299" s="106" t="s">
        <v>10</v>
      </c>
      <c r="D299" s="106"/>
      <c r="E299" s="106"/>
      <c r="F299" s="107"/>
      <c r="G299" s="108">
        <f>G298/F298-1</f>
        <v>1.3871374527112179E-2</v>
      </c>
      <c r="H299" s="108">
        <f t="shared" ref="H299" si="110">H298/G298-1</f>
        <v>1.28524046434495E-2</v>
      </c>
      <c r="I299" s="108">
        <f t="shared" ref="I299" si="111">I298/H298-1</f>
        <v>4.6209123573020428E-2</v>
      </c>
      <c r="J299" s="108">
        <f>(I298/F298)^(1/3)-1</f>
        <v>2.4194665096035406E-2</v>
      </c>
      <c r="K299" s="108">
        <f>K298/I298-1</f>
        <v>5.9470503847324219E-2</v>
      </c>
      <c r="L299" s="108">
        <f t="shared" ref="L299" si="112">L298/K298-1</f>
        <v>7.9725903738049331E-2</v>
      </c>
      <c r="M299" s="108">
        <f t="shared" ref="M299" si="113">M298/L298-1</f>
        <v>6.3844341415216332E-2</v>
      </c>
      <c r="N299" s="108">
        <f t="shared" ref="N299" si="114">N298/M298-1</f>
        <v>5.4261627491605235E-2</v>
      </c>
    </row>
    <row r="300" spans="3:14" outlineLevel="1">
      <c r="C300" s="176" t="s">
        <v>3002</v>
      </c>
      <c r="F300" s="95"/>
      <c r="G300" s="95"/>
      <c r="H300" s="95"/>
      <c r="I300" s="95"/>
      <c r="J300" s="95"/>
      <c r="K300" s="95"/>
      <c r="L300" s="95"/>
      <c r="M300" s="95"/>
      <c r="N300" s="95"/>
    </row>
    <row r="301" spans="3:14" outlineLevel="1">
      <c r="C301" s="93" t="s">
        <v>30</v>
      </c>
      <c r="F301" s="95">
        <v>973</v>
      </c>
      <c r="G301" s="95">
        <v>1107</v>
      </c>
      <c r="H301" s="95">
        <v>1356</v>
      </c>
      <c r="I301" s="95">
        <v>1559</v>
      </c>
      <c r="J301" s="95"/>
      <c r="K301" s="95"/>
      <c r="L301" s="95"/>
      <c r="M301" s="95"/>
      <c r="N301" s="95"/>
    </row>
    <row r="302" spans="3:14" outlineLevel="1">
      <c r="C302" s="179" t="s">
        <v>10</v>
      </c>
      <c r="D302" s="179"/>
      <c r="E302" s="179"/>
      <c r="F302" s="180"/>
      <c r="G302" s="181">
        <f>G301/F301-1</f>
        <v>0.13771839671120256</v>
      </c>
      <c r="H302" s="181">
        <f t="shared" ref="H302" si="115">H301/G301-1</f>
        <v>0.22493224932249323</v>
      </c>
      <c r="I302" s="181">
        <f t="shared" ref="I302" si="116">I301/H301-1</f>
        <v>0.14970501474926245</v>
      </c>
      <c r="J302" s="181">
        <f>(I301/F301)^(1/3)-1</f>
        <v>0.17015778141060434</v>
      </c>
      <c r="K302" s="180"/>
      <c r="L302" s="180"/>
      <c r="M302" s="180"/>
      <c r="N302" s="180"/>
    </row>
    <row r="303" spans="3:14" outlineLevel="1">
      <c r="C303" s="182" t="s">
        <v>179</v>
      </c>
      <c r="D303" s="182"/>
      <c r="E303" s="182"/>
      <c r="F303" s="183">
        <f>F301/F294</f>
        <v>6.6849879766403303E-2</v>
      </c>
      <c r="G303" s="183">
        <f t="shared" ref="G303:I303" si="117">G301/G294</f>
        <v>7.2509333857339361E-2</v>
      </c>
      <c r="H303" s="183">
        <f t="shared" si="117"/>
        <v>8.6595568043936394E-2</v>
      </c>
      <c r="I303" s="183">
        <f t="shared" si="117"/>
        <v>9.5171234967340215E-2</v>
      </c>
      <c r="J303" s="183">
        <f>(I303/F303)^(1/3)-1</f>
        <v>0.12495467484222034</v>
      </c>
      <c r="K303" s="184"/>
      <c r="L303" s="184"/>
      <c r="M303" s="184"/>
      <c r="N303" s="184"/>
    </row>
    <row r="304" spans="3:14" outlineLevel="1">
      <c r="C304" s="93" t="s">
        <v>31</v>
      </c>
      <c r="F304" s="95">
        <v>1313</v>
      </c>
      <c r="G304" s="95">
        <v>1338</v>
      </c>
      <c r="H304" s="95">
        <v>1310</v>
      </c>
      <c r="I304" s="95">
        <v>1492</v>
      </c>
      <c r="J304" s="95"/>
      <c r="K304" s="95"/>
      <c r="L304" s="95"/>
      <c r="M304" s="95"/>
      <c r="N304" s="95"/>
    </row>
    <row r="305" spans="3:14" outlineLevel="1">
      <c r="C305" s="93" t="s">
        <v>10</v>
      </c>
      <c r="F305" s="95"/>
      <c r="G305" s="104">
        <f>G304/F304-1</f>
        <v>1.9040365575019091E-2</v>
      </c>
      <c r="H305" s="104">
        <f t="shared" ref="H305" si="118">H304/G304-1</f>
        <v>-2.0926756352765308E-2</v>
      </c>
      <c r="I305" s="104">
        <f t="shared" ref="I305" si="119">I304/H304-1</f>
        <v>0.13893129770992374</v>
      </c>
      <c r="J305" s="104">
        <f>(I304/F304)^(1/3)-1</f>
        <v>4.3521414180812901E-2</v>
      </c>
      <c r="K305" s="95"/>
      <c r="L305" s="95"/>
      <c r="M305" s="95"/>
      <c r="N305" s="95"/>
    </row>
    <row r="306" spans="3:14" outlineLevel="1">
      <c r="C306" s="93" t="s">
        <v>178</v>
      </c>
      <c r="F306" s="104">
        <f>F304/F296</f>
        <v>0.19151108518086349</v>
      </c>
      <c r="G306" s="104">
        <f t="shared" ref="G306:I306" si="120">G304/G296</f>
        <v>0.20773171867722404</v>
      </c>
      <c r="H306" s="104">
        <f t="shared" si="120"/>
        <v>0.2070164348925411</v>
      </c>
      <c r="I306" s="104">
        <f t="shared" si="120"/>
        <v>0.22530957414678346</v>
      </c>
      <c r="J306" s="108">
        <f>(I306/F306)^(1/3)-1</f>
        <v>5.5670963930614326E-2</v>
      </c>
      <c r="K306" s="95"/>
      <c r="L306" s="95"/>
      <c r="M306" s="95"/>
      <c r="N306" s="95"/>
    </row>
    <row r="307" spans="3:14" outlineLevel="1">
      <c r="C307" s="114" t="s">
        <v>22</v>
      </c>
      <c r="D307" s="114"/>
      <c r="E307" s="114"/>
      <c r="F307" s="115">
        <f>F301+F304</f>
        <v>2286</v>
      </c>
      <c r="G307" s="115">
        <f t="shared" ref="G307" si="121">G301+G304</f>
        <v>2445</v>
      </c>
      <c r="H307" s="115">
        <f t="shared" ref="H307" si="122">H301+H304</f>
        <v>2666</v>
      </c>
      <c r="I307" s="115">
        <f t="shared" ref="I307" si="123">I301+I304</f>
        <v>3051</v>
      </c>
      <c r="J307" s="115"/>
      <c r="K307" s="115">
        <f t="shared" ref="K307" si="124">K301+K304</f>
        <v>0</v>
      </c>
      <c r="L307" s="115">
        <f t="shared" ref="L307" si="125">L301+L304</f>
        <v>0</v>
      </c>
      <c r="M307" s="115">
        <f t="shared" ref="M307" si="126">M301+M304</f>
        <v>0</v>
      </c>
      <c r="N307" s="115">
        <f t="shared" ref="N307" si="127">N301+N304</f>
        <v>0</v>
      </c>
    </row>
    <row r="308" spans="3:14" outlineLevel="1">
      <c r="C308" s="179" t="s">
        <v>180</v>
      </c>
      <c r="D308" s="179"/>
      <c r="E308" s="179"/>
      <c r="F308" s="180"/>
      <c r="G308" s="181">
        <f>G307/F307-1</f>
        <v>6.9553805774278166E-2</v>
      </c>
      <c r="H308" s="181">
        <f t="shared" ref="H308" si="128">H307/G307-1</f>
        <v>9.038854805725971E-2</v>
      </c>
      <c r="I308" s="181">
        <f t="shared" ref="I308" si="129">I307/H307-1</f>
        <v>0.14441110277569402</v>
      </c>
      <c r="J308" s="181">
        <f>(I307/F307)^(1/3)-1</f>
        <v>0.10100340104573768</v>
      </c>
      <c r="K308" s="181"/>
      <c r="L308" s="181"/>
      <c r="M308" s="181"/>
      <c r="N308" s="181"/>
    </row>
    <row r="309" spans="3:14" outlineLevel="1">
      <c r="C309" s="106" t="s">
        <v>178</v>
      </c>
      <c r="D309" s="106"/>
      <c r="E309" s="106"/>
      <c r="F309" s="108">
        <f>F307/F298</f>
        <v>0.1067675493905002</v>
      </c>
      <c r="G309" s="108">
        <f t="shared" ref="G309:I309" si="130">G307/G298</f>
        <v>0.11263128800442233</v>
      </c>
      <c r="H309" s="108">
        <f t="shared" si="130"/>
        <v>0.12125346795833902</v>
      </c>
      <c r="I309" s="108">
        <f t="shared" si="130"/>
        <v>0.13263487371212451</v>
      </c>
      <c r="J309" s="108">
        <f>(I309/F309)^(1/3)-1</f>
        <v>7.4994274591832832E-2</v>
      </c>
      <c r="K309" s="108"/>
      <c r="L309" s="108"/>
      <c r="M309" s="108"/>
      <c r="N309" s="108"/>
    </row>
    <row r="310" spans="3:14" outlineLevel="1">
      <c r="C310" s="93" t="s">
        <v>174</v>
      </c>
    </row>
    <row r="311" spans="3:14" outlineLevel="1">
      <c r="C311" s="93" t="s">
        <v>175</v>
      </c>
    </row>
    <row r="312" spans="3:14" outlineLevel="1">
      <c r="C312" s="93" t="s">
        <v>181</v>
      </c>
    </row>
    <row r="313" spans="3:14" outlineLevel="1"/>
    <row r="314" spans="3:14" outlineLevel="1"/>
    <row r="315" spans="3:14" outlineLevel="1">
      <c r="F315" s="95">
        <f>F301/F294</f>
        <v>6.6849879766403303E-2</v>
      </c>
      <c r="G315" s="95">
        <f t="shared" ref="G315:I315" si="131">G301/G294</f>
        <v>7.2509333857339361E-2</v>
      </c>
      <c r="H315" s="95">
        <f t="shared" si="131"/>
        <v>8.6595568043936394E-2</v>
      </c>
      <c r="I315" s="95">
        <f t="shared" si="131"/>
        <v>9.5171234967340215E-2</v>
      </c>
    </row>
    <row r="316" spans="3:14" outlineLevel="1">
      <c r="F316" s="95">
        <f>F304/F296</f>
        <v>0.19151108518086349</v>
      </c>
      <c r="G316" s="95">
        <f t="shared" ref="G316:I316" si="132">G304/G296</f>
        <v>0.20773171867722404</v>
      </c>
      <c r="H316" s="95">
        <f t="shared" si="132"/>
        <v>0.2070164348925411</v>
      </c>
      <c r="I316" s="95">
        <f t="shared" si="132"/>
        <v>0.22530957414678346</v>
      </c>
    </row>
    <row r="317" spans="3:14" outlineLevel="1">
      <c r="F317" s="95">
        <f>F307/F296</f>
        <v>0.33343057176196034</v>
      </c>
      <c r="G317" s="95">
        <f t="shared" ref="G317:I317" si="133">G307/G296</f>
        <v>0.37959944108057753</v>
      </c>
      <c r="H317" s="95">
        <f t="shared" si="133"/>
        <v>0.42130214917825537</v>
      </c>
      <c r="I317" s="95">
        <f t="shared" si="133"/>
        <v>0.46073693748112354</v>
      </c>
    </row>
    <row r="318" spans="3:14" outlineLevel="1"/>
    <row r="319" spans="3:14" outlineLevel="1"/>
    <row r="320" spans="3:14" outlineLevel="1"/>
    <row r="321" spans="3:13" outlineLevel="1"/>
    <row r="326" spans="3:13">
      <c r="C326" s="616" t="s">
        <v>1333</v>
      </c>
      <c r="D326" s="1150">
        <v>2007</v>
      </c>
      <c r="E326" s="1150">
        <v>2008</v>
      </c>
      <c r="F326" s="1150">
        <v>2009</v>
      </c>
      <c r="G326" s="1150">
        <v>2010</v>
      </c>
      <c r="H326" s="1150">
        <v>2011</v>
      </c>
      <c r="I326" s="1150">
        <v>2012</v>
      </c>
      <c r="J326" s="1150">
        <v>2013</v>
      </c>
      <c r="K326" s="1150">
        <v>2014</v>
      </c>
      <c r="L326" s="1150">
        <v>2015</v>
      </c>
      <c r="M326" s="1150">
        <v>2016</v>
      </c>
    </row>
    <row r="327" spans="3:13">
      <c r="C327" s="93" t="s">
        <v>1335</v>
      </c>
      <c r="D327" s="95">
        <v>14555</v>
      </c>
      <c r="E327" s="95">
        <v>15267</v>
      </c>
      <c r="F327" s="95">
        <v>15659</v>
      </c>
      <c r="G327" s="95">
        <v>16381</v>
      </c>
      <c r="H327" s="95">
        <v>17487</v>
      </c>
      <c r="I327" s="95">
        <v>19158</v>
      </c>
      <c r="J327" s="95">
        <v>20555</v>
      </c>
      <c r="K327" s="95">
        <v>21781</v>
      </c>
      <c r="L327" s="95">
        <f>K327*(1+$K$330)</f>
        <v>22962.872508394652</v>
      </c>
      <c r="M327" s="95">
        <f>L327*(1+$K$330)</f>
        <v>24208.875342582385</v>
      </c>
    </row>
    <row r="328" spans="3:13">
      <c r="C328" s="93" t="s">
        <v>1337</v>
      </c>
      <c r="D328" s="95">
        <v>6856</v>
      </c>
      <c r="E328" s="95">
        <v>6441</v>
      </c>
      <c r="F328" s="95">
        <v>6328</v>
      </c>
      <c r="G328" s="95">
        <v>6622</v>
      </c>
      <c r="H328" s="95">
        <v>6884</v>
      </c>
      <c r="I328" s="95">
        <v>7156</v>
      </c>
      <c r="J328" s="95">
        <v>7439</v>
      </c>
      <c r="K328" s="95">
        <v>7732</v>
      </c>
      <c r="L328" s="95">
        <f>K328*(1+$K$330)</f>
        <v>8151.5509037650918</v>
      </c>
      <c r="M328" s="95">
        <f>L328*(1+$K$330)</f>
        <v>8593.8673223840506</v>
      </c>
    </row>
    <row r="329" spans="3:13">
      <c r="C329" s="93" t="s">
        <v>1338</v>
      </c>
      <c r="D329" s="95">
        <f>SUM(D327:D328)</f>
        <v>21411</v>
      </c>
      <c r="E329" s="95">
        <f t="shared" ref="E329:K329" si="134">SUM(E327:E328)</f>
        <v>21708</v>
      </c>
      <c r="F329" s="95">
        <f t="shared" si="134"/>
        <v>21987</v>
      </c>
      <c r="G329" s="95">
        <f t="shared" si="134"/>
        <v>23003</v>
      </c>
      <c r="H329" s="95">
        <f t="shared" si="134"/>
        <v>24371</v>
      </c>
      <c r="I329" s="95">
        <f t="shared" si="134"/>
        <v>26314</v>
      </c>
      <c r="J329" s="95">
        <f t="shared" si="134"/>
        <v>27994</v>
      </c>
      <c r="K329" s="95">
        <f t="shared" si="134"/>
        <v>29513</v>
      </c>
      <c r="L329" s="95">
        <f t="shared" ref="L329" si="135">SUM(L327:L328)</f>
        <v>31114.423412159744</v>
      </c>
      <c r="M329" s="95">
        <f t="shared" ref="M329" si="136">SUM(M327:M328)</f>
        <v>32802.742664966434</v>
      </c>
    </row>
    <row r="330" spans="3:13">
      <c r="C330" s="106" t="s">
        <v>1339</v>
      </c>
      <c r="D330" s="108"/>
      <c r="E330" s="108">
        <f t="shared" ref="E330:K330" si="137">E329/D329-1</f>
        <v>1.3871374527112179E-2</v>
      </c>
      <c r="F330" s="108">
        <f t="shared" si="137"/>
        <v>1.28524046434495E-2</v>
      </c>
      <c r="G330" s="108">
        <f t="shared" si="137"/>
        <v>4.6209123573020428E-2</v>
      </c>
      <c r="H330" s="108">
        <f t="shared" si="137"/>
        <v>5.9470503847324219E-2</v>
      </c>
      <c r="I330" s="108">
        <f t="shared" si="137"/>
        <v>7.9725903738049331E-2</v>
      </c>
      <c r="J330" s="108">
        <f t="shared" si="137"/>
        <v>6.3844341415216332E-2</v>
      </c>
      <c r="K330" s="108">
        <f t="shared" si="137"/>
        <v>5.4261627491605235E-2</v>
      </c>
      <c r="L330" s="108">
        <f t="shared" ref="L330" si="138">L329/K329-1</f>
        <v>5.4261627491605235E-2</v>
      </c>
      <c r="M330" s="108">
        <f t="shared" ref="M330" si="139">M329/L329-1</f>
        <v>5.4261627491605235E-2</v>
      </c>
    </row>
    <row r="394" spans="14:15">
      <c r="N394" s="93">
        <v>10230</v>
      </c>
      <c r="O394" s="93">
        <v>2865</v>
      </c>
    </row>
    <row r="395" spans="14:15">
      <c r="N395" s="93">
        <v>10465</v>
      </c>
      <c r="O395" s="93">
        <v>3037</v>
      </c>
    </row>
    <row r="396" spans="14:15">
      <c r="N396" s="93">
        <v>10115</v>
      </c>
      <c r="O396" s="93">
        <v>2965</v>
      </c>
    </row>
    <row r="397" spans="14:15">
      <c r="N397" s="93">
        <v>9879</v>
      </c>
      <c r="O397" s="93">
        <v>2915</v>
      </c>
    </row>
    <row r="398" spans="14:15">
      <c r="N398" s="93">
        <v>9654</v>
      </c>
      <c r="O398" s="93">
        <v>2851</v>
      </c>
    </row>
    <row r="399" spans="14:15">
      <c r="N399" s="93">
        <v>9457</v>
      </c>
      <c r="O399" s="93">
        <v>2794</v>
      </c>
    </row>
    <row r="400" spans="14:15">
      <c r="N400" s="93">
        <v>9277</v>
      </c>
      <c r="O400" s="93">
        <v>2744</v>
      </c>
    </row>
    <row r="401" spans="14:15">
      <c r="N401" s="93">
        <v>9117</v>
      </c>
      <c r="O401" s="93">
        <v>2700</v>
      </c>
    </row>
    <row r="402" spans="14:15">
      <c r="N402" s="93">
        <v>8977</v>
      </c>
      <c r="O402" s="93">
        <v>2662</v>
      </c>
    </row>
    <row r="403" spans="14:15">
      <c r="N403" s="93">
        <v>8857</v>
      </c>
      <c r="O403" s="93">
        <v>2628</v>
      </c>
    </row>
    <row r="404" spans="14:15">
      <c r="N404" s="93">
        <v>8768</v>
      </c>
      <c r="O404" s="93">
        <v>2615</v>
      </c>
    </row>
  </sheetData>
  <mergeCells count="2">
    <mergeCell ref="E256:H256"/>
    <mergeCell ref="I256:L256"/>
  </mergeCells>
  <phoneticPr fontId="2" type="noConversion"/>
  <pageMargins left="0.6" right="0.6" top="1" bottom="1" header="0.5" footer="0.5"/>
  <pageSetup scale="10" orientation="landscape" r:id="rId1"/>
  <ignoredErrors>
    <ignoredError sqref="E263:L263 D329:K329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P115"/>
  <sheetViews>
    <sheetView showGridLines="0" workbookViewId="0">
      <pane xSplit="2" ySplit="1" topLeftCell="C2" activePane="bottomRight" state="frozen"/>
      <selection activeCell="K139" sqref="K139"/>
      <selection pane="topRight" activeCell="K139" sqref="K139"/>
      <selection pane="bottomLeft" activeCell="K139" sqref="K139"/>
      <selection pane="bottomRight" activeCell="K25" sqref="K25"/>
    </sheetView>
  </sheetViews>
  <sheetFormatPr defaultColWidth="9" defaultRowHeight="14.5"/>
  <cols>
    <col min="1" max="1" width="1.6640625" style="2" customWidth="1"/>
    <col min="2" max="2" width="15.58203125" style="2" customWidth="1"/>
    <col min="3" max="3" width="14.58203125" style="2" bestFit="1" customWidth="1"/>
    <col min="4" max="4" width="16.1640625" style="2" bestFit="1" customWidth="1"/>
    <col min="5" max="6" width="16" style="2" bestFit="1" customWidth="1"/>
    <col min="7" max="7" width="9.58203125" style="2" bestFit="1" customWidth="1"/>
    <col min="8" max="9" width="11.1640625" style="2" bestFit="1" customWidth="1"/>
    <col min="10" max="10" width="16" style="2" bestFit="1" customWidth="1"/>
    <col min="11" max="11" width="9.33203125" style="2" bestFit="1" customWidth="1"/>
    <col min="12" max="16384" width="9" style="2"/>
  </cols>
  <sheetData>
    <row r="1" spans="2:15" ht="17">
      <c r="B1" s="1" t="s">
        <v>714</v>
      </c>
    </row>
    <row r="3" spans="2:15" s="93" customFormat="1">
      <c r="B3" s="92"/>
      <c r="E3" s="93" t="s">
        <v>28</v>
      </c>
      <c r="I3" s="93" t="s">
        <v>29</v>
      </c>
    </row>
    <row r="4" spans="2:15" s="93" customFormat="1" ht="15" thickBot="1">
      <c r="B4" s="94"/>
      <c r="C4" s="94"/>
      <c r="D4" s="94"/>
      <c r="E4" s="1157">
        <v>2008</v>
      </c>
      <c r="F4" s="1157">
        <v>2009</v>
      </c>
      <c r="G4" s="1157">
        <v>2010</v>
      </c>
      <c r="H4" s="1157" t="s">
        <v>32</v>
      </c>
      <c r="I4" s="1157" t="s">
        <v>33</v>
      </c>
      <c r="J4" s="1157">
        <v>2011</v>
      </c>
      <c r="K4" s="1157">
        <v>2012</v>
      </c>
      <c r="L4" s="1157">
        <v>2013</v>
      </c>
      <c r="M4" s="1157">
        <v>2014</v>
      </c>
      <c r="N4" s="1157">
        <v>2015</v>
      </c>
      <c r="O4" s="1157">
        <v>2016</v>
      </c>
    </row>
    <row r="5" spans="2:15" s="93" customFormat="1">
      <c r="B5" s="200" t="s">
        <v>702</v>
      </c>
      <c r="C5" s="195"/>
      <c r="D5" s="195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</row>
    <row r="6" spans="2:15" s="93" customFormat="1">
      <c r="B6" s="204" t="s">
        <v>715</v>
      </c>
      <c r="C6" s="205"/>
      <c r="D6" s="205"/>
      <c r="E6" s="206">
        <f>IS!C5/1000000</f>
        <v>1113092.579931</v>
      </c>
      <c r="F6" s="206">
        <f>IS!D5/1000000</f>
        <v>2005984.3105349999</v>
      </c>
      <c r="G6" s="206">
        <f>IS!E5/1000000</f>
        <v>2286620.4427060001</v>
      </c>
      <c r="H6" s="206">
        <f>IS!F5/1000000</f>
        <v>1195964.884535</v>
      </c>
      <c r="I6" s="206">
        <f>G16</f>
        <v>1356934.8915909547</v>
      </c>
      <c r="J6" s="206">
        <f t="shared" ref="J6:O6" si="0">H16</f>
        <v>2552899.7761259545</v>
      </c>
      <c r="K6" s="206">
        <f t="shared" si="0"/>
        <v>2866586.5397059345</v>
      </c>
      <c r="L6" s="206">
        <f t="shared" si="0"/>
        <v>3115027.9627999715</v>
      </c>
      <c r="M6" s="206">
        <f t="shared" si="0"/>
        <v>3271060.4997817618</v>
      </c>
      <c r="N6" s="206">
        <f t="shared" si="0"/>
        <v>3434854.5432893671</v>
      </c>
      <c r="O6" s="206">
        <f t="shared" si="0"/>
        <v>3606792.9868971063</v>
      </c>
    </row>
    <row r="7" spans="2:15" s="93" customFormat="1">
      <c r="B7" s="202" t="s">
        <v>214</v>
      </c>
      <c r="C7" s="179"/>
      <c r="D7" s="179"/>
      <c r="E7" s="180">
        <f>매출추정!F11</f>
        <v>1491976.22114</v>
      </c>
      <c r="F7" s="180">
        <f>매출추정!G11</f>
        <v>2663947.8663639999</v>
      </c>
      <c r="G7" s="180">
        <f>매출추정!H11</f>
        <v>3046678.6757970001</v>
      </c>
      <c r="H7" s="180">
        <f>매출추정!I11</f>
        <v>1606909.618359</v>
      </c>
      <c r="I7" s="180">
        <f>매출추정!J11</f>
        <v>1826768.9985385463</v>
      </c>
      <c r="J7" s="180">
        <f>매출추정!K11</f>
        <v>3433678.6168975462</v>
      </c>
      <c r="K7" s="180">
        <f>매출추정!L11</f>
        <v>3874341.5840919763</v>
      </c>
      <c r="L7" s="180">
        <f>매출추정!M11</f>
        <v>4226781.2635950102</v>
      </c>
      <c r="M7" s="180">
        <f>매출추정!N11</f>
        <v>4456133.2940086992</v>
      </c>
      <c r="N7" s="180">
        <f>매출추정!O11</f>
        <v>4697930.3388611386</v>
      </c>
      <c r="O7" s="180">
        <f>매출추정!P11</f>
        <v>4952847.6848899331</v>
      </c>
    </row>
    <row r="8" spans="2:15" s="93" customFormat="1" ht="15" thickBot="1">
      <c r="B8" s="203" t="s">
        <v>701</v>
      </c>
      <c r="C8" s="117"/>
      <c r="D8" s="117"/>
      <c r="E8" s="119">
        <f>E6/E7</f>
        <v>0.74605249343752955</v>
      </c>
      <c r="F8" s="119">
        <f>F6/F7</f>
        <v>0.75301184976752233</v>
      </c>
      <c r="G8" s="119">
        <f>G6/G7</f>
        <v>0.75052891559292134</v>
      </c>
      <c r="H8" s="119">
        <f>H6/H7</f>
        <v>0.74426394046750255</v>
      </c>
      <c r="I8" s="119">
        <f t="shared" ref="I8:O8" si="1">I6/I7</f>
        <v>0.74280595558416596</v>
      </c>
      <c r="J8" s="119">
        <f t="shared" si="1"/>
        <v>0.74348827044057852</v>
      </c>
      <c r="K8" s="119">
        <f t="shared" si="1"/>
        <v>0.73988998581749266</v>
      </c>
      <c r="L8" s="119">
        <f t="shared" si="1"/>
        <v>0.73697401605081936</v>
      </c>
      <c r="M8" s="119">
        <f t="shared" si="1"/>
        <v>0.73405804628414606</v>
      </c>
      <c r="N8" s="119">
        <f t="shared" si="1"/>
        <v>0.73114207651747276</v>
      </c>
      <c r="O8" s="119">
        <f t="shared" si="1"/>
        <v>0.72822610675079946</v>
      </c>
    </row>
    <row r="11" spans="2:15">
      <c r="B11" s="92" t="s">
        <v>705</v>
      </c>
    </row>
    <row r="13" spans="2:15" ht="15" thickBot="1">
      <c r="B13" s="110" t="s">
        <v>680</v>
      </c>
      <c r="C13" s="94"/>
      <c r="D13" s="94"/>
      <c r="E13" s="1157">
        <v>2010</v>
      </c>
      <c r="F13" s="1157" t="s">
        <v>32</v>
      </c>
      <c r="G13" s="1157" t="s">
        <v>33</v>
      </c>
      <c r="H13" s="1157">
        <v>2011</v>
      </c>
      <c r="I13" s="1157">
        <v>2012</v>
      </c>
      <c r="J13" s="1157">
        <v>2013</v>
      </c>
      <c r="K13" s="1157">
        <v>2014</v>
      </c>
      <c r="L13" s="1157">
        <v>2015</v>
      </c>
      <c r="M13" s="1157">
        <v>2016</v>
      </c>
    </row>
    <row r="14" spans="2:15">
      <c r="B14" s="2" t="s">
        <v>712</v>
      </c>
      <c r="E14" s="2">
        <f>매출추정!H11</f>
        <v>3046678.6757970001</v>
      </c>
      <c r="F14" s="2">
        <f>매출추정!I11</f>
        <v>1606909.618359</v>
      </c>
      <c r="G14" s="2">
        <f>매출추정!J11</f>
        <v>1826768.9985385463</v>
      </c>
      <c r="H14" s="2">
        <f>매출추정!K11</f>
        <v>3433678.6168975462</v>
      </c>
      <c r="I14" s="2">
        <f>매출추정!L11</f>
        <v>3874341.5840919763</v>
      </c>
      <c r="J14" s="2">
        <f>매출추정!M11</f>
        <v>4226781.2635950102</v>
      </c>
      <c r="K14" s="2">
        <f>매출추정!N11</f>
        <v>4456133.2940086992</v>
      </c>
      <c r="L14" s="2">
        <f>매출추정!O11</f>
        <v>4697930.3388611386</v>
      </c>
      <c r="M14" s="2">
        <f>매출추정!P11</f>
        <v>4952847.6848899331</v>
      </c>
    </row>
    <row r="15" spans="2:15">
      <c r="B15" s="2" t="s">
        <v>713</v>
      </c>
      <c r="G15" s="196">
        <f>I28</f>
        <v>0.74280595558416596</v>
      </c>
      <c r="H15" s="196">
        <f>H16/H14</f>
        <v>0.74348827044057852</v>
      </c>
      <c r="I15" s="636">
        <f>K28</f>
        <v>0.73988998581749266</v>
      </c>
      <c r="J15" s="636">
        <f t="shared" ref="J15:M15" si="2">L28</f>
        <v>0.73697401605081936</v>
      </c>
      <c r="K15" s="636">
        <f t="shared" si="2"/>
        <v>0.73405804628414606</v>
      </c>
      <c r="L15" s="636">
        <f t="shared" si="2"/>
        <v>0.73114207651747276</v>
      </c>
      <c r="M15" s="636">
        <f t="shared" si="2"/>
        <v>0.72822610675079946</v>
      </c>
    </row>
    <row r="16" spans="2:15" ht="15" thickBot="1">
      <c r="B16" s="207" t="s">
        <v>714</v>
      </c>
      <c r="C16" s="207"/>
      <c r="D16" s="207"/>
      <c r="E16" s="207">
        <f>G6</f>
        <v>2286620.4427060001</v>
      </c>
      <c r="F16" s="207">
        <f>H6</f>
        <v>1195964.884535</v>
      </c>
      <c r="G16" s="207">
        <f>G14*G15</f>
        <v>1356934.8915909547</v>
      </c>
      <c r="H16" s="207">
        <f>F16+G16</f>
        <v>2552899.7761259545</v>
      </c>
      <c r="I16" s="207">
        <f t="shared" ref="I16:M16" si="3">I14*I15</f>
        <v>2866586.5397059345</v>
      </c>
      <c r="J16" s="207">
        <f t="shared" si="3"/>
        <v>3115027.9627999715</v>
      </c>
      <c r="K16" s="207">
        <f t="shared" si="3"/>
        <v>3271060.4997817618</v>
      </c>
      <c r="L16" s="207">
        <f t="shared" si="3"/>
        <v>3434854.5432893671</v>
      </c>
      <c r="M16" s="207">
        <f t="shared" si="3"/>
        <v>3606792.9868971063</v>
      </c>
    </row>
    <row r="18" spans="2:16">
      <c r="B18" s="2" t="s">
        <v>1293</v>
      </c>
    </row>
    <row r="19" spans="2:16">
      <c r="B19" s="2" t="s">
        <v>1294</v>
      </c>
      <c r="H19" s="636">
        <f>(H22-F22)/1.5*50%</f>
        <v>-2.9159697666732618E-3</v>
      </c>
    </row>
    <row r="21" spans="2:16" ht="15" thickBot="1">
      <c r="D21" s="1157"/>
      <c r="E21" s="1157">
        <v>2008</v>
      </c>
      <c r="F21" s="1157">
        <v>2009</v>
      </c>
      <c r="G21" s="1157">
        <v>2010</v>
      </c>
      <c r="H21" s="1157" t="s">
        <v>32</v>
      </c>
      <c r="I21" s="1157" t="s">
        <v>33</v>
      </c>
      <c r="J21" s="1157">
        <v>2011</v>
      </c>
      <c r="K21" s="1157">
        <v>2012</v>
      </c>
      <c r="L21" s="1157">
        <v>2013</v>
      </c>
      <c r="M21" s="1157">
        <v>2014</v>
      </c>
      <c r="N21" s="1157">
        <v>2015</v>
      </c>
      <c r="O21" s="1157">
        <v>2016</v>
      </c>
    </row>
    <row r="22" spans="2:16">
      <c r="D22" s="2" t="s">
        <v>2343</v>
      </c>
      <c r="E22" s="196">
        <f>E8</f>
        <v>0.74605249343752955</v>
      </c>
      <c r="F22" s="196">
        <f>F8</f>
        <v>0.75301184976752233</v>
      </c>
      <c r="G22" s="196">
        <f>G8</f>
        <v>0.75052891559292134</v>
      </c>
      <c r="H22" s="636">
        <f>H8</f>
        <v>0.74426394046750255</v>
      </c>
      <c r="I22" s="636">
        <f>H22*(1+$H$23)^(6/12)</f>
        <v>0.74390674473844587</v>
      </c>
      <c r="J22" s="636"/>
      <c r="K22" s="636">
        <f>I22*(1+$H$23)</f>
        <v>0.74319286748653257</v>
      </c>
      <c r="L22" s="636">
        <f>K22*(1+$H$23)</f>
        <v>0.74247967529458736</v>
      </c>
      <c r="M22" s="636">
        <f t="shared" ref="M22:O22" si="4">L22</f>
        <v>0.74247967529458736</v>
      </c>
      <c r="N22" s="636">
        <f t="shared" si="4"/>
        <v>0.74247967529458736</v>
      </c>
      <c r="O22" s="636">
        <f t="shared" si="4"/>
        <v>0.74247967529458736</v>
      </c>
    </row>
    <row r="23" spans="2:16">
      <c r="D23" s="2" t="s">
        <v>2344</v>
      </c>
      <c r="H23" s="636">
        <f>(H22/E22)^(1/(30/12))-1</f>
        <v>-9.5963271870092015E-4</v>
      </c>
      <c r="I23" s="636">
        <f>H22*(1+$H$23)^(6/12)</f>
        <v>0.74390674473844587</v>
      </c>
      <c r="J23" s="1315"/>
      <c r="K23" s="636">
        <f>I23*(1+$H$23)^(6/12)</f>
        <v>0.74354972043888068</v>
      </c>
      <c r="L23" s="636">
        <f>K23*(1+$H$23)</f>
        <v>0.74283618579916666</v>
      </c>
      <c r="M23" s="636">
        <f t="shared" ref="M23:O23" si="5">L23*(1+$H$23)</f>
        <v>0.74212333589063884</v>
      </c>
      <c r="N23" s="636">
        <f t="shared" si="5"/>
        <v>0.74141117005620671</v>
      </c>
      <c r="O23" s="636">
        <f t="shared" si="5"/>
        <v>0.74069968763941041</v>
      </c>
    </row>
    <row r="24" spans="2:16">
      <c r="H24" s="636">
        <f>(H22/F22)^(1/(18/12))-1</f>
        <v>-7.7598912455620894E-3</v>
      </c>
      <c r="I24" s="636">
        <f>H22</f>
        <v>0.74426394046750255</v>
      </c>
      <c r="J24" s="1315"/>
      <c r="K24" s="636">
        <f>I24*(1+$H$24)^(6/12)</f>
        <v>0.74137061294127948</v>
      </c>
      <c r="L24" s="636">
        <f>K24*(1+$H$24)</f>
        <v>0.73561765761219944</v>
      </c>
      <c r="M24" s="636">
        <f t="shared" ref="M24:O24" si="6">L24*(1+$H$24)</f>
        <v>0.72990934459081369</v>
      </c>
      <c r="N24" s="636">
        <f t="shared" si="6"/>
        <v>0.72424532745766945</v>
      </c>
      <c r="O24" s="636">
        <f t="shared" si="6"/>
        <v>0.71862526248149139</v>
      </c>
    </row>
    <row r="25" spans="2:16">
      <c r="H25" s="636">
        <f>(O25/K25)^(1/4)-1</f>
        <v>-4.3373557331455315E-3</v>
      </c>
      <c r="I25" s="636">
        <f>AVERAGE(I23:I24)</f>
        <v>0.74408534260297421</v>
      </c>
      <c r="J25" s="1315"/>
      <c r="K25" s="636">
        <f t="shared" ref="K25:O25" si="7">AVERAGE(K23:K24)</f>
        <v>0.74246016669008008</v>
      </c>
      <c r="L25" s="636">
        <f t="shared" si="7"/>
        <v>0.73922692170568305</v>
      </c>
      <c r="M25" s="636">
        <f t="shared" si="7"/>
        <v>0.73601634024072626</v>
      </c>
      <c r="N25" s="636">
        <f t="shared" si="7"/>
        <v>0.73282824875693808</v>
      </c>
      <c r="O25" s="636">
        <f t="shared" si="7"/>
        <v>0.7296624750604509</v>
      </c>
    </row>
    <row r="26" spans="2:16">
      <c r="H26" s="196"/>
    </row>
    <row r="27" spans="2:16">
      <c r="H27" s="196"/>
    </row>
    <row r="28" spans="2:16">
      <c r="I28" s="1316">
        <f>H22+H19*0.5</f>
        <v>0.74280595558416596</v>
      </c>
      <c r="J28" s="1317"/>
      <c r="K28" s="1316">
        <f>I28+H19</f>
        <v>0.73988998581749266</v>
      </c>
      <c r="L28" s="1316">
        <f>K28+$H$19</f>
        <v>0.73697401605081936</v>
      </c>
      <c r="M28" s="1316">
        <f>L28+$H$19</f>
        <v>0.73405804628414606</v>
      </c>
      <c r="N28" s="1316">
        <f t="shared" ref="N28:O28" si="8">M28+$H$19</f>
        <v>0.73114207651747276</v>
      </c>
      <c r="O28" s="1316">
        <f t="shared" si="8"/>
        <v>0.72822610675079946</v>
      </c>
    </row>
    <row r="29" spans="2:16">
      <c r="H29" s="196"/>
      <c r="K29" s="636">
        <f>(K28/I28)^(1/0.5)-1</f>
        <v>-7.8358183811543247E-3</v>
      </c>
      <c r="L29" s="636">
        <f>L28/K28-1</f>
        <v>-3.9410855972750181E-3</v>
      </c>
      <c r="M29" s="636">
        <f t="shared" ref="M29:O29" si="9">M28/L28-1</f>
        <v>-3.9566792087174507E-3</v>
      </c>
      <c r="N29" s="636">
        <f t="shared" si="9"/>
        <v>-3.9723967081815026E-3</v>
      </c>
      <c r="O29" s="636">
        <f t="shared" si="9"/>
        <v>-3.9882395779524682E-3</v>
      </c>
    </row>
    <row r="30" spans="2:16">
      <c r="O30" s="196">
        <v>0.73561765761219944</v>
      </c>
      <c r="P30" s="636">
        <v>0.73561765761219944</v>
      </c>
    </row>
    <row r="31" spans="2:16">
      <c r="H31" s="196">
        <f>H22</f>
        <v>0.74426394046750255</v>
      </c>
      <c r="I31" s="196">
        <f>H31*(1+$H$32)^(6/12)</f>
        <v>0.74347373315285947</v>
      </c>
      <c r="K31" s="636">
        <f>I31*(1+$H$32)</f>
        <v>0.74189583459310859</v>
      </c>
      <c r="L31" s="636">
        <f>K31*(1+$H$32)</f>
        <v>0.7403212848589501</v>
      </c>
      <c r="M31" s="636">
        <f>L31*(1+$H$32)</f>
        <v>0.73875007684306215</v>
      </c>
      <c r="N31" s="636">
        <f>M31*(1+$H$32)</f>
        <v>0.73718220345320717</v>
      </c>
      <c r="O31" s="636">
        <f>N31*(1+$H$32)</f>
        <v>0.73561765761219944</v>
      </c>
    </row>
    <row r="32" spans="2:16">
      <c r="H32" s="196">
        <f>(O30/H31)^(1/(66/12))-1</f>
        <v>-2.1223326250673358E-3</v>
      </c>
    </row>
    <row r="33" spans="2:14">
      <c r="B33" s="92" t="s">
        <v>710</v>
      </c>
    </row>
    <row r="35" spans="2:14" ht="15" thickBot="1">
      <c r="B35" s="6" t="s">
        <v>42</v>
      </c>
      <c r="C35" s="1157">
        <v>2007</v>
      </c>
      <c r="D35" s="1157">
        <v>2008</v>
      </c>
      <c r="E35" s="1157">
        <v>2009</v>
      </c>
      <c r="F35" s="1157">
        <v>2010</v>
      </c>
      <c r="G35" s="1157" t="s">
        <v>709</v>
      </c>
      <c r="H35" s="1157" t="s">
        <v>1907</v>
      </c>
    </row>
    <row r="36" spans="2:14">
      <c r="B36" s="2" t="s">
        <v>3002</v>
      </c>
      <c r="C36" s="196">
        <f>1-D51</f>
        <v>0.74548439638817654</v>
      </c>
      <c r="D36" s="196">
        <f>E8</f>
        <v>0.74605249343752955</v>
      </c>
      <c r="E36" s="196">
        <f>1-F51</f>
        <v>0.75301184976752233</v>
      </c>
      <c r="F36" s="196">
        <f>1-G51</f>
        <v>0.75052891559292134</v>
      </c>
      <c r="G36" s="196">
        <f>AVERAGE(D36:F36)</f>
        <v>0.74986441959932437</v>
      </c>
      <c r="H36" s="196">
        <f>AVERAGE(C36:G36)</f>
        <v>0.74898841495709489</v>
      </c>
    </row>
    <row r="37" spans="2:14">
      <c r="B37" s="2" t="s">
        <v>706</v>
      </c>
      <c r="C37" s="196">
        <f>1-D58</f>
        <v>0.80752244497877657</v>
      </c>
      <c r="D37" s="196">
        <f>1-E58</f>
        <v>0.80420839953257128</v>
      </c>
      <c r="E37" s="196">
        <f>1-F58</f>
        <v>0.80598796393264216</v>
      </c>
      <c r="F37" s="196">
        <f>1-G58</f>
        <v>0.79595990956855578</v>
      </c>
      <c r="G37" s="196">
        <f t="shared" ref="G37:G39" si="10">AVERAGE(D37:F37)</f>
        <v>0.80205209101125641</v>
      </c>
      <c r="H37" s="196">
        <f t="shared" ref="H37:H39" si="11">AVERAGE(C37:G37)</f>
        <v>0.80314616180476039</v>
      </c>
    </row>
    <row r="38" spans="2:14">
      <c r="B38" s="2" t="s">
        <v>707</v>
      </c>
      <c r="C38" s="196">
        <f>1-D65</f>
        <v>0.82159860025270881</v>
      </c>
      <c r="D38" s="196">
        <f>1-E65</f>
        <v>0.82654752641852802</v>
      </c>
      <c r="E38" s="196">
        <f>1-F65</f>
        <v>0.83017400961945986</v>
      </c>
      <c r="F38" s="196">
        <f>1-G65</f>
        <v>0.80695187500277665</v>
      </c>
      <c r="G38" s="196">
        <f t="shared" si="10"/>
        <v>0.82122447034692148</v>
      </c>
      <c r="H38" s="196">
        <f t="shared" si="11"/>
        <v>0.82129929632807896</v>
      </c>
    </row>
    <row r="39" spans="2:14">
      <c r="B39" s="197" t="s">
        <v>708</v>
      </c>
      <c r="C39" s="198">
        <f>1-D72</f>
        <v>0.8084352540530978</v>
      </c>
      <c r="D39" s="198">
        <f>1-E72</f>
        <v>0.79349708949672593</v>
      </c>
      <c r="E39" s="198">
        <f>1-F72</f>
        <v>0.78943824098339777</v>
      </c>
      <c r="F39" s="198">
        <f>1-G72</f>
        <v>0.78930869885103139</v>
      </c>
      <c r="G39" s="198">
        <f t="shared" si="10"/>
        <v>0.79074800977705173</v>
      </c>
      <c r="H39" s="198">
        <f t="shared" si="11"/>
        <v>0.79428545863226097</v>
      </c>
    </row>
    <row r="40" spans="2:14">
      <c r="B40" s="199" t="s">
        <v>711</v>
      </c>
      <c r="C40" s="199">
        <f t="shared" ref="C40" si="12">AVERAGE(C36:C39)</f>
        <v>0.79576017391818998</v>
      </c>
      <c r="D40" s="199">
        <f t="shared" ref="D40:G40" si="13">AVERAGE(D36:D39)</f>
        <v>0.79257637722133867</v>
      </c>
      <c r="E40" s="199">
        <f t="shared" si="13"/>
        <v>0.79465301607575556</v>
      </c>
      <c r="F40" s="199">
        <f t="shared" si="13"/>
        <v>0.78568734975382126</v>
      </c>
      <c r="G40" s="199">
        <f t="shared" si="13"/>
        <v>0.7909722476836385</v>
      </c>
      <c r="H40" s="199">
        <f t="shared" ref="H40" si="14">AVERAGE(H36:H39)</f>
        <v>0.79192983293054875</v>
      </c>
    </row>
    <row r="41" spans="2:14">
      <c r="B41" s="198" t="s">
        <v>3003</v>
      </c>
      <c r="C41" s="198"/>
      <c r="D41" s="198"/>
      <c r="E41" s="198"/>
      <c r="F41" s="198"/>
      <c r="G41" s="198"/>
      <c r="H41" s="198"/>
    </row>
    <row r="42" spans="2:14">
      <c r="B42" s="198"/>
      <c r="C42" s="198"/>
      <c r="D42" s="198"/>
      <c r="E42" s="198"/>
      <c r="F42" s="198"/>
      <c r="G42" s="198"/>
      <c r="H42" s="198"/>
    </row>
    <row r="45" spans="2:14">
      <c r="B45" s="1041" t="s">
        <v>1905</v>
      </c>
      <c r="C45" s="1041"/>
      <c r="D45" s="1041" t="s">
        <v>2931</v>
      </c>
      <c r="E45" s="1041" t="s">
        <v>1895</v>
      </c>
      <c r="F45" s="1041" t="s">
        <v>1896</v>
      </c>
      <c r="G45" s="1041" t="s">
        <v>1897</v>
      </c>
      <c r="H45" s="1041" t="s">
        <v>1904</v>
      </c>
      <c r="J45" s="1272"/>
      <c r="K45" s="1272">
        <v>2007</v>
      </c>
      <c r="L45" s="1272">
        <v>2008</v>
      </c>
      <c r="M45" s="1272">
        <v>2009</v>
      </c>
      <c r="N45" s="1272">
        <v>2010</v>
      </c>
    </row>
    <row r="46" spans="2:14">
      <c r="B46" s="2" t="s">
        <v>3002</v>
      </c>
      <c r="C46" s="196" t="s">
        <v>1898</v>
      </c>
      <c r="D46" s="2">
        <f>1425296.697688</f>
        <v>1425296.697688</v>
      </c>
      <c r="E46" s="232">
        <v>2451302.1871400001</v>
      </c>
      <c r="F46" s="232">
        <v>2663947.8663639999</v>
      </c>
      <c r="G46" s="232">
        <v>3046678.6757970001</v>
      </c>
      <c r="J46" s="2" t="s">
        <v>3002</v>
      </c>
      <c r="K46" s="196">
        <f>1-D51</f>
        <v>0.74548439638817654</v>
      </c>
      <c r="L46" s="196">
        <f t="shared" ref="L46:N46" si="15">1-E51</f>
        <v>0.75253342513566046</v>
      </c>
      <c r="M46" s="196">
        <f t="shared" si="15"/>
        <v>0.75301184976752233</v>
      </c>
      <c r="N46" s="196">
        <f t="shared" si="15"/>
        <v>0.75052891559292134</v>
      </c>
    </row>
    <row r="47" spans="2:14">
      <c r="C47" s="2" t="s">
        <v>1899</v>
      </c>
      <c r="D47" s="2">
        <f>1062536.44835</f>
        <v>1062536.44835</v>
      </c>
      <c r="E47" s="232">
        <v>1844686.8309309999</v>
      </c>
      <c r="F47" s="232">
        <v>2005984.3105349999</v>
      </c>
      <c r="G47" s="232">
        <v>2286620.4427060001</v>
      </c>
      <c r="J47" s="2" t="s">
        <v>2932</v>
      </c>
      <c r="K47" s="196">
        <f>1-D58</f>
        <v>0.80752244497877657</v>
      </c>
      <c r="L47" s="196">
        <f t="shared" ref="L47:N47" si="16">1-E58</f>
        <v>0.80420839953257128</v>
      </c>
      <c r="M47" s="196">
        <f t="shared" si="16"/>
        <v>0.80598796393264216</v>
      </c>
      <c r="N47" s="196">
        <f t="shared" si="16"/>
        <v>0.79595990956855578</v>
      </c>
    </row>
    <row r="48" spans="2:14">
      <c r="C48" s="2" t="s">
        <v>1900</v>
      </c>
      <c r="D48" s="232">
        <f>D46-D47</f>
        <v>362760.24933800008</v>
      </c>
      <c r="E48" s="232">
        <f>E46-E47</f>
        <v>606615.35620900011</v>
      </c>
      <c r="F48" s="232">
        <f t="shared" ref="F48:G48" si="17">F46-F47</f>
        <v>657963.55582899996</v>
      </c>
      <c r="G48" s="232">
        <f t="shared" si="17"/>
        <v>760058.233091</v>
      </c>
      <c r="J48" s="2" t="s">
        <v>2933</v>
      </c>
      <c r="K48" s="196">
        <f>1-D65</f>
        <v>0.82159860025270881</v>
      </c>
      <c r="L48" s="196">
        <f t="shared" ref="L48:N48" si="18">1-E65</f>
        <v>0.82654752641852802</v>
      </c>
      <c r="M48" s="196">
        <f t="shared" si="18"/>
        <v>0.83017400961945986</v>
      </c>
      <c r="N48" s="196">
        <f t="shared" si="18"/>
        <v>0.80695187500277665</v>
      </c>
    </row>
    <row r="49" spans="2:15">
      <c r="C49" s="2" t="s">
        <v>1902</v>
      </c>
      <c r="D49" s="2">
        <f>286490.755026</f>
        <v>286490.75502600003</v>
      </c>
      <c r="E49" s="232">
        <f>544444.396097-52332.283</f>
        <v>492112.11309699999</v>
      </c>
      <c r="F49" s="232">
        <v>476792.342</v>
      </c>
      <c r="G49" s="232">
        <v>545797.12099999993</v>
      </c>
      <c r="J49" s="2" t="s">
        <v>2934</v>
      </c>
      <c r="K49" s="196">
        <f>1-D72</f>
        <v>0.8084352540530978</v>
      </c>
      <c r="L49" s="196">
        <f t="shared" ref="L49:N49" si="19">1-E72</f>
        <v>0.79349708949672593</v>
      </c>
      <c r="M49" s="196">
        <f t="shared" si="19"/>
        <v>0.78943824098339777</v>
      </c>
      <c r="N49" s="196">
        <f t="shared" si="19"/>
        <v>0.78930869885103139</v>
      </c>
    </row>
    <row r="50" spans="2:15">
      <c r="C50" s="2" t="s">
        <v>1901</v>
      </c>
      <c r="D50" s="2">
        <f>D48-D49</f>
        <v>76269.494312000053</v>
      </c>
      <c r="E50" s="2">
        <f>E48-E49</f>
        <v>114503.24311200011</v>
      </c>
      <c r="F50" s="2">
        <f t="shared" ref="F50:G50" si="20">F48-F49</f>
        <v>181171.21382899996</v>
      </c>
      <c r="G50" s="2">
        <f t="shared" si="20"/>
        <v>214261.11209100008</v>
      </c>
    </row>
    <row r="51" spans="2:15">
      <c r="C51" s="2" t="s">
        <v>1903</v>
      </c>
      <c r="D51" s="196">
        <f>D48/D$46</f>
        <v>0.25451560361182352</v>
      </c>
      <c r="E51" s="196">
        <f>E48/E$46</f>
        <v>0.24746657486433954</v>
      </c>
      <c r="F51" s="196">
        <f>F48/F$46</f>
        <v>0.24698815023247767</v>
      </c>
      <c r="G51" s="196">
        <f>G48/G$46</f>
        <v>0.24947108440707866</v>
      </c>
      <c r="H51" s="196">
        <f>AVERAGE(E51:G51)</f>
        <v>0.24797526983463195</v>
      </c>
      <c r="I51" s="196"/>
      <c r="J51" s="196"/>
      <c r="K51" s="196"/>
      <c r="L51" s="196"/>
      <c r="M51" s="196"/>
      <c r="N51" s="196"/>
      <c r="O51" s="196"/>
    </row>
    <row r="52" spans="2:15">
      <c r="B52" s="1041"/>
      <c r="C52" s="1041" t="s">
        <v>1891</v>
      </c>
      <c r="D52" s="1042">
        <f>D50/D$46</f>
        <v>5.3511310617444213E-2</v>
      </c>
      <c r="E52" s="1042">
        <f>E50/E$46</f>
        <v>4.6711190367595648E-2</v>
      </c>
      <c r="F52" s="1042">
        <f>F50/F$46</f>
        <v>6.8008543303919464E-2</v>
      </c>
      <c r="G52" s="1042">
        <f>G50/G$46</f>
        <v>7.03261271997941E-2</v>
      </c>
      <c r="H52" s="1042">
        <f t="shared" ref="H52" si="21">AVERAGE(E52:G52)</f>
        <v>6.1681953623769735E-2</v>
      </c>
    </row>
    <row r="53" spans="2:15">
      <c r="B53" s="2" t="s">
        <v>1893</v>
      </c>
      <c r="C53" s="196" t="s">
        <v>1898</v>
      </c>
      <c r="D53" s="2">
        <v>643266.37624500005</v>
      </c>
      <c r="E53" s="2">
        <v>660607.52694300003</v>
      </c>
      <c r="F53" s="2">
        <v>610469.59339099994</v>
      </c>
      <c r="G53" s="2">
        <v>544703.19388699997</v>
      </c>
    </row>
    <row r="54" spans="2:15">
      <c r="C54" s="2" t="s">
        <v>1899</v>
      </c>
      <c r="D54" s="2">
        <v>519452.03691800003</v>
      </c>
      <c r="E54" s="2">
        <v>531266.12196200003</v>
      </c>
      <c r="F54" s="2">
        <v>492031.14461999998</v>
      </c>
      <c r="G54" s="2">
        <v>433561.90494799998</v>
      </c>
    </row>
    <row r="55" spans="2:15">
      <c r="C55" s="2" t="s">
        <v>1900</v>
      </c>
      <c r="D55" s="232">
        <f>D53-D54</f>
        <v>123814.33932700002</v>
      </c>
      <c r="E55" s="232">
        <f>E53-E54</f>
        <v>129341.404981</v>
      </c>
      <c r="F55" s="232">
        <f t="shared" ref="F55" si="22">F53-F54</f>
        <v>118438.44877099997</v>
      </c>
      <c r="G55" s="232">
        <f t="shared" ref="G55" si="23">G53-G54</f>
        <v>111141.28893899999</v>
      </c>
    </row>
    <row r="56" spans="2:15">
      <c r="C56" s="2" t="s">
        <v>1902</v>
      </c>
      <c r="D56" s="2">
        <v>115215.59448299999</v>
      </c>
      <c r="E56" s="2">
        <v>126953.993372</v>
      </c>
      <c r="F56" s="2">
        <v>122594.076481</v>
      </c>
      <c r="G56" s="2">
        <v>117405.005768</v>
      </c>
    </row>
    <row r="57" spans="2:15">
      <c r="C57" s="2" t="s">
        <v>1901</v>
      </c>
      <c r="D57" s="2">
        <f>D55-D56</f>
        <v>8598.7448440000298</v>
      </c>
      <c r="E57" s="2">
        <f>E55-E56</f>
        <v>2387.4116090000025</v>
      </c>
      <c r="F57" s="2">
        <f t="shared" ref="F57" si="24">F55-F56</f>
        <v>-4155.6277100000298</v>
      </c>
      <c r="G57" s="2">
        <f t="shared" ref="G57" si="25">G55-G56</f>
        <v>-6263.7168290000118</v>
      </c>
    </row>
    <row r="58" spans="2:15">
      <c r="C58" s="2" t="s">
        <v>1903</v>
      </c>
      <c r="D58" s="196">
        <f>D55/D$53</f>
        <v>0.19247755502122346</v>
      </c>
      <c r="E58" s="196">
        <f>E55/E$53</f>
        <v>0.19579160046742869</v>
      </c>
      <c r="F58" s="196">
        <f>F55/F$53</f>
        <v>0.19401203606735787</v>
      </c>
      <c r="G58" s="196">
        <f>G55/G$53</f>
        <v>0.20404009043144425</v>
      </c>
      <c r="H58" s="196">
        <f>AVERAGE(E58:G58)</f>
        <v>0.19794790898874359</v>
      </c>
    </row>
    <row r="59" spans="2:15">
      <c r="B59" s="1041"/>
      <c r="C59" s="1041" t="s">
        <v>1891</v>
      </c>
      <c r="D59" s="1042">
        <f>D57/D$53</f>
        <v>1.3367315876502516E-2</v>
      </c>
      <c r="E59" s="1042">
        <f>E57/E$53</f>
        <v>3.6139636798386016E-3</v>
      </c>
      <c r="F59" s="1042">
        <f>F57/F$53</f>
        <v>-6.8072640390106865E-3</v>
      </c>
      <c r="G59" s="1042">
        <f>G57/G$53</f>
        <v>-1.1499320913288853E-2</v>
      </c>
      <c r="H59" s="1042">
        <f t="shared" ref="H59" si="26">AVERAGE(E59:G59)</f>
        <v>-4.8975404241536459E-3</v>
      </c>
    </row>
    <row r="60" spans="2:15">
      <c r="B60" s="2" t="s">
        <v>1892</v>
      </c>
      <c r="C60" s="196" t="s">
        <v>1898</v>
      </c>
      <c r="D60" s="2">
        <v>1185394.4396599999</v>
      </c>
      <c r="E60" s="2">
        <v>1314724.7600529999</v>
      </c>
      <c r="F60" s="2">
        <v>1463212.566411</v>
      </c>
      <c r="G60" s="2">
        <v>1729431.0277440001</v>
      </c>
    </row>
    <row r="61" spans="2:15">
      <c r="C61" s="2" t="s">
        <v>1899</v>
      </c>
      <c r="D61" s="2">
        <v>973918.41237200005</v>
      </c>
      <c r="E61" s="2">
        <v>1086682.498343</v>
      </c>
      <c r="F61" s="2">
        <v>1214721.0431830001</v>
      </c>
      <c r="G61" s="2">
        <v>1395567.6105259999</v>
      </c>
    </row>
    <row r="62" spans="2:15">
      <c r="C62" s="2" t="s">
        <v>1900</v>
      </c>
      <c r="D62" s="232">
        <f>D60-D61</f>
        <v>211476.02728799987</v>
      </c>
      <c r="E62" s="232">
        <f>E60-E61</f>
        <v>228042.26170999999</v>
      </c>
      <c r="F62" s="232">
        <f t="shared" ref="F62" si="27">F60-F61</f>
        <v>248491.52322799992</v>
      </c>
      <c r="G62" s="232">
        <f t="shared" ref="G62" si="28">G60-G61</f>
        <v>333863.41721800016</v>
      </c>
    </row>
    <row r="63" spans="2:15">
      <c r="C63" s="2" t="s">
        <v>1902</v>
      </c>
      <c r="D63" s="2">
        <v>211975.88193199999</v>
      </c>
      <c r="E63" s="2">
        <v>239272.31403199999</v>
      </c>
      <c r="F63" s="2">
        <v>248456.32337299999</v>
      </c>
      <c r="G63" s="2">
        <v>341398.71604799997</v>
      </c>
    </row>
    <row r="64" spans="2:15">
      <c r="C64" s="2" t="s">
        <v>1901</v>
      </c>
      <c r="D64" s="2">
        <f>D62-D63</f>
        <v>-499.85464400012279</v>
      </c>
      <c r="E64" s="2">
        <f>E62-E63</f>
        <v>-11230.052322000003</v>
      </c>
      <c r="F64" s="2">
        <f t="shared" ref="F64" si="29">F62-F63</f>
        <v>35.199854999926174</v>
      </c>
      <c r="G64" s="2">
        <f t="shared" ref="G64" si="30">G62-G63</f>
        <v>-7535.2988299998106</v>
      </c>
    </row>
    <row r="65" spans="2:8">
      <c r="C65" s="2" t="s">
        <v>1903</v>
      </c>
      <c r="D65" s="196">
        <f>D62/D$60</f>
        <v>0.17840139974729116</v>
      </c>
      <c r="E65" s="196">
        <f>E62/E$60</f>
        <v>0.17345247358147192</v>
      </c>
      <c r="F65" s="196">
        <f>F62/F$60</f>
        <v>0.16982599038054014</v>
      </c>
      <c r="G65" s="196">
        <f>G62/G$60</f>
        <v>0.19304812499722335</v>
      </c>
      <c r="H65" s="196">
        <f>AVERAGE(E65:G65)</f>
        <v>0.1787755296530785</v>
      </c>
    </row>
    <row r="66" spans="2:8">
      <c r="B66" s="1041"/>
      <c r="C66" s="1041" t="s">
        <v>1891</v>
      </c>
      <c r="D66" s="1042">
        <f>D64/D$60</f>
        <v>-4.2167790507225029E-4</v>
      </c>
      <c r="E66" s="1042">
        <f>E64/E$60</f>
        <v>-8.5417515994353765E-3</v>
      </c>
      <c r="F66" s="1042">
        <f>F64/F$60</f>
        <v>2.4056555970035954E-5</v>
      </c>
      <c r="G66" s="1042">
        <f>G64/G$60</f>
        <v>-4.3570970504845288E-3</v>
      </c>
      <c r="H66" s="1042">
        <f t="shared" ref="H66" si="31">AVERAGE(E66:G66)</f>
        <v>-4.2915973646499564E-3</v>
      </c>
    </row>
    <row r="67" spans="2:8">
      <c r="B67" s="2" t="s">
        <v>1894</v>
      </c>
      <c r="C67" s="196" t="s">
        <v>1898</v>
      </c>
      <c r="D67" s="2">
        <v>743356.69912600005</v>
      </c>
      <c r="E67" s="2">
        <v>784295.81929999997</v>
      </c>
      <c r="F67" s="2">
        <v>902187.34404200001</v>
      </c>
      <c r="G67" s="2">
        <v>1161638.8435750001</v>
      </c>
    </row>
    <row r="68" spans="2:8">
      <c r="C68" s="2" t="s">
        <v>1899</v>
      </c>
      <c r="D68" s="2">
        <v>600955.76191</v>
      </c>
      <c r="E68" s="2">
        <v>622336.44991900004</v>
      </c>
      <c r="F68" s="2">
        <v>712221.18991800002</v>
      </c>
      <c r="G68" s="2">
        <v>916891.644157</v>
      </c>
    </row>
    <row r="69" spans="2:8">
      <c r="C69" s="2" t="s">
        <v>1900</v>
      </c>
      <c r="D69" s="232">
        <f>D67-D68</f>
        <v>142400.93721600005</v>
      </c>
      <c r="E69" s="232">
        <f>E67-E68</f>
        <v>161959.36938099994</v>
      </c>
      <c r="F69" s="232">
        <f t="shared" ref="F69" si="32">F67-F68</f>
        <v>189966.15412399999</v>
      </c>
      <c r="G69" s="232">
        <f t="shared" ref="G69" si="33">G67-G68</f>
        <v>244747.19941800006</v>
      </c>
    </row>
    <row r="70" spans="2:8">
      <c r="C70" s="2" t="s">
        <v>1902</v>
      </c>
      <c r="D70" s="2">
        <v>139403.45548800001</v>
      </c>
      <c r="E70" s="2">
        <v>159358.40986399999</v>
      </c>
      <c r="F70" s="2">
        <v>187837.517826</v>
      </c>
      <c r="G70" s="2">
        <v>246554.49828999999</v>
      </c>
    </row>
    <row r="71" spans="2:8">
      <c r="C71" s="2" t="s">
        <v>1901</v>
      </c>
      <c r="D71" s="2">
        <f>D69-D70</f>
        <v>2997.4817280000425</v>
      </c>
      <c r="E71" s="2">
        <f>E69-E70</f>
        <v>2600.959516999952</v>
      </c>
      <c r="F71" s="2">
        <f t="shared" ref="F71" si="34">F69-F70</f>
        <v>2128.6362979999976</v>
      </c>
      <c r="G71" s="2">
        <f t="shared" ref="G71" si="35">G69-G70</f>
        <v>-1807.2988719999266</v>
      </c>
    </row>
    <row r="72" spans="2:8">
      <c r="C72" s="2" t="s">
        <v>1903</v>
      </c>
      <c r="D72" s="196">
        <f>D69/D$67</f>
        <v>0.19156474594690223</v>
      </c>
      <c r="E72" s="196">
        <f>E69/E$67</f>
        <v>0.2065029105032741</v>
      </c>
      <c r="F72" s="196">
        <f>F69/F$67</f>
        <v>0.21056175901660221</v>
      </c>
      <c r="G72" s="196">
        <f>G69/G$67</f>
        <v>0.21069130114896867</v>
      </c>
      <c r="H72" s="196">
        <f>AVERAGE(E72:G72)</f>
        <v>0.2092519902229483</v>
      </c>
    </row>
    <row r="73" spans="2:8">
      <c r="B73" s="1041"/>
      <c r="C73" s="1041" t="s">
        <v>1891</v>
      </c>
      <c r="D73" s="1042">
        <f>D71/D$67</f>
        <v>4.0323598771953286E-3</v>
      </c>
      <c r="E73" s="1042">
        <f>E71/E$67</f>
        <v>3.3162990965849614E-3</v>
      </c>
      <c r="F73" s="1042">
        <f>F71/F$67</f>
        <v>2.359417156599907E-3</v>
      </c>
      <c r="G73" s="1042">
        <f>G71/G$67</f>
        <v>-1.5558182149263159E-3</v>
      </c>
      <c r="H73" s="1042">
        <f t="shared" ref="H73" si="36">AVERAGE(E73:G73)</f>
        <v>1.3732993460861839E-3</v>
      </c>
    </row>
    <row r="74" spans="2:8">
      <c r="B74" s="2" t="s">
        <v>1906</v>
      </c>
    </row>
    <row r="75" spans="2:8">
      <c r="B75" s="2" t="s">
        <v>3004</v>
      </c>
    </row>
    <row r="78" spans="2:8">
      <c r="C78" s="2" t="s">
        <v>3002</v>
      </c>
      <c r="D78" s="2" t="s">
        <v>186</v>
      </c>
      <c r="E78" s="2" t="s">
        <v>1473</v>
      </c>
      <c r="F78" s="2" t="s">
        <v>1475</v>
      </c>
    </row>
    <row r="79" spans="2:8">
      <c r="B79" s="2" t="s">
        <v>1903</v>
      </c>
      <c r="C79" s="196">
        <f>H51</f>
        <v>0.24797526983463195</v>
      </c>
      <c r="D79" s="196">
        <f>H58</f>
        <v>0.19794790898874359</v>
      </c>
      <c r="E79" s="196">
        <f>H65</f>
        <v>0.1787755296530785</v>
      </c>
      <c r="F79" s="196">
        <f>H72</f>
        <v>0.2092519902229483</v>
      </c>
      <c r="G79" s="196">
        <f>AVERAGE(D79:F79)</f>
        <v>0.19532514295492345</v>
      </c>
      <c r="H79" s="196">
        <f>C79-G79</f>
        <v>5.2650126879708492E-2</v>
      </c>
    </row>
    <row r="80" spans="2:8">
      <c r="B80" s="2" t="s">
        <v>1891</v>
      </c>
      <c r="C80" s="196">
        <f>H52</f>
        <v>6.1681953623769735E-2</v>
      </c>
      <c r="D80" s="196">
        <f>H59</f>
        <v>-4.8975404241536459E-3</v>
      </c>
      <c r="E80" s="196">
        <f>H66</f>
        <v>-4.2915973646499564E-3</v>
      </c>
      <c r="F80" s="196">
        <f>H73</f>
        <v>1.3732993460861839E-3</v>
      </c>
      <c r="G80" s="196">
        <f>AVERAGE(D80:F80)</f>
        <v>-2.6052794809058063E-3</v>
      </c>
    </row>
    <row r="92" spans="2:8">
      <c r="B92" s="6" t="s">
        <v>42</v>
      </c>
      <c r="C92" s="7"/>
      <c r="D92" s="1271">
        <v>2007</v>
      </c>
      <c r="E92" s="1271">
        <v>2008</v>
      </c>
      <c r="F92" s="1271">
        <v>2009</v>
      </c>
      <c r="G92" s="1271">
        <v>2010</v>
      </c>
      <c r="H92" s="3"/>
    </row>
    <row r="93" spans="2:8">
      <c r="B93" s="2" t="s">
        <v>34</v>
      </c>
      <c r="C93" s="2" t="s">
        <v>27</v>
      </c>
      <c r="D93" s="2">
        <f>SUM(D94:D95)</f>
        <v>1185394.4396600001</v>
      </c>
      <c r="E93" s="2">
        <f t="shared" ref="E93:F93" si="37">SUM(E94:E95)</f>
        <v>1314724.7600529999</v>
      </c>
      <c r="F93" s="2">
        <f t="shared" si="37"/>
        <v>1463212.566411</v>
      </c>
      <c r="G93" s="2">
        <v>1729431.0277440001</v>
      </c>
    </row>
    <row r="94" spans="2:8">
      <c r="C94" s="2" t="s">
        <v>35</v>
      </c>
      <c r="D94" s="2">
        <v>1156061.875525</v>
      </c>
      <c r="E94" s="2">
        <v>1269736.1277079999</v>
      </c>
      <c r="F94" s="2">
        <v>1413242.296808</v>
      </c>
      <c r="G94" s="10">
        <f>G93-G95</f>
        <v>1679460.7581410001</v>
      </c>
    </row>
    <row r="95" spans="2:8">
      <c r="C95" s="2" t="s">
        <v>36</v>
      </c>
      <c r="D95" s="2">
        <v>29332.564135000001</v>
      </c>
      <c r="E95" s="2">
        <v>44988.632344999998</v>
      </c>
      <c r="F95" s="2">
        <v>49970.269603000001</v>
      </c>
      <c r="G95" s="10">
        <f>F95</f>
        <v>49970.269603000001</v>
      </c>
    </row>
    <row r="96" spans="2:8">
      <c r="C96" s="2" t="s">
        <v>38</v>
      </c>
      <c r="D96" s="2">
        <v>973918.41237200005</v>
      </c>
      <c r="E96" s="2">
        <v>1086682.498343</v>
      </c>
      <c r="F96" s="2">
        <v>1214721.0431830001</v>
      </c>
      <c r="G96" s="2">
        <v>1395567.6105259999</v>
      </c>
    </row>
    <row r="97" spans="2:7">
      <c r="B97" s="8"/>
      <c r="C97" s="8" t="s">
        <v>40</v>
      </c>
      <c r="D97" s="9">
        <f>D96/D94</f>
        <v>0.84244488378246751</v>
      </c>
      <c r="E97" s="9">
        <f t="shared" ref="E97:G97" si="38">E96/E94</f>
        <v>0.85583332995696515</v>
      </c>
      <c r="F97" s="9">
        <f t="shared" si="38"/>
        <v>0.8595278006656133</v>
      </c>
      <c r="G97" s="9">
        <f t="shared" si="38"/>
        <v>0.83096172611425445</v>
      </c>
    </row>
    <row r="98" spans="2:7">
      <c r="B98" s="2" t="s">
        <v>37</v>
      </c>
      <c r="C98" s="2" t="s">
        <v>27</v>
      </c>
      <c r="D98" s="2">
        <f>SUM(D99:D100)</f>
        <v>743356.69912599993</v>
      </c>
      <c r="E98" s="2">
        <f t="shared" ref="E98" si="39">SUM(E99:E100)</f>
        <v>784295.81930000009</v>
      </c>
      <c r="F98" s="2">
        <f t="shared" ref="F98" si="40">SUM(F99:F100)</f>
        <v>901506.04835299996</v>
      </c>
      <c r="G98" s="2">
        <v>1161638.8435750001</v>
      </c>
    </row>
    <row r="99" spans="2:7">
      <c r="C99" s="2" t="s">
        <v>35</v>
      </c>
      <c r="D99" s="2">
        <v>728177.48618799995</v>
      </c>
      <c r="E99" s="2">
        <v>765331.83819200005</v>
      </c>
      <c r="F99" s="2">
        <v>861693.89945799997</v>
      </c>
      <c r="G99" s="10">
        <f>G98-G100</f>
        <v>1121826.69468</v>
      </c>
    </row>
    <row r="100" spans="2:7">
      <c r="C100" s="2" t="s">
        <v>36</v>
      </c>
      <c r="D100" s="2">
        <v>15179.212938000001</v>
      </c>
      <c r="E100" s="2">
        <v>18963.981108</v>
      </c>
      <c r="F100" s="2">
        <v>39812.148894999998</v>
      </c>
      <c r="G100" s="10">
        <f>F100</f>
        <v>39812.148894999998</v>
      </c>
    </row>
    <row r="101" spans="2:7">
      <c r="C101" s="2" t="s">
        <v>38</v>
      </c>
      <c r="D101" s="2">
        <v>600955.76191</v>
      </c>
      <c r="E101" s="2">
        <v>622336.44991900004</v>
      </c>
      <c r="F101" s="2">
        <v>711941.93075599999</v>
      </c>
      <c r="G101" s="2">
        <v>916891.644157</v>
      </c>
    </row>
    <row r="102" spans="2:7">
      <c r="B102" s="8"/>
      <c r="C102" s="8" t="s">
        <v>40</v>
      </c>
      <c r="D102" s="9">
        <f>D101/D99</f>
        <v>0.82528747909523525</v>
      </c>
      <c r="E102" s="9">
        <f t="shared" ref="E102" si="41">E101/E99</f>
        <v>0.81315897087097722</v>
      </c>
      <c r="F102" s="9">
        <f t="shared" ref="F102" si="42">F101/F99</f>
        <v>0.82621210525432176</v>
      </c>
      <c r="G102" s="9">
        <f t="shared" ref="G102" si="43">G101/G99</f>
        <v>0.81732022290532358</v>
      </c>
    </row>
    <row r="103" spans="2:7">
      <c r="B103" s="2" t="s">
        <v>12</v>
      </c>
      <c r="C103" s="2" t="s">
        <v>27</v>
      </c>
      <c r="D103" s="2">
        <f>SUM(D104:D105)</f>
        <v>643266.37624499993</v>
      </c>
      <c r="E103" s="2">
        <f t="shared" ref="E103" si="44">SUM(E104:E105)</f>
        <v>660607.52694300003</v>
      </c>
      <c r="F103" s="2">
        <v>610469.59339099994</v>
      </c>
      <c r="G103" s="2">
        <v>544703.19388699997</v>
      </c>
    </row>
    <row r="104" spans="2:7">
      <c r="C104" s="2" t="s">
        <v>35</v>
      </c>
      <c r="D104" s="2">
        <v>640135.26805199997</v>
      </c>
      <c r="E104" s="2">
        <v>658904.04616200004</v>
      </c>
      <c r="F104" s="10">
        <f>F103-F105</f>
        <v>608766.11260999995</v>
      </c>
      <c r="G104" s="10">
        <f>G103-G105</f>
        <v>542999.71310599998</v>
      </c>
    </row>
    <row r="105" spans="2:7">
      <c r="C105" s="2" t="s">
        <v>36</v>
      </c>
      <c r="D105" s="2">
        <v>3131.108193</v>
      </c>
      <c r="E105" s="2">
        <v>1703.480781</v>
      </c>
      <c r="F105" s="10">
        <f>E105</f>
        <v>1703.480781</v>
      </c>
      <c r="G105" s="10">
        <f>F105</f>
        <v>1703.480781</v>
      </c>
    </row>
    <row r="106" spans="2:7">
      <c r="C106" s="2" t="s">
        <v>39</v>
      </c>
      <c r="D106" s="2">
        <v>519452.03691800003</v>
      </c>
      <c r="E106" s="2">
        <v>531266.12196200003</v>
      </c>
      <c r="F106" s="2">
        <v>492031.14461999998</v>
      </c>
      <c r="G106" s="2">
        <v>433561.90494799998</v>
      </c>
    </row>
    <row r="107" spans="2:7">
      <c r="B107" s="8"/>
      <c r="C107" s="8" t="s">
        <v>40</v>
      </c>
      <c r="D107" s="9">
        <f>D106/D104</f>
        <v>0.81147229787658492</v>
      </c>
      <c r="E107" s="9">
        <f t="shared" ref="E107" si="45">E106/E104</f>
        <v>0.80628753921990859</v>
      </c>
      <c r="F107" s="9">
        <f t="shared" ref="F107" si="46">F106/F104</f>
        <v>0.80824332108514541</v>
      </c>
      <c r="G107" s="9">
        <f t="shared" ref="G107" si="47">G106/G104</f>
        <v>0.79845696873022765</v>
      </c>
    </row>
    <row r="108" spans="2:7">
      <c r="B108" s="2" t="s">
        <v>3002</v>
      </c>
      <c r="C108" s="2" t="s">
        <v>27</v>
      </c>
      <c r="D108" s="2">
        <f>SUM(D109:D110)</f>
        <v>1425296.697688</v>
      </c>
      <c r="E108" s="2">
        <f t="shared" ref="E108:F108" si="48">SUM(E109:E110)</f>
        <v>1491976.22114</v>
      </c>
      <c r="F108" s="2">
        <f t="shared" si="48"/>
        <v>2672991.4576420002</v>
      </c>
      <c r="G108" s="2">
        <v>3046678.6757970001</v>
      </c>
    </row>
    <row r="109" spans="2:7">
      <c r="C109" s="2" t="s">
        <v>35</v>
      </c>
      <c r="D109" s="2">
        <v>1425296.697688</v>
      </c>
      <c r="E109" s="2">
        <v>1491976.22114</v>
      </c>
      <c r="F109" s="2">
        <v>2672991.4576420002</v>
      </c>
      <c r="G109" s="10">
        <f>G108-G110</f>
        <v>3046678.6757970001</v>
      </c>
    </row>
    <row r="110" spans="2:7">
      <c r="C110" s="2" t="s">
        <v>36</v>
      </c>
      <c r="D110" s="2">
        <v>0</v>
      </c>
      <c r="E110" s="2">
        <v>0</v>
      </c>
      <c r="F110" s="2">
        <v>0</v>
      </c>
      <c r="G110" s="10">
        <f>F110</f>
        <v>0</v>
      </c>
    </row>
    <row r="111" spans="2:7">
      <c r="C111" s="2" t="s">
        <v>39</v>
      </c>
      <c r="D111" s="2">
        <v>1062536.44835</v>
      </c>
      <c r="E111" s="2">
        <v>1113092.579931</v>
      </c>
      <c r="F111" s="2">
        <v>2026638.6499320001</v>
      </c>
      <c r="G111" s="2">
        <v>2286620.4427060001</v>
      </c>
    </row>
    <row r="112" spans="2:7">
      <c r="B112" s="8"/>
      <c r="C112" s="8" t="s">
        <v>40</v>
      </c>
      <c r="D112" s="9">
        <f>D111/D109</f>
        <v>0.74548439638817643</v>
      </c>
      <c r="E112" s="9">
        <f t="shared" ref="E112" si="49">E111/E109</f>
        <v>0.74605249343752955</v>
      </c>
      <c r="F112" s="9">
        <f t="shared" ref="F112" si="50">F111/F109</f>
        <v>0.7581912183587054</v>
      </c>
      <c r="G112" s="9">
        <f t="shared" ref="G112" si="51">G111/G109</f>
        <v>0.75052891559292134</v>
      </c>
    </row>
    <row r="114" spans="2:2">
      <c r="B114" s="2" t="s">
        <v>41</v>
      </c>
    </row>
    <row r="115" spans="2:2">
      <c r="B115" s="2" t="s">
        <v>43</v>
      </c>
    </row>
  </sheetData>
  <phoneticPr fontId="2" type="noConversion"/>
  <pageMargins left="0.6" right="0.6" top="1" bottom="1" header="0.5" footer="0.5"/>
  <pageSetup scale="3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U413"/>
  <sheetViews>
    <sheetView showGridLines="0" topLeftCell="A260" zoomScaleNormal="100" workbookViewId="0">
      <selection activeCell="K276" sqref="K276"/>
    </sheetView>
  </sheetViews>
  <sheetFormatPr defaultColWidth="9" defaultRowHeight="14.5" outlineLevelRow="1"/>
  <cols>
    <col min="1" max="1" width="1.6640625" style="2" customWidth="1"/>
    <col min="2" max="2" width="15.6640625" style="1155" customWidth="1"/>
    <col min="3" max="3" width="14.58203125" style="2" bestFit="1" customWidth="1"/>
    <col min="4" max="7" width="10.58203125" style="2" customWidth="1"/>
    <col min="8" max="8" width="10" style="2" customWidth="1"/>
    <col min="9" max="9" width="13" style="2" customWidth="1"/>
    <col min="10" max="14" width="10" style="2" customWidth="1"/>
    <col min="15" max="16384" width="9" style="2"/>
  </cols>
  <sheetData>
    <row r="1" spans="2:15" ht="17">
      <c r="B1" s="1154" t="s">
        <v>3</v>
      </c>
    </row>
    <row r="2" spans="2:15">
      <c r="I2" s="2">
        <f>SUM(I6:I11)</f>
        <v>31564.328667796537</v>
      </c>
      <c r="J2" s="2">
        <f t="shared" ref="J2:N2" si="0">SUM(J6:J11)</f>
        <v>68396.866885326483</v>
      </c>
      <c r="K2" s="2">
        <f t="shared" si="0"/>
        <v>57480.345136232834</v>
      </c>
      <c r="L2" s="2">
        <f t="shared" si="0"/>
        <v>51783.580255014283</v>
      </c>
      <c r="M2" s="2">
        <f t="shared" si="0"/>
        <v>52449.658936933236</v>
      </c>
      <c r="N2" s="2">
        <f t="shared" si="0"/>
        <v>51133.235915340105</v>
      </c>
    </row>
    <row r="4" spans="2:15">
      <c r="B4" s="1156" t="s">
        <v>679</v>
      </c>
      <c r="C4" s="93"/>
      <c r="D4" s="93"/>
      <c r="E4" s="93" t="s">
        <v>28</v>
      </c>
      <c r="F4" s="93"/>
      <c r="G4" s="93"/>
      <c r="H4" s="93"/>
      <c r="I4" s="93" t="s">
        <v>29</v>
      </c>
      <c r="J4" s="93"/>
      <c r="K4" s="93"/>
      <c r="L4" s="93"/>
      <c r="M4" s="93"/>
      <c r="N4" s="93"/>
      <c r="O4" s="93"/>
    </row>
    <row r="5" spans="2:15" ht="15" thickBot="1">
      <c r="B5" s="1157"/>
      <c r="C5" s="94"/>
      <c r="D5" s="94"/>
      <c r="E5" s="1157">
        <v>2008</v>
      </c>
      <c r="F5" s="1157">
        <v>2009</v>
      </c>
      <c r="G5" s="1157">
        <v>2010</v>
      </c>
      <c r="H5" s="1157" t="s">
        <v>32</v>
      </c>
      <c r="I5" s="1157" t="s">
        <v>33</v>
      </c>
      <c r="J5" s="1157">
        <v>2012</v>
      </c>
      <c r="K5" s="1157">
        <v>2013</v>
      </c>
      <c r="L5" s="1157">
        <v>2014</v>
      </c>
      <c r="M5" s="1157">
        <v>2015</v>
      </c>
      <c r="N5" s="1157">
        <v>2016</v>
      </c>
    </row>
    <row r="6" spans="2:15">
      <c r="B6" s="1155" t="s">
        <v>735</v>
      </c>
      <c r="C6" s="2" t="s">
        <v>743</v>
      </c>
      <c r="I6" s="2">
        <f t="shared" ref="I6:N8" si="1">G45</f>
        <v>982.46257027131423</v>
      </c>
      <c r="J6" s="2">
        <f t="shared" si="1"/>
        <v>2095.9201499121368</v>
      </c>
      <c r="K6" s="2">
        <f t="shared" si="1"/>
        <v>1388.3375073017994</v>
      </c>
      <c r="L6" s="2">
        <f t="shared" si="1"/>
        <v>983.11649735808669</v>
      </c>
      <c r="M6" s="2">
        <f t="shared" si="1"/>
        <v>918.76705389464848</v>
      </c>
      <c r="N6" s="2">
        <f t="shared" si="1"/>
        <v>755.5940251229589</v>
      </c>
    </row>
    <row r="7" spans="2:15">
      <c r="C7" s="2" t="s">
        <v>744</v>
      </c>
      <c r="I7" s="2">
        <f t="shared" si="1"/>
        <v>18055.572724880538</v>
      </c>
      <c r="J7" s="2">
        <f t="shared" si="1"/>
        <v>38518.555146411811</v>
      </c>
      <c r="K7" s="2">
        <f t="shared" si="1"/>
        <v>25514.690928983186</v>
      </c>
      <c r="L7" s="2">
        <f t="shared" si="1"/>
        <v>18067.59051408622</v>
      </c>
      <c r="M7" s="2">
        <f t="shared" si="1"/>
        <v>16884.984589527849</v>
      </c>
      <c r="N7" s="2">
        <f t="shared" si="1"/>
        <v>13886.211326427703</v>
      </c>
    </row>
    <row r="8" spans="2:15">
      <c r="C8" s="2" t="s">
        <v>745</v>
      </c>
      <c r="I8" s="2">
        <f t="shared" si="1"/>
        <v>23.964704848151296</v>
      </c>
      <c r="J8" s="2">
        <f t="shared" si="1"/>
        <v>51.124703676056107</v>
      </c>
      <c r="K8" s="2">
        <f t="shared" si="1"/>
        <v>33.865003715019562</v>
      </c>
      <c r="L8" s="2">
        <f t="shared" si="1"/>
        <v>23.980655755698226</v>
      </c>
      <c r="M8" s="2">
        <f t="shared" si="1"/>
        <v>22.411012833507073</v>
      </c>
      <c r="N8" s="2">
        <f t="shared" si="1"/>
        <v>18.430816954276217</v>
      </c>
    </row>
    <row r="9" spans="2:15">
      <c r="C9" s="2" t="s">
        <v>746</v>
      </c>
      <c r="I9" s="2">
        <f t="shared" ref="I9:N9" si="2">G50</f>
        <v>6.1286677965328478</v>
      </c>
      <c r="J9" s="2">
        <f t="shared" si="2"/>
        <v>13.593925326481754</v>
      </c>
      <c r="K9" s="2">
        <f t="shared" si="2"/>
        <v>14.9724642328292</v>
      </c>
      <c r="L9" s="2">
        <f t="shared" si="2"/>
        <v>16.033967910277283</v>
      </c>
      <c r="M9" s="2">
        <f t="shared" si="2"/>
        <v>16.972510665579851</v>
      </c>
      <c r="N9" s="2">
        <f t="shared" si="2"/>
        <v>17.879141152891755</v>
      </c>
    </row>
    <row r="10" spans="2:15">
      <c r="C10" s="2" t="s">
        <v>747</v>
      </c>
      <c r="I10" s="2">
        <f t="shared" ref="I10:N10" si="3">G49</f>
        <v>12496.2</v>
      </c>
      <c r="J10" s="2">
        <f t="shared" si="3"/>
        <v>27717.67296</v>
      </c>
      <c r="K10" s="2">
        <f t="shared" si="3"/>
        <v>30528.479231999998</v>
      </c>
      <c r="L10" s="2">
        <f t="shared" si="3"/>
        <v>32692.858619904</v>
      </c>
      <c r="M10" s="2">
        <f t="shared" si="3"/>
        <v>34606.523770011649</v>
      </c>
      <c r="N10" s="2">
        <f t="shared" si="3"/>
        <v>36455.120605682278</v>
      </c>
    </row>
    <row r="11" spans="2:15">
      <c r="C11" s="197" t="s">
        <v>748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</row>
    <row r="12" spans="2:15">
      <c r="C12" s="197" t="s">
        <v>1183</v>
      </c>
      <c r="D12" s="197"/>
      <c r="E12" s="197"/>
      <c r="F12" s="197"/>
      <c r="G12" s="197"/>
      <c r="H12" s="197"/>
      <c r="I12" s="197">
        <f t="shared" ref="I12:N13" si="4">G53</f>
        <v>127.08</v>
      </c>
      <c r="J12" s="197">
        <f t="shared" si="4"/>
        <v>271.10399999999998</v>
      </c>
      <c r="K12" s="197">
        <f t="shared" si="4"/>
        <v>179.57928959999998</v>
      </c>
      <c r="L12" s="197">
        <f t="shared" si="4"/>
        <v>127.164584448</v>
      </c>
      <c r="M12" s="197">
        <f t="shared" si="4"/>
        <v>118.84108437504</v>
      </c>
      <c r="N12" s="197">
        <f t="shared" si="4"/>
        <v>97.734907790032906</v>
      </c>
    </row>
    <row r="13" spans="2:15">
      <c r="C13" s="229" t="s">
        <v>1184</v>
      </c>
      <c r="D13" s="229"/>
      <c r="E13" s="229"/>
      <c r="F13" s="229"/>
      <c r="G13" s="229"/>
      <c r="H13" s="229"/>
      <c r="I13" s="229">
        <f t="shared" si="4"/>
        <v>10166.4</v>
      </c>
      <c r="J13" s="229">
        <f t="shared" si="4"/>
        <v>21688.32</v>
      </c>
      <c r="K13" s="229">
        <f t="shared" si="4"/>
        <v>14366.343167999998</v>
      </c>
      <c r="L13" s="229">
        <f t="shared" si="4"/>
        <v>10173.166755839999</v>
      </c>
      <c r="M13" s="229">
        <f t="shared" si="4"/>
        <v>9507.2867500032007</v>
      </c>
      <c r="N13" s="229">
        <f t="shared" si="4"/>
        <v>7818.7926232026321</v>
      </c>
    </row>
    <row r="14" spans="2:15">
      <c r="B14" s="1158"/>
      <c r="C14" s="8" t="s">
        <v>749</v>
      </c>
      <c r="D14" s="8"/>
      <c r="E14" s="8">
        <f>F397</f>
        <v>26073.311956000001</v>
      </c>
      <c r="F14" s="8">
        <f>F398</f>
        <v>40779.931739000007</v>
      </c>
      <c r="G14" s="8">
        <f>F399</f>
        <v>36091.923864999997</v>
      </c>
      <c r="H14" s="8">
        <f>D413</f>
        <v>31555.024251000003</v>
      </c>
      <c r="I14" s="8">
        <f>SUM(I6:I13)</f>
        <v>41857.80866779654</v>
      </c>
      <c r="J14" s="8">
        <f>SUM(J6:J13)</f>
        <v>90356.290885326482</v>
      </c>
      <c r="K14" s="8">
        <f t="shared" ref="K14:N14" si="5">SUM(K6:K13)</f>
        <v>72026.267593832832</v>
      </c>
      <c r="L14" s="8">
        <f t="shared" si="5"/>
        <v>62083.911595302285</v>
      </c>
      <c r="M14" s="8">
        <f t="shared" si="5"/>
        <v>62075.786771311476</v>
      </c>
      <c r="N14" s="8">
        <f t="shared" si="5"/>
        <v>59049.76344633277</v>
      </c>
    </row>
    <row r="16" spans="2:15">
      <c r="B16" s="1155" t="s">
        <v>750</v>
      </c>
      <c r="C16" s="2" t="s">
        <v>744</v>
      </c>
      <c r="I16" s="2">
        <f>G105</f>
        <v>9275.2011389289401</v>
      </c>
      <c r="J16" s="2">
        <f>H105</f>
        <v>18271.423823192814</v>
      </c>
      <c r="K16" s="2">
        <f t="shared" ref="K16:N16" si="6">I105</f>
        <v>15864.242247180071</v>
      </c>
      <c r="L16" s="2">
        <f t="shared" si="6"/>
        <v>15249.165448174685</v>
      </c>
      <c r="M16" s="2">
        <f t="shared" si="6"/>
        <v>14801.965441411463</v>
      </c>
      <c r="N16" s="2">
        <f t="shared" si="6"/>
        <v>14595.763923413109</v>
      </c>
    </row>
    <row r="17" spans="2:14">
      <c r="C17" s="2" t="s">
        <v>745</v>
      </c>
      <c r="I17" s="2">
        <f t="shared" ref="I17:I19" si="7">G106</f>
        <v>0.526725</v>
      </c>
      <c r="J17" s="2">
        <f>H106</f>
        <v>1.6525676212037825</v>
      </c>
      <c r="K17" s="2">
        <f t="shared" ref="K17:N17" si="8">I106</f>
        <v>2.9306852131051855</v>
      </c>
      <c r="L17" s="2">
        <f t="shared" si="8"/>
        <v>3.7773103059806745</v>
      </c>
      <c r="M17" s="2">
        <f t="shared" si="8"/>
        <v>4.3768266998731296</v>
      </c>
      <c r="N17" s="2">
        <f t="shared" si="8"/>
        <v>4.9371020207108067</v>
      </c>
    </row>
    <row r="18" spans="2:14">
      <c r="C18" s="2" t="s">
        <v>746</v>
      </c>
      <c r="I18" s="2">
        <f t="shared" si="7"/>
        <v>7.3182</v>
      </c>
      <c r="J18" s="2">
        <f>H107</f>
        <v>15.862133559306569</v>
      </c>
      <c r="K18" s="2">
        <f t="shared" ref="K18:N18" si="9">I107</f>
        <v>18.580918624602919</v>
      </c>
      <c r="L18" s="2">
        <f t="shared" si="9"/>
        <v>21.57541147116876</v>
      </c>
      <c r="M18" s="2">
        <f t="shared" si="9"/>
        <v>24.782205053224217</v>
      </c>
      <c r="N18" s="2">
        <f t="shared" si="9"/>
        <v>20.858507186340205</v>
      </c>
    </row>
    <row r="19" spans="2:14">
      <c r="B19" s="1159"/>
      <c r="C19" s="229" t="s">
        <v>747</v>
      </c>
      <c r="D19" s="229"/>
      <c r="E19" s="229"/>
      <c r="F19" s="229"/>
      <c r="G19" s="229"/>
      <c r="H19" s="229"/>
      <c r="I19" s="229">
        <f t="shared" si="7"/>
        <v>10698.083615895997</v>
      </c>
      <c r="J19" s="229">
        <f>H108</f>
        <v>22612.963031791998</v>
      </c>
      <c r="K19" s="229">
        <f t="shared" ref="K19:N19" si="10">I108</f>
        <v>25489.434172592002</v>
      </c>
      <c r="L19" s="229">
        <f t="shared" si="10"/>
        <v>26141.879510192004</v>
      </c>
      <c r="M19" s="229">
        <f t="shared" si="10"/>
        <v>27477.246205601376</v>
      </c>
      <c r="N19" s="229">
        <f t="shared" si="10"/>
        <v>27843.613641602929</v>
      </c>
    </row>
    <row r="20" spans="2:14">
      <c r="B20" s="1159"/>
      <c r="C20" s="259" t="s">
        <v>749</v>
      </c>
      <c r="D20" s="259"/>
      <c r="E20" s="259"/>
      <c r="F20" s="259"/>
      <c r="G20" s="259"/>
      <c r="H20" s="259"/>
      <c r="I20" s="259">
        <f>SUM(I16:I19)</f>
        <v>19981.129679824939</v>
      </c>
      <c r="J20" s="259">
        <f>SUM(J16:J19)</f>
        <v>40901.901556165321</v>
      </c>
      <c r="K20" s="259">
        <f t="shared" ref="K20:N20" si="11">SUM(K16:K19)</f>
        <v>41375.188023609779</v>
      </c>
      <c r="L20" s="259">
        <f t="shared" si="11"/>
        <v>41416.39768014384</v>
      </c>
      <c r="M20" s="259">
        <f t="shared" si="11"/>
        <v>42308.370678765932</v>
      </c>
      <c r="N20" s="259">
        <f t="shared" si="11"/>
        <v>42465.173174223091</v>
      </c>
    </row>
    <row r="21" spans="2:14" ht="15" thickBot="1">
      <c r="B21" s="1160" t="s">
        <v>823</v>
      </c>
      <c r="C21" s="207"/>
      <c r="D21" s="207"/>
      <c r="E21" s="207"/>
      <c r="F21" s="207"/>
      <c r="G21" s="207"/>
      <c r="H21" s="207"/>
      <c r="I21" s="207">
        <f>G109</f>
        <v>392.62514320000002</v>
      </c>
      <c r="J21" s="207">
        <f>H109</f>
        <v>810.6662864000001</v>
      </c>
      <c r="K21" s="207">
        <f t="shared" ref="K21:N21" si="12">I109</f>
        <v>864.88708640000004</v>
      </c>
      <c r="L21" s="207">
        <f t="shared" si="12"/>
        <v>900.80294432000005</v>
      </c>
      <c r="M21" s="207">
        <f t="shared" si="12"/>
        <v>926.23586120959999</v>
      </c>
      <c r="N21" s="207">
        <f t="shared" si="12"/>
        <v>557.37893488460793</v>
      </c>
    </row>
    <row r="23" spans="2:14">
      <c r="B23" s="1161" t="s">
        <v>1292</v>
      </c>
      <c r="C23" s="249"/>
      <c r="D23" s="249"/>
      <c r="E23" s="249">
        <f>E14</f>
        <v>26073.311956000001</v>
      </c>
      <c r="F23" s="249">
        <f t="shared" ref="F23:N23" si="13">F14</f>
        <v>40779.931739000007</v>
      </c>
      <c r="G23" s="249">
        <f t="shared" si="13"/>
        <v>36091.923864999997</v>
      </c>
      <c r="H23" s="249">
        <f t="shared" si="13"/>
        <v>31555.024251000003</v>
      </c>
      <c r="I23" s="249">
        <f t="shared" si="13"/>
        <v>41857.80866779654</v>
      </c>
      <c r="J23" s="249">
        <f t="shared" si="13"/>
        <v>90356.290885326482</v>
      </c>
      <c r="K23" s="249">
        <f t="shared" si="13"/>
        <v>72026.267593832832</v>
      </c>
      <c r="L23" s="249">
        <f t="shared" si="13"/>
        <v>62083.911595302285</v>
      </c>
      <c r="M23" s="249">
        <f t="shared" si="13"/>
        <v>62075.786771311476</v>
      </c>
      <c r="N23" s="250">
        <f t="shared" si="13"/>
        <v>59049.76344633277</v>
      </c>
    </row>
    <row r="24" spans="2:14">
      <c r="B24" s="1162" t="s">
        <v>1148</v>
      </c>
      <c r="C24" s="197"/>
      <c r="D24" s="197">
        <f>매출추정!F242</f>
        <v>255</v>
      </c>
      <c r="E24" s="197">
        <f>매출추정!G242</f>
        <v>258</v>
      </c>
      <c r="F24" s="197">
        <f>D57</f>
        <v>274</v>
      </c>
      <c r="G24" s="197">
        <f>E57</f>
        <v>283</v>
      </c>
      <c r="H24" s="197">
        <f t="shared" ref="H24:N24" si="14">F57</f>
        <v>295</v>
      </c>
      <c r="I24" s="197">
        <f t="shared" si="14"/>
        <v>307</v>
      </c>
      <c r="J24" s="197">
        <f t="shared" si="14"/>
        <v>332</v>
      </c>
      <c r="K24" s="197">
        <f t="shared" si="14"/>
        <v>348</v>
      </c>
      <c r="L24" s="197">
        <f t="shared" si="14"/>
        <v>359</v>
      </c>
      <c r="M24" s="197">
        <f t="shared" si="14"/>
        <v>369</v>
      </c>
      <c r="N24" s="252">
        <f t="shared" si="14"/>
        <v>377</v>
      </c>
    </row>
    <row r="25" spans="2:14">
      <c r="B25" s="1163" t="s">
        <v>1273</v>
      </c>
      <c r="C25" s="8"/>
      <c r="D25" s="8"/>
      <c r="E25" s="8">
        <f>E24-D24</f>
        <v>3</v>
      </c>
      <c r="F25" s="8">
        <f t="shared" ref="F25:N25" si="15">F24-E24</f>
        <v>16</v>
      </c>
      <c r="G25" s="8">
        <f t="shared" si="15"/>
        <v>9</v>
      </c>
      <c r="H25" s="8">
        <f t="shared" si="15"/>
        <v>12</v>
      </c>
      <c r="I25" s="8">
        <f t="shared" si="15"/>
        <v>12</v>
      </c>
      <c r="J25" s="8">
        <f t="shared" si="15"/>
        <v>25</v>
      </c>
      <c r="K25" s="8">
        <f t="shared" si="15"/>
        <v>16</v>
      </c>
      <c r="L25" s="8">
        <f t="shared" si="15"/>
        <v>11</v>
      </c>
      <c r="M25" s="8">
        <f t="shared" si="15"/>
        <v>10</v>
      </c>
      <c r="N25" s="254">
        <f t="shared" si="15"/>
        <v>8</v>
      </c>
    </row>
    <row r="27" spans="2:14">
      <c r="B27" s="1155" t="s">
        <v>1690</v>
      </c>
    </row>
    <row r="29" spans="2:14" ht="15" thickBot="1">
      <c r="B29" s="1157"/>
      <c r="C29" s="94"/>
      <c r="D29" s="94"/>
      <c r="E29" s="94"/>
      <c r="F29" s="94"/>
      <c r="G29" s="94"/>
      <c r="H29" s="1157" t="s">
        <v>32</v>
      </c>
      <c r="I29" s="1157" t="s">
        <v>33</v>
      </c>
      <c r="J29" s="1157">
        <v>2012</v>
      </c>
      <c r="K29" s="1157">
        <v>2013</v>
      </c>
      <c r="L29" s="1157">
        <v>2014</v>
      </c>
      <c r="M29" s="1157">
        <v>2015</v>
      </c>
      <c r="N29" s="1157">
        <v>2016</v>
      </c>
    </row>
    <row r="30" spans="2:14">
      <c r="B30" s="1155" t="s">
        <v>1488</v>
      </c>
      <c r="H30" s="232">
        <f>BS!F22/1000000</f>
        <v>369603.10565799999</v>
      </c>
      <c r="I30" s="2">
        <f>H30+SUM(I6:I11)-I20</f>
        <v>381186.30464597163</v>
      </c>
      <c r="J30" s="2">
        <f t="shared" ref="J30:N30" si="16">I30+SUM(J6:J11)-J20</f>
        <v>408681.26997513277</v>
      </c>
      <c r="K30" s="2">
        <f t="shared" si="16"/>
        <v>424786.42708775587</v>
      </c>
      <c r="L30" s="2">
        <f t="shared" si="16"/>
        <v>435153.60966262635</v>
      </c>
      <c r="M30" s="2">
        <f t="shared" si="16"/>
        <v>445294.89792079362</v>
      </c>
      <c r="N30" s="2">
        <f t="shared" si="16"/>
        <v>453962.96066191065</v>
      </c>
    </row>
    <row r="31" spans="2:14">
      <c r="B31" s="1155" t="s">
        <v>1489</v>
      </c>
      <c r="H31" s="2">
        <f>BS!F40/1000000</f>
        <v>4365.0827609999997</v>
      </c>
      <c r="I31" s="2">
        <f t="shared" ref="I31:N31" si="17">H31+I12-I21</f>
        <v>4099.5376177999997</v>
      </c>
      <c r="J31" s="2">
        <f t="shared" si="17"/>
        <v>3559.9753314</v>
      </c>
      <c r="K31" s="2">
        <f t="shared" si="17"/>
        <v>2874.6675345999997</v>
      </c>
      <c r="L31" s="2">
        <f t="shared" si="17"/>
        <v>2101.0291747279998</v>
      </c>
      <c r="M31" s="2">
        <f t="shared" si="17"/>
        <v>1293.6343978934397</v>
      </c>
      <c r="N31" s="2">
        <f t="shared" si="17"/>
        <v>833.99037079886455</v>
      </c>
    </row>
    <row r="32" spans="2:14">
      <c r="B32" s="1158" t="s">
        <v>1490</v>
      </c>
      <c r="C32" s="8"/>
      <c r="D32" s="8"/>
      <c r="E32" s="8"/>
      <c r="F32" s="8"/>
      <c r="G32" s="8"/>
      <c r="H32" s="827">
        <f>추정FS!K134</f>
        <v>60875.382016000003</v>
      </c>
      <c r="I32" s="8">
        <f t="shared" ref="I32:N32" si="18">H32+I13</f>
        <v>71041.782015999997</v>
      </c>
      <c r="J32" s="8">
        <f t="shared" si="18"/>
        <v>92730.10201599999</v>
      </c>
      <c r="K32" s="8">
        <f t="shared" si="18"/>
        <v>107096.44518399998</v>
      </c>
      <c r="L32" s="8">
        <f t="shared" si="18"/>
        <v>117269.61193983998</v>
      </c>
      <c r="M32" s="8">
        <f t="shared" si="18"/>
        <v>126776.89868984318</v>
      </c>
      <c r="N32" s="8">
        <f t="shared" si="18"/>
        <v>134595.6913130458</v>
      </c>
    </row>
    <row r="33" spans="2:12">
      <c r="B33" s="1155" t="s">
        <v>1691</v>
      </c>
    </row>
    <row r="37" spans="2:12">
      <c r="B37" s="1156" t="s">
        <v>751</v>
      </c>
    </row>
    <row r="39" spans="2:12">
      <c r="B39" s="1164" t="s">
        <v>699</v>
      </c>
      <c r="C39" s="192"/>
      <c r="D39" s="1185">
        <f>매출추정!E3</f>
        <v>1</v>
      </c>
    </row>
    <row r="40" spans="2:12">
      <c r="B40" s="1165" t="s">
        <v>1143</v>
      </c>
      <c r="C40" s="179"/>
      <c r="D40" s="1186">
        <f>매출추정!E4</f>
        <v>1</v>
      </c>
    </row>
    <row r="41" spans="2:12">
      <c r="B41" s="1166" t="s">
        <v>1142</v>
      </c>
      <c r="C41" s="106"/>
      <c r="D41" s="1187">
        <f>매출추정!E5</f>
        <v>2</v>
      </c>
    </row>
    <row r="43" spans="2:12" ht="15" thickBot="1">
      <c r="B43" s="1150" t="s">
        <v>680</v>
      </c>
      <c r="C43" s="102"/>
      <c r="D43" s="1157">
        <v>2009</v>
      </c>
      <c r="E43" s="1157">
        <v>2010</v>
      </c>
      <c r="F43" s="1157" t="s">
        <v>2189</v>
      </c>
      <c r="G43" s="1157" t="s">
        <v>33</v>
      </c>
      <c r="H43" s="1157">
        <v>2012</v>
      </c>
      <c r="I43" s="1157">
        <v>2013</v>
      </c>
      <c r="J43" s="1157">
        <v>2014</v>
      </c>
      <c r="K43" s="1157">
        <v>2015</v>
      </c>
      <c r="L43" s="1157">
        <v>2016</v>
      </c>
    </row>
    <row r="45" spans="2:12">
      <c r="B45" s="1155" t="s">
        <v>1267</v>
      </c>
      <c r="C45" s="2" t="s">
        <v>1281</v>
      </c>
      <c r="G45" s="2">
        <f t="shared" ref="G45:L48" si="19">G$59*G61</f>
        <v>982.46257027131423</v>
      </c>
      <c r="H45" s="2">
        <f t="shared" si="19"/>
        <v>2095.9201499121368</v>
      </c>
      <c r="I45" s="2">
        <f t="shared" si="19"/>
        <v>1388.3375073017994</v>
      </c>
      <c r="J45" s="2">
        <f t="shared" si="19"/>
        <v>983.11649735808669</v>
      </c>
      <c r="K45" s="2">
        <f t="shared" si="19"/>
        <v>918.76705389464848</v>
      </c>
      <c r="L45" s="2">
        <f t="shared" si="19"/>
        <v>755.5940251229589</v>
      </c>
    </row>
    <row r="46" spans="2:12">
      <c r="B46" s="1155" t="s">
        <v>1268</v>
      </c>
      <c r="C46" s="2" t="s">
        <v>1281</v>
      </c>
      <c r="G46" s="2">
        <f t="shared" si="19"/>
        <v>18055.572724880538</v>
      </c>
      <c r="H46" s="2">
        <f t="shared" si="19"/>
        <v>38518.555146411811</v>
      </c>
      <c r="I46" s="2">
        <f t="shared" si="19"/>
        <v>25514.690928983186</v>
      </c>
      <c r="J46" s="2">
        <f t="shared" si="19"/>
        <v>18067.59051408622</v>
      </c>
      <c r="K46" s="2">
        <f t="shared" si="19"/>
        <v>16884.984589527849</v>
      </c>
      <c r="L46" s="2">
        <f t="shared" si="19"/>
        <v>13886.211326427703</v>
      </c>
    </row>
    <row r="47" spans="2:12">
      <c r="B47" s="1155" t="s">
        <v>1269</v>
      </c>
      <c r="C47" s="2" t="s">
        <v>1281</v>
      </c>
      <c r="G47" s="2">
        <f t="shared" si="19"/>
        <v>23.964704848151296</v>
      </c>
      <c r="H47" s="2">
        <f t="shared" si="19"/>
        <v>51.124703676056107</v>
      </c>
      <c r="I47" s="2">
        <f t="shared" si="19"/>
        <v>33.865003715019562</v>
      </c>
      <c r="J47" s="2">
        <f t="shared" si="19"/>
        <v>23.980655755698226</v>
      </c>
      <c r="K47" s="2">
        <f t="shared" si="19"/>
        <v>22.411012833507073</v>
      </c>
      <c r="L47" s="2">
        <f t="shared" si="19"/>
        <v>18.430816954276217</v>
      </c>
    </row>
    <row r="48" spans="2:12">
      <c r="B48" s="1155" t="s">
        <v>1270</v>
      </c>
      <c r="C48" s="2" t="s">
        <v>1281</v>
      </c>
      <c r="D48" s="196"/>
      <c r="G48" s="2">
        <f t="shared" si="19"/>
        <v>0</v>
      </c>
      <c r="H48" s="2">
        <f t="shared" si="19"/>
        <v>0</v>
      </c>
      <c r="I48" s="2">
        <f t="shared" si="19"/>
        <v>0</v>
      </c>
      <c r="J48" s="2">
        <f t="shared" si="19"/>
        <v>0</v>
      </c>
      <c r="K48" s="2">
        <f t="shared" si="19"/>
        <v>0</v>
      </c>
      <c r="L48" s="2">
        <f t="shared" si="19"/>
        <v>0</v>
      </c>
    </row>
    <row r="49" spans="2:12">
      <c r="B49" s="1155" t="s">
        <v>1271</v>
      </c>
      <c r="C49" s="2" t="s">
        <v>1283</v>
      </c>
      <c r="D49" s="196"/>
      <c r="G49" s="2">
        <f>G$58*G70/2</f>
        <v>12496.2</v>
      </c>
      <c r="H49" s="2">
        <f t="shared" ref="H49:L50" si="20">H$58*H70</f>
        <v>27717.67296</v>
      </c>
      <c r="I49" s="2">
        <f t="shared" si="20"/>
        <v>30528.479231999998</v>
      </c>
      <c r="J49" s="2">
        <f t="shared" si="20"/>
        <v>32692.858619904</v>
      </c>
      <c r="K49" s="2">
        <f t="shared" si="20"/>
        <v>34606.523770011649</v>
      </c>
      <c r="L49" s="2">
        <f t="shared" si="20"/>
        <v>36455.120605682278</v>
      </c>
    </row>
    <row r="50" spans="2:12">
      <c r="B50" s="1155" t="s">
        <v>1272</v>
      </c>
      <c r="C50" s="2" t="s">
        <v>1283</v>
      </c>
      <c r="D50" s="196"/>
      <c r="G50" s="2">
        <f>G$58*G71/2</f>
        <v>6.1286677965328478</v>
      </c>
      <c r="H50" s="2">
        <f t="shared" si="20"/>
        <v>13.593925326481754</v>
      </c>
      <c r="I50" s="2">
        <f t="shared" si="20"/>
        <v>14.9724642328292</v>
      </c>
      <c r="J50" s="2">
        <f t="shared" si="20"/>
        <v>16.033967910277283</v>
      </c>
      <c r="K50" s="2">
        <f t="shared" si="20"/>
        <v>16.972510665579851</v>
      </c>
      <c r="L50" s="2">
        <f t="shared" si="20"/>
        <v>17.879141152891755</v>
      </c>
    </row>
    <row r="51" spans="2:12">
      <c r="B51" s="1155" t="s">
        <v>1282</v>
      </c>
      <c r="G51" s="2">
        <f>SUM(G45:G50)</f>
        <v>31564.328667796537</v>
      </c>
      <c r="H51" s="2">
        <f t="shared" ref="H51:L51" si="21">SUM(H45:H50)</f>
        <v>68396.866885326483</v>
      </c>
      <c r="I51" s="2">
        <f t="shared" si="21"/>
        <v>57480.345136232827</v>
      </c>
      <c r="J51" s="2">
        <f t="shared" si="21"/>
        <v>51783.580255014283</v>
      </c>
      <c r="K51" s="2">
        <f t="shared" si="21"/>
        <v>52449.658936933236</v>
      </c>
      <c r="L51" s="2">
        <f t="shared" si="21"/>
        <v>51133.235915340112</v>
      </c>
    </row>
    <row r="53" spans="2:12">
      <c r="B53" s="1155" t="s">
        <v>1183</v>
      </c>
      <c r="G53" s="2">
        <f t="shared" ref="G53:L54" si="22">G$59*G67</f>
        <v>127.08</v>
      </c>
      <c r="H53" s="2">
        <f t="shared" si="22"/>
        <v>271.10399999999998</v>
      </c>
      <c r="I53" s="2">
        <f t="shared" si="22"/>
        <v>179.57928959999998</v>
      </c>
      <c r="J53" s="2">
        <f t="shared" si="22"/>
        <v>127.164584448</v>
      </c>
      <c r="K53" s="2">
        <f t="shared" si="22"/>
        <v>118.84108437504</v>
      </c>
      <c r="L53" s="2">
        <f t="shared" si="22"/>
        <v>97.734907790032906</v>
      </c>
    </row>
    <row r="54" spans="2:12">
      <c r="B54" s="1155" t="s">
        <v>1184</v>
      </c>
      <c r="G54" s="2">
        <f t="shared" si="22"/>
        <v>10166.4</v>
      </c>
      <c r="H54" s="2">
        <f t="shared" si="22"/>
        <v>21688.32</v>
      </c>
      <c r="I54" s="2">
        <f t="shared" si="22"/>
        <v>14366.343167999998</v>
      </c>
      <c r="J54" s="2">
        <f t="shared" si="22"/>
        <v>10173.166755839999</v>
      </c>
      <c r="K54" s="2">
        <f t="shared" si="22"/>
        <v>9507.2867500032007</v>
      </c>
      <c r="L54" s="2">
        <f t="shared" si="22"/>
        <v>7818.7926232026321</v>
      </c>
    </row>
    <row r="57" spans="2:12">
      <c r="B57" s="1155" t="s">
        <v>1148</v>
      </c>
      <c r="C57" s="2">
        <f>매출추정!G242</f>
        <v>258</v>
      </c>
      <c r="D57" s="2">
        <f>매출추정!H242</f>
        <v>274</v>
      </c>
      <c r="E57" s="2">
        <f>매출추정!F130</f>
        <v>283</v>
      </c>
      <c r="F57" s="2">
        <f>매출추정!G130</f>
        <v>295</v>
      </c>
      <c r="G57" s="2">
        <f>매출추정!H130</f>
        <v>307</v>
      </c>
      <c r="H57" s="2">
        <f>매출추정!J130</f>
        <v>332</v>
      </c>
      <c r="I57" s="2">
        <f>매출추정!K130</f>
        <v>348</v>
      </c>
      <c r="J57" s="2">
        <f>매출추정!L130</f>
        <v>359</v>
      </c>
      <c r="K57" s="2">
        <f>매출추정!M130</f>
        <v>369</v>
      </c>
      <c r="L57" s="2">
        <f>매출추정!N130</f>
        <v>377</v>
      </c>
    </row>
    <row r="58" spans="2:12">
      <c r="B58" s="1155" t="s">
        <v>1278</v>
      </c>
      <c r="G58" s="2">
        <f>(E57+G57)/2</f>
        <v>295</v>
      </c>
      <c r="H58" s="2">
        <f>(G57+H57)/2</f>
        <v>319.5</v>
      </c>
      <c r="I58" s="2">
        <f t="shared" ref="I58:L58" si="23">(H57+I57)/2</f>
        <v>340</v>
      </c>
      <c r="J58" s="2">
        <f t="shared" si="23"/>
        <v>353.5</v>
      </c>
      <c r="K58" s="2">
        <f t="shared" si="23"/>
        <v>364</v>
      </c>
      <c r="L58" s="2">
        <f t="shared" si="23"/>
        <v>373</v>
      </c>
    </row>
    <row r="59" spans="2:12">
      <c r="B59" s="1158" t="s">
        <v>1232</v>
      </c>
      <c r="C59" s="8"/>
      <c r="D59" s="8">
        <f>D57-C57</f>
        <v>16</v>
      </c>
      <c r="E59" s="8">
        <f>E57-D57</f>
        <v>9</v>
      </c>
      <c r="F59" s="8">
        <f>F57-E57</f>
        <v>12</v>
      </c>
      <c r="G59" s="8">
        <f>G57-F57</f>
        <v>12</v>
      </c>
      <c r="H59" s="8">
        <f t="shared" ref="H59:L59" si="24">H57-G57</f>
        <v>25</v>
      </c>
      <c r="I59" s="8">
        <f t="shared" si="24"/>
        <v>16</v>
      </c>
      <c r="J59" s="8">
        <f t="shared" si="24"/>
        <v>11</v>
      </c>
      <c r="K59" s="8">
        <f t="shared" si="24"/>
        <v>10</v>
      </c>
      <c r="L59" s="8">
        <f t="shared" si="24"/>
        <v>8</v>
      </c>
    </row>
    <row r="61" spans="2:12">
      <c r="B61" s="1155" t="s">
        <v>1274</v>
      </c>
      <c r="C61" s="2" t="s">
        <v>743</v>
      </c>
      <c r="D61" s="196">
        <f>D91</f>
        <v>5.154037195841539E-2</v>
      </c>
      <c r="G61" s="2">
        <f t="shared" ref="G61:L64" si="25">G$65*$D61</f>
        <v>81.871880855942848</v>
      </c>
      <c r="H61" s="2">
        <f t="shared" si="25"/>
        <v>83.836805996485481</v>
      </c>
      <c r="I61" s="2">
        <f t="shared" si="25"/>
        <v>86.771094206362463</v>
      </c>
      <c r="J61" s="2">
        <f t="shared" si="25"/>
        <v>89.374227032553335</v>
      </c>
      <c r="K61" s="2">
        <f t="shared" si="25"/>
        <v>91.876705389464846</v>
      </c>
      <c r="L61" s="2">
        <f t="shared" si="25"/>
        <v>94.449253140369862</v>
      </c>
    </row>
    <row r="62" spans="2:12">
      <c r="C62" s="2" t="s">
        <v>744</v>
      </c>
      <c r="D62" s="196">
        <f>D92</f>
        <v>0.94720243022141104</v>
      </c>
      <c r="G62" s="2">
        <f t="shared" si="25"/>
        <v>1504.6310604067114</v>
      </c>
      <c r="H62" s="2">
        <f t="shared" si="25"/>
        <v>1540.7422058564725</v>
      </c>
      <c r="I62" s="2">
        <f t="shared" si="25"/>
        <v>1594.6681830614491</v>
      </c>
      <c r="J62" s="2">
        <f t="shared" si="25"/>
        <v>1642.5082285532926</v>
      </c>
      <c r="K62" s="2">
        <f t="shared" si="25"/>
        <v>1688.4984589527849</v>
      </c>
      <c r="L62" s="2">
        <f t="shared" si="25"/>
        <v>1735.7764158034629</v>
      </c>
    </row>
    <row r="63" spans="2:12">
      <c r="C63" s="2" t="s">
        <v>745</v>
      </c>
      <c r="D63" s="196">
        <f>D93</f>
        <v>1.257197820173712E-3</v>
      </c>
      <c r="G63" s="2">
        <f t="shared" si="25"/>
        <v>1.9970587373459414</v>
      </c>
      <c r="H63" s="2">
        <f t="shared" si="25"/>
        <v>2.0449881470422442</v>
      </c>
      <c r="I63" s="2">
        <f t="shared" si="25"/>
        <v>2.1165627321887226</v>
      </c>
      <c r="J63" s="2">
        <f t="shared" si="25"/>
        <v>2.1800596141543842</v>
      </c>
      <c r="K63" s="2">
        <f t="shared" si="25"/>
        <v>2.2411012833507074</v>
      </c>
      <c r="L63" s="2">
        <f t="shared" si="25"/>
        <v>2.3038521192845272</v>
      </c>
    </row>
    <row r="64" spans="2:12">
      <c r="C64" s="2" t="s">
        <v>748</v>
      </c>
      <c r="G64" s="2">
        <f t="shared" si="25"/>
        <v>0</v>
      </c>
      <c r="H64" s="2">
        <f t="shared" si="25"/>
        <v>0</v>
      </c>
      <c r="I64" s="2">
        <f t="shared" si="25"/>
        <v>0</v>
      </c>
      <c r="J64" s="2">
        <f t="shared" si="25"/>
        <v>0</v>
      </c>
      <c r="K64" s="2">
        <f t="shared" si="25"/>
        <v>0</v>
      </c>
      <c r="L64" s="2">
        <f t="shared" si="25"/>
        <v>0</v>
      </c>
    </row>
    <row r="65" spans="2:12">
      <c r="C65" s="2" t="s">
        <v>1244</v>
      </c>
      <c r="D65" s="228">
        <v>1500</v>
      </c>
      <c r="G65" s="2">
        <f>D65*(1+G$74)</f>
        <v>1588.5</v>
      </c>
      <c r="H65" s="2">
        <f>G65*(1+H$74)</f>
        <v>1626.624</v>
      </c>
      <c r="I65" s="2">
        <f>H65*(1+I$74)</f>
        <v>1683.55584</v>
      </c>
      <c r="J65" s="2">
        <f>I65*(1+J$74)</f>
        <v>1734.0625152</v>
      </c>
      <c r="K65" s="2">
        <f>J65*(1+K$74)</f>
        <v>1782.6162656256001</v>
      </c>
      <c r="L65" s="2">
        <f>K65*(1+L$74)</f>
        <v>1832.529521063117</v>
      </c>
    </row>
    <row r="67" spans="2:12">
      <c r="C67" s="2" t="s">
        <v>1183</v>
      </c>
      <c r="D67" s="2">
        <v>10</v>
      </c>
      <c r="G67" s="2">
        <f>D67*(1+G$74)</f>
        <v>10.59</v>
      </c>
      <c r="H67" s="2">
        <f t="shared" ref="H67:L68" si="26">G67*(1+H$74)</f>
        <v>10.84416</v>
      </c>
      <c r="I67" s="2">
        <f t="shared" si="26"/>
        <v>11.223705599999999</v>
      </c>
      <c r="J67" s="2">
        <f t="shared" si="26"/>
        <v>11.560416768</v>
      </c>
      <c r="K67" s="2">
        <f t="shared" si="26"/>
        <v>11.884108437504</v>
      </c>
      <c r="L67" s="2">
        <f t="shared" si="26"/>
        <v>12.216863473754113</v>
      </c>
    </row>
    <row r="68" spans="2:12">
      <c r="C68" s="2" t="s">
        <v>1184</v>
      </c>
      <c r="D68" s="228">
        <v>800</v>
      </c>
      <c r="G68" s="2">
        <f>D68*(1+G$74)</f>
        <v>847.19999999999993</v>
      </c>
      <c r="H68" s="2">
        <f t="shared" si="26"/>
        <v>867.53279999999995</v>
      </c>
      <c r="I68" s="2">
        <f t="shared" si="26"/>
        <v>897.89644799999985</v>
      </c>
      <c r="J68" s="2">
        <f t="shared" si="26"/>
        <v>924.83334143999991</v>
      </c>
      <c r="K68" s="2">
        <f t="shared" si="26"/>
        <v>950.72867500031998</v>
      </c>
      <c r="L68" s="2">
        <f t="shared" si="26"/>
        <v>977.34907790032901</v>
      </c>
    </row>
    <row r="70" spans="2:12">
      <c r="B70" s="1155" t="s">
        <v>1280</v>
      </c>
      <c r="C70" s="2" t="s">
        <v>1271</v>
      </c>
      <c r="D70" s="2">
        <v>80</v>
      </c>
      <c r="G70" s="2">
        <f>D70*(1+G$74)</f>
        <v>84.72</v>
      </c>
      <c r="H70" s="2">
        <f t="shared" ref="H70:L71" si="27">G70*(1+H$74)</f>
        <v>86.753280000000004</v>
      </c>
      <c r="I70" s="2">
        <f t="shared" si="27"/>
        <v>89.789644799999991</v>
      </c>
      <c r="J70" s="2">
        <f t="shared" si="27"/>
        <v>92.483334143999997</v>
      </c>
      <c r="K70" s="2">
        <f t="shared" si="27"/>
        <v>95.072867500032004</v>
      </c>
      <c r="L70" s="2">
        <f t="shared" si="27"/>
        <v>97.734907790032906</v>
      </c>
    </row>
    <row r="71" spans="2:12">
      <c r="C71" s="2" t="s">
        <v>1272</v>
      </c>
      <c r="D71" s="2">
        <f>H84</f>
        <v>3.9235401459854026E-2</v>
      </c>
      <c r="G71" s="2">
        <f>D71*(1+G$74)</f>
        <v>4.1550290145985408E-2</v>
      </c>
      <c r="H71" s="2">
        <f t="shared" si="27"/>
        <v>4.254749710948906E-2</v>
      </c>
      <c r="I71" s="2">
        <f t="shared" si="27"/>
        <v>4.4036659508321176E-2</v>
      </c>
      <c r="J71" s="2">
        <f t="shared" si="27"/>
        <v>4.5357759293570811E-2</v>
      </c>
      <c r="K71" s="2">
        <f t="shared" si="27"/>
        <v>4.6627776553790794E-2</v>
      </c>
      <c r="L71" s="2">
        <f t="shared" si="27"/>
        <v>4.7933354297296935E-2</v>
      </c>
    </row>
    <row r="74" spans="2:12">
      <c r="B74" s="1158"/>
      <c r="C74" s="604" t="s">
        <v>514</v>
      </c>
      <c r="D74" s="604"/>
      <c r="E74" s="9">
        <v>3.8339999999999999E-2</v>
      </c>
      <c r="F74" s="8"/>
      <c r="G74" s="9">
        <v>5.9000000000000004E-2</v>
      </c>
      <c r="H74" s="9">
        <v>2.4E-2</v>
      </c>
      <c r="I74" s="9">
        <v>3.5000000000000003E-2</v>
      </c>
      <c r="J74" s="9">
        <v>0.03</v>
      </c>
      <c r="K74" s="9">
        <v>2.7999999999999997E-2</v>
      </c>
      <c r="L74" s="9">
        <f>K74</f>
        <v>2.7999999999999997E-2</v>
      </c>
    </row>
    <row r="76" spans="2:12">
      <c r="E76" s="196"/>
      <c r="F76" s="196"/>
      <c r="G76" s="196"/>
      <c r="H76" s="196"/>
      <c r="I76" s="196"/>
      <c r="J76" s="196"/>
    </row>
    <row r="78" spans="2:12">
      <c r="B78" s="1158" t="s">
        <v>1185</v>
      </c>
      <c r="C78" s="8"/>
      <c r="D78" s="8" t="s">
        <v>1275</v>
      </c>
      <c r="E78" s="8" t="s">
        <v>1276</v>
      </c>
      <c r="F78" s="8" t="s">
        <v>1277</v>
      </c>
      <c r="G78" s="1341" t="s">
        <v>1148</v>
      </c>
      <c r="H78" s="1342"/>
      <c r="I78" s="1341" t="s">
        <v>1279</v>
      </c>
      <c r="J78" s="1342"/>
    </row>
    <row r="79" spans="2:12">
      <c r="B79" s="1155" t="s">
        <v>1271</v>
      </c>
      <c r="C79" s="1188">
        <v>2009</v>
      </c>
      <c r="D79" s="2">
        <v>22764.022000000001</v>
      </c>
      <c r="E79" s="2">
        <v>12174.587</v>
      </c>
      <c r="F79" s="2">
        <f>D79-E79</f>
        <v>10589.435000000001</v>
      </c>
      <c r="G79" s="251">
        <f>D57</f>
        <v>274</v>
      </c>
      <c r="H79" s="252">
        <f>D79/G79</f>
        <v>83.080372262773722</v>
      </c>
      <c r="I79" s="251">
        <f>D59</f>
        <v>16</v>
      </c>
      <c r="J79" s="252">
        <f>D79/I79</f>
        <v>1422.7513750000001</v>
      </c>
    </row>
    <row r="80" spans="2:12">
      <c r="C80" s="1188">
        <v>2010</v>
      </c>
      <c r="D80" s="2">
        <v>23894.076000000001</v>
      </c>
      <c r="E80" s="2">
        <v>18065.985000000001</v>
      </c>
      <c r="F80" s="2">
        <f>D80-E80</f>
        <v>5828.0910000000003</v>
      </c>
      <c r="G80" s="251">
        <f>E57</f>
        <v>283</v>
      </c>
      <c r="H80" s="252">
        <f>D80/G80</f>
        <v>84.431363957597171</v>
      </c>
      <c r="I80" s="251">
        <f>E59</f>
        <v>9</v>
      </c>
      <c r="J80" s="252">
        <f>D80/I80</f>
        <v>2654.8973333333333</v>
      </c>
    </row>
    <row r="81" spans="2:10">
      <c r="B81" s="1158"/>
      <c r="C81" s="1158"/>
      <c r="D81" s="8"/>
      <c r="E81" s="8"/>
      <c r="F81" s="8"/>
      <c r="G81" s="253"/>
      <c r="H81" s="1297">
        <f>AVERAGE(H79:H80)</f>
        <v>83.755868110185446</v>
      </c>
      <c r="I81" s="606"/>
      <c r="J81" s="605">
        <f>AVERAGE(J79:J80)</f>
        <v>2038.8243541666666</v>
      </c>
    </row>
    <row r="82" spans="2:10">
      <c r="B82" s="1155" t="s">
        <v>1272</v>
      </c>
      <c r="C82" s="1188">
        <v>2009</v>
      </c>
      <c r="D82" s="2">
        <v>104.54600000000001</v>
      </c>
      <c r="E82" s="2">
        <v>83.045000000000002</v>
      </c>
      <c r="F82" s="2">
        <f>D82-E82</f>
        <v>21.501000000000005</v>
      </c>
      <c r="G82" s="251">
        <f>G79</f>
        <v>274</v>
      </c>
      <c r="H82" s="252">
        <f>F82/G82</f>
        <v>7.8470802919708052E-2</v>
      </c>
      <c r="I82" s="251">
        <f>I79</f>
        <v>16</v>
      </c>
      <c r="J82" s="252">
        <f>F82/I82</f>
        <v>1.3438125000000003</v>
      </c>
    </row>
    <row r="83" spans="2:10">
      <c r="C83" s="1188">
        <v>2010</v>
      </c>
      <c r="D83" s="2">
        <v>0</v>
      </c>
      <c r="E83" s="2">
        <v>0</v>
      </c>
      <c r="F83" s="2">
        <f>D83-E83</f>
        <v>0</v>
      </c>
      <c r="G83" s="251">
        <f>G80</f>
        <v>283</v>
      </c>
      <c r="H83" s="252">
        <f>F83/G83</f>
        <v>0</v>
      </c>
      <c r="I83" s="251">
        <f>I80</f>
        <v>9</v>
      </c>
      <c r="J83" s="252">
        <f>F83/I83</f>
        <v>0</v>
      </c>
    </row>
    <row r="84" spans="2:10">
      <c r="B84" s="1158"/>
      <c r="C84" s="1158"/>
      <c r="D84" s="8"/>
      <c r="E84" s="8"/>
      <c r="F84" s="8"/>
      <c r="G84" s="253"/>
      <c r="H84" s="605">
        <f>AVERAGE(H82:H83)</f>
        <v>3.9235401459854026E-2</v>
      </c>
      <c r="I84" s="606"/>
      <c r="J84" s="605">
        <f>AVERAGE(J82:J83)</f>
        <v>0.67190625000000015</v>
      </c>
    </row>
    <row r="85" spans="2:10">
      <c r="B85" s="1155" t="s">
        <v>1183</v>
      </c>
      <c r="C85" s="1188">
        <v>2009</v>
      </c>
      <c r="D85" s="2">
        <v>265.63112000000001</v>
      </c>
      <c r="E85" s="2">
        <v>0</v>
      </c>
      <c r="F85" s="2">
        <f>D85-E85</f>
        <v>265.63112000000001</v>
      </c>
      <c r="G85" s="251">
        <f>G82</f>
        <v>274</v>
      </c>
      <c r="H85" s="252">
        <f>F85/G85</f>
        <v>0.96945664233576645</v>
      </c>
      <c r="I85" s="251">
        <f>I82</f>
        <v>16</v>
      </c>
      <c r="J85" s="252">
        <f>F85/I85</f>
        <v>16.601945000000001</v>
      </c>
    </row>
    <row r="86" spans="2:10">
      <c r="C86" s="1188">
        <v>2010</v>
      </c>
      <c r="D86" s="2">
        <v>1035.31628</v>
      </c>
      <c r="E86" s="2">
        <v>110</v>
      </c>
      <c r="F86" s="2">
        <f>D86-E86</f>
        <v>925.31628000000001</v>
      </c>
      <c r="G86" s="251">
        <f>G83</f>
        <v>283</v>
      </c>
      <c r="H86" s="252">
        <f>F86/G86</f>
        <v>3.2696688339222617</v>
      </c>
      <c r="I86" s="251">
        <f>I83</f>
        <v>9</v>
      </c>
      <c r="J86" s="252">
        <f>F86/I86</f>
        <v>102.81292000000001</v>
      </c>
    </row>
    <row r="87" spans="2:10">
      <c r="B87" s="1158"/>
      <c r="C87" s="1158"/>
      <c r="D87" s="8"/>
      <c r="E87" s="8"/>
      <c r="F87" s="8"/>
      <c r="G87" s="253"/>
      <c r="H87" s="605">
        <f>AVERAGE(H85:H86)</f>
        <v>2.1195627381290141</v>
      </c>
      <c r="I87" s="606"/>
      <c r="J87" s="605">
        <f>AVERAGE(J85:J86)</f>
        <v>59.707432500000003</v>
      </c>
    </row>
    <row r="90" spans="2:10">
      <c r="B90" s="1155" t="s">
        <v>1284</v>
      </c>
    </row>
    <row r="91" spans="2:10">
      <c r="B91" s="1167" t="s">
        <v>743</v>
      </c>
      <c r="C91" s="249">
        <f>BS!E23/1000000</f>
        <v>176180.80300000001</v>
      </c>
      <c r="D91" s="607">
        <f>N373</f>
        <v>5.154037195841539E-2</v>
      </c>
    </row>
    <row r="92" spans="2:10">
      <c r="B92" s="1159" t="s">
        <v>744</v>
      </c>
      <c r="C92" s="197">
        <f>BS!E24/1000000</f>
        <v>180205.68</v>
      </c>
      <c r="D92" s="608">
        <f t="shared" ref="D92:D93" si="28">N374</f>
        <v>0.94720243022141104</v>
      </c>
    </row>
    <row r="93" spans="2:10">
      <c r="B93" s="1159" t="s">
        <v>745</v>
      </c>
      <c r="C93" s="197">
        <f>BS!E26/1000000</f>
        <v>50</v>
      </c>
      <c r="D93" s="608">
        <f t="shared" si="28"/>
        <v>1.257197820173712E-3</v>
      </c>
    </row>
    <row r="94" spans="2:10">
      <c r="B94" s="1158" t="s">
        <v>1244</v>
      </c>
      <c r="C94" s="8">
        <f>SUM(C91:C93)</f>
        <v>356436.48300000001</v>
      </c>
      <c r="D94" s="604">
        <f>SUM(D91:D93)</f>
        <v>1.0000000000000002</v>
      </c>
    </row>
    <row r="99" spans="2:12">
      <c r="B99" s="1156" t="s">
        <v>785</v>
      </c>
    </row>
    <row r="100" spans="2:12">
      <c r="B100" s="1156"/>
    </row>
    <row r="103" spans="2:12">
      <c r="B103" s="1150" t="s">
        <v>680</v>
      </c>
      <c r="C103" s="102"/>
      <c r="D103" s="102"/>
      <c r="E103" s="1150">
        <v>2010</v>
      </c>
      <c r="F103" s="1150" t="s">
        <v>2189</v>
      </c>
      <c r="G103" s="1150" t="s">
        <v>2190</v>
      </c>
      <c r="H103" s="1150">
        <v>2012</v>
      </c>
      <c r="I103" s="1150">
        <v>2013</v>
      </c>
      <c r="J103" s="1150">
        <v>2014</v>
      </c>
      <c r="K103" s="1150">
        <v>2015</v>
      </c>
      <c r="L103" s="1150">
        <v>2016</v>
      </c>
    </row>
    <row r="105" spans="2:12">
      <c r="B105" s="1155" t="s">
        <v>744</v>
      </c>
      <c r="G105" s="2">
        <f t="shared" ref="G105:L105" si="29">E130+E249</f>
        <v>9275.2011389289401</v>
      </c>
      <c r="H105" s="2">
        <f t="shared" si="29"/>
        <v>18271.423823192814</v>
      </c>
      <c r="I105" s="2">
        <f t="shared" si="29"/>
        <v>15864.242247180071</v>
      </c>
      <c r="J105" s="2">
        <f t="shared" si="29"/>
        <v>15249.165448174685</v>
      </c>
      <c r="K105" s="2">
        <f t="shared" si="29"/>
        <v>14801.965441411463</v>
      </c>
      <c r="L105" s="2">
        <f t="shared" si="29"/>
        <v>14595.763923413109</v>
      </c>
    </row>
    <row r="106" spans="2:12">
      <c r="B106" s="1155" t="s">
        <v>745</v>
      </c>
      <c r="G106" s="2">
        <f t="shared" ref="G106:L106" si="30">E131+E260</f>
        <v>0.526725</v>
      </c>
      <c r="H106" s="2">
        <f t="shared" si="30"/>
        <v>1.6525676212037825</v>
      </c>
      <c r="I106" s="2">
        <f t="shared" si="30"/>
        <v>2.9306852131051855</v>
      </c>
      <c r="J106" s="2">
        <f t="shared" si="30"/>
        <v>3.7773103059806745</v>
      </c>
      <c r="K106" s="2">
        <f t="shared" si="30"/>
        <v>4.3768266998731296</v>
      </c>
      <c r="L106" s="2">
        <f t="shared" si="30"/>
        <v>4.9371020207108067</v>
      </c>
    </row>
    <row r="107" spans="2:12">
      <c r="B107" s="1155" t="s">
        <v>746</v>
      </c>
      <c r="G107" s="2">
        <f t="shared" ref="G107:L107" si="31">E132+E271</f>
        <v>7.3182</v>
      </c>
      <c r="H107" s="2">
        <f t="shared" si="31"/>
        <v>15.862133559306569</v>
      </c>
      <c r="I107" s="2">
        <f t="shared" si="31"/>
        <v>18.580918624602919</v>
      </c>
      <c r="J107" s="2">
        <f t="shared" si="31"/>
        <v>21.57541147116876</v>
      </c>
      <c r="K107" s="2">
        <f t="shared" si="31"/>
        <v>24.782205053224217</v>
      </c>
      <c r="L107" s="2">
        <f t="shared" si="31"/>
        <v>20.858507186340205</v>
      </c>
    </row>
    <row r="108" spans="2:12">
      <c r="B108" s="1168" t="s">
        <v>747</v>
      </c>
      <c r="G108" s="2">
        <f t="shared" ref="G108:L108" si="32">E133+E282</f>
        <v>10698.083615895997</v>
      </c>
      <c r="H108" s="2">
        <f t="shared" si="32"/>
        <v>22612.963031791998</v>
      </c>
      <c r="I108" s="2">
        <f t="shared" si="32"/>
        <v>25489.434172592002</v>
      </c>
      <c r="J108" s="2">
        <f t="shared" si="32"/>
        <v>26141.879510192004</v>
      </c>
      <c r="K108" s="2">
        <f t="shared" si="32"/>
        <v>27477.246205601376</v>
      </c>
      <c r="L108" s="2">
        <f t="shared" si="32"/>
        <v>27843.613641602929</v>
      </c>
    </row>
    <row r="109" spans="2:12">
      <c r="B109" s="1158" t="s">
        <v>770</v>
      </c>
      <c r="C109" s="8"/>
      <c r="D109" s="8"/>
      <c r="E109" s="8"/>
      <c r="F109" s="8"/>
      <c r="G109" s="8">
        <f t="shared" ref="G109:L109" si="33">E134+E293</f>
        <v>392.62514320000002</v>
      </c>
      <c r="H109" s="8">
        <f t="shared" si="33"/>
        <v>810.6662864000001</v>
      </c>
      <c r="I109" s="8">
        <f t="shared" si="33"/>
        <v>864.88708640000004</v>
      </c>
      <c r="J109" s="8">
        <f t="shared" si="33"/>
        <v>900.80294432000005</v>
      </c>
      <c r="K109" s="8">
        <f t="shared" si="33"/>
        <v>926.23586120959999</v>
      </c>
      <c r="L109" s="8">
        <f t="shared" si="33"/>
        <v>557.37893488460793</v>
      </c>
    </row>
    <row r="113" spans="2:21">
      <c r="B113" s="1156" t="s">
        <v>786</v>
      </c>
    </row>
    <row r="114" spans="2:21">
      <c r="B114" s="1156"/>
    </row>
    <row r="115" spans="2:21">
      <c r="B115" s="1161"/>
      <c r="C115" s="249" t="s">
        <v>787</v>
      </c>
      <c r="D115" s="250" t="s">
        <v>789</v>
      </c>
    </row>
    <row r="116" spans="2:21">
      <c r="B116" s="1162" t="s">
        <v>744</v>
      </c>
      <c r="C116" s="197" t="s">
        <v>788</v>
      </c>
      <c r="D116" s="1298">
        <v>20</v>
      </c>
      <c r="F116" s="2">
        <f>1/D316</f>
        <v>9.3617981824249803</v>
      </c>
    </row>
    <row r="117" spans="2:21">
      <c r="B117" s="1162" t="s">
        <v>745</v>
      </c>
      <c r="C117" s="197" t="s">
        <v>788</v>
      </c>
      <c r="D117" s="252">
        <v>40</v>
      </c>
    </row>
    <row r="118" spans="2:21">
      <c r="B118" s="1162" t="s">
        <v>746</v>
      </c>
      <c r="C118" s="197" t="s">
        <v>788</v>
      </c>
      <c r="D118" s="252">
        <v>5</v>
      </c>
    </row>
    <row r="119" spans="2:21">
      <c r="B119" s="1162" t="s">
        <v>747</v>
      </c>
      <c r="C119" s="197" t="s">
        <v>788</v>
      </c>
      <c r="D119" s="252">
        <v>5</v>
      </c>
    </row>
    <row r="120" spans="2:21">
      <c r="B120" s="1163" t="s">
        <v>822</v>
      </c>
      <c r="C120" s="8" t="s">
        <v>788</v>
      </c>
      <c r="D120" s="254">
        <v>5</v>
      </c>
    </row>
    <row r="124" spans="2:21">
      <c r="B124" s="1169" t="s">
        <v>812</v>
      </c>
      <c r="C124" s="466"/>
      <c r="D124" s="466"/>
      <c r="E124" s="466"/>
      <c r="F124" s="466"/>
      <c r="G124" s="466"/>
      <c r="H124" s="466"/>
      <c r="I124" s="466"/>
      <c r="J124" s="466"/>
    </row>
    <row r="125" spans="2:21">
      <c r="B125" s="1156"/>
    </row>
    <row r="126" spans="2:21">
      <c r="B126" s="1156"/>
    </row>
    <row r="127" spans="2:21">
      <c r="B127" s="1156"/>
    </row>
    <row r="128" spans="2:21">
      <c r="C128" s="1277">
        <v>2010</v>
      </c>
      <c r="D128" s="25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</row>
    <row r="129" spans="2:21">
      <c r="B129" s="1150"/>
      <c r="C129" s="257" t="s">
        <v>754</v>
      </c>
      <c r="D129" s="257" t="s">
        <v>813</v>
      </c>
      <c r="E129" s="102" t="s">
        <v>815</v>
      </c>
      <c r="F129" s="1150">
        <v>2012</v>
      </c>
      <c r="G129" s="1150">
        <v>2013</v>
      </c>
      <c r="H129" s="1150">
        <v>2014</v>
      </c>
      <c r="I129" s="1150">
        <v>2015</v>
      </c>
      <c r="J129" s="1150">
        <v>2016</v>
      </c>
      <c r="L129" s="1219"/>
      <c r="M129" s="177"/>
      <c r="N129" s="177"/>
      <c r="O129" s="177"/>
      <c r="P129" s="1219"/>
      <c r="Q129" s="1219"/>
      <c r="R129" s="1219"/>
      <c r="S129" s="1219"/>
      <c r="T129" s="1219"/>
      <c r="U129" s="197"/>
    </row>
    <row r="130" spans="2:21" ht="16">
      <c r="B130" s="1155" t="s">
        <v>744</v>
      </c>
      <c r="C130" s="233">
        <f>BS!E24/1000000</f>
        <v>180205.68</v>
      </c>
      <c r="D130" s="233">
        <f>-BS!E25/1000000</f>
        <v>50570.724000000002</v>
      </c>
      <c r="E130" s="197">
        <f>E195</f>
        <v>9275.2011389289401</v>
      </c>
      <c r="F130" s="197">
        <f t="shared" ref="F130:J130" si="34">F195</f>
        <v>17368.645186948786</v>
      </c>
      <c r="G130" s="197">
        <f t="shared" si="34"/>
        <v>13035.535853615454</v>
      </c>
      <c r="H130" s="197">
        <f t="shared" si="34"/>
        <v>11144.724508160909</v>
      </c>
      <c r="I130" s="197">
        <f t="shared" si="34"/>
        <v>9794.1449756933762</v>
      </c>
      <c r="J130" s="197">
        <f t="shared" si="34"/>
        <v>8743.6942282186301</v>
      </c>
      <c r="L130" s="1171"/>
      <c r="M130" s="197"/>
      <c r="N130" s="256"/>
      <c r="O130" s="256"/>
      <c r="P130" s="256"/>
      <c r="Q130" s="256"/>
      <c r="R130" s="256"/>
      <c r="S130" s="256"/>
      <c r="T130" s="256"/>
      <c r="U130" s="197"/>
    </row>
    <row r="131" spans="2:21" ht="16">
      <c r="B131" s="1155" t="s">
        <v>745</v>
      </c>
      <c r="C131" s="233">
        <f>BS!E26/1000000</f>
        <v>50</v>
      </c>
      <c r="D131" s="233">
        <f>-BS!E27/1000000</f>
        <v>7.8620000000000001</v>
      </c>
      <c r="E131" s="197">
        <f>IF(($C131-SUM($D131:D131,($C131-$D131)/$D117))&lt;0,$C131-SUM($D131:D131),($C131-$D131)/$D117)/2</f>
        <v>0.526725</v>
      </c>
      <c r="F131" s="197">
        <f>IF(($C131-SUM($D131:E131,($C131-$D131)/$D117))&lt;0,$C131-SUM($D131:E131),($C131-$D131)/$D117)</f>
        <v>1.05345</v>
      </c>
      <c r="G131" s="197">
        <f>IF(($C131-SUM($D131:F131,($C131-$D131)/$D117))&lt;0,$C131-SUM($D131:F131),($C131-$D131)/$D117)</f>
        <v>1.05345</v>
      </c>
      <c r="H131" s="197">
        <f>IF(($C131-SUM($D131:G131,($C131-$D131)/$D117))&lt;0,$C131-SUM($D131:G131),($C131-$D131)/$D117)</f>
        <v>1.05345</v>
      </c>
      <c r="I131" s="197">
        <f>IF(($C131-SUM($D131:H131,($C131-$D131)/$D117))&lt;0,$C131-SUM($D131:H131),($C131-$D131)/$D117)</f>
        <v>1.05345</v>
      </c>
      <c r="J131" s="197">
        <f>IF(($C131-SUM($D131:I131,($C131-$D131)/$D117))&lt;0,$C131-SUM($D131:I131),($C131-$D131)/$D117)</f>
        <v>1.05345</v>
      </c>
      <c r="L131" s="1171"/>
      <c r="M131" s="197"/>
      <c r="N131" s="197"/>
      <c r="O131" s="197"/>
      <c r="P131" s="256"/>
      <c r="Q131" s="256"/>
      <c r="R131" s="256"/>
      <c r="S131" s="256"/>
      <c r="T131" s="256"/>
      <c r="U131" s="197"/>
    </row>
    <row r="132" spans="2:21" ht="16">
      <c r="B132" s="1155" t="s">
        <v>746</v>
      </c>
      <c r="C132" s="233">
        <f>BS!E28/1000000</f>
        <v>104.54600000000001</v>
      </c>
      <c r="D132" s="233">
        <f>-BS!E29/1000000</f>
        <v>31.364000000000001</v>
      </c>
      <c r="E132" s="197">
        <f>IF(($C132-SUM($D132:D132,($C132-$D132)/$D118))&lt;0,$C132-SUM($D132:D132),($C132-$D132)/$D118)/2</f>
        <v>7.3182</v>
      </c>
      <c r="F132" s="197">
        <f>IF(($C132-SUM($D132:E132,($C132-$D132)/$D118))&lt;0,$C132-SUM($D132:E132),($C132-$D132)/$D118)</f>
        <v>14.6364</v>
      </c>
      <c r="G132" s="197">
        <f>IF(($C132-SUM($D132:F132,($C132-$D132)/$D118))&lt;0,$C132-SUM($D132:F132),($C132-$D132)/$D118)</f>
        <v>14.6364</v>
      </c>
      <c r="H132" s="197">
        <f>IF(($C132-SUM($D132:G132,($C132-$D132)/$D118))&lt;0,$C132-SUM($D132:G132),($C132-$D132)/$D118)</f>
        <v>14.6364</v>
      </c>
      <c r="I132" s="197">
        <f>IF(($C132-SUM($D132:H132,($C132-$D132)/$D118))&lt;0,$C132-SUM($D132:H132),($C132-$D132)/$D118)</f>
        <v>14.6364</v>
      </c>
      <c r="J132" s="197">
        <f>IF(($C132-SUM($D132:I132,($C132-$D132)/$D118))&lt;0,$C132-SUM($D132:I132),($C132-$D132)/$D118)</f>
        <v>7.3182000000000187</v>
      </c>
      <c r="L132" s="1171"/>
      <c r="M132" s="197"/>
      <c r="N132" s="197"/>
      <c r="O132" s="197"/>
      <c r="P132" s="197"/>
      <c r="Q132" s="256"/>
      <c r="R132" s="256"/>
      <c r="S132" s="256"/>
      <c r="T132" s="256"/>
      <c r="U132" s="197"/>
    </row>
    <row r="133" spans="2:21" ht="16">
      <c r="B133" s="1158" t="s">
        <v>747</v>
      </c>
      <c r="C133" s="258">
        <f>BS!E30/1000000</f>
        <v>134399.98499999999</v>
      </c>
      <c r="D133" s="258">
        <f>-BS!E31/1000000</f>
        <v>80833.794999999998</v>
      </c>
      <c r="E133" s="8">
        <f>E217</f>
        <v>10698.083615895997</v>
      </c>
      <c r="F133" s="8">
        <f t="shared" ref="F133:J133" si="35">F217</f>
        <v>20113.723031791997</v>
      </c>
      <c r="G133" s="8">
        <f t="shared" si="35"/>
        <v>15411.427631792005</v>
      </c>
      <c r="H133" s="8">
        <f t="shared" si="35"/>
        <v>11993.409071792004</v>
      </c>
      <c r="I133" s="8">
        <f t="shared" si="35"/>
        <v>6790.2040432205758</v>
      </c>
      <c r="J133" s="8">
        <f t="shared" si="35"/>
        <v>2542.368309887243</v>
      </c>
      <c r="L133" s="1171"/>
      <c r="M133" s="197"/>
      <c r="N133" s="197"/>
      <c r="O133" s="197"/>
      <c r="P133" s="197"/>
      <c r="Q133" s="197"/>
      <c r="R133" s="256"/>
      <c r="S133" s="256"/>
      <c r="T133" s="256"/>
      <c r="U133" s="197"/>
    </row>
    <row r="134" spans="2:21" ht="16">
      <c r="B134" s="1158" t="s">
        <v>822</v>
      </c>
      <c r="C134" s="258">
        <f>BS!E40/1000000</f>
        <v>3926.251432</v>
      </c>
      <c r="D134" s="258"/>
      <c r="E134" s="609">
        <f>IF(($C134-SUM($D134:D134,($C134-$D134)/$D120))&lt;0,$C134-SUM($D134:D134),($C134-$D134)/$D120)/2</f>
        <v>392.62514320000002</v>
      </c>
      <c r="F134" s="609">
        <f>IF(($C134-SUM($D134:E134,($C134-$D134)/$D120))&lt;0,$C134-SUM($D134:E134),($C134-$D134)/$D120)</f>
        <v>785.25028640000005</v>
      </c>
      <c r="G134" s="609">
        <f>IF(($C134-SUM($D134:F134,($C134-$D134)/$D120))&lt;0,$C134-SUM($D134:F134),($C134-$D134)/$D120)</f>
        <v>785.25028640000005</v>
      </c>
      <c r="H134" s="609">
        <f>IF(($C134-SUM($D134:G134,($C134-$D134)/$D120))&lt;0,$C134-SUM($D134:G134),($C134-$D134)/$D120)</f>
        <v>785.25028640000005</v>
      </c>
      <c r="I134" s="609">
        <f>IF(($C134-SUM($D134:H134,($C134-$D134)/$D120))&lt;0,$C134-SUM($D134:H134),($C134-$D134)/$D120)</f>
        <v>785.25028640000005</v>
      </c>
      <c r="J134" s="609">
        <f>IF(($C134-SUM($D134:I134,($C134-$D134)/$D120))&lt;0,$C134-SUM($D134:I134),($C134-$D134)/$D120)</f>
        <v>392.62514319999991</v>
      </c>
      <c r="L134" s="1171"/>
      <c r="M134" s="197"/>
      <c r="N134" s="197"/>
      <c r="O134" s="197"/>
      <c r="P134" s="197"/>
      <c r="Q134" s="197"/>
      <c r="R134" s="197"/>
      <c r="S134" s="256"/>
      <c r="T134" s="256"/>
      <c r="U134" s="197"/>
    </row>
    <row r="135" spans="2:21">
      <c r="L135" s="1171"/>
      <c r="M135" s="197"/>
      <c r="N135" s="197"/>
      <c r="O135" s="197"/>
      <c r="P135" s="197"/>
      <c r="Q135" s="197"/>
      <c r="R135" s="197"/>
      <c r="S135" s="197"/>
      <c r="T135" s="197"/>
      <c r="U135" s="197"/>
    </row>
    <row r="136" spans="2:21">
      <c r="B136" s="1155" t="s">
        <v>2982</v>
      </c>
      <c r="L136" s="1159"/>
      <c r="M136" s="197"/>
      <c r="N136" s="197"/>
      <c r="O136" s="197"/>
      <c r="P136" s="197"/>
      <c r="Q136" s="197"/>
      <c r="R136" s="197"/>
      <c r="S136" s="197"/>
      <c r="T136" s="197"/>
      <c r="U136" s="197"/>
    </row>
    <row r="137" spans="2:21">
      <c r="L137" s="1159"/>
      <c r="M137" s="197"/>
      <c r="N137" s="197"/>
      <c r="O137" s="197"/>
      <c r="P137" s="197"/>
      <c r="Q137" s="197"/>
      <c r="R137" s="197"/>
      <c r="S137" s="197"/>
      <c r="T137" s="197"/>
      <c r="U137" s="197"/>
    </row>
    <row r="138" spans="2:21">
      <c r="B138" s="1155" t="s">
        <v>2983</v>
      </c>
      <c r="L138" s="1159"/>
      <c r="M138" s="197"/>
      <c r="N138" s="197"/>
      <c r="O138" s="197"/>
      <c r="P138" s="197"/>
      <c r="Q138" s="197"/>
      <c r="R138" s="197"/>
      <c r="S138" s="197"/>
      <c r="T138" s="197"/>
    </row>
    <row r="139" spans="2:21">
      <c r="B139" s="1305" t="s">
        <v>2987</v>
      </c>
      <c r="C139" s="1306" t="s">
        <v>2986</v>
      </c>
      <c r="D139" s="1306" t="s">
        <v>2988</v>
      </c>
      <c r="E139" s="1306" t="s">
        <v>2989</v>
      </c>
      <c r="F139" s="1307" t="s">
        <v>2990</v>
      </c>
      <c r="L139" s="1159"/>
      <c r="M139" s="197"/>
      <c r="N139" s="197"/>
      <c r="O139" s="197"/>
      <c r="P139" s="197"/>
      <c r="Q139" s="197"/>
      <c r="R139" s="197"/>
      <c r="S139" s="197"/>
      <c r="T139" s="197"/>
    </row>
    <row r="140" spans="2:21">
      <c r="B140" s="1308" t="s">
        <v>743</v>
      </c>
      <c r="C140" s="197">
        <f>D372</f>
        <v>0</v>
      </c>
      <c r="D140" s="197">
        <f>D373</f>
        <v>4829.5550000000003</v>
      </c>
      <c r="E140" s="197">
        <f>D374</f>
        <v>1065.902</v>
      </c>
      <c r="F140" s="1309">
        <f>E140/$E$145</f>
        <v>2.2797103783005344E-2</v>
      </c>
      <c r="L140" s="1159"/>
      <c r="M140" s="197"/>
      <c r="N140" s="197"/>
      <c r="O140" s="197"/>
      <c r="P140" s="197"/>
      <c r="Q140" s="197"/>
      <c r="R140" s="197"/>
      <c r="S140" s="197"/>
      <c r="T140" s="197"/>
    </row>
    <row r="141" spans="2:21">
      <c r="B141" s="1308" t="s">
        <v>744</v>
      </c>
      <c r="C141" s="197">
        <f>D375</f>
        <v>13190.718999999999</v>
      </c>
      <c r="D141" s="197">
        <f>D376</f>
        <v>16678.22</v>
      </c>
      <c r="E141" s="197">
        <f>D377</f>
        <v>21770.048999999999</v>
      </c>
      <c r="F141" s="1309">
        <f>E141/$E$145</f>
        <v>0.46560947105279066</v>
      </c>
      <c r="L141" s="1159"/>
      <c r="M141" s="197"/>
      <c r="N141" s="197"/>
      <c r="O141" s="197"/>
      <c r="P141" s="197"/>
      <c r="Q141" s="197"/>
      <c r="R141" s="197"/>
      <c r="S141" s="197"/>
      <c r="T141" s="197"/>
    </row>
    <row r="142" spans="2:21">
      <c r="B142" s="1308" t="s">
        <v>745</v>
      </c>
      <c r="C142" s="197">
        <f>D378</f>
        <v>0</v>
      </c>
      <c r="D142" s="197">
        <f>D379</f>
        <v>0</v>
      </c>
      <c r="E142" s="197">
        <f>D380</f>
        <v>26</v>
      </c>
      <c r="F142" s="1309">
        <f>E142/$E$145</f>
        <v>5.5607804315794412E-4</v>
      </c>
      <c r="L142" s="1159"/>
      <c r="M142" s="197"/>
      <c r="N142" s="197"/>
      <c r="O142" s="197"/>
      <c r="P142" s="197"/>
      <c r="Q142" s="197"/>
      <c r="R142" s="197"/>
      <c r="S142" s="197"/>
      <c r="T142" s="197"/>
    </row>
    <row r="143" spans="2:21">
      <c r="B143" s="1308" t="s">
        <v>747</v>
      </c>
      <c r="C143" s="197">
        <f>D384</f>
        <v>10681.308000000001</v>
      </c>
      <c r="D143" s="197">
        <f>D385</f>
        <v>22764.022000000001</v>
      </c>
      <c r="E143" s="197">
        <f>D386</f>
        <v>23894.076000000001</v>
      </c>
      <c r="F143" s="1309">
        <f>E143/$E$145</f>
        <v>0.51103734712104598</v>
      </c>
      <c r="G143" s="196"/>
      <c r="L143" s="1159"/>
      <c r="M143" s="197"/>
      <c r="N143" s="197"/>
      <c r="O143" s="197"/>
      <c r="P143" s="197"/>
      <c r="Q143" s="197"/>
      <c r="R143" s="197"/>
      <c r="S143" s="197"/>
      <c r="T143" s="197"/>
    </row>
    <row r="144" spans="2:21">
      <c r="B144" s="1308" t="s">
        <v>746</v>
      </c>
      <c r="C144" s="197">
        <f>D381</f>
        <v>0</v>
      </c>
      <c r="D144" s="197">
        <f>D382</f>
        <v>104.54600000000001</v>
      </c>
      <c r="E144" s="197">
        <f>D383</f>
        <v>0</v>
      </c>
      <c r="F144" s="1309">
        <f>E144/$E$145</f>
        <v>0</v>
      </c>
      <c r="L144" s="1159"/>
      <c r="M144" s="197"/>
      <c r="N144" s="197"/>
      <c r="O144" s="197"/>
      <c r="P144" s="197"/>
      <c r="Q144" s="197"/>
      <c r="R144" s="197"/>
      <c r="S144" s="197"/>
      <c r="T144" s="197"/>
    </row>
    <row r="145" spans="2:20">
      <c r="B145" s="1310"/>
      <c r="C145" s="1041">
        <f t="shared" ref="C145:D145" si="36">SUM(C140:C144)</f>
        <v>23872.027000000002</v>
      </c>
      <c r="D145" s="1041">
        <f t="shared" si="36"/>
        <v>44376.343000000008</v>
      </c>
      <c r="E145" s="1041">
        <f>SUM(E140:E144)</f>
        <v>46756.027000000002</v>
      </c>
      <c r="F145" s="1311">
        <f>SUM(F140:F144)</f>
        <v>1</v>
      </c>
      <c r="L145" s="1159"/>
      <c r="M145" s="197"/>
      <c r="N145" s="197"/>
      <c r="O145" s="197"/>
      <c r="P145" s="197"/>
      <c r="Q145" s="197"/>
      <c r="R145" s="197"/>
      <c r="S145" s="197"/>
      <c r="T145" s="197"/>
    </row>
    <row r="146" spans="2:20">
      <c r="L146" s="1159"/>
      <c r="M146" s="197"/>
      <c r="N146" s="197"/>
      <c r="O146" s="197"/>
      <c r="P146" s="197"/>
      <c r="Q146" s="197"/>
      <c r="R146" s="197"/>
      <c r="S146" s="197"/>
      <c r="T146" s="197"/>
    </row>
    <row r="147" spans="2:20">
      <c r="B147" s="1155" t="s">
        <v>2984</v>
      </c>
      <c r="L147" s="1159"/>
      <c r="M147" s="197"/>
      <c r="N147" s="197"/>
      <c r="O147" s="197"/>
      <c r="P147" s="197"/>
      <c r="Q147" s="197"/>
      <c r="R147" s="197"/>
      <c r="S147" s="197"/>
      <c r="T147" s="197"/>
    </row>
    <row r="148" spans="2:20">
      <c r="L148" s="1159"/>
      <c r="M148" s="197"/>
      <c r="N148" s="197"/>
      <c r="O148" s="197"/>
      <c r="P148" s="197"/>
      <c r="Q148" s="197"/>
      <c r="R148" s="197"/>
      <c r="S148" s="197"/>
      <c r="T148" s="197"/>
    </row>
    <row r="149" spans="2:20">
      <c r="L149" s="1159"/>
      <c r="M149" s="197"/>
      <c r="N149" s="197"/>
      <c r="O149" s="197"/>
      <c r="P149" s="197"/>
      <c r="Q149" s="197"/>
      <c r="R149" s="197"/>
      <c r="S149" s="197"/>
      <c r="T149" s="197"/>
    </row>
    <row r="150" spans="2:20">
      <c r="B150" s="1155" t="s">
        <v>743</v>
      </c>
      <c r="C150" s="2">
        <f>$C$155*F140</f>
        <v>567.06847886593982</v>
      </c>
      <c r="L150" s="1159"/>
      <c r="M150" s="197"/>
      <c r="N150" s="197"/>
      <c r="O150" s="197"/>
      <c r="P150" s="197"/>
      <c r="Q150" s="197"/>
      <c r="R150" s="197"/>
      <c r="S150" s="197"/>
      <c r="T150" s="197"/>
    </row>
    <row r="151" spans="2:20">
      <c r="B151" s="1155" t="s">
        <v>744</v>
      </c>
      <c r="C151" s="2">
        <f>$C$155*F141</f>
        <v>11581.842018559842</v>
      </c>
      <c r="L151" s="1159"/>
      <c r="M151" s="197"/>
      <c r="N151" s="197"/>
      <c r="O151" s="197"/>
      <c r="P151" s="197"/>
      <c r="Q151" s="197"/>
      <c r="R151" s="197"/>
      <c r="S151" s="197"/>
      <c r="T151" s="197"/>
    </row>
    <row r="152" spans="2:20">
      <c r="B152" s="1155" t="s">
        <v>745</v>
      </c>
      <c r="C152" s="2">
        <f>$C$155*F142</f>
        <v>13.832210137999963</v>
      </c>
      <c r="L152" s="1159"/>
      <c r="M152" s="197"/>
      <c r="N152" s="197"/>
      <c r="O152" s="197"/>
      <c r="P152" s="197"/>
      <c r="Q152" s="197"/>
      <c r="R152" s="197"/>
      <c r="S152" s="197"/>
      <c r="T152" s="197"/>
    </row>
    <row r="153" spans="2:20">
      <c r="B153" s="1155" t="s">
        <v>747</v>
      </c>
      <c r="C153" s="2">
        <f>$C$155*F143</f>
        <v>12711.841549436214</v>
      </c>
      <c r="L153" s="1159"/>
      <c r="M153" s="197"/>
      <c r="N153" s="197"/>
      <c r="O153" s="197"/>
      <c r="P153" s="197"/>
      <c r="Q153" s="197"/>
      <c r="R153" s="197"/>
      <c r="S153" s="197"/>
      <c r="T153" s="197"/>
    </row>
    <row r="154" spans="2:20">
      <c r="B154" s="1155" t="s">
        <v>746</v>
      </c>
      <c r="C154" s="2">
        <f>$C$155*F144</f>
        <v>0</v>
      </c>
      <c r="L154" s="1159"/>
      <c r="M154" s="197"/>
      <c r="N154" s="197"/>
      <c r="O154" s="197"/>
      <c r="P154" s="197"/>
      <c r="Q154" s="197"/>
      <c r="R154" s="197"/>
      <c r="S154" s="197"/>
      <c r="T154" s="197"/>
    </row>
    <row r="155" spans="2:20">
      <c r="B155" s="1155" t="s">
        <v>2980</v>
      </c>
      <c r="C155" s="2">
        <f>-D410</f>
        <v>24874.584256999999</v>
      </c>
      <c r="L155" s="1159"/>
      <c r="M155" s="197"/>
      <c r="N155" s="197"/>
      <c r="O155" s="197"/>
      <c r="P155" s="197"/>
      <c r="Q155" s="197"/>
      <c r="R155" s="197"/>
      <c r="S155" s="197"/>
      <c r="T155" s="197"/>
    </row>
    <row r="156" spans="2:20">
      <c r="B156" s="1155" t="s">
        <v>2984</v>
      </c>
      <c r="C156" s="2">
        <f>-D411</f>
        <v>666.19668000000001</v>
      </c>
      <c r="L156" s="1159"/>
      <c r="M156" s="197"/>
      <c r="N156" s="197"/>
      <c r="O156" s="197"/>
      <c r="P156" s="197"/>
      <c r="Q156" s="197"/>
      <c r="R156" s="197"/>
      <c r="S156" s="197"/>
      <c r="T156" s="197"/>
    </row>
    <row r="157" spans="2:20">
      <c r="L157" s="1159"/>
      <c r="M157" s="197"/>
      <c r="N157" s="197"/>
      <c r="O157" s="197"/>
      <c r="P157" s="197"/>
      <c r="Q157" s="197"/>
      <c r="R157" s="197"/>
      <c r="S157" s="197"/>
      <c r="T157" s="197"/>
    </row>
    <row r="158" spans="2:20">
      <c r="E158" s="196"/>
      <c r="L158" s="1159"/>
      <c r="M158" s="197"/>
      <c r="N158" s="197"/>
      <c r="O158" s="197"/>
      <c r="P158" s="197"/>
      <c r="Q158" s="197"/>
      <c r="R158" s="197"/>
      <c r="S158" s="197"/>
      <c r="T158" s="197"/>
    </row>
    <row r="162" spans="2:10">
      <c r="B162" s="1156" t="s">
        <v>2974</v>
      </c>
      <c r="C162" s="2">
        <f>C130-D130</f>
        <v>129634.95599999999</v>
      </c>
    </row>
    <row r="163" spans="2:10">
      <c r="B163" s="1156"/>
      <c r="C163" s="2">
        <f>C162-C190-C191-C192</f>
        <v>77995.967999999993</v>
      </c>
    </row>
    <row r="164" spans="2:10">
      <c r="B164" s="2"/>
    </row>
    <row r="165" spans="2:10">
      <c r="B165" s="1299" t="s">
        <v>2979</v>
      </c>
      <c r="C165" s="2">
        <f>D375</f>
        <v>13190.718999999999</v>
      </c>
    </row>
    <row r="166" spans="2:10">
      <c r="B166" s="1299" t="s">
        <v>2978</v>
      </c>
      <c r="C166" s="2">
        <f t="shared" ref="C166" si="37">D376</f>
        <v>16678.22</v>
      </c>
    </row>
    <row r="167" spans="2:10">
      <c r="B167" s="1299" t="s">
        <v>2977</v>
      </c>
      <c r="C167" s="2">
        <f>D377</f>
        <v>21770.048999999999</v>
      </c>
    </row>
    <row r="168" spans="2:10">
      <c r="B168" s="1156" t="s">
        <v>2980</v>
      </c>
      <c r="C168" s="2">
        <f>SUM(C165:C167)</f>
        <v>51638.987999999998</v>
      </c>
    </row>
    <row r="169" spans="2:10">
      <c r="B169" s="1156" t="s">
        <v>2981</v>
      </c>
      <c r="C169" s="2">
        <f>C162-C168</f>
        <v>77995.967999999993</v>
      </c>
    </row>
    <row r="170" spans="2:10">
      <c r="B170" s="1156"/>
    </row>
    <row r="172" spans="2:10">
      <c r="B172" s="1150" t="s">
        <v>679</v>
      </c>
      <c r="C172" s="102" t="s">
        <v>2976</v>
      </c>
      <c r="D172" s="102"/>
      <c r="E172" s="102" t="s">
        <v>815</v>
      </c>
      <c r="F172" s="1150">
        <v>2012</v>
      </c>
      <c r="G172" s="1150">
        <v>2013</v>
      </c>
      <c r="H172" s="1150">
        <v>2014</v>
      </c>
      <c r="I172" s="1150">
        <v>2015</v>
      </c>
      <c r="J172" s="1150">
        <v>2016</v>
      </c>
    </row>
    <row r="173" spans="2:10" ht="16">
      <c r="B173" s="1171" t="s">
        <v>815</v>
      </c>
      <c r="C173" s="2">
        <f>C169/16.5/2</f>
        <v>2363.5141818181814</v>
      </c>
      <c r="D173" s="255">
        <v>1</v>
      </c>
      <c r="E173" s="255">
        <f>C173/2</f>
        <v>1181.7570909090907</v>
      </c>
      <c r="F173" s="255">
        <f>E173</f>
        <v>1181.7570909090907</v>
      </c>
      <c r="G173" s="255"/>
      <c r="H173" s="255"/>
      <c r="I173" s="255"/>
      <c r="J173" s="255"/>
    </row>
    <row r="174" spans="2:10" ht="16">
      <c r="B174" s="1171">
        <v>2012</v>
      </c>
      <c r="C174" s="2">
        <f>C173*2</f>
        <v>4727.0283636363629</v>
      </c>
      <c r="D174" s="2">
        <v>2</v>
      </c>
      <c r="E174" s="255">
        <f>C174/3</f>
        <v>1575.676121212121</v>
      </c>
      <c r="F174" s="255">
        <f>E174*2</f>
        <v>3151.3522424242419</v>
      </c>
      <c r="G174" s="255"/>
      <c r="H174" s="255"/>
      <c r="I174" s="255"/>
      <c r="J174" s="255"/>
    </row>
    <row r="175" spans="2:10" ht="16">
      <c r="B175" s="1171">
        <v>2013</v>
      </c>
      <c r="C175" s="2">
        <f>C174</f>
        <v>4727.0283636363629</v>
      </c>
      <c r="D175" s="2">
        <v>3</v>
      </c>
      <c r="E175" s="255">
        <f>F175/2</f>
        <v>945.40567272727253</v>
      </c>
      <c r="F175" s="255">
        <f>C175/2.5</f>
        <v>1890.8113454545451</v>
      </c>
      <c r="G175" s="255">
        <f>F175</f>
        <v>1890.8113454545451</v>
      </c>
      <c r="H175" s="255"/>
      <c r="I175" s="255"/>
      <c r="J175" s="255"/>
    </row>
    <row r="176" spans="2:10" ht="16">
      <c r="B176" s="1171">
        <v>2014</v>
      </c>
      <c r="C176" s="2">
        <f t="shared" ref="C176:C189" si="38">C175</f>
        <v>4727.0283636363629</v>
      </c>
      <c r="D176" s="2">
        <v>4</v>
      </c>
      <c r="E176" s="255">
        <f>F176/2</f>
        <v>675.28976623376616</v>
      </c>
      <c r="F176" s="255">
        <f>C176/3.5</f>
        <v>1350.5795324675323</v>
      </c>
      <c r="G176" s="255">
        <f>F176</f>
        <v>1350.5795324675323</v>
      </c>
      <c r="H176" s="255">
        <f>G176</f>
        <v>1350.5795324675323</v>
      </c>
      <c r="I176" s="255"/>
      <c r="J176" s="255"/>
    </row>
    <row r="177" spans="2:10" ht="16">
      <c r="B177" s="1171">
        <v>2015</v>
      </c>
      <c r="C177" s="2">
        <f t="shared" si="38"/>
        <v>4727.0283636363629</v>
      </c>
      <c r="D177" s="2">
        <v>5</v>
      </c>
      <c r="E177" s="255">
        <f>F177/2</f>
        <v>525.22537373737362</v>
      </c>
      <c r="F177" s="255">
        <f>C177/4.5</f>
        <v>1050.4507474747472</v>
      </c>
      <c r="G177" s="255">
        <f>F177</f>
        <v>1050.4507474747472</v>
      </c>
      <c r="H177" s="255">
        <f>G177</f>
        <v>1050.4507474747472</v>
      </c>
      <c r="I177" s="255">
        <f>H177</f>
        <v>1050.4507474747472</v>
      </c>
      <c r="J177" s="255"/>
    </row>
    <row r="178" spans="2:10" ht="16">
      <c r="B178" s="1171">
        <v>2016</v>
      </c>
      <c r="C178" s="2">
        <f t="shared" si="38"/>
        <v>4727.0283636363629</v>
      </c>
      <c r="D178" s="2">
        <v>6</v>
      </c>
      <c r="E178" s="255">
        <f>$C178/$D178/2</f>
        <v>393.91903030303024</v>
      </c>
      <c r="F178" s="255">
        <f>$C178/$D178</f>
        <v>787.83806060606048</v>
      </c>
      <c r="G178" s="255">
        <f>$C178/$D178</f>
        <v>787.83806060606048</v>
      </c>
      <c r="H178" s="255">
        <f>$C178/$D178</f>
        <v>787.83806060606048</v>
      </c>
      <c r="I178" s="255">
        <f>$C178/$D178</f>
        <v>787.83806060606048</v>
      </c>
      <c r="J178" s="255">
        <f>$C178/$D178</f>
        <v>787.83806060606048</v>
      </c>
    </row>
    <row r="179" spans="2:10" ht="16">
      <c r="B179" s="1171">
        <v>2017</v>
      </c>
      <c r="C179" s="2">
        <f t="shared" si="38"/>
        <v>4727.0283636363629</v>
      </c>
      <c r="D179" s="2">
        <v>7</v>
      </c>
      <c r="E179" s="255">
        <f t="shared" ref="E179:E194" si="39">$C179/$D179/2</f>
        <v>337.64488311688308</v>
      </c>
      <c r="F179" s="255">
        <f t="shared" ref="F179:J194" si="40">$C179/$D179</f>
        <v>675.28976623376616</v>
      </c>
      <c r="G179" s="255">
        <f t="shared" si="40"/>
        <v>675.28976623376616</v>
      </c>
      <c r="H179" s="255">
        <f t="shared" si="40"/>
        <v>675.28976623376616</v>
      </c>
      <c r="I179" s="255">
        <f t="shared" si="40"/>
        <v>675.28976623376616</v>
      </c>
      <c r="J179" s="255">
        <f t="shared" si="40"/>
        <v>675.28976623376616</v>
      </c>
    </row>
    <row r="180" spans="2:10" ht="16">
      <c r="B180" s="1171">
        <v>2018</v>
      </c>
      <c r="C180" s="2">
        <f t="shared" si="38"/>
        <v>4727.0283636363629</v>
      </c>
      <c r="D180" s="2">
        <v>8</v>
      </c>
      <c r="E180" s="255">
        <f t="shared" si="39"/>
        <v>295.43927272727268</v>
      </c>
      <c r="F180" s="255">
        <f t="shared" si="40"/>
        <v>590.87854545454536</v>
      </c>
      <c r="G180" s="255">
        <f t="shared" si="40"/>
        <v>590.87854545454536</v>
      </c>
      <c r="H180" s="255">
        <f t="shared" si="40"/>
        <v>590.87854545454536</v>
      </c>
      <c r="I180" s="255">
        <f t="shared" si="40"/>
        <v>590.87854545454536</v>
      </c>
      <c r="J180" s="255">
        <f t="shared" si="40"/>
        <v>590.87854545454536</v>
      </c>
    </row>
    <row r="181" spans="2:10" ht="16">
      <c r="B181" s="1171">
        <v>2019</v>
      </c>
      <c r="C181" s="2">
        <f t="shared" si="38"/>
        <v>4727.0283636363629</v>
      </c>
      <c r="D181" s="2">
        <v>9</v>
      </c>
      <c r="E181" s="255">
        <f t="shared" si="39"/>
        <v>262.61268686868681</v>
      </c>
      <c r="F181" s="255">
        <f t="shared" si="40"/>
        <v>525.22537373737362</v>
      </c>
      <c r="G181" s="255">
        <f t="shared" si="40"/>
        <v>525.22537373737362</v>
      </c>
      <c r="H181" s="255">
        <f t="shared" si="40"/>
        <v>525.22537373737362</v>
      </c>
      <c r="I181" s="255">
        <f t="shared" si="40"/>
        <v>525.22537373737362</v>
      </c>
      <c r="J181" s="255">
        <f t="shared" si="40"/>
        <v>525.22537373737362</v>
      </c>
    </row>
    <row r="182" spans="2:10" ht="16">
      <c r="B182" s="1171">
        <v>2020</v>
      </c>
      <c r="C182" s="2">
        <f t="shared" si="38"/>
        <v>4727.0283636363629</v>
      </c>
      <c r="D182" s="2">
        <v>10</v>
      </c>
      <c r="E182" s="255">
        <f t="shared" si="39"/>
        <v>236.35141818181813</v>
      </c>
      <c r="F182" s="255">
        <f t="shared" si="40"/>
        <v>472.70283636363627</v>
      </c>
      <c r="G182" s="255">
        <f t="shared" si="40"/>
        <v>472.70283636363627</v>
      </c>
      <c r="H182" s="255">
        <f t="shared" si="40"/>
        <v>472.70283636363627</v>
      </c>
      <c r="I182" s="255">
        <f t="shared" si="40"/>
        <v>472.70283636363627</v>
      </c>
      <c r="J182" s="255">
        <f t="shared" si="40"/>
        <v>472.70283636363627</v>
      </c>
    </row>
    <row r="183" spans="2:10" ht="16">
      <c r="B183" s="1171">
        <v>2021</v>
      </c>
      <c r="C183" s="2">
        <f t="shared" si="38"/>
        <v>4727.0283636363629</v>
      </c>
      <c r="D183" s="2">
        <v>11</v>
      </c>
      <c r="E183" s="255">
        <f t="shared" si="39"/>
        <v>214.86492561983468</v>
      </c>
      <c r="F183" s="255">
        <f t="shared" si="40"/>
        <v>429.72985123966936</v>
      </c>
      <c r="G183" s="255">
        <f t="shared" si="40"/>
        <v>429.72985123966936</v>
      </c>
      <c r="H183" s="255">
        <f t="shared" si="40"/>
        <v>429.72985123966936</v>
      </c>
      <c r="I183" s="255">
        <f t="shared" si="40"/>
        <v>429.72985123966936</v>
      </c>
      <c r="J183" s="255">
        <f t="shared" si="40"/>
        <v>429.72985123966936</v>
      </c>
    </row>
    <row r="184" spans="2:10" ht="16">
      <c r="B184" s="1171">
        <v>2022</v>
      </c>
      <c r="C184" s="2">
        <f t="shared" si="38"/>
        <v>4727.0283636363629</v>
      </c>
      <c r="D184" s="2">
        <v>12</v>
      </c>
      <c r="E184" s="255">
        <f t="shared" si="39"/>
        <v>196.95951515151512</v>
      </c>
      <c r="F184" s="255">
        <f t="shared" si="40"/>
        <v>393.91903030303024</v>
      </c>
      <c r="G184" s="255">
        <f t="shared" si="40"/>
        <v>393.91903030303024</v>
      </c>
      <c r="H184" s="255">
        <f t="shared" si="40"/>
        <v>393.91903030303024</v>
      </c>
      <c r="I184" s="255">
        <f t="shared" si="40"/>
        <v>393.91903030303024</v>
      </c>
      <c r="J184" s="255">
        <f t="shared" si="40"/>
        <v>393.91903030303024</v>
      </c>
    </row>
    <row r="185" spans="2:10" ht="16">
      <c r="B185" s="1171">
        <v>2023</v>
      </c>
      <c r="C185" s="2">
        <f t="shared" si="38"/>
        <v>4727.0283636363629</v>
      </c>
      <c r="D185" s="2">
        <v>13</v>
      </c>
      <c r="E185" s="255">
        <f t="shared" si="39"/>
        <v>181.80878321678318</v>
      </c>
      <c r="F185" s="255">
        <f t="shared" si="40"/>
        <v>363.61756643356637</v>
      </c>
      <c r="G185" s="255">
        <f t="shared" si="40"/>
        <v>363.61756643356637</v>
      </c>
      <c r="H185" s="255">
        <f t="shared" si="40"/>
        <v>363.61756643356637</v>
      </c>
      <c r="I185" s="255">
        <f t="shared" si="40"/>
        <v>363.61756643356637</v>
      </c>
      <c r="J185" s="255">
        <f t="shared" si="40"/>
        <v>363.61756643356637</v>
      </c>
    </row>
    <row r="186" spans="2:10" ht="16">
      <c r="B186" s="1171">
        <v>2024</v>
      </c>
      <c r="C186" s="2">
        <f t="shared" si="38"/>
        <v>4727.0283636363629</v>
      </c>
      <c r="D186" s="2">
        <v>14</v>
      </c>
      <c r="E186" s="255">
        <f t="shared" si="39"/>
        <v>168.82244155844154</v>
      </c>
      <c r="F186" s="255">
        <f t="shared" si="40"/>
        <v>337.64488311688308</v>
      </c>
      <c r="G186" s="255">
        <f t="shared" si="40"/>
        <v>337.64488311688308</v>
      </c>
      <c r="H186" s="255">
        <f t="shared" si="40"/>
        <v>337.64488311688308</v>
      </c>
      <c r="I186" s="255">
        <f t="shared" si="40"/>
        <v>337.64488311688308</v>
      </c>
      <c r="J186" s="255">
        <f t="shared" si="40"/>
        <v>337.64488311688308</v>
      </c>
    </row>
    <row r="187" spans="2:10" ht="16">
      <c r="B187" s="1171">
        <v>2025</v>
      </c>
      <c r="C187" s="2">
        <f t="shared" si="38"/>
        <v>4727.0283636363629</v>
      </c>
      <c r="D187" s="2">
        <v>15</v>
      </c>
      <c r="E187" s="255">
        <f t="shared" si="39"/>
        <v>157.56761212121211</v>
      </c>
      <c r="F187" s="255">
        <f t="shared" si="40"/>
        <v>315.13522424242421</v>
      </c>
      <c r="G187" s="255">
        <f t="shared" si="40"/>
        <v>315.13522424242421</v>
      </c>
      <c r="H187" s="255">
        <f t="shared" si="40"/>
        <v>315.13522424242421</v>
      </c>
      <c r="I187" s="255">
        <f t="shared" si="40"/>
        <v>315.13522424242421</v>
      </c>
      <c r="J187" s="255">
        <f t="shared" si="40"/>
        <v>315.13522424242421</v>
      </c>
    </row>
    <row r="188" spans="2:10" ht="16">
      <c r="B188" s="1171">
        <v>2026</v>
      </c>
      <c r="C188" s="2">
        <f t="shared" si="38"/>
        <v>4727.0283636363629</v>
      </c>
      <c r="D188" s="2">
        <v>16</v>
      </c>
      <c r="E188" s="255">
        <f t="shared" si="39"/>
        <v>147.71963636363634</v>
      </c>
      <c r="F188" s="255">
        <f t="shared" si="40"/>
        <v>295.43927272727268</v>
      </c>
      <c r="G188" s="255">
        <f t="shared" si="40"/>
        <v>295.43927272727268</v>
      </c>
      <c r="H188" s="255">
        <f t="shared" si="40"/>
        <v>295.43927272727268</v>
      </c>
      <c r="I188" s="255">
        <f t="shared" si="40"/>
        <v>295.43927272727268</v>
      </c>
      <c r="J188" s="255">
        <f t="shared" si="40"/>
        <v>295.43927272727268</v>
      </c>
    </row>
    <row r="189" spans="2:10" ht="16">
      <c r="B189" s="1171">
        <v>2027</v>
      </c>
      <c r="C189" s="2">
        <f t="shared" si="38"/>
        <v>4727.0283636363629</v>
      </c>
      <c r="D189" s="2">
        <v>17</v>
      </c>
      <c r="E189" s="255">
        <f t="shared" si="39"/>
        <v>139.0302459893048</v>
      </c>
      <c r="F189" s="255">
        <f t="shared" si="40"/>
        <v>278.0604919786096</v>
      </c>
      <c r="G189" s="255">
        <f t="shared" si="40"/>
        <v>278.0604919786096</v>
      </c>
      <c r="H189" s="255">
        <f t="shared" si="40"/>
        <v>278.0604919786096</v>
      </c>
      <c r="I189" s="255">
        <f t="shared" si="40"/>
        <v>278.0604919786096</v>
      </c>
      <c r="J189" s="255">
        <f t="shared" si="40"/>
        <v>278.0604919786096</v>
      </c>
    </row>
    <row r="190" spans="2:10" ht="16">
      <c r="B190" s="1171">
        <v>2028</v>
      </c>
      <c r="C190" s="2">
        <f>C165</f>
        <v>13190.718999999999</v>
      </c>
      <c r="D190" s="2">
        <v>18</v>
      </c>
      <c r="E190" s="255">
        <f t="shared" si="39"/>
        <v>366.40886111111109</v>
      </c>
      <c r="F190" s="255">
        <f t="shared" si="40"/>
        <v>732.81772222222219</v>
      </c>
      <c r="G190" s="255">
        <f t="shared" si="40"/>
        <v>732.81772222222219</v>
      </c>
      <c r="H190" s="255">
        <f t="shared" si="40"/>
        <v>732.81772222222219</v>
      </c>
      <c r="I190" s="255">
        <f t="shared" si="40"/>
        <v>732.81772222222219</v>
      </c>
      <c r="J190" s="255">
        <f t="shared" si="40"/>
        <v>732.81772222222219</v>
      </c>
    </row>
    <row r="191" spans="2:10" ht="16">
      <c r="B191" s="1171">
        <v>2029</v>
      </c>
      <c r="C191" s="2">
        <f t="shared" ref="C191:C192" si="41">C166</f>
        <v>16678.22</v>
      </c>
      <c r="D191" s="2">
        <v>19</v>
      </c>
      <c r="E191" s="255">
        <f t="shared" si="39"/>
        <v>438.90052631578948</v>
      </c>
      <c r="F191" s="255">
        <f t="shared" si="40"/>
        <v>877.80105263157895</v>
      </c>
      <c r="G191" s="255">
        <f t="shared" si="40"/>
        <v>877.80105263157895</v>
      </c>
      <c r="H191" s="255">
        <f t="shared" si="40"/>
        <v>877.80105263157895</v>
      </c>
      <c r="I191" s="255">
        <f t="shared" si="40"/>
        <v>877.80105263157895</v>
      </c>
      <c r="J191" s="255">
        <f t="shared" si="40"/>
        <v>877.80105263157895</v>
      </c>
    </row>
    <row r="192" spans="2:10" ht="16">
      <c r="B192" s="1171">
        <v>2030</v>
      </c>
      <c r="C192" s="2">
        <f t="shared" si="41"/>
        <v>21770.048999999999</v>
      </c>
      <c r="D192" s="2">
        <v>20</v>
      </c>
      <c r="E192" s="255">
        <f t="shared" si="39"/>
        <v>544.25122499999998</v>
      </c>
      <c r="F192" s="255">
        <f t="shared" si="40"/>
        <v>1088.50245</v>
      </c>
      <c r="G192" s="255">
        <f t="shared" si="40"/>
        <v>1088.50245</v>
      </c>
      <c r="H192" s="255">
        <f t="shared" si="40"/>
        <v>1088.50245</v>
      </c>
      <c r="I192" s="255">
        <f t="shared" si="40"/>
        <v>1088.50245</v>
      </c>
      <c r="J192" s="255">
        <f t="shared" si="40"/>
        <v>1088.50245</v>
      </c>
    </row>
    <row r="193" spans="2:18">
      <c r="B193" s="1170" t="s">
        <v>2985</v>
      </c>
      <c r="C193" s="231"/>
      <c r="D193" s="231"/>
      <c r="E193" s="231">
        <f>SUM(E173:E192)</f>
        <v>8985.6550884649441</v>
      </c>
      <c r="F193" s="231">
        <f t="shared" ref="F193:J193" si="42">SUM(F173:F192)</f>
        <v>16789.553086020795</v>
      </c>
      <c r="G193" s="231">
        <f t="shared" si="42"/>
        <v>12456.443752687463</v>
      </c>
      <c r="H193" s="231">
        <f t="shared" si="42"/>
        <v>10565.632407232917</v>
      </c>
      <c r="I193" s="231">
        <f t="shared" si="42"/>
        <v>9215.0528747653843</v>
      </c>
      <c r="J193" s="231">
        <f t="shared" si="42"/>
        <v>8164.6021272906373</v>
      </c>
      <c r="M193" s="2">
        <f t="shared" ref="M193:R193" si="43">E193+E215</f>
        <v>18412.55454941732</v>
      </c>
      <c r="N193" s="2">
        <f t="shared" si="43"/>
        <v>34360.907807925549</v>
      </c>
      <c r="O193" s="2">
        <f t="shared" si="43"/>
        <v>25325.503074592227</v>
      </c>
      <c r="P193" s="2">
        <f t="shared" si="43"/>
        <v>20016.673169137677</v>
      </c>
      <c r="Q193" s="2">
        <f t="shared" si="43"/>
        <v>13462.888608098718</v>
      </c>
      <c r="R193" s="2">
        <f t="shared" si="43"/>
        <v>8164.6021272906373</v>
      </c>
    </row>
    <row r="194" spans="2:18" ht="16">
      <c r="B194" s="1300" t="s">
        <v>2992</v>
      </c>
      <c r="C194" s="1301">
        <f>C151</f>
        <v>11581.842018559842</v>
      </c>
      <c r="D194" s="1301">
        <f>D116</f>
        <v>20</v>
      </c>
      <c r="E194" s="1302">
        <f t="shared" si="39"/>
        <v>289.54605046399604</v>
      </c>
      <c r="F194" s="1302">
        <f t="shared" si="40"/>
        <v>579.09210092799208</v>
      </c>
      <c r="G194" s="1302">
        <f t="shared" si="40"/>
        <v>579.09210092799208</v>
      </c>
      <c r="H194" s="1302">
        <f t="shared" si="40"/>
        <v>579.09210092799208</v>
      </c>
      <c r="I194" s="1302">
        <f t="shared" si="40"/>
        <v>579.09210092799208</v>
      </c>
      <c r="J194" s="1302">
        <f t="shared" si="40"/>
        <v>579.09210092799208</v>
      </c>
      <c r="M194" s="2">
        <f t="shared" ref="M194:R194" si="44">I20-M193</f>
        <v>1568.5751304076184</v>
      </c>
      <c r="N194" s="2">
        <f t="shared" si="44"/>
        <v>6540.9937482397727</v>
      </c>
      <c r="O194" s="2">
        <f t="shared" si="44"/>
        <v>16049.684949017552</v>
      </c>
      <c r="P194" s="2">
        <f t="shared" si="44"/>
        <v>21399.724511006163</v>
      </c>
      <c r="Q194" s="2">
        <f t="shared" si="44"/>
        <v>28845.482070667214</v>
      </c>
      <c r="R194" s="2">
        <f t="shared" si="44"/>
        <v>34300.571046932455</v>
      </c>
    </row>
    <row r="195" spans="2:18">
      <c r="B195" s="1303" t="s">
        <v>2980</v>
      </c>
      <c r="C195" s="1304"/>
      <c r="D195" s="1304"/>
      <c r="E195" s="1304">
        <f>E193+E194</f>
        <v>9275.2011389289401</v>
      </c>
      <c r="F195" s="1304">
        <f t="shared" ref="F195:J195" si="45">F193+F194</f>
        <v>17368.645186948786</v>
      </c>
      <c r="G195" s="1304">
        <f t="shared" si="45"/>
        <v>13035.535853615454</v>
      </c>
      <c r="H195" s="1304">
        <f t="shared" si="45"/>
        <v>11144.724508160909</v>
      </c>
      <c r="I195" s="1304">
        <f t="shared" si="45"/>
        <v>9794.1449756933762</v>
      </c>
      <c r="J195" s="1304">
        <f t="shared" si="45"/>
        <v>8743.6942282186301</v>
      </c>
      <c r="M195" s="2">
        <f>M193+M194</f>
        <v>19981.129679824939</v>
      </c>
      <c r="N195" s="2">
        <f t="shared" ref="N195:R195" si="46">N193+N194</f>
        <v>40901.901556165321</v>
      </c>
      <c r="O195" s="2">
        <f t="shared" si="46"/>
        <v>41375.188023609779</v>
      </c>
      <c r="P195" s="2">
        <f t="shared" si="46"/>
        <v>41416.39768014384</v>
      </c>
      <c r="Q195" s="2">
        <f t="shared" si="46"/>
        <v>42308.370678765932</v>
      </c>
      <c r="R195" s="2">
        <f t="shared" si="46"/>
        <v>42465.173174223091</v>
      </c>
    </row>
    <row r="198" spans="2:18">
      <c r="B198" s="1156" t="s">
        <v>820</v>
      </c>
      <c r="C198" s="2">
        <f>C133-D133</f>
        <v>53566.189999999988</v>
      </c>
    </row>
    <row r="200" spans="2:18">
      <c r="B200" s="1299" t="s">
        <v>2979</v>
      </c>
      <c r="C200" s="2">
        <f>D384*80%</f>
        <v>8545.0464000000011</v>
      </c>
    </row>
    <row r="201" spans="2:18">
      <c r="B201" s="1299" t="s">
        <v>2978</v>
      </c>
      <c r="C201" s="2">
        <f>D385*80%</f>
        <v>18211.2176</v>
      </c>
    </row>
    <row r="202" spans="2:18">
      <c r="B202" s="1299" t="s">
        <v>2977</v>
      </c>
      <c r="C202" s="2">
        <f>D386*80%</f>
        <v>19115.2608</v>
      </c>
    </row>
    <row r="203" spans="2:18">
      <c r="B203" s="1299" t="s">
        <v>2980</v>
      </c>
      <c r="C203" s="2">
        <f>SUM(C200:C202)</f>
        <v>45871.524799999999</v>
      </c>
    </row>
    <row r="204" spans="2:18">
      <c r="B204" s="1299" t="s">
        <v>2981</v>
      </c>
      <c r="C204" s="2">
        <f>C198-C203</f>
        <v>7694.6651999999885</v>
      </c>
    </row>
    <row r="208" spans="2:18">
      <c r="B208" s="1150" t="s">
        <v>679</v>
      </c>
      <c r="C208" s="102" t="s">
        <v>816</v>
      </c>
      <c r="D208" s="102"/>
      <c r="E208" s="102" t="s">
        <v>815</v>
      </c>
      <c r="F208" s="1150">
        <v>2012</v>
      </c>
      <c r="G208" s="1150">
        <v>2013</v>
      </c>
      <c r="H208" s="1150">
        <v>2014</v>
      </c>
      <c r="I208" s="1150">
        <v>2015</v>
      </c>
      <c r="J208" s="1150">
        <v>2016</v>
      </c>
    </row>
    <row r="209" spans="2:10" ht="16">
      <c r="B209" s="1171" t="s">
        <v>815</v>
      </c>
      <c r="C209" s="2">
        <f>C204/3</f>
        <v>2564.8883999999962</v>
      </c>
      <c r="D209" s="255">
        <v>1</v>
      </c>
      <c r="E209" s="255">
        <f>C209/2</f>
        <v>1282.4441999999981</v>
      </c>
      <c r="F209" s="255">
        <f>E209</f>
        <v>1282.4441999999981</v>
      </c>
      <c r="G209" s="255"/>
      <c r="H209" s="255"/>
      <c r="I209" s="255"/>
      <c r="J209" s="255"/>
    </row>
    <row r="210" spans="2:10" ht="16">
      <c r="B210" s="1171">
        <v>2012</v>
      </c>
      <c r="C210" s="2">
        <f>C204/3*2</f>
        <v>5129.7767999999924</v>
      </c>
      <c r="D210" s="2">
        <v>2</v>
      </c>
      <c r="E210" s="255">
        <f>$C210/3</f>
        <v>1709.9255999999975</v>
      </c>
      <c r="F210" s="255">
        <f>E210*2</f>
        <v>3419.8511999999951</v>
      </c>
      <c r="G210" s="255"/>
      <c r="H210" s="255"/>
      <c r="I210" s="255"/>
      <c r="J210" s="255"/>
    </row>
    <row r="211" spans="2:10" ht="16">
      <c r="B211" s="1171">
        <v>2013</v>
      </c>
      <c r="C211" s="2">
        <f>C200</f>
        <v>8545.0464000000011</v>
      </c>
      <c r="D211" s="2">
        <v>3</v>
      </c>
      <c r="E211" s="255">
        <f>C211/5</f>
        <v>1709.0092800000002</v>
      </c>
      <c r="F211" s="255">
        <f>E211*2</f>
        <v>3418.0185600000004</v>
      </c>
      <c r="G211" s="255">
        <f>F211</f>
        <v>3418.0185600000004</v>
      </c>
      <c r="H211" s="255"/>
      <c r="I211" s="255"/>
      <c r="J211" s="255"/>
    </row>
    <row r="212" spans="2:10" ht="16">
      <c r="B212" s="1171">
        <v>2014</v>
      </c>
      <c r="C212" s="2">
        <f t="shared" ref="C212:C213" si="47">C201</f>
        <v>18211.2176</v>
      </c>
      <c r="D212" s="2">
        <v>4</v>
      </c>
      <c r="E212" s="255">
        <f>C212/7</f>
        <v>2601.6025142857143</v>
      </c>
      <c r="F212" s="255">
        <f>E212*2</f>
        <v>5203.2050285714286</v>
      </c>
      <c r="G212" s="255">
        <f>F212</f>
        <v>5203.2050285714286</v>
      </c>
      <c r="H212" s="255">
        <f t="shared" ref="H212:I213" si="48">G212</f>
        <v>5203.2050285714286</v>
      </c>
      <c r="I212" s="255">
        <v>0</v>
      </c>
      <c r="J212" s="255"/>
    </row>
    <row r="213" spans="2:10" ht="16">
      <c r="B213" s="1171">
        <v>2015</v>
      </c>
      <c r="C213" s="2">
        <f t="shared" si="47"/>
        <v>19115.2608</v>
      </c>
      <c r="D213" s="2">
        <v>5</v>
      </c>
      <c r="E213" s="255">
        <f>$C213/9</f>
        <v>2123.9178666666667</v>
      </c>
      <c r="F213" s="255">
        <f>E213*2</f>
        <v>4247.8357333333333</v>
      </c>
      <c r="G213" s="255">
        <f>F213</f>
        <v>4247.8357333333333</v>
      </c>
      <c r="H213" s="255">
        <f t="shared" si="48"/>
        <v>4247.8357333333333</v>
      </c>
      <c r="I213" s="255">
        <f t="shared" si="48"/>
        <v>4247.8357333333333</v>
      </c>
      <c r="J213" s="255"/>
    </row>
    <row r="214" spans="2:10">
      <c r="B214" s="1172">
        <v>2016</v>
      </c>
      <c r="D214" s="8"/>
      <c r="E214" s="8"/>
      <c r="F214" s="8"/>
      <c r="G214" s="8"/>
      <c r="H214" s="8"/>
      <c r="I214" s="8"/>
      <c r="J214" s="8"/>
    </row>
    <row r="215" spans="2:10">
      <c r="B215" s="1170" t="s">
        <v>675</v>
      </c>
      <c r="C215" s="231"/>
      <c r="D215" s="231"/>
      <c r="E215" s="231">
        <f>SUM(E209:E214)</f>
        <v>9426.8994609523761</v>
      </c>
      <c r="F215" s="231">
        <f t="shared" ref="F215:J215" si="49">SUM(F209:F214)</f>
        <v>17571.354721904754</v>
      </c>
      <c r="G215" s="231">
        <f t="shared" si="49"/>
        <v>12869.059321904762</v>
      </c>
      <c r="H215" s="231">
        <f t="shared" si="49"/>
        <v>9451.0407619047619</v>
      </c>
      <c r="I215" s="231">
        <f t="shared" si="49"/>
        <v>4247.8357333333333</v>
      </c>
      <c r="J215" s="231">
        <f t="shared" si="49"/>
        <v>0</v>
      </c>
    </row>
    <row r="216" spans="2:10" ht="16">
      <c r="B216" s="1300" t="s">
        <v>2991</v>
      </c>
      <c r="C216" s="1301">
        <f>C153</f>
        <v>12711.841549436214</v>
      </c>
      <c r="D216" s="1301">
        <f>D119</f>
        <v>5</v>
      </c>
      <c r="E216" s="1302">
        <f t="shared" ref="E216" si="50">$C216/$D216/2</f>
        <v>1271.1841549436215</v>
      </c>
      <c r="F216" s="1302">
        <f t="shared" ref="F216:J216" si="51">$C216/$D216</f>
        <v>2542.368309887243</v>
      </c>
      <c r="G216" s="1302">
        <f t="shared" si="51"/>
        <v>2542.368309887243</v>
      </c>
      <c r="H216" s="1302">
        <f t="shared" si="51"/>
        <v>2542.368309887243</v>
      </c>
      <c r="I216" s="1302">
        <f t="shared" si="51"/>
        <v>2542.368309887243</v>
      </c>
      <c r="J216" s="1302">
        <f t="shared" si="51"/>
        <v>2542.368309887243</v>
      </c>
    </row>
    <row r="217" spans="2:10">
      <c r="B217" s="1303" t="s">
        <v>2980</v>
      </c>
      <c r="C217" s="1304"/>
      <c r="D217" s="1304"/>
      <c r="E217" s="1304">
        <f>E215+E216</f>
        <v>10698.083615895997</v>
      </c>
      <c r="F217" s="1304">
        <f t="shared" ref="F217" si="52">F215+F216</f>
        <v>20113.723031791997</v>
      </c>
      <c r="G217" s="1304">
        <f t="shared" ref="G217" si="53">G215+G216</f>
        <v>15411.427631792005</v>
      </c>
      <c r="H217" s="1304">
        <f t="shared" ref="H217" si="54">H215+H216</f>
        <v>11993.409071792004</v>
      </c>
      <c r="I217" s="1304">
        <f t="shared" ref="I217" si="55">I215+I216</f>
        <v>6790.2040432205758</v>
      </c>
      <c r="J217" s="1304">
        <f t="shared" ref="J217" si="56">J215+J216</f>
        <v>2542.368309887243</v>
      </c>
    </row>
    <row r="222" spans="2:10">
      <c r="B222" s="1156" t="s">
        <v>2975</v>
      </c>
      <c r="C222" s="2">
        <f>C134</f>
        <v>3926.251432</v>
      </c>
    </row>
    <row r="224" spans="2:10">
      <c r="B224" s="1150" t="s">
        <v>679</v>
      </c>
      <c r="C224" s="102" t="s">
        <v>816</v>
      </c>
      <c r="D224" s="102"/>
      <c r="E224" s="102" t="s">
        <v>815</v>
      </c>
      <c r="F224" s="1150">
        <v>2012</v>
      </c>
      <c r="G224" s="1150">
        <v>2013</v>
      </c>
      <c r="H224" s="1150">
        <v>2014</v>
      </c>
      <c r="I224" s="1150">
        <v>2015</v>
      </c>
      <c r="J224" s="1150">
        <v>2016</v>
      </c>
    </row>
    <row r="225" spans="2:10" ht="16">
      <c r="B225" s="1171" t="s">
        <v>815</v>
      </c>
      <c r="C225" s="2">
        <f>$C$222/$D$120</f>
        <v>785.25028640000005</v>
      </c>
      <c r="D225" s="255">
        <v>1</v>
      </c>
      <c r="E225" s="255">
        <f>C225/2</f>
        <v>392.62514320000002</v>
      </c>
      <c r="F225" s="255">
        <f>E225</f>
        <v>392.62514320000002</v>
      </c>
      <c r="G225" s="255"/>
      <c r="H225" s="255"/>
      <c r="I225" s="255"/>
      <c r="J225" s="255"/>
    </row>
    <row r="226" spans="2:10" ht="16">
      <c r="B226" s="1171">
        <v>2012</v>
      </c>
      <c r="C226" s="2">
        <f>$C$222/$D$120</f>
        <v>785.25028640000005</v>
      </c>
      <c r="D226" s="2">
        <v>2</v>
      </c>
      <c r="E226" s="255">
        <f>$C226/$D226/2</f>
        <v>196.31257160000001</v>
      </c>
      <c r="F226" s="255">
        <f>$C226/$D226</f>
        <v>392.62514320000002</v>
      </c>
      <c r="G226" s="255">
        <f>$C226/$D226/2</f>
        <v>196.31257160000001</v>
      </c>
      <c r="H226" s="255"/>
      <c r="I226" s="255"/>
      <c r="J226" s="255"/>
    </row>
    <row r="227" spans="2:10" ht="16">
      <c r="B227" s="1171">
        <v>2013</v>
      </c>
      <c r="C227" s="2">
        <f>$C$222/$D$120</f>
        <v>785.25028640000005</v>
      </c>
      <c r="D227" s="2">
        <v>3</v>
      </c>
      <c r="E227" s="255">
        <f>$C227/$D227/2</f>
        <v>130.87504773333333</v>
      </c>
      <c r="F227" s="255">
        <f>$C227/$D227</f>
        <v>261.75009546666666</v>
      </c>
      <c r="G227" s="255">
        <f>$C227/$D227</f>
        <v>261.75009546666666</v>
      </c>
      <c r="H227" s="255">
        <f>$C227/$D227/2</f>
        <v>130.87504773333333</v>
      </c>
      <c r="I227" s="255"/>
      <c r="J227" s="255"/>
    </row>
    <row r="228" spans="2:10" ht="16">
      <c r="B228" s="1171">
        <v>2014</v>
      </c>
      <c r="C228" s="2">
        <f>$C$222/$D$120</f>
        <v>785.25028640000005</v>
      </c>
      <c r="D228" s="2">
        <v>4</v>
      </c>
      <c r="E228" s="255">
        <f>$C228/$D228/2</f>
        <v>98.156285800000006</v>
      </c>
      <c r="F228" s="255">
        <f>$C228/$D228</f>
        <v>196.31257160000001</v>
      </c>
      <c r="G228" s="255">
        <f>$C228/$D228</f>
        <v>196.31257160000001</v>
      </c>
      <c r="H228" s="255">
        <f>$C228/$D228</f>
        <v>196.31257160000001</v>
      </c>
      <c r="I228" s="255">
        <f>$C228/$D228/2</f>
        <v>98.156285800000006</v>
      </c>
      <c r="J228" s="255"/>
    </row>
    <row r="229" spans="2:10" ht="16">
      <c r="B229" s="1171">
        <v>2015</v>
      </c>
      <c r="C229" s="2">
        <f>$C$222/$D$120</f>
        <v>785.25028640000005</v>
      </c>
      <c r="D229" s="2">
        <v>5</v>
      </c>
      <c r="E229" s="255">
        <f>$C229/$D229/2</f>
        <v>78.525028640000002</v>
      </c>
      <c r="F229" s="255">
        <f>$C229/$D229</f>
        <v>157.05005728</v>
      </c>
      <c r="G229" s="255">
        <f>$C229/$D229</f>
        <v>157.05005728</v>
      </c>
      <c r="H229" s="255">
        <f>$C229/$D229</f>
        <v>157.05005728</v>
      </c>
      <c r="I229" s="255">
        <f>$C229/$D229</f>
        <v>157.05005728</v>
      </c>
      <c r="J229" s="255">
        <f>$C229/$D229/2</f>
        <v>78.525028640000002</v>
      </c>
    </row>
    <row r="230" spans="2:10">
      <c r="B230" s="1172">
        <v>2016</v>
      </c>
      <c r="D230" s="8"/>
      <c r="E230" s="8"/>
      <c r="F230" s="8"/>
      <c r="G230" s="8"/>
      <c r="H230" s="8"/>
      <c r="I230" s="8"/>
      <c r="J230" s="8"/>
    </row>
    <row r="231" spans="2:10">
      <c r="B231" s="1170" t="s">
        <v>675</v>
      </c>
      <c r="C231" s="231"/>
      <c r="D231" s="231"/>
      <c r="E231" s="231">
        <f>SUM(E225:E230)</f>
        <v>896.49407697333334</v>
      </c>
      <c r="F231" s="231">
        <f t="shared" ref="F231:J231" si="57">SUM(F225:F230)</f>
        <v>1400.3630107466665</v>
      </c>
      <c r="G231" s="231">
        <f t="shared" si="57"/>
        <v>811.42529594666678</v>
      </c>
      <c r="H231" s="231">
        <f t="shared" si="57"/>
        <v>484.23767661333341</v>
      </c>
      <c r="I231" s="231">
        <f t="shared" si="57"/>
        <v>255.20634308000001</v>
      </c>
      <c r="J231" s="231">
        <f t="shared" si="57"/>
        <v>78.525028640000002</v>
      </c>
    </row>
    <row r="232" spans="2:10" ht="16">
      <c r="B232" s="1300" t="s">
        <v>2991</v>
      </c>
      <c r="C232" s="1301">
        <f>C156</f>
        <v>666.19668000000001</v>
      </c>
      <c r="D232" s="1301">
        <f>D120</f>
        <v>5</v>
      </c>
      <c r="E232" s="1302">
        <f t="shared" ref="E232" si="58">$C232/$D232/2</f>
        <v>66.619668000000004</v>
      </c>
      <c r="F232" s="1302">
        <f t="shared" ref="F232:J232" si="59">$C232/$D232</f>
        <v>133.23933600000001</v>
      </c>
      <c r="G232" s="1302">
        <f t="shared" si="59"/>
        <v>133.23933600000001</v>
      </c>
      <c r="H232" s="1302">
        <f t="shared" si="59"/>
        <v>133.23933600000001</v>
      </c>
      <c r="I232" s="1302">
        <f t="shared" si="59"/>
        <v>133.23933600000001</v>
      </c>
      <c r="J232" s="1302">
        <f t="shared" si="59"/>
        <v>133.23933600000001</v>
      </c>
    </row>
    <row r="233" spans="2:10">
      <c r="B233" s="1303" t="s">
        <v>2980</v>
      </c>
      <c r="C233" s="1304"/>
      <c r="D233" s="1304"/>
      <c r="E233" s="1304">
        <f>E231+E232</f>
        <v>963.11374497333338</v>
      </c>
      <c r="F233" s="1304">
        <f t="shared" ref="F233" si="60">F231+F232</f>
        <v>1533.6023467466666</v>
      </c>
      <c r="G233" s="1304">
        <f t="shared" ref="G233" si="61">G231+G232</f>
        <v>944.66463194666676</v>
      </c>
      <c r="H233" s="1304">
        <f t="shared" ref="H233" si="62">H231+H232</f>
        <v>617.47701261333339</v>
      </c>
      <c r="I233" s="1304">
        <f t="shared" ref="I233" si="63">I231+I232</f>
        <v>388.44567907999999</v>
      </c>
      <c r="J233" s="1304">
        <f t="shared" ref="J233" si="64">J231+J232</f>
        <v>211.76436464</v>
      </c>
    </row>
    <row r="237" spans="2:10">
      <c r="B237" s="1169" t="s">
        <v>814</v>
      </c>
      <c r="C237" s="466"/>
      <c r="D237" s="466"/>
      <c r="E237" s="466"/>
      <c r="F237" s="466"/>
      <c r="G237" s="466"/>
      <c r="H237" s="466"/>
      <c r="I237" s="466"/>
      <c r="J237" s="466"/>
    </row>
    <row r="240" spans="2:10">
      <c r="B240" s="1156" t="s">
        <v>817</v>
      </c>
    </row>
    <row r="242" spans="2:16">
      <c r="B242" s="1150"/>
      <c r="C242" s="102" t="s">
        <v>816</v>
      </c>
      <c r="D242" s="102"/>
      <c r="E242" s="102" t="s">
        <v>815</v>
      </c>
      <c r="F242" s="1150">
        <v>2012</v>
      </c>
      <c r="G242" s="1150">
        <v>2013</v>
      </c>
      <c r="H242" s="1150">
        <v>2014</v>
      </c>
      <c r="I242" s="1150">
        <v>2015</v>
      </c>
      <c r="J242" s="1150">
        <v>2016</v>
      </c>
    </row>
    <row r="243" spans="2:16" ht="16">
      <c r="B243" s="1171" t="s">
        <v>815</v>
      </c>
      <c r="C243" s="2">
        <f t="array" ref="C243:C248">TRANSPOSE(G46:L46)</f>
        <v>18055.572724880538</v>
      </c>
      <c r="D243" s="255"/>
      <c r="E243" s="255"/>
      <c r="F243" s="255">
        <f>IF($C243-SUM($D243:E243,$C243/$D$116)&lt;0,$C243-SUM($D243:E243),$C243/$D$116)</f>
        <v>902.77863624402687</v>
      </c>
      <c r="G243" s="255">
        <f>IF($C243-SUM($D243:F243,$C243/$D$116)&lt;0,$C243-SUM($D243:F243),$C243/$D$116)</f>
        <v>902.77863624402687</v>
      </c>
      <c r="H243" s="255">
        <f>IF($C243-SUM($D243:G243,$C243/$D$116)&lt;0,$C243-SUM($D243:G243),$C243/$D$116)</f>
        <v>902.77863624402687</v>
      </c>
      <c r="I243" s="255">
        <f>IF($C243-SUM($D243:H243,$C243/$D$116)&lt;0,$C243-SUM($D243:H243),$C243/$D$116)</f>
        <v>902.77863624402687</v>
      </c>
      <c r="J243" s="255">
        <f>IF($C243-SUM($D243:I243,$C243/$D$116)&lt;0,$C243-SUM($D243:I243),$C243/$D$116)</f>
        <v>902.77863624402687</v>
      </c>
      <c r="K243" s="256"/>
    </row>
    <row r="244" spans="2:16" ht="16">
      <c r="B244" s="1171">
        <v>2012</v>
      </c>
      <c r="C244" s="2">
        <v>38518.555146411811</v>
      </c>
      <c r="F244" s="255"/>
      <c r="G244" s="255">
        <f>IF($C244-SUM($D244:F244,$C244/$D$116)&lt;0,$C244-SUM($D244:F244),$C244/$D$116)</f>
        <v>1925.9277573205904</v>
      </c>
      <c r="H244" s="255">
        <f>IF($C244-SUM($D244:G244,$C244/$D$116)&lt;0,$C244-SUM($D244:G244),$C244/$D$116)</f>
        <v>1925.9277573205904</v>
      </c>
      <c r="I244" s="255">
        <f>IF($C244-SUM($D244:H244,$C244/$D$116)&lt;0,$C244-SUM($D244:H244),$C244/$D$116)</f>
        <v>1925.9277573205904</v>
      </c>
      <c r="J244" s="255">
        <f>IF($C244-SUM($D244:I244,$C244/$D$116)&lt;0,$C244-SUM($D244:I244),$C244/$D$116)</f>
        <v>1925.9277573205904</v>
      </c>
      <c r="K244" s="255"/>
      <c r="L244" s="255"/>
      <c r="M244" s="255"/>
    </row>
    <row r="245" spans="2:16" ht="16">
      <c r="B245" s="1171">
        <v>2013</v>
      </c>
      <c r="C245" s="2">
        <v>25514.690928983186</v>
      </c>
      <c r="G245" s="255"/>
      <c r="H245" s="255">
        <f>IF($C245-SUM($D245:G245,$C245/$D$116)&lt;0,$C245-SUM($D245:G245),$C245/$D$116)</f>
        <v>1275.7345464491593</v>
      </c>
      <c r="I245" s="255">
        <f>IF($C245-SUM($D245:H245,$C245/$D$116)&lt;0,$C245-SUM($D245:H245),$C245/$D$116)</f>
        <v>1275.7345464491593</v>
      </c>
      <c r="J245" s="255">
        <f>IF($C245-SUM($D245:I245,$C245/$D$116)&lt;0,$C245-SUM($D245:I245),$C245/$D$116)</f>
        <v>1275.7345464491593</v>
      </c>
      <c r="K245" s="255"/>
      <c r="L245" s="255"/>
      <c r="M245" s="255"/>
      <c r="N245" s="255"/>
    </row>
    <row r="246" spans="2:16" ht="16">
      <c r="B246" s="1171">
        <v>2014</v>
      </c>
      <c r="C246" s="2">
        <v>18067.59051408622</v>
      </c>
      <c r="H246" s="255"/>
      <c r="I246" s="255">
        <f>IF($C246-SUM($D246:H246,$C246/$D$116)&lt;0,$C246-SUM($D246:H246),$C246/$D$116)</f>
        <v>903.37952570431094</v>
      </c>
      <c r="J246" s="255">
        <f>IF($C246-SUM($D246:I246,$C246/$D$116)&lt;0,$C246-SUM($D246:I246),$C246/$D$116)</f>
        <v>903.37952570431094</v>
      </c>
      <c r="K246" s="255"/>
      <c r="L246" s="255"/>
      <c r="M246" s="255"/>
      <c r="N246" s="255"/>
      <c r="O246" s="255"/>
    </row>
    <row r="247" spans="2:16" ht="16">
      <c r="B247" s="1171">
        <v>2015</v>
      </c>
      <c r="C247" s="2">
        <v>16884.984589527849</v>
      </c>
      <c r="I247" s="255"/>
      <c r="J247" s="255">
        <f>IF($C247-SUM($D247:I247,$C247/$D$116)&lt;0,$C247-SUM($D247:I247),$C247/$D$116)</f>
        <v>844.24922947639243</v>
      </c>
      <c r="K247" s="255"/>
      <c r="L247" s="255"/>
      <c r="M247" s="255"/>
      <c r="N247" s="255"/>
      <c r="O247" s="255"/>
      <c r="P247" s="255"/>
    </row>
    <row r="248" spans="2:16" ht="16">
      <c r="B248" s="1172">
        <v>2016</v>
      </c>
      <c r="C248" s="8">
        <v>13886.211326427703</v>
      </c>
      <c r="D248" s="8"/>
      <c r="E248" s="8"/>
      <c r="F248" s="8"/>
      <c r="G248" s="8"/>
      <c r="H248" s="8"/>
      <c r="I248" s="8"/>
      <c r="J248" s="8"/>
      <c r="K248" s="255"/>
      <c r="L248" s="255"/>
      <c r="M248" s="255"/>
      <c r="N248" s="255"/>
    </row>
    <row r="249" spans="2:16">
      <c r="B249" s="1170" t="s">
        <v>675</v>
      </c>
      <c r="C249" s="231"/>
      <c r="D249" s="231"/>
      <c r="E249" s="231">
        <f>SUM(E243:E248)</f>
        <v>0</v>
      </c>
      <c r="F249" s="231">
        <f t="shared" ref="F249:J249" si="65">SUM(F243:F248)</f>
        <v>902.77863624402687</v>
      </c>
      <c r="G249" s="231">
        <f t="shared" si="65"/>
        <v>2828.7063935646174</v>
      </c>
      <c r="H249" s="231">
        <f t="shared" si="65"/>
        <v>4104.4409400137765</v>
      </c>
      <c r="I249" s="231">
        <f t="shared" si="65"/>
        <v>5007.8204657180877</v>
      </c>
      <c r="J249" s="231">
        <f t="shared" si="65"/>
        <v>5852.0696951944801</v>
      </c>
      <c r="K249" s="197"/>
    </row>
    <row r="251" spans="2:16">
      <c r="B251" s="1156" t="s">
        <v>818</v>
      </c>
    </row>
    <row r="252" spans="2:16">
      <c r="K252" s="197"/>
    </row>
    <row r="253" spans="2:16">
      <c r="B253" s="1150"/>
      <c r="C253" s="102" t="s">
        <v>816</v>
      </c>
      <c r="D253" s="102"/>
      <c r="E253" s="102" t="s">
        <v>815</v>
      </c>
      <c r="F253" s="1150">
        <v>2012</v>
      </c>
      <c r="G253" s="1150">
        <v>2013</v>
      </c>
      <c r="H253" s="1150">
        <v>2014</v>
      </c>
      <c r="I253" s="1150">
        <v>2015</v>
      </c>
      <c r="J253" s="1150">
        <v>2016</v>
      </c>
      <c r="K253" s="177"/>
    </row>
    <row r="254" spans="2:16" ht="16">
      <c r="B254" s="1171" t="s">
        <v>815</v>
      </c>
      <c r="C254" s="2">
        <f t="array" ref="C254:C259">TRANSPOSE(G47:L47)</f>
        <v>23.964704848151296</v>
      </c>
      <c r="D254" s="255"/>
      <c r="E254" s="255"/>
      <c r="F254" s="255">
        <f>IF($C254-SUM($D254:E254,$C254/$D$117)&lt;0,$C254-SUM($D254:E254),$C254/$D$117)</f>
        <v>0.59911762120378242</v>
      </c>
      <c r="G254" s="255">
        <f>IF($C254-SUM($D254:F254,$C254/$D$117)&lt;0,$C254-SUM($D254:F254),$C254/$D$117)</f>
        <v>0.59911762120378242</v>
      </c>
      <c r="H254" s="255">
        <f>IF($C254-SUM($D254:G254,$C254/$D$117)&lt;0,$C254-SUM($D254:G254),$C254/$D$117)</f>
        <v>0.59911762120378242</v>
      </c>
      <c r="I254" s="255">
        <f>IF($C254-SUM($D254:H254,$C254/$D$117)&lt;0,$C254-SUM($D254:H254),$C254/$D$117)</f>
        <v>0.59911762120378242</v>
      </c>
      <c r="J254" s="255">
        <f>IF($C254-SUM($D254:I254,$C254/$D$117)&lt;0,$C254-SUM($D254:I254),$C254/$D$117)</f>
        <v>0.59911762120378242</v>
      </c>
      <c r="K254" s="256"/>
    </row>
    <row r="255" spans="2:16" ht="16">
      <c r="B255" s="1171">
        <v>2012</v>
      </c>
      <c r="C255" s="2">
        <v>51.124703676056107</v>
      </c>
      <c r="F255" s="255"/>
      <c r="G255" s="255">
        <f>IF($C255-SUM($D255:F255,$C255/$D$117)&lt;0,$C255-SUM($D255:F255),$C255/$D$117)</f>
        <v>1.2781175919014027</v>
      </c>
      <c r="H255" s="255">
        <f>IF($C255-SUM($D255:G255,$C255/$D$117)&lt;0,$C255-SUM($D255:G255),$C255/$D$117)</f>
        <v>1.2781175919014027</v>
      </c>
      <c r="I255" s="255">
        <f>IF($C255-SUM($D255:H255,$C255/$D$117)&lt;0,$C255-SUM($D255:H255),$C255/$D$117)</f>
        <v>1.2781175919014027</v>
      </c>
      <c r="J255" s="255">
        <f>IF($C255-SUM($D255:I255,$C255/$D$117)&lt;0,$C255-SUM($D255:I255),$C255/$D$117)</f>
        <v>1.2781175919014027</v>
      </c>
      <c r="K255" s="255"/>
      <c r="L255" s="255"/>
      <c r="M255" s="255"/>
    </row>
    <row r="256" spans="2:16" ht="16">
      <c r="B256" s="1171">
        <v>2013</v>
      </c>
      <c r="C256" s="2">
        <v>33.865003715019562</v>
      </c>
      <c r="G256" s="255"/>
      <c r="H256" s="255">
        <f>IF($C256-SUM($D256:G256,$C256/$D$117)&lt;0,$C256-SUM($D256:G256),$C256/$D$117)</f>
        <v>0.84662509287548904</v>
      </c>
      <c r="I256" s="255">
        <f>IF($C256-SUM($D256:H256,$C256/$D$117)&lt;0,$C256-SUM($D256:H256),$C256/$D$117)</f>
        <v>0.84662509287548904</v>
      </c>
      <c r="J256" s="255">
        <f>IF($C256-SUM($D256:I256,$C256/$D$117)&lt;0,$C256-SUM($D256:I256),$C256/$D$117)</f>
        <v>0.84662509287548904</v>
      </c>
      <c r="K256" s="255"/>
      <c r="L256" s="255"/>
      <c r="M256" s="255"/>
      <c r="N256" s="255"/>
    </row>
    <row r="257" spans="2:16" ht="16">
      <c r="B257" s="1171">
        <v>2014</v>
      </c>
      <c r="C257" s="2">
        <v>23.980655755698226</v>
      </c>
      <c r="H257" s="255"/>
      <c r="I257" s="255">
        <f>IF($C257-SUM($D257:H257,$C257/$D$117)&lt;0,$C257-SUM($D257:H257),$C257/$D$117)</f>
        <v>0.5995163938924557</v>
      </c>
      <c r="J257" s="255">
        <f>IF($C257-SUM($D257:I257,$C257/$D$117)&lt;0,$C257-SUM($D257:I257),$C257/$D$117)</f>
        <v>0.5995163938924557</v>
      </c>
      <c r="K257" s="255"/>
      <c r="L257" s="255"/>
      <c r="M257" s="255"/>
      <c r="N257" s="255"/>
      <c r="O257" s="255"/>
    </row>
    <row r="258" spans="2:16" ht="16">
      <c r="B258" s="1171">
        <v>2015</v>
      </c>
      <c r="C258" s="2">
        <v>22.411012833507073</v>
      </c>
      <c r="I258" s="255"/>
      <c r="J258" s="255">
        <f>IF($C258-SUM($D258:I258,$C258/$D$117)&lt;0,$C258-SUM($D258:I258),$C258/$D$117)</f>
        <v>0.56027532083767684</v>
      </c>
      <c r="K258" s="255"/>
      <c r="L258" s="255"/>
      <c r="M258" s="255"/>
      <c r="N258" s="255"/>
      <c r="O258" s="255"/>
      <c r="P258" s="255"/>
    </row>
    <row r="259" spans="2:16" ht="16">
      <c r="B259" s="1172">
        <v>2016</v>
      </c>
      <c r="C259" s="8">
        <v>18.430816954276217</v>
      </c>
      <c r="D259" s="8"/>
      <c r="E259" s="8"/>
      <c r="F259" s="8"/>
      <c r="G259" s="8"/>
      <c r="H259" s="8"/>
      <c r="I259" s="8"/>
      <c r="J259" s="8"/>
      <c r="K259" s="255"/>
      <c r="L259" s="255"/>
      <c r="M259" s="255"/>
      <c r="N259" s="255"/>
      <c r="O259" s="255"/>
    </row>
    <row r="260" spans="2:16">
      <c r="B260" s="1170" t="s">
        <v>675</v>
      </c>
      <c r="C260" s="231"/>
      <c r="D260" s="231"/>
      <c r="E260" s="231">
        <f>SUM(E254:E259)</f>
        <v>0</v>
      </c>
      <c r="F260" s="231">
        <f t="shared" ref="F260" si="66">SUM(F254:F259)</f>
        <v>0.59911762120378242</v>
      </c>
      <c r="G260" s="231">
        <f t="shared" ref="G260" si="67">SUM(G254:G259)</f>
        <v>1.8772352131051853</v>
      </c>
      <c r="H260" s="231">
        <f t="shared" ref="H260" si="68">SUM(H254:H259)</f>
        <v>2.7238603059806743</v>
      </c>
      <c r="I260" s="231">
        <f t="shared" ref="I260" si="69">SUM(I254:I259)</f>
        <v>3.3233766998731298</v>
      </c>
      <c r="J260" s="231">
        <f t="shared" ref="J260" si="70">SUM(J254:J259)</f>
        <v>3.8836520207108065</v>
      </c>
    </row>
    <row r="262" spans="2:16">
      <c r="B262" s="1156" t="s">
        <v>819</v>
      </c>
    </row>
    <row r="264" spans="2:16">
      <c r="B264" s="1150" t="s">
        <v>679</v>
      </c>
      <c r="C264" s="102" t="s">
        <v>816</v>
      </c>
      <c r="D264" s="102"/>
      <c r="E264" s="102" t="s">
        <v>815</v>
      </c>
      <c r="F264" s="1150">
        <v>2012</v>
      </c>
      <c r="G264" s="1150">
        <v>2013</v>
      </c>
      <c r="H264" s="1150">
        <v>2014</v>
      </c>
      <c r="I264" s="1150">
        <v>2015</v>
      </c>
      <c r="J264" s="1150">
        <v>2016</v>
      </c>
      <c r="K264" s="177"/>
    </row>
    <row r="265" spans="2:16" ht="16">
      <c r="B265" s="1171" t="s">
        <v>815</v>
      </c>
      <c r="C265" s="2">
        <f t="array" ref="C265:C270">TRANSPOSE(G50:L50)</f>
        <v>6.1286677965328478</v>
      </c>
      <c r="D265" s="255"/>
      <c r="E265" s="255"/>
      <c r="F265" s="255">
        <f>IF($C265-SUM($D265:E265,$C265/$D$118)&lt;0,$C265-SUM($D265:E265),$C265/$D$118)</f>
        <v>1.2257335593065695</v>
      </c>
      <c r="G265" s="255">
        <f>IF($C265-SUM($D265:F265,$C265/$D$118)&lt;0,$C265-SUM($D265:F265),$C265/$D$118)</f>
        <v>1.2257335593065695</v>
      </c>
      <c r="H265" s="255">
        <f>IF($C265-SUM($D265:G265,$C265/$D$118)&lt;0,$C265-SUM($D265:G265),$C265/$D$118)</f>
        <v>1.2257335593065695</v>
      </c>
      <c r="I265" s="255">
        <f>IF($C265-SUM($D265:H265,$C265/$D$118)&lt;0,$C265-SUM($D265:H265),$C265/$D$118)</f>
        <v>1.2257335593065695</v>
      </c>
      <c r="J265" s="255">
        <f>IF($C265-SUM($D265:I265,$C265/$D$118)&lt;0,$C265-SUM($D265:I265),$C265/$D$118)</f>
        <v>1.2257335593065695</v>
      </c>
      <c r="K265" s="256"/>
    </row>
    <row r="266" spans="2:16" ht="16">
      <c r="B266" s="1171">
        <v>2012</v>
      </c>
      <c r="C266" s="2">
        <v>13.593925326481754</v>
      </c>
      <c r="F266" s="255"/>
      <c r="G266" s="255">
        <f>IF($C266-SUM($D266:F266,$C266/$D$118)&lt;0,$C266-SUM($D266:F266),$C266/$D$118)</f>
        <v>2.718785065296351</v>
      </c>
      <c r="H266" s="255">
        <f>IF($C266-SUM($D266:G266,$C266/$D$118)&lt;0,$C266-SUM($D266:G266),$C266/$D$118)</f>
        <v>2.718785065296351</v>
      </c>
      <c r="I266" s="255">
        <f>IF($C266-SUM($D266:H266,$C266/$D$118)&lt;0,$C266-SUM($D266:H266),$C266/$D$118)</f>
        <v>2.718785065296351</v>
      </c>
      <c r="J266" s="255">
        <f>IF($C266-SUM($D266:I266,$C266/$D$118)&lt;0,$C266-SUM($D266:I266),$C266/$D$118)</f>
        <v>2.718785065296351</v>
      </c>
      <c r="K266" s="255"/>
    </row>
    <row r="267" spans="2:16" ht="16">
      <c r="B267" s="1171">
        <v>2013</v>
      </c>
      <c r="C267" s="2">
        <v>14.9724642328292</v>
      </c>
      <c r="G267" s="255"/>
      <c r="H267" s="255">
        <f>IF($C267-SUM($D267:G267,$C267/$D$118)&lt;0,$C267-SUM($D267:G267),$C267/$D$118)</f>
        <v>2.9944928465658398</v>
      </c>
      <c r="I267" s="255">
        <f>IF($C267-SUM($D267:H267,$C267/$D$118)&lt;0,$C267-SUM($D267:H267),$C267/$D$118)</f>
        <v>2.9944928465658398</v>
      </c>
      <c r="J267" s="255">
        <f>IF($C267-SUM($D267:I267,$C267/$D$118)&lt;0,$C267-SUM($D267:I267),$C267/$D$118)</f>
        <v>2.9944928465658398</v>
      </c>
      <c r="K267" s="255"/>
      <c r="L267" s="255"/>
    </row>
    <row r="268" spans="2:16" ht="16">
      <c r="B268" s="1171">
        <v>2014</v>
      </c>
      <c r="C268" s="2">
        <v>16.033967910277283</v>
      </c>
      <c r="H268" s="255"/>
      <c r="I268" s="255">
        <f>IF($C268-SUM($D268:H268,$C268/$D$118)&lt;0,$C268-SUM($D268:H268),$C268/$D$118)</f>
        <v>3.2067935820554565</v>
      </c>
      <c r="J268" s="255">
        <f>IF($C268-SUM($D268:I268,$C268/$D$118)&lt;0,$C268-SUM($D268:I268),$C268/$D$118)</f>
        <v>3.2067935820554565</v>
      </c>
      <c r="K268" s="255"/>
      <c r="L268" s="255"/>
      <c r="M268" s="255"/>
    </row>
    <row r="269" spans="2:16" ht="16">
      <c r="B269" s="1171">
        <v>2015</v>
      </c>
      <c r="C269" s="2">
        <v>16.972510665579851</v>
      </c>
      <c r="I269" s="255"/>
      <c r="J269" s="255">
        <f>IF($C269-SUM($D269:I269,$C269/$D$118)&lt;0,$C269-SUM($D269:I269),$C269/$D$118)</f>
        <v>3.3945021331159699</v>
      </c>
      <c r="K269" s="255"/>
      <c r="L269" s="255"/>
      <c r="M269" s="255"/>
      <c r="N269" s="255"/>
    </row>
    <row r="270" spans="2:16" ht="16">
      <c r="B270" s="1172">
        <v>2016</v>
      </c>
      <c r="C270" s="8">
        <v>17.879141152891755</v>
      </c>
      <c r="D270" s="8"/>
      <c r="E270" s="8"/>
      <c r="F270" s="8"/>
      <c r="G270" s="8"/>
      <c r="H270" s="8"/>
      <c r="I270" s="8"/>
      <c r="J270" s="8"/>
      <c r="K270" s="255"/>
      <c r="L270" s="255"/>
      <c r="M270" s="255"/>
      <c r="N270" s="255"/>
      <c r="O270" s="255"/>
    </row>
    <row r="271" spans="2:16">
      <c r="B271" s="1170" t="s">
        <v>675</v>
      </c>
      <c r="C271" s="231"/>
      <c r="D271" s="231"/>
      <c r="E271" s="231">
        <f>SUM(E265:E270)</f>
        <v>0</v>
      </c>
      <c r="F271" s="231">
        <f t="shared" ref="F271" si="71">SUM(F265:F270)</f>
        <v>1.2257335593065695</v>
      </c>
      <c r="G271" s="231">
        <f t="shared" ref="G271" si="72">SUM(G265:G270)</f>
        <v>3.9445186246029205</v>
      </c>
      <c r="H271" s="231">
        <f t="shared" ref="H271" si="73">SUM(H265:H270)</f>
        <v>6.9390114711687598</v>
      </c>
      <c r="I271" s="231">
        <f t="shared" ref="I271" si="74">SUM(I265:I270)</f>
        <v>10.145805053224215</v>
      </c>
      <c r="J271" s="231">
        <f t="shared" ref="J271" si="75">SUM(J265:J270)</f>
        <v>13.540307186340186</v>
      </c>
      <c r="K271" s="197"/>
    </row>
    <row r="273" spans="2:16">
      <c r="B273" s="1156" t="s">
        <v>820</v>
      </c>
    </row>
    <row r="275" spans="2:16">
      <c r="B275" s="1150" t="s">
        <v>679</v>
      </c>
      <c r="C275" s="102" t="s">
        <v>816</v>
      </c>
      <c r="D275" s="102"/>
      <c r="E275" s="102" t="s">
        <v>815</v>
      </c>
      <c r="F275" s="1150">
        <v>2012</v>
      </c>
      <c r="G275" s="1150">
        <v>2013</v>
      </c>
      <c r="H275" s="1150">
        <v>2014</v>
      </c>
      <c r="I275" s="1150">
        <v>2015</v>
      </c>
      <c r="J275" s="1150">
        <v>2016</v>
      </c>
      <c r="K275" s="177"/>
    </row>
    <row r="276" spans="2:16" ht="16">
      <c r="B276" s="1171" t="s">
        <v>815</v>
      </c>
      <c r="C276" s="2">
        <f t="array" ref="C276:C281">TRANSPOSE(G49:L49)</f>
        <v>12496.2</v>
      </c>
      <c r="D276" s="255"/>
      <c r="E276" s="255"/>
      <c r="F276" s="255">
        <f>IF($C276-SUM($D276:E276,$C276/$D$119)&lt;0,$C276-SUM($D276:E276),$C276/$D$119)</f>
        <v>2499.2400000000002</v>
      </c>
      <c r="G276" s="255">
        <f>IF($C276-SUM($D276:F276,$C276/$D$119)&lt;0,$C276-SUM($D276:F276),$C276/$D$119)</f>
        <v>2499.2400000000002</v>
      </c>
      <c r="H276" s="255">
        <f>IF($C276-SUM($D276:G276,$C276/$D$119)&lt;0,$C276-SUM($D276:G276),$C276/$D$119)</f>
        <v>2499.2400000000002</v>
      </c>
      <c r="I276" s="255">
        <f>IF($C276-SUM($D276:H276,$C276/$D$119)&lt;0,$C276-SUM($D276:H276),$C276/$D$119)</f>
        <v>2499.2400000000002</v>
      </c>
      <c r="J276" s="255">
        <f>IF($C276-SUM($D276:I276,$C276/$D$119)&lt;0,$C276-SUM($D276:I276),$C276/$D$119)</f>
        <v>2499.2400000000002</v>
      </c>
      <c r="K276" s="256"/>
    </row>
    <row r="277" spans="2:16" ht="16">
      <c r="B277" s="1171">
        <v>2012</v>
      </c>
      <c r="C277" s="2">
        <v>27717.67296</v>
      </c>
      <c r="F277" s="255"/>
      <c r="G277" s="255">
        <f>IF($C277-SUM($D277:F277,$C277/$D$119)&lt;0,$C277-SUM($D277:F277),$C277/$D$119)</f>
        <v>5543.534592</v>
      </c>
      <c r="H277" s="255">
        <f>IF($C277-SUM($D277:G277,$C277/$D$119)&lt;0,$C277-SUM($D277:G277),$C277/$D$119)</f>
        <v>5543.534592</v>
      </c>
      <c r="I277" s="255">
        <f>IF($C277-SUM($D277:H277,$C277/$D$119)&lt;0,$C277-SUM($D277:H277),$C277/$D$119)</f>
        <v>5543.534592</v>
      </c>
      <c r="J277" s="255">
        <f>IF($C277-SUM($D277:I277,$C277/$D$119)&lt;0,$C277-SUM($D277:I277),$C277/$D$119)</f>
        <v>5543.534592</v>
      </c>
      <c r="K277" s="255"/>
      <c r="L277" s="255"/>
    </row>
    <row r="278" spans="2:16" ht="16">
      <c r="B278" s="1171">
        <v>2013</v>
      </c>
      <c r="C278" s="2">
        <v>30528.479231999998</v>
      </c>
      <c r="G278" s="1313">
        <f>C278/3/5</f>
        <v>2035.2319487999998</v>
      </c>
      <c r="H278" s="255">
        <f>IF($C278-SUM($D278:G278,$C278/$D$119)&lt;0,$C278-SUM($D278:G278),$C278/$D$119)</f>
        <v>6105.6958463999999</v>
      </c>
      <c r="I278" s="255">
        <f>IF($C278-SUM($D278:H278,$C278/$D$119)&lt;0,$C278-SUM($D278:H278),$C278/$D$119)</f>
        <v>6105.6958463999999</v>
      </c>
      <c r="J278" s="255">
        <f>IF($C278-SUM($D278:I278,$C278/$D$119)&lt;0,$C278-SUM($D278:I278),$C278/$D$119)</f>
        <v>6105.6958463999999</v>
      </c>
      <c r="K278" s="255"/>
      <c r="L278" s="255"/>
      <c r="M278" s="255"/>
    </row>
    <row r="279" spans="2:16" ht="16">
      <c r="B279" s="1171">
        <v>2014</v>
      </c>
      <c r="C279" s="2">
        <v>32692.858619904</v>
      </c>
      <c r="H279" s="255"/>
      <c r="I279" s="255">
        <f>IF($C279-SUM($D279:H279,$C279/$D$119)&lt;0,$C279-SUM($D279:H279),$C279/$D$119)</f>
        <v>6538.5717239808</v>
      </c>
      <c r="J279" s="255">
        <f>IF($C279-SUM($D279:I279,$C279/$D$119)&lt;0,$C279-SUM($D279:I279),$C279/$D$119)</f>
        <v>6538.5717239808</v>
      </c>
      <c r="K279" s="255"/>
      <c r="L279" s="255"/>
      <c r="M279" s="255"/>
      <c r="N279" s="255"/>
    </row>
    <row r="280" spans="2:16" ht="16">
      <c r="B280" s="1171">
        <v>2015</v>
      </c>
      <c r="C280" s="2">
        <v>34606.523770011649</v>
      </c>
      <c r="I280" s="255"/>
      <c r="J280" s="1314">
        <f>IF($C280-SUM($D280:I280,$C280/$D$119)&lt;0,$C280-SUM($D280:I280),$C280/$D$119)/1.5</f>
        <v>4614.2031693348863</v>
      </c>
      <c r="K280" s="255"/>
      <c r="L280" s="255"/>
      <c r="M280" s="255"/>
      <c r="N280" s="255"/>
      <c r="O280" s="255"/>
    </row>
    <row r="281" spans="2:16" ht="16">
      <c r="B281" s="1172">
        <v>2016</v>
      </c>
      <c r="C281" s="8">
        <v>36455.120605682278</v>
      </c>
      <c r="D281" s="8"/>
      <c r="E281" s="8"/>
      <c r="F281" s="8"/>
      <c r="G281" s="8"/>
      <c r="H281" s="8"/>
      <c r="I281" s="8"/>
      <c r="J281" s="8"/>
      <c r="K281" s="255"/>
      <c r="L281" s="255"/>
      <c r="M281" s="255"/>
      <c r="N281" s="255"/>
      <c r="O281" s="255"/>
      <c r="P281" s="255"/>
    </row>
    <row r="282" spans="2:16">
      <c r="B282" s="1170" t="s">
        <v>675</v>
      </c>
      <c r="C282" s="231"/>
      <c r="D282" s="231"/>
      <c r="E282" s="231">
        <f>SUM(E276:E281)</f>
        <v>0</v>
      </c>
      <c r="F282" s="231">
        <f t="shared" ref="F282" si="76">SUM(F276:F281)</f>
        <v>2499.2400000000002</v>
      </c>
      <c r="G282" s="231">
        <f t="shared" ref="G282" si="77">SUM(G276:G281)</f>
        <v>10078.006540799999</v>
      </c>
      <c r="H282" s="231">
        <f t="shared" ref="H282" si="78">SUM(H276:H281)</f>
        <v>14148.4704384</v>
      </c>
      <c r="I282" s="231">
        <f t="shared" ref="I282" si="79">SUM(I276:I281)</f>
        <v>20687.0421623808</v>
      </c>
      <c r="J282" s="231">
        <f t="shared" ref="J282" si="80">SUM(J276:J281)</f>
        <v>25301.245331715687</v>
      </c>
    </row>
    <row r="284" spans="2:16">
      <c r="B284" s="1156" t="s">
        <v>821</v>
      </c>
    </row>
    <row r="286" spans="2:16">
      <c r="B286" s="1150" t="s">
        <v>679</v>
      </c>
      <c r="C286" s="102" t="s">
        <v>816</v>
      </c>
      <c r="D286" s="102"/>
      <c r="E286" s="102" t="s">
        <v>815</v>
      </c>
      <c r="F286" s="1150">
        <v>2012</v>
      </c>
      <c r="G286" s="1150">
        <v>2013</v>
      </c>
      <c r="H286" s="1150">
        <v>2014</v>
      </c>
      <c r="I286" s="1150">
        <v>2015</v>
      </c>
      <c r="J286" s="1150">
        <v>2016</v>
      </c>
      <c r="K286" s="177"/>
    </row>
    <row r="287" spans="2:16" ht="16">
      <c r="B287" s="1171" t="s">
        <v>815</v>
      </c>
      <c r="C287" s="2">
        <f t="array" ref="C287:C292">TRANSPOSE(G53:L53)</f>
        <v>127.08</v>
      </c>
      <c r="D287" s="255"/>
      <c r="E287" s="255"/>
      <c r="F287" s="255">
        <f>IF($C287-SUM($D287:E287,$C287/$D$120)&lt;0,$C287-SUM($D287:E287),$C287/$D$120)</f>
        <v>25.416</v>
      </c>
      <c r="G287" s="255">
        <f>IF($C287-SUM($D287:F287,$C287/$D$120)&lt;0,$C287-SUM($D287:F287),$C287/$D$120)</f>
        <v>25.416</v>
      </c>
      <c r="H287" s="255">
        <f>IF($C287-SUM($D287:G287,$C287/$D$120)&lt;0,$C287-SUM($D287:G287),$C287/$D$120)</f>
        <v>25.416</v>
      </c>
      <c r="I287" s="255">
        <f>IF($C287-SUM($D287:H287,$C287/$D$120)&lt;0,$C287-SUM($D287:H287),$C287/$D$120)</f>
        <v>25.416</v>
      </c>
      <c r="J287" s="255">
        <f>IF($C287-SUM($D287:I287,$C287/$D$120)&lt;0,$C287-SUM($D287:I287),$C287/$D$120)</f>
        <v>25.416</v>
      </c>
      <c r="K287" s="256"/>
    </row>
    <row r="288" spans="2:16" ht="16">
      <c r="B288" s="1171">
        <v>2012</v>
      </c>
      <c r="C288" s="2">
        <v>271.10399999999998</v>
      </c>
      <c r="F288" s="255"/>
      <c r="G288" s="255">
        <f>IF($C288-SUM($D288:F288,$C288/$D$120)&lt;0,$C288-SUM($D288:F288),$C288/$D$120)</f>
        <v>54.220799999999997</v>
      </c>
      <c r="H288" s="255">
        <f>IF($C288-SUM($D288:G288,$C288/$D$120)&lt;0,$C288-SUM($D288:G288),$C288/$D$120)</f>
        <v>54.220799999999997</v>
      </c>
      <c r="I288" s="255">
        <f>IF($C288-SUM($D288:H288,$C288/$D$120)&lt;0,$C288-SUM($D288:H288),$C288/$D$120)</f>
        <v>54.220799999999997</v>
      </c>
      <c r="J288" s="255">
        <f>IF($C288-SUM($D288:I288,$C288/$D$120)&lt;0,$C288-SUM($D288:I288),$C288/$D$120)</f>
        <v>54.220799999999997</v>
      </c>
      <c r="K288" s="255"/>
    </row>
    <row r="289" spans="2:15" ht="16">
      <c r="B289" s="1171">
        <v>2013</v>
      </c>
      <c r="C289" s="2">
        <v>179.57928959999998</v>
      </c>
      <c r="G289" s="255"/>
      <c r="H289" s="255">
        <f>IF($C289-SUM($D289:G289,$C289/$D$120)&lt;0,$C289-SUM($D289:G289),$C289/$D$120)</f>
        <v>35.915857919999993</v>
      </c>
      <c r="I289" s="255">
        <f>IF($C289-SUM($D289:H289,$C289/$D$120)&lt;0,$C289-SUM($D289:H289),$C289/$D$120)</f>
        <v>35.915857919999993</v>
      </c>
      <c r="J289" s="255">
        <f>IF($C289-SUM($D289:I289,$C289/$D$120)&lt;0,$C289-SUM($D289:I289),$C289/$D$120)</f>
        <v>35.915857919999993</v>
      </c>
      <c r="K289" s="255"/>
      <c r="L289" s="255"/>
    </row>
    <row r="290" spans="2:15" ht="16">
      <c r="B290" s="1171">
        <v>2014</v>
      </c>
      <c r="C290" s="2">
        <v>127.164584448</v>
      </c>
      <c r="H290" s="255"/>
      <c r="I290" s="255">
        <f>IF($C290-SUM($D290:H290,$C290/$D$120)&lt;0,$C290-SUM($D290:H290),$C290/$D$120)</f>
        <v>25.432916889600001</v>
      </c>
      <c r="J290" s="255">
        <f>IF($C290-SUM($D290:I290,$C290/$D$120)&lt;0,$C290-SUM($D290:I290),$C290/$D$120)</f>
        <v>25.432916889600001</v>
      </c>
      <c r="K290" s="255"/>
      <c r="L290" s="255"/>
      <c r="M290" s="255"/>
    </row>
    <row r="291" spans="2:15" ht="16">
      <c r="B291" s="1171">
        <v>2015</v>
      </c>
      <c r="C291" s="2">
        <v>118.84108437504</v>
      </c>
      <c r="I291" s="255"/>
      <c r="J291" s="255">
        <f>IF($C291-SUM($D291:I291,$C291/$D$120)&lt;0,$C291-SUM($D291:I291),$C291/$D$120)</f>
        <v>23.768216875008001</v>
      </c>
      <c r="K291" s="255"/>
      <c r="L291" s="255"/>
      <c r="M291" s="255"/>
      <c r="N291" s="255"/>
    </row>
    <row r="292" spans="2:15" ht="16">
      <c r="B292" s="1172">
        <v>2016</v>
      </c>
      <c r="C292" s="8">
        <v>97.734907790032906</v>
      </c>
      <c r="D292" s="8"/>
      <c r="E292" s="8"/>
      <c r="F292" s="8"/>
      <c r="G292" s="8"/>
      <c r="H292" s="8"/>
      <c r="I292" s="8"/>
      <c r="J292" s="8"/>
      <c r="K292" s="255"/>
      <c r="L292" s="255"/>
      <c r="M292" s="255"/>
      <c r="N292" s="255"/>
      <c r="O292" s="255"/>
    </row>
    <row r="293" spans="2:15">
      <c r="B293" s="1170" t="s">
        <v>675</v>
      </c>
      <c r="C293" s="231"/>
      <c r="D293" s="231"/>
      <c r="E293" s="231">
        <f>SUM(E287:E292)</f>
        <v>0</v>
      </c>
      <c r="F293" s="231">
        <f t="shared" ref="F293" si="81">SUM(F287:F292)</f>
        <v>25.416</v>
      </c>
      <c r="G293" s="231">
        <f t="shared" ref="G293" si="82">SUM(G287:G292)</f>
        <v>79.636799999999994</v>
      </c>
      <c r="H293" s="231">
        <f t="shared" ref="H293" si="83">SUM(H287:H292)</f>
        <v>115.55265791999999</v>
      </c>
      <c r="I293" s="231">
        <f t="shared" ref="I293" si="84">SUM(I287:I292)</f>
        <v>140.9855748096</v>
      </c>
      <c r="J293" s="231">
        <f t="shared" ref="J293" si="85">SUM(J287:J292)</f>
        <v>164.75379168460799</v>
      </c>
      <c r="K293" s="197"/>
    </row>
    <row r="299" spans="2:15" ht="15" thickBot="1">
      <c r="B299" s="1173" t="s">
        <v>790</v>
      </c>
      <c r="C299" s="234" t="s">
        <v>791</v>
      </c>
      <c r="D299" s="234" t="s">
        <v>792</v>
      </c>
      <c r="E299" s="234" t="s">
        <v>745</v>
      </c>
      <c r="F299" s="234" t="s">
        <v>746</v>
      </c>
      <c r="G299" s="234" t="s">
        <v>793</v>
      </c>
      <c r="H299" s="234" t="s">
        <v>794</v>
      </c>
      <c r="I299" s="234" t="s">
        <v>795</v>
      </c>
    </row>
    <row r="300" spans="2:15">
      <c r="B300" s="1174" t="s">
        <v>796</v>
      </c>
      <c r="C300" s="235" t="s">
        <v>797</v>
      </c>
      <c r="D300" s="235" t="s">
        <v>798</v>
      </c>
      <c r="E300" s="236">
        <v>40</v>
      </c>
      <c r="F300" s="236">
        <v>5</v>
      </c>
      <c r="G300" s="236">
        <v>5</v>
      </c>
      <c r="H300" s="236"/>
      <c r="I300" s="237"/>
    </row>
    <row r="301" spans="2:15">
      <c r="B301" s="1175" t="s">
        <v>799</v>
      </c>
      <c r="C301" s="238"/>
      <c r="D301" s="238"/>
      <c r="E301" s="239"/>
      <c r="F301" s="239"/>
      <c r="G301" s="239"/>
      <c r="H301" s="239"/>
      <c r="I301" s="240"/>
    </row>
    <row r="302" spans="2:15">
      <c r="B302" s="1176" t="s">
        <v>800</v>
      </c>
      <c r="C302" s="242">
        <v>175114901000</v>
      </c>
      <c r="D302" s="242">
        <v>160616668000</v>
      </c>
      <c r="E302" s="242">
        <v>24000000</v>
      </c>
      <c r="F302" s="242">
        <v>104546000</v>
      </c>
      <c r="G302" s="242">
        <v>128571894000</v>
      </c>
      <c r="H302" s="242">
        <v>3427824000</v>
      </c>
      <c r="I302" s="242">
        <v>467859833000</v>
      </c>
    </row>
    <row r="303" spans="2:15">
      <c r="B303" s="1176" t="s">
        <v>801</v>
      </c>
      <c r="C303" s="242">
        <v>0</v>
      </c>
      <c r="D303" s="242">
        <v>1349082000</v>
      </c>
      <c r="E303" s="242">
        <v>26000000</v>
      </c>
      <c r="F303" s="242">
        <v>0</v>
      </c>
      <c r="G303" s="242">
        <v>22345253000</v>
      </c>
      <c r="H303" s="242">
        <v>28883980000</v>
      </c>
      <c r="I303" s="242">
        <v>52604315000</v>
      </c>
    </row>
    <row r="304" spans="2:15">
      <c r="B304" s="1176" t="s">
        <v>802</v>
      </c>
      <c r="C304" s="242">
        <v>0</v>
      </c>
      <c r="D304" s="242">
        <v>-2181037000</v>
      </c>
      <c r="E304" s="242">
        <v>0</v>
      </c>
      <c r="F304" s="242">
        <v>0</v>
      </c>
      <c r="G304" s="242">
        <v>-18065985000</v>
      </c>
      <c r="H304" s="242">
        <v>0</v>
      </c>
      <c r="I304" s="242">
        <v>-20247022000</v>
      </c>
    </row>
    <row r="305" spans="2:9">
      <c r="B305" s="1176" t="s">
        <v>803</v>
      </c>
      <c r="C305" s="242">
        <v>1065902000</v>
      </c>
      <c r="D305" s="242">
        <v>20420967000</v>
      </c>
      <c r="E305" s="242">
        <v>0</v>
      </c>
      <c r="F305" s="242">
        <v>0</v>
      </c>
      <c r="G305" s="242">
        <v>1548823000</v>
      </c>
      <c r="H305" s="242">
        <v>-25617843000</v>
      </c>
      <c r="I305" s="242">
        <v>-2582151000</v>
      </c>
    </row>
    <row r="306" spans="2:9">
      <c r="B306" s="1176" t="s">
        <v>804</v>
      </c>
      <c r="C306" s="242">
        <v>176180803000</v>
      </c>
      <c r="D306" s="242">
        <v>180205680000</v>
      </c>
      <c r="E306" s="242">
        <v>50000000</v>
      </c>
      <c r="F306" s="242">
        <v>104546000</v>
      </c>
      <c r="G306" s="242">
        <v>134399985000</v>
      </c>
      <c r="H306" s="242">
        <v>6693961000</v>
      </c>
      <c r="I306" s="242">
        <v>497634975000</v>
      </c>
    </row>
    <row r="307" spans="2:9">
      <c r="B307" s="1176"/>
      <c r="C307" s="242"/>
      <c r="D307" s="242"/>
      <c r="E307" s="242"/>
      <c r="F307" s="242"/>
      <c r="G307" s="242"/>
      <c r="H307" s="242"/>
      <c r="I307" s="242"/>
    </row>
    <row r="308" spans="2:9">
      <c r="B308" s="1175" t="s">
        <v>805</v>
      </c>
      <c r="C308" s="242"/>
      <c r="D308" s="242"/>
      <c r="E308" s="242"/>
      <c r="F308" s="242"/>
      <c r="G308" s="242"/>
      <c r="H308" s="242"/>
      <c r="I308" s="242"/>
    </row>
    <row r="309" spans="2:9">
      <c r="B309" s="1176" t="s">
        <v>800</v>
      </c>
      <c r="C309" s="242">
        <v>0</v>
      </c>
      <c r="D309" s="242">
        <v>-33443788000</v>
      </c>
      <c r="E309" s="242">
        <v>-6991000</v>
      </c>
      <c r="F309" s="242">
        <v>-10455000</v>
      </c>
      <c r="G309" s="242">
        <v>-80283348000</v>
      </c>
      <c r="H309" s="242">
        <v>0</v>
      </c>
      <c r="I309" s="242">
        <v>-113744582000</v>
      </c>
    </row>
    <row r="310" spans="2:9">
      <c r="B310" s="1176" t="s">
        <v>806</v>
      </c>
      <c r="C310" s="242">
        <v>0</v>
      </c>
      <c r="D310" s="242">
        <v>-18202825000</v>
      </c>
      <c r="E310" s="242">
        <v>-871000</v>
      </c>
      <c r="F310" s="242">
        <v>-20909000</v>
      </c>
      <c r="G310" s="242">
        <v>-17612534000</v>
      </c>
      <c r="H310" s="242">
        <v>0</v>
      </c>
      <c r="I310" s="242">
        <v>-35837139000</v>
      </c>
    </row>
    <row r="311" spans="2:9">
      <c r="B311" s="1177" t="s">
        <v>811</v>
      </c>
      <c r="C311" s="243"/>
      <c r="D311" s="243">
        <f>D310/$I$310</f>
        <v>0.50793186922650269</v>
      </c>
      <c r="E311" s="243">
        <f t="shared" ref="E311:G311" si="86">E310/$I$310</f>
        <v>2.4304395504339785E-5</v>
      </c>
      <c r="F311" s="243">
        <f t="shared" si="86"/>
        <v>5.8344501217019588E-4</v>
      </c>
      <c r="G311" s="243">
        <f t="shared" si="86"/>
        <v>0.49146038136582276</v>
      </c>
      <c r="H311" s="243"/>
      <c r="I311" s="243"/>
    </row>
    <row r="312" spans="2:9">
      <c r="B312" s="1176" t="s">
        <v>807</v>
      </c>
      <c r="C312" s="242">
        <v>0</v>
      </c>
      <c r="D312" s="242">
        <v>1039313000</v>
      </c>
      <c r="E312" s="242">
        <v>0</v>
      </c>
      <c r="F312" s="242">
        <v>0</v>
      </c>
      <c r="G312" s="242">
        <v>17062087000</v>
      </c>
      <c r="H312" s="242">
        <v>0</v>
      </c>
      <c r="I312" s="242">
        <v>18101400000</v>
      </c>
    </row>
    <row r="313" spans="2:9">
      <c r="B313" s="1176" t="s">
        <v>803</v>
      </c>
      <c r="C313" s="242">
        <v>0</v>
      </c>
      <c r="D313" s="242">
        <v>36576000</v>
      </c>
      <c r="E313" s="242">
        <v>0</v>
      </c>
      <c r="F313" s="242">
        <v>0</v>
      </c>
      <c r="G313" s="242">
        <v>0</v>
      </c>
      <c r="H313" s="242">
        <v>0</v>
      </c>
      <c r="I313" s="242">
        <v>36576000</v>
      </c>
    </row>
    <row r="314" spans="2:9" ht="15" thickBot="1">
      <c r="B314" s="1178" t="s">
        <v>804</v>
      </c>
      <c r="C314" s="244">
        <v>0</v>
      </c>
      <c r="D314" s="244">
        <v>-50570724000</v>
      </c>
      <c r="E314" s="244">
        <v>-7862000</v>
      </c>
      <c r="F314" s="244">
        <v>-31364000</v>
      </c>
      <c r="G314" s="244">
        <v>-80833795000</v>
      </c>
      <c r="H314" s="244">
        <v>0</v>
      </c>
      <c r="I314" s="244">
        <v>-131443745000</v>
      </c>
    </row>
    <row r="315" spans="2:9">
      <c r="B315" s="1179"/>
      <c r="C315" s="245"/>
      <c r="D315" s="245"/>
      <c r="E315" s="245"/>
      <c r="F315" s="245"/>
      <c r="G315" s="245"/>
      <c r="H315" s="245"/>
      <c r="I315" s="245"/>
    </row>
    <row r="316" spans="2:9">
      <c r="B316" s="1180" t="s">
        <v>808</v>
      </c>
      <c r="C316" s="246"/>
      <c r="D316" s="247">
        <f>-D310/(D302+SUM(D303:D305)/2)</f>
        <v>0.10681708583264617</v>
      </c>
      <c r="E316" s="247">
        <f>-E310/(E302+SUM(E303:E305)/2)</f>
        <v>2.3540540540540542E-2</v>
      </c>
      <c r="F316" s="247">
        <f>-F310/(F302+SUM(F303:F305)/2)</f>
        <v>0.19999808696650279</v>
      </c>
      <c r="G316" s="247">
        <f>-G310/(G302+SUM(G303:G305)/2)</f>
        <v>0.13394994222937426</v>
      </c>
      <c r="H316" s="247"/>
      <c r="I316" s="248"/>
    </row>
    <row r="322" spans="2:7" outlineLevel="1"/>
    <row r="323" spans="2:7" outlineLevel="1"/>
    <row r="324" spans="2:7" outlineLevel="1">
      <c r="B324" s="1155" t="s">
        <v>771</v>
      </c>
      <c r="C324" s="2" t="s">
        <v>758</v>
      </c>
      <c r="D324" s="2" t="s">
        <v>759</v>
      </c>
      <c r="E324" s="2" t="s">
        <v>760</v>
      </c>
      <c r="F324" s="2" t="s">
        <v>761</v>
      </c>
      <c r="G324" s="2" t="s">
        <v>762</v>
      </c>
    </row>
    <row r="325" spans="2:7" outlineLevel="1">
      <c r="B325" s="1155" t="s">
        <v>743</v>
      </c>
      <c r="C325" s="2">
        <v>175114901</v>
      </c>
      <c r="F325" s="2">
        <v>1065902</v>
      </c>
      <c r="G325" s="2">
        <v>176180803</v>
      </c>
    </row>
    <row r="326" spans="2:7" outlineLevel="1">
      <c r="B326" s="1155" t="s">
        <v>744</v>
      </c>
      <c r="C326" s="2">
        <v>160616668</v>
      </c>
      <c r="D326" s="2">
        <v>1349082</v>
      </c>
      <c r="E326" s="2">
        <v>-2181037</v>
      </c>
      <c r="F326" s="2">
        <v>20420967</v>
      </c>
      <c r="G326" s="2">
        <v>180205680</v>
      </c>
    </row>
    <row r="327" spans="2:7" outlineLevel="1">
      <c r="B327" s="1155" t="s">
        <v>745</v>
      </c>
      <c r="C327" s="2">
        <v>24000</v>
      </c>
      <c r="D327" s="2">
        <v>26000</v>
      </c>
      <c r="G327" s="2">
        <v>50000</v>
      </c>
    </row>
    <row r="328" spans="2:7" outlineLevel="1">
      <c r="B328" s="1155" t="s">
        <v>746</v>
      </c>
      <c r="C328" s="2">
        <v>104546</v>
      </c>
      <c r="G328" s="2">
        <v>104546</v>
      </c>
    </row>
    <row r="329" spans="2:7" outlineLevel="1">
      <c r="B329" s="1155" t="s">
        <v>747</v>
      </c>
      <c r="C329" s="2">
        <v>128571894</v>
      </c>
      <c r="D329" s="2">
        <v>22345253</v>
      </c>
      <c r="E329" s="2">
        <v>-18065985</v>
      </c>
      <c r="F329" s="2">
        <v>1548823</v>
      </c>
      <c r="G329" s="2">
        <v>134399985</v>
      </c>
    </row>
    <row r="330" spans="2:7" outlineLevel="1">
      <c r="B330" s="1155" t="s">
        <v>748</v>
      </c>
      <c r="C330" s="2">
        <v>3427824</v>
      </c>
      <c r="D330" s="2">
        <v>28883980</v>
      </c>
      <c r="E330" s="2" t="s">
        <v>763</v>
      </c>
      <c r="F330" s="2">
        <v>-25617843</v>
      </c>
      <c r="G330" s="2">
        <v>6693961</v>
      </c>
    </row>
    <row r="331" spans="2:7" outlineLevel="1">
      <c r="B331" s="1155" t="s">
        <v>764</v>
      </c>
      <c r="C331" s="2">
        <v>467859833</v>
      </c>
      <c r="D331" s="2">
        <v>52604315</v>
      </c>
      <c r="E331" s="2">
        <v>-20247022</v>
      </c>
      <c r="F331" s="2">
        <v>-2582151</v>
      </c>
      <c r="G331" s="2">
        <v>497634975</v>
      </c>
    </row>
    <row r="332" spans="2:7" outlineLevel="1"/>
    <row r="333" spans="2:7" outlineLevel="1"/>
    <row r="334" spans="2:7" outlineLevel="1">
      <c r="B334" s="1155" t="s">
        <v>772</v>
      </c>
      <c r="C334" s="2" t="s">
        <v>758</v>
      </c>
      <c r="D334" s="2" t="s">
        <v>759</v>
      </c>
      <c r="E334" s="2" t="s">
        <v>760</v>
      </c>
      <c r="F334" s="2" t="s">
        <v>761</v>
      </c>
      <c r="G334" s="2" t="s">
        <v>762</v>
      </c>
    </row>
    <row r="335" spans="2:7" outlineLevel="1">
      <c r="B335" s="1155" t="s">
        <v>765</v>
      </c>
      <c r="C335" s="2">
        <v>170372346</v>
      </c>
      <c r="E335" s="2">
        <v>-87000</v>
      </c>
      <c r="F335" s="2">
        <v>4829555</v>
      </c>
      <c r="G335" s="2">
        <v>175114901</v>
      </c>
    </row>
    <row r="336" spans="2:7" outlineLevel="1">
      <c r="B336" s="1155" t="s">
        <v>766</v>
      </c>
      <c r="C336" s="2">
        <v>145494410</v>
      </c>
      <c r="D336" s="2">
        <v>388000</v>
      </c>
      <c r="E336" s="2">
        <v>-1555962</v>
      </c>
      <c r="F336" s="2">
        <v>16290220</v>
      </c>
      <c r="G336" s="2">
        <v>160616668</v>
      </c>
    </row>
    <row r="337" spans="2:9" outlineLevel="1">
      <c r="B337" s="1155" t="s">
        <v>745</v>
      </c>
      <c r="C337" s="2">
        <v>24000</v>
      </c>
      <c r="G337" s="2">
        <v>24000</v>
      </c>
    </row>
    <row r="338" spans="2:9" outlineLevel="1">
      <c r="B338" s="1155" t="s">
        <v>746</v>
      </c>
      <c r="C338" s="2">
        <v>83045</v>
      </c>
      <c r="D338" s="2">
        <v>104546</v>
      </c>
      <c r="E338" s="2">
        <v>-83045</v>
      </c>
      <c r="G338" s="2">
        <v>104546</v>
      </c>
    </row>
    <row r="339" spans="2:9" outlineLevel="1">
      <c r="B339" s="1155" t="s">
        <v>767</v>
      </c>
      <c r="C339" s="2">
        <v>117982459</v>
      </c>
      <c r="D339" s="2">
        <v>22380371</v>
      </c>
      <c r="E339" s="2">
        <v>-12174587</v>
      </c>
      <c r="F339" s="2">
        <v>383651</v>
      </c>
      <c r="G339" s="2">
        <v>128571894</v>
      </c>
    </row>
    <row r="340" spans="2:9" outlineLevel="1">
      <c r="B340" s="1155" t="s">
        <v>768</v>
      </c>
      <c r="C340" s="2">
        <v>533284</v>
      </c>
      <c r="F340" s="2">
        <v>-533284</v>
      </c>
    </row>
    <row r="341" spans="2:9" outlineLevel="1">
      <c r="B341" s="1155" t="s">
        <v>748</v>
      </c>
      <c r="C341" s="2">
        <v>7765077</v>
      </c>
      <c r="D341" s="2">
        <v>17059517</v>
      </c>
      <c r="F341" s="2">
        <v>-21396770</v>
      </c>
      <c r="G341" s="2">
        <v>3427824</v>
      </c>
    </row>
    <row r="342" spans="2:9" outlineLevel="1">
      <c r="B342" s="1155" t="s">
        <v>764</v>
      </c>
      <c r="C342" s="2">
        <v>442254621</v>
      </c>
      <c r="D342" s="2">
        <v>39932434</v>
      </c>
      <c r="E342" s="2">
        <v>-13900594</v>
      </c>
      <c r="F342" s="2">
        <v>-426628</v>
      </c>
      <c r="G342" s="2">
        <v>467859833</v>
      </c>
    </row>
    <row r="343" spans="2:9" outlineLevel="1"/>
    <row r="344" spans="2:9" outlineLevel="1"/>
    <row r="345" spans="2:9" outlineLevel="1"/>
    <row r="346" spans="2:9" outlineLevel="1"/>
    <row r="347" spans="2:9" outlineLevel="1">
      <c r="B347" s="1155" t="s">
        <v>784</v>
      </c>
      <c r="C347" s="2" t="s">
        <v>778</v>
      </c>
      <c r="D347" s="2" t="s">
        <v>779</v>
      </c>
      <c r="E347" s="2" t="s">
        <v>780</v>
      </c>
      <c r="F347" s="2" t="s">
        <v>781</v>
      </c>
      <c r="G347" s="2" t="s">
        <v>732</v>
      </c>
      <c r="H347" s="2" t="s">
        <v>782</v>
      </c>
      <c r="I347" s="2" t="s">
        <v>783</v>
      </c>
    </row>
    <row r="348" spans="2:9" outlineLevel="1">
      <c r="B348" s="1155" t="s">
        <v>743</v>
      </c>
      <c r="D348" s="2">
        <v>156079213</v>
      </c>
      <c r="I348" s="2">
        <v>156079213</v>
      </c>
    </row>
    <row r="349" spans="2:9" outlineLevel="1">
      <c r="B349" s="1155" t="s">
        <v>744</v>
      </c>
      <c r="D349" s="2">
        <v>125509684</v>
      </c>
      <c r="E349" s="2">
        <v>9059034</v>
      </c>
      <c r="F349" s="2">
        <v>-967932</v>
      </c>
      <c r="G349" s="2">
        <v>-10239062</v>
      </c>
      <c r="H349" s="2">
        <v>4131685</v>
      </c>
      <c r="I349" s="2">
        <v>127493409</v>
      </c>
    </row>
    <row r="350" spans="2:9" outlineLevel="1">
      <c r="B350" s="1155" t="s">
        <v>745</v>
      </c>
      <c r="D350" s="2">
        <v>17959</v>
      </c>
      <c r="G350" s="2">
        <v>-350</v>
      </c>
      <c r="I350" s="2">
        <v>17609</v>
      </c>
    </row>
    <row r="351" spans="2:9" outlineLevel="1">
      <c r="B351" s="1155" t="s">
        <v>746</v>
      </c>
      <c r="D351" s="2">
        <v>19377</v>
      </c>
      <c r="G351" s="2">
        <v>-9688</v>
      </c>
      <c r="I351" s="2">
        <v>9689</v>
      </c>
    </row>
    <row r="352" spans="2:9" outlineLevel="1">
      <c r="B352" s="1155" t="s">
        <v>747</v>
      </c>
      <c r="D352" s="2">
        <v>40096367</v>
      </c>
      <c r="E352" s="2">
        <v>10310560</v>
      </c>
      <c r="F352" s="2">
        <v>-489598</v>
      </c>
      <c r="G352" s="2">
        <v>-8935599</v>
      </c>
      <c r="H352" s="2">
        <v>370748</v>
      </c>
      <c r="I352" s="2">
        <v>41352478</v>
      </c>
    </row>
    <row r="353" spans="2:9" outlineLevel="1">
      <c r="B353" s="1155" t="s">
        <v>768</v>
      </c>
      <c r="D353" s="2">
        <v>545301</v>
      </c>
      <c r="E353" s="2" t="s">
        <v>756</v>
      </c>
      <c r="F353" s="2" t="s">
        <v>756</v>
      </c>
      <c r="G353" s="2">
        <v>-122920</v>
      </c>
      <c r="H353" s="2">
        <v>-297948</v>
      </c>
      <c r="I353" s="2">
        <v>124433</v>
      </c>
    </row>
    <row r="354" spans="2:9" outlineLevel="1">
      <c r="B354" s="1155" t="s">
        <v>748</v>
      </c>
      <c r="D354" s="2">
        <v>7780865</v>
      </c>
      <c r="E354" s="2">
        <v>4188697</v>
      </c>
      <c r="F354" s="2" t="s">
        <v>756</v>
      </c>
      <c r="G354" s="2" t="s">
        <v>756</v>
      </c>
      <c r="H354" s="2">
        <v>-4204485</v>
      </c>
      <c r="I354" s="2">
        <v>7765077</v>
      </c>
    </row>
    <row r="355" spans="2:9" outlineLevel="1">
      <c r="B355" s="1155" t="s">
        <v>674</v>
      </c>
      <c r="D355" s="2">
        <v>330048766</v>
      </c>
      <c r="E355" s="2">
        <v>23558291</v>
      </c>
      <c r="F355" s="2">
        <v>-1457530</v>
      </c>
      <c r="G355" s="2">
        <v>-19307619</v>
      </c>
      <c r="I355" s="2">
        <v>332841908</v>
      </c>
    </row>
    <row r="356" spans="2:9" outlineLevel="1"/>
    <row r="357" spans="2:9" outlineLevel="1"/>
    <row r="358" spans="2:9" outlineLevel="1"/>
    <row r="359" spans="2:9" outlineLevel="1"/>
    <row r="360" spans="2:9" outlineLevel="1">
      <c r="B360" s="1155" t="s">
        <v>777</v>
      </c>
      <c r="C360" s="2" t="s">
        <v>753</v>
      </c>
      <c r="D360" s="2" t="s">
        <v>757</v>
      </c>
      <c r="E360" s="2" t="s">
        <v>769</v>
      </c>
    </row>
    <row r="361" spans="2:9" outlineLevel="1">
      <c r="B361" s="1155" t="s">
        <v>773</v>
      </c>
      <c r="C361" s="2">
        <v>6683734.8530000001</v>
      </c>
      <c r="D361" s="232">
        <v>12731455.800000001</v>
      </c>
      <c r="E361" s="232">
        <v>12059609</v>
      </c>
    </row>
    <row r="362" spans="2:9" outlineLevel="1">
      <c r="B362" s="1155" t="s">
        <v>774</v>
      </c>
      <c r="C362" s="2">
        <v>3251154.8969999999</v>
      </c>
      <c r="D362" s="232">
        <v>2692904.1809999999</v>
      </c>
      <c r="E362" s="232">
        <v>3402006.415</v>
      </c>
    </row>
    <row r="363" spans="2:9" outlineLevel="1">
      <c r="C363" s="2">
        <f>SUM(C361:C362)</f>
        <v>9934889.75</v>
      </c>
      <c r="D363" s="2">
        <f>D361-D362</f>
        <v>10038551.619000001</v>
      </c>
      <c r="E363" s="2">
        <f>E361-E362</f>
        <v>8657602.5850000009</v>
      </c>
    </row>
    <row r="364" spans="2:9" outlineLevel="1">
      <c r="B364" s="1155" t="s">
        <v>775</v>
      </c>
      <c r="C364" s="2">
        <v>226235</v>
      </c>
      <c r="D364" s="232">
        <v>265631.12</v>
      </c>
      <c r="E364" s="232">
        <v>1035316.28</v>
      </c>
    </row>
    <row r="365" spans="2:9" outlineLevel="1">
      <c r="B365" s="1155" t="s">
        <v>776</v>
      </c>
      <c r="C365" s="2">
        <v>0</v>
      </c>
      <c r="D365" s="232">
        <v>0</v>
      </c>
      <c r="E365" s="232">
        <v>110000</v>
      </c>
    </row>
    <row r="366" spans="2:9" outlineLevel="1">
      <c r="C366" s="2">
        <f>SUM(C364:C365)</f>
        <v>226235</v>
      </c>
      <c r="D366" s="2">
        <f>D364-D365</f>
        <v>265631.12</v>
      </c>
      <c r="E366" s="2">
        <f>E364-E365</f>
        <v>925316.28</v>
      </c>
    </row>
    <row r="367" spans="2:9" outlineLevel="1"/>
    <row r="368" spans="2:9" outlineLevel="1"/>
    <row r="369" spans="2:16" outlineLevel="1"/>
    <row r="371" spans="2:16" ht="15" thickBot="1">
      <c r="B371" s="1158" t="s">
        <v>1185</v>
      </c>
      <c r="C371" s="8"/>
      <c r="D371" s="8" t="s">
        <v>1275</v>
      </c>
      <c r="E371" s="8" t="s">
        <v>1276</v>
      </c>
      <c r="F371" s="8" t="s">
        <v>1277</v>
      </c>
      <c r="I371" s="207" t="s">
        <v>2950</v>
      </c>
      <c r="J371" s="207"/>
      <c r="K371" s="1278">
        <v>2008</v>
      </c>
      <c r="L371" s="1278">
        <v>2009</v>
      </c>
      <c r="M371" s="1278">
        <v>2010</v>
      </c>
      <c r="N371" s="2" t="s">
        <v>2971</v>
      </c>
      <c r="O371" s="2" t="s">
        <v>2972</v>
      </c>
      <c r="P371" s="2" t="s">
        <v>2973</v>
      </c>
    </row>
    <row r="372" spans="2:16">
      <c r="B372" s="1181" t="s">
        <v>1267</v>
      </c>
      <c r="C372" s="1151">
        <v>2008</v>
      </c>
      <c r="D372" s="559">
        <v>0</v>
      </c>
      <c r="E372" s="559">
        <v>0</v>
      </c>
      <c r="F372" s="559">
        <f t="shared" ref="F372:F380" si="87">D372-E372</f>
        <v>0</v>
      </c>
      <c r="I372" s="2" t="s">
        <v>2951</v>
      </c>
      <c r="K372" s="2">
        <f>SUM(K373:K377)</f>
        <v>22414.496999999999</v>
      </c>
      <c r="L372" s="2">
        <f t="shared" ref="L372:M372" si="88">SUM(L373:L377)</f>
        <v>30475.749000000003</v>
      </c>
      <c r="M372" s="2">
        <f t="shared" si="88"/>
        <v>26509.004999999997</v>
      </c>
    </row>
    <row r="373" spans="2:16">
      <c r="B373" s="1181"/>
      <c r="C373" s="1151">
        <v>2009</v>
      </c>
      <c r="D373" s="559">
        <v>4829.5550000000003</v>
      </c>
      <c r="E373" s="559">
        <v>87</v>
      </c>
      <c r="F373" s="559">
        <f t="shared" si="87"/>
        <v>4742.5550000000003</v>
      </c>
      <c r="J373" s="2" t="s">
        <v>2943</v>
      </c>
      <c r="K373" s="2">
        <f>F372</f>
        <v>0</v>
      </c>
      <c r="L373" s="2">
        <f>F373</f>
        <v>4742.5550000000003</v>
      </c>
      <c r="M373" s="2">
        <f>F374</f>
        <v>1065.902</v>
      </c>
      <c r="N373" s="1296">
        <f>M373/SUM($M$373:$M$375)</f>
        <v>5.154037195841539E-2</v>
      </c>
      <c r="O373" s="1296">
        <f>SUM(L373:M373)/SUM($L$373:$M$375)</f>
        <v>0.14325694542362011</v>
      </c>
      <c r="P373" s="1296">
        <f>SUM(K373:M373)/SUM($K$373:$M$375)</f>
        <v>0.11007429544064858</v>
      </c>
    </row>
    <row r="374" spans="2:16">
      <c r="B374" s="1182"/>
      <c r="C374" s="1152">
        <v>2010</v>
      </c>
      <c r="D374" s="609">
        <v>1065.902</v>
      </c>
      <c r="E374" s="609">
        <v>0</v>
      </c>
      <c r="F374" s="609">
        <f t="shared" si="87"/>
        <v>1065.902</v>
      </c>
      <c r="J374" s="2" t="s">
        <v>2944</v>
      </c>
      <c r="K374" s="2">
        <f>F375</f>
        <v>12222.786999999998</v>
      </c>
      <c r="L374" s="2">
        <f>F376</f>
        <v>15122.258000000002</v>
      </c>
      <c r="M374" s="2">
        <f>F377</f>
        <v>19589.011999999999</v>
      </c>
      <c r="N374" s="1296">
        <f t="shared" ref="N374:N375" si="89">M374/SUM($M$373:$M$375)</f>
        <v>0.94720243022141104</v>
      </c>
      <c r="O374" s="1296">
        <f t="shared" ref="O374:O375" si="90">SUM(L374:M374)/SUM($L$373:$M$375)</f>
        <v>0.85610180328003505</v>
      </c>
      <c r="P374" s="1296">
        <f t="shared" ref="P374:P375" si="91">SUM(K374:M374)/SUM($K$373:$M$375)</f>
        <v>0.88943298649645519</v>
      </c>
    </row>
    <row r="375" spans="2:16">
      <c r="B375" s="1181" t="s">
        <v>1268</v>
      </c>
      <c r="C375" s="1151">
        <v>2008</v>
      </c>
      <c r="D375" s="559">
        <v>13190.718999999999</v>
      </c>
      <c r="E375" s="559">
        <v>967.93200000000002</v>
      </c>
      <c r="F375" s="559">
        <f t="shared" si="87"/>
        <v>12222.786999999998</v>
      </c>
      <c r="J375" s="2" t="s">
        <v>2945</v>
      </c>
      <c r="K375" s="2">
        <f>F378</f>
        <v>0</v>
      </c>
      <c r="L375" s="2">
        <f>F379</f>
        <v>0</v>
      </c>
      <c r="M375" s="2">
        <f>F380</f>
        <v>26</v>
      </c>
      <c r="N375" s="1296">
        <f t="shared" si="89"/>
        <v>1.257197820173712E-3</v>
      </c>
      <c r="O375" s="1296">
        <f t="shared" si="90"/>
        <v>6.412512963449885E-4</v>
      </c>
      <c r="P375" s="1296">
        <f t="shared" si="91"/>
        <v>4.9271806289637036E-4</v>
      </c>
    </row>
    <row r="376" spans="2:16">
      <c r="B376" s="1181"/>
      <c r="C376" s="1151">
        <v>2009</v>
      </c>
      <c r="D376" s="559">
        <v>16678.22</v>
      </c>
      <c r="E376" s="559">
        <v>1555.962</v>
      </c>
      <c r="F376" s="559">
        <f t="shared" si="87"/>
        <v>15122.258000000002</v>
      </c>
      <c r="J376" s="2" t="s">
        <v>2947</v>
      </c>
      <c r="K376" s="2">
        <f>F384</f>
        <v>10191.710000000001</v>
      </c>
      <c r="L376" s="2">
        <f>F385</f>
        <v>10589.435000000001</v>
      </c>
      <c r="M376" s="2">
        <f>F386</f>
        <v>5828.0910000000003</v>
      </c>
    </row>
    <row r="377" spans="2:16">
      <c r="B377" s="1182"/>
      <c r="C377" s="1152">
        <v>2010</v>
      </c>
      <c r="D377" s="609">
        <v>21770.048999999999</v>
      </c>
      <c r="E377" s="609">
        <v>2181.0369999999998</v>
      </c>
      <c r="F377" s="609">
        <f t="shared" si="87"/>
        <v>19589.011999999999</v>
      </c>
      <c r="J377" s="2" t="s">
        <v>2946</v>
      </c>
      <c r="K377" s="2">
        <f>F381</f>
        <v>0</v>
      </c>
      <c r="L377" s="2">
        <f>F382</f>
        <v>21.501000000000005</v>
      </c>
      <c r="M377" s="2">
        <f>F383</f>
        <v>0</v>
      </c>
    </row>
    <row r="378" spans="2:16">
      <c r="B378" s="1181" t="s">
        <v>745</v>
      </c>
      <c r="C378" s="1151">
        <v>2008</v>
      </c>
      <c r="D378" s="559">
        <v>0</v>
      </c>
      <c r="E378" s="559">
        <v>0</v>
      </c>
      <c r="F378" s="559">
        <f t="shared" si="87"/>
        <v>0</v>
      </c>
      <c r="I378" s="8"/>
      <c r="J378" s="8"/>
      <c r="K378" s="8"/>
      <c r="L378" s="8"/>
      <c r="M378" s="8"/>
    </row>
    <row r="379" spans="2:16">
      <c r="B379" s="1181"/>
      <c r="C379" s="1151">
        <v>2009</v>
      </c>
      <c r="D379" s="559">
        <v>0</v>
      </c>
      <c r="E379" s="559">
        <v>0</v>
      </c>
      <c r="F379" s="559">
        <f t="shared" si="87"/>
        <v>0</v>
      </c>
      <c r="I379" s="2" t="s">
        <v>2948</v>
      </c>
      <c r="K379" s="2">
        <f>F390</f>
        <v>226.23500000000001</v>
      </c>
      <c r="L379" s="2">
        <f>F391</f>
        <v>265.63112000000001</v>
      </c>
      <c r="M379" s="2">
        <f>F392</f>
        <v>925.31628000000001</v>
      </c>
    </row>
    <row r="380" spans="2:16">
      <c r="B380" s="1182"/>
      <c r="C380" s="1152">
        <v>2010</v>
      </c>
      <c r="D380" s="609">
        <v>26</v>
      </c>
      <c r="E380" s="609">
        <v>0</v>
      </c>
      <c r="F380" s="609">
        <f t="shared" si="87"/>
        <v>26</v>
      </c>
      <c r="I380" s="8"/>
      <c r="J380" s="8"/>
      <c r="K380" s="8"/>
      <c r="L380" s="8"/>
      <c r="M380" s="8"/>
    </row>
    <row r="381" spans="2:16">
      <c r="B381" s="1181" t="s">
        <v>1272</v>
      </c>
      <c r="C381" s="1151">
        <v>2008</v>
      </c>
      <c r="D381" s="559">
        <v>0</v>
      </c>
      <c r="E381" s="559">
        <v>0</v>
      </c>
      <c r="F381" s="559">
        <f t="shared" ref="F381:F386" si="92">D381-E381</f>
        <v>0</v>
      </c>
      <c r="I381" s="2" t="s">
        <v>2949</v>
      </c>
      <c r="K381" s="2">
        <f>F393</f>
        <v>3432.579956</v>
      </c>
      <c r="L381" s="2">
        <f>F394</f>
        <v>10038.551619000002</v>
      </c>
      <c r="M381" s="2">
        <f>F395</f>
        <v>8657.6025850000005</v>
      </c>
    </row>
    <row r="382" spans="2:16">
      <c r="B382" s="1181"/>
      <c r="C382" s="1151">
        <v>2009</v>
      </c>
      <c r="D382" s="559">
        <v>104.54600000000001</v>
      </c>
      <c r="E382" s="559">
        <v>83.045000000000002</v>
      </c>
      <c r="F382" s="559">
        <f t="shared" si="92"/>
        <v>21.501000000000005</v>
      </c>
    </row>
    <row r="383" spans="2:16" ht="15" thickBot="1">
      <c r="B383" s="1182"/>
      <c r="C383" s="1152">
        <v>2010</v>
      </c>
      <c r="D383" s="609">
        <v>0</v>
      </c>
      <c r="E383" s="609">
        <v>0</v>
      </c>
      <c r="F383" s="609">
        <f t="shared" si="92"/>
        <v>0</v>
      </c>
      <c r="I383" s="1279" t="s">
        <v>2952</v>
      </c>
      <c r="J383" s="1279"/>
      <c r="K383" s="1279">
        <f>K372+K379+K381</f>
        <v>26073.311956000001</v>
      </c>
      <c r="L383" s="1279">
        <f>L372+L379+L381</f>
        <v>40779.931739000007</v>
      </c>
      <c r="M383" s="1279">
        <f>M372+M379+M381</f>
        <v>36091.923864999997</v>
      </c>
    </row>
    <row r="384" spans="2:16">
      <c r="B384" s="1181" t="s">
        <v>1271</v>
      </c>
      <c r="C384" s="1151">
        <v>2008</v>
      </c>
      <c r="D384" s="559">
        <v>10681.308000000001</v>
      </c>
      <c r="E384" s="559">
        <v>489.59800000000001</v>
      </c>
      <c r="F384" s="559">
        <f t="shared" si="92"/>
        <v>10191.710000000001</v>
      </c>
    </row>
    <row r="385" spans="2:6">
      <c r="B385" s="1181"/>
      <c r="C385" s="1151">
        <v>2009</v>
      </c>
      <c r="D385" s="559">
        <v>22764.022000000001</v>
      </c>
      <c r="E385" s="559">
        <v>12174.587</v>
      </c>
      <c r="F385" s="559">
        <f t="shared" si="92"/>
        <v>10589.435000000001</v>
      </c>
    </row>
    <row r="386" spans="2:6">
      <c r="B386" s="1182"/>
      <c r="C386" s="1152">
        <v>2010</v>
      </c>
      <c r="D386" s="609">
        <v>23894.076000000001</v>
      </c>
      <c r="E386" s="609">
        <v>18065.985000000001</v>
      </c>
      <c r="F386" s="609">
        <f t="shared" si="92"/>
        <v>5828.0910000000003</v>
      </c>
    </row>
    <row r="387" spans="2:6">
      <c r="B387" s="1181" t="s">
        <v>748</v>
      </c>
      <c r="C387" s="1151">
        <v>2008</v>
      </c>
      <c r="D387" s="559"/>
      <c r="E387" s="559"/>
      <c r="F387" s="559"/>
    </row>
    <row r="388" spans="2:6">
      <c r="B388" s="1181"/>
      <c r="C388" s="1151">
        <v>2009</v>
      </c>
      <c r="D388" s="559"/>
      <c r="E388" s="559"/>
      <c r="F388" s="559"/>
    </row>
    <row r="389" spans="2:6">
      <c r="B389" s="1182"/>
      <c r="C389" s="1152">
        <v>2010</v>
      </c>
      <c r="D389" s="609"/>
      <c r="E389" s="609"/>
      <c r="F389" s="609"/>
    </row>
    <row r="390" spans="2:6">
      <c r="B390" s="1181" t="s">
        <v>1183</v>
      </c>
      <c r="C390" s="1151">
        <v>2008</v>
      </c>
      <c r="D390" s="610">
        <v>226.23500000000001</v>
      </c>
      <c r="E390" s="610">
        <v>0</v>
      </c>
      <c r="F390" s="559">
        <f t="shared" ref="F390:F395" si="93">D390-E390</f>
        <v>226.23500000000001</v>
      </c>
    </row>
    <row r="391" spans="2:6">
      <c r="B391" s="1181"/>
      <c r="C391" s="1151">
        <v>2009</v>
      </c>
      <c r="D391" s="559">
        <v>265.63112000000001</v>
      </c>
      <c r="E391" s="559">
        <v>0</v>
      </c>
      <c r="F391" s="559">
        <f t="shared" si="93"/>
        <v>265.63112000000001</v>
      </c>
    </row>
    <row r="392" spans="2:6">
      <c r="B392" s="1182"/>
      <c r="C392" s="1152">
        <v>2010</v>
      </c>
      <c r="D392" s="609">
        <v>1035.31628</v>
      </c>
      <c r="E392" s="609">
        <v>110</v>
      </c>
      <c r="F392" s="609">
        <f t="shared" si="93"/>
        <v>925.31628000000001</v>
      </c>
    </row>
    <row r="393" spans="2:6">
      <c r="B393" s="1181" t="s">
        <v>1418</v>
      </c>
      <c r="C393" s="1151">
        <v>2008</v>
      </c>
      <c r="D393" s="610">
        <v>6683.7348529999999</v>
      </c>
      <c r="E393" s="610">
        <v>3251.1548969999999</v>
      </c>
      <c r="F393" s="559">
        <f t="shared" si="93"/>
        <v>3432.579956</v>
      </c>
    </row>
    <row r="394" spans="2:6">
      <c r="B394" s="1181"/>
      <c r="C394" s="1151">
        <v>2009</v>
      </c>
      <c r="D394" s="559">
        <v>12731.455800000002</v>
      </c>
      <c r="E394" s="559">
        <v>2692.9041809999999</v>
      </c>
      <c r="F394" s="559">
        <f t="shared" si="93"/>
        <v>10038.551619000002</v>
      </c>
    </row>
    <row r="395" spans="2:6">
      <c r="B395" s="1182"/>
      <c r="C395" s="1152">
        <v>2010</v>
      </c>
      <c r="D395" s="609">
        <v>12059.609</v>
      </c>
      <c r="E395" s="609">
        <v>3402.0064149999998</v>
      </c>
      <c r="F395" s="609">
        <f t="shared" si="93"/>
        <v>8657.6025850000005</v>
      </c>
    </row>
    <row r="396" spans="2:6">
      <c r="B396" s="1181"/>
      <c r="C396" s="559"/>
      <c r="D396" s="559"/>
      <c r="E396" s="559"/>
      <c r="F396" s="559"/>
    </row>
    <row r="397" spans="2:6">
      <c r="B397" s="1153" t="s">
        <v>1285</v>
      </c>
      <c r="C397" s="1153">
        <v>2008</v>
      </c>
      <c r="D397" s="611"/>
      <c r="E397" s="611"/>
      <c r="F397" s="611">
        <f>F372+F375+F378+F381+F384+F387+F390+F393</f>
        <v>26073.311956000001</v>
      </c>
    </row>
    <row r="398" spans="2:6">
      <c r="B398" s="1151"/>
      <c r="C398" s="1151">
        <v>2009</v>
      </c>
      <c r="D398" s="610"/>
      <c r="E398" s="610"/>
      <c r="F398" s="610">
        <f t="shared" ref="F398:F399" si="94">F373+F376+F379+F382+F385+F388+F391+F394</f>
        <v>40779.931739000007</v>
      </c>
    </row>
    <row r="399" spans="2:6">
      <c r="B399" s="1152"/>
      <c r="C399" s="1152">
        <v>2010</v>
      </c>
      <c r="D399" s="609"/>
      <c r="E399" s="609"/>
      <c r="F399" s="609">
        <f t="shared" si="94"/>
        <v>36091.923864999997</v>
      </c>
    </row>
    <row r="400" spans="2:6">
      <c r="F400" s="2">
        <f>D413</f>
        <v>31555.024251000003</v>
      </c>
    </row>
    <row r="407" spans="2:8" ht="28">
      <c r="B407" s="1183" t="s">
        <v>1286</v>
      </c>
      <c r="C407" s="613"/>
      <c r="D407" s="613"/>
      <c r="E407" s="614"/>
    </row>
    <row r="408" spans="2:8">
      <c r="B408" s="1184" t="s">
        <v>1287</v>
      </c>
      <c r="C408" s="612"/>
      <c r="D408" s="612">
        <v>146.619181</v>
      </c>
      <c r="E408" s="615"/>
      <c r="H408" s="2">
        <f>-D410-D408</f>
        <v>24727.965076</v>
      </c>
    </row>
    <row r="409" spans="2:8">
      <c r="B409" s="1184" t="s">
        <v>1288</v>
      </c>
      <c r="C409" s="612"/>
      <c r="D409" s="612">
        <v>1225.2</v>
      </c>
      <c r="E409" s="615"/>
      <c r="H409" s="2">
        <f>-D412-D409</f>
        <v>6160.8624950000003</v>
      </c>
    </row>
    <row r="410" spans="2:8">
      <c r="B410" s="1184" t="s">
        <v>1289</v>
      </c>
      <c r="C410" s="612"/>
      <c r="D410" s="612">
        <v>-24874.584256999999</v>
      </c>
      <c r="E410" s="615"/>
      <c r="H410" s="2">
        <f>-D411</f>
        <v>666.19668000000001</v>
      </c>
    </row>
    <row r="411" spans="2:8">
      <c r="B411" s="1184" t="s">
        <v>1290</v>
      </c>
      <c r="C411" s="612"/>
      <c r="D411" s="612">
        <v>-666.19668000000001</v>
      </c>
      <c r="E411" s="615"/>
    </row>
    <row r="412" spans="2:8">
      <c r="B412" s="1184" t="s">
        <v>1291</v>
      </c>
      <c r="C412" s="612"/>
      <c r="D412" s="612">
        <v>-7386.0624950000001</v>
      </c>
      <c r="E412" s="615"/>
    </row>
    <row r="413" spans="2:8">
      <c r="D413" s="2">
        <f>-SUM(D408:D412)</f>
        <v>31555.024251000003</v>
      </c>
    </row>
  </sheetData>
  <mergeCells count="2">
    <mergeCell ref="G78:H78"/>
    <mergeCell ref="I78:J78"/>
  </mergeCells>
  <phoneticPr fontId="2" type="noConversion"/>
  <pageMargins left="0.6" right="0.6" top="1" bottom="1" header="0.5" footer="0.5"/>
  <pageSetup scale="10" orientation="landscape" r:id="rId1"/>
  <ignoredErrors>
    <ignoredError sqref="E193:J19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Y41"/>
  <sheetViews>
    <sheetView showGridLines="0" zoomScaleNormal="100" workbookViewId="0">
      <selection activeCell="K139" sqref="K139"/>
    </sheetView>
  </sheetViews>
  <sheetFormatPr defaultRowHeight="12.5" outlineLevelCol="1"/>
  <cols>
    <col min="1" max="1" width="1.6640625" style="262" customWidth="1"/>
    <col min="2" max="2" width="11.83203125" style="261" customWidth="1"/>
    <col min="3" max="3" width="1.5" style="260" customWidth="1"/>
    <col min="4" max="4" width="10.08203125" style="260" customWidth="1" outlineLevel="1"/>
    <col min="5" max="5" width="10.1640625" style="260" customWidth="1" outlineLevel="1"/>
    <col min="6" max="6" width="9.58203125" style="260" customWidth="1" outlineLevel="1"/>
    <col min="7" max="7" width="9.33203125" style="260" customWidth="1"/>
    <col min="8" max="14" width="8.83203125" style="260" customWidth="1"/>
    <col min="15" max="15" width="2.5" style="260" customWidth="1"/>
    <col min="16" max="16" width="1.5" style="260" customWidth="1"/>
    <col min="17" max="18" width="8.1640625" style="260" customWidth="1"/>
    <col min="19" max="259" width="9" style="260"/>
    <col min="260" max="260" width="1.6640625" style="260" customWidth="1"/>
    <col min="261" max="261" width="10.08203125" style="260" customWidth="1"/>
    <col min="262" max="262" width="1.5" style="260" customWidth="1"/>
    <col min="263" max="268" width="8.1640625" style="260" customWidth="1"/>
    <col min="269" max="270" width="1.5" style="260" customWidth="1"/>
    <col min="271" max="271" width="11.5" style="260" customWidth="1"/>
    <col min="272" max="272" width="1.5" style="260" customWidth="1"/>
    <col min="273" max="274" width="8.1640625" style="260" customWidth="1"/>
    <col min="275" max="515" width="9" style="260"/>
    <col min="516" max="516" width="1.6640625" style="260" customWidth="1"/>
    <col min="517" max="517" width="10.08203125" style="260" customWidth="1"/>
    <col min="518" max="518" width="1.5" style="260" customWidth="1"/>
    <col min="519" max="524" width="8.1640625" style="260" customWidth="1"/>
    <col min="525" max="526" width="1.5" style="260" customWidth="1"/>
    <col min="527" max="527" width="11.5" style="260" customWidth="1"/>
    <col min="528" max="528" width="1.5" style="260" customWidth="1"/>
    <col min="529" max="530" width="8.1640625" style="260" customWidth="1"/>
    <col min="531" max="771" width="9" style="260"/>
    <col min="772" max="772" width="1.6640625" style="260" customWidth="1"/>
    <col min="773" max="773" width="10.08203125" style="260" customWidth="1"/>
    <col min="774" max="774" width="1.5" style="260" customWidth="1"/>
    <col min="775" max="780" width="8.1640625" style="260" customWidth="1"/>
    <col min="781" max="782" width="1.5" style="260" customWidth="1"/>
    <col min="783" max="783" width="11.5" style="260" customWidth="1"/>
    <col min="784" max="784" width="1.5" style="260" customWidth="1"/>
    <col min="785" max="786" width="8.1640625" style="260" customWidth="1"/>
    <col min="787" max="1027" width="9" style="260"/>
    <col min="1028" max="1028" width="1.6640625" style="260" customWidth="1"/>
    <col min="1029" max="1029" width="10.08203125" style="260" customWidth="1"/>
    <col min="1030" max="1030" width="1.5" style="260" customWidth="1"/>
    <col min="1031" max="1036" width="8.1640625" style="260" customWidth="1"/>
    <col min="1037" max="1038" width="1.5" style="260" customWidth="1"/>
    <col min="1039" max="1039" width="11.5" style="260" customWidth="1"/>
    <col min="1040" max="1040" width="1.5" style="260" customWidth="1"/>
    <col min="1041" max="1042" width="8.1640625" style="260" customWidth="1"/>
    <col min="1043" max="1283" width="9" style="260"/>
    <col min="1284" max="1284" width="1.6640625" style="260" customWidth="1"/>
    <col min="1285" max="1285" width="10.08203125" style="260" customWidth="1"/>
    <col min="1286" max="1286" width="1.5" style="260" customWidth="1"/>
    <col min="1287" max="1292" width="8.1640625" style="260" customWidth="1"/>
    <col min="1293" max="1294" width="1.5" style="260" customWidth="1"/>
    <col min="1295" max="1295" width="11.5" style="260" customWidth="1"/>
    <col min="1296" max="1296" width="1.5" style="260" customWidth="1"/>
    <col min="1297" max="1298" width="8.1640625" style="260" customWidth="1"/>
    <col min="1299" max="1539" width="9" style="260"/>
    <col min="1540" max="1540" width="1.6640625" style="260" customWidth="1"/>
    <col min="1541" max="1541" width="10.08203125" style="260" customWidth="1"/>
    <col min="1542" max="1542" width="1.5" style="260" customWidth="1"/>
    <col min="1543" max="1548" width="8.1640625" style="260" customWidth="1"/>
    <col min="1549" max="1550" width="1.5" style="260" customWidth="1"/>
    <col min="1551" max="1551" width="11.5" style="260" customWidth="1"/>
    <col min="1552" max="1552" width="1.5" style="260" customWidth="1"/>
    <col min="1553" max="1554" width="8.1640625" style="260" customWidth="1"/>
    <col min="1555" max="1795" width="9" style="260"/>
    <col min="1796" max="1796" width="1.6640625" style="260" customWidth="1"/>
    <col min="1797" max="1797" width="10.08203125" style="260" customWidth="1"/>
    <col min="1798" max="1798" width="1.5" style="260" customWidth="1"/>
    <col min="1799" max="1804" width="8.1640625" style="260" customWidth="1"/>
    <col min="1805" max="1806" width="1.5" style="260" customWidth="1"/>
    <col min="1807" max="1807" width="11.5" style="260" customWidth="1"/>
    <col min="1808" max="1808" width="1.5" style="260" customWidth="1"/>
    <col min="1809" max="1810" width="8.1640625" style="260" customWidth="1"/>
    <col min="1811" max="2051" width="9" style="260"/>
    <col min="2052" max="2052" width="1.6640625" style="260" customWidth="1"/>
    <col min="2053" max="2053" width="10.08203125" style="260" customWidth="1"/>
    <col min="2054" max="2054" width="1.5" style="260" customWidth="1"/>
    <col min="2055" max="2060" width="8.1640625" style="260" customWidth="1"/>
    <col min="2061" max="2062" width="1.5" style="260" customWidth="1"/>
    <col min="2063" max="2063" width="11.5" style="260" customWidth="1"/>
    <col min="2064" max="2064" width="1.5" style="260" customWidth="1"/>
    <col min="2065" max="2066" width="8.1640625" style="260" customWidth="1"/>
    <col min="2067" max="2307" width="9" style="260"/>
    <col min="2308" max="2308" width="1.6640625" style="260" customWidth="1"/>
    <col min="2309" max="2309" width="10.08203125" style="260" customWidth="1"/>
    <col min="2310" max="2310" width="1.5" style="260" customWidth="1"/>
    <col min="2311" max="2316" width="8.1640625" style="260" customWidth="1"/>
    <col min="2317" max="2318" width="1.5" style="260" customWidth="1"/>
    <col min="2319" max="2319" width="11.5" style="260" customWidth="1"/>
    <col min="2320" max="2320" width="1.5" style="260" customWidth="1"/>
    <col min="2321" max="2322" width="8.1640625" style="260" customWidth="1"/>
    <col min="2323" max="2563" width="9" style="260"/>
    <col min="2564" max="2564" width="1.6640625" style="260" customWidth="1"/>
    <col min="2565" max="2565" width="10.08203125" style="260" customWidth="1"/>
    <col min="2566" max="2566" width="1.5" style="260" customWidth="1"/>
    <col min="2567" max="2572" width="8.1640625" style="260" customWidth="1"/>
    <col min="2573" max="2574" width="1.5" style="260" customWidth="1"/>
    <col min="2575" max="2575" width="11.5" style="260" customWidth="1"/>
    <col min="2576" max="2576" width="1.5" style="260" customWidth="1"/>
    <col min="2577" max="2578" width="8.1640625" style="260" customWidth="1"/>
    <col min="2579" max="2819" width="9" style="260"/>
    <col min="2820" max="2820" width="1.6640625" style="260" customWidth="1"/>
    <col min="2821" max="2821" width="10.08203125" style="260" customWidth="1"/>
    <col min="2822" max="2822" width="1.5" style="260" customWidth="1"/>
    <col min="2823" max="2828" width="8.1640625" style="260" customWidth="1"/>
    <col min="2829" max="2830" width="1.5" style="260" customWidth="1"/>
    <col min="2831" max="2831" width="11.5" style="260" customWidth="1"/>
    <col min="2832" max="2832" width="1.5" style="260" customWidth="1"/>
    <col min="2833" max="2834" width="8.1640625" style="260" customWidth="1"/>
    <col min="2835" max="3075" width="9" style="260"/>
    <col min="3076" max="3076" width="1.6640625" style="260" customWidth="1"/>
    <col min="3077" max="3077" width="10.08203125" style="260" customWidth="1"/>
    <col min="3078" max="3078" width="1.5" style="260" customWidth="1"/>
    <col min="3079" max="3084" width="8.1640625" style="260" customWidth="1"/>
    <col min="3085" max="3086" width="1.5" style="260" customWidth="1"/>
    <col min="3087" max="3087" width="11.5" style="260" customWidth="1"/>
    <col min="3088" max="3088" width="1.5" style="260" customWidth="1"/>
    <col min="3089" max="3090" width="8.1640625" style="260" customWidth="1"/>
    <col min="3091" max="3331" width="9" style="260"/>
    <col min="3332" max="3332" width="1.6640625" style="260" customWidth="1"/>
    <col min="3333" max="3333" width="10.08203125" style="260" customWidth="1"/>
    <col min="3334" max="3334" width="1.5" style="260" customWidth="1"/>
    <col min="3335" max="3340" width="8.1640625" style="260" customWidth="1"/>
    <col min="3341" max="3342" width="1.5" style="260" customWidth="1"/>
    <col min="3343" max="3343" width="11.5" style="260" customWidth="1"/>
    <col min="3344" max="3344" width="1.5" style="260" customWidth="1"/>
    <col min="3345" max="3346" width="8.1640625" style="260" customWidth="1"/>
    <col min="3347" max="3587" width="9" style="260"/>
    <col min="3588" max="3588" width="1.6640625" style="260" customWidth="1"/>
    <col min="3589" max="3589" width="10.08203125" style="260" customWidth="1"/>
    <col min="3590" max="3590" width="1.5" style="260" customWidth="1"/>
    <col min="3591" max="3596" width="8.1640625" style="260" customWidth="1"/>
    <col min="3597" max="3598" width="1.5" style="260" customWidth="1"/>
    <col min="3599" max="3599" width="11.5" style="260" customWidth="1"/>
    <col min="3600" max="3600" width="1.5" style="260" customWidth="1"/>
    <col min="3601" max="3602" width="8.1640625" style="260" customWidth="1"/>
    <col min="3603" max="3843" width="9" style="260"/>
    <col min="3844" max="3844" width="1.6640625" style="260" customWidth="1"/>
    <col min="3845" max="3845" width="10.08203125" style="260" customWidth="1"/>
    <col min="3846" max="3846" width="1.5" style="260" customWidth="1"/>
    <col min="3847" max="3852" width="8.1640625" style="260" customWidth="1"/>
    <col min="3853" max="3854" width="1.5" style="260" customWidth="1"/>
    <col min="3855" max="3855" width="11.5" style="260" customWidth="1"/>
    <col min="3856" max="3856" width="1.5" style="260" customWidth="1"/>
    <col min="3857" max="3858" width="8.1640625" style="260" customWidth="1"/>
    <col min="3859" max="4099" width="9" style="260"/>
    <col min="4100" max="4100" width="1.6640625" style="260" customWidth="1"/>
    <col min="4101" max="4101" width="10.08203125" style="260" customWidth="1"/>
    <col min="4102" max="4102" width="1.5" style="260" customWidth="1"/>
    <col min="4103" max="4108" width="8.1640625" style="260" customWidth="1"/>
    <col min="4109" max="4110" width="1.5" style="260" customWidth="1"/>
    <col min="4111" max="4111" width="11.5" style="260" customWidth="1"/>
    <col min="4112" max="4112" width="1.5" style="260" customWidth="1"/>
    <col min="4113" max="4114" width="8.1640625" style="260" customWidth="1"/>
    <col min="4115" max="4355" width="9" style="260"/>
    <col min="4356" max="4356" width="1.6640625" style="260" customWidth="1"/>
    <col min="4357" max="4357" width="10.08203125" style="260" customWidth="1"/>
    <col min="4358" max="4358" width="1.5" style="260" customWidth="1"/>
    <col min="4359" max="4364" width="8.1640625" style="260" customWidth="1"/>
    <col min="4365" max="4366" width="1.5" style="260" customWidth="1"/>
    <col min="4367" max="4367" width="11.5" style="260" customWidth="1"/>
    <col min="4368" max="4368" width="1.5" style="260" customWidth="1"/>
    <col min="4369" max="4370" width="8.1640625" style="260" customWidth="1"/>
    <col min="4371" max="4611" width="9" style="260"/>
    <col min="4612" max="4612" width="1.6640625" style="260" customWidth="1"/>
    <col min="4613" max="4613" width="10.08203125" style="260" customWidth="1"/>
    <col min="4614" max="4614" width="1.5" style="260" customWidth="1"/>
    <col min="4615" max="4620" width="8.1640625" style="260" customWidth="1"/>
    <col min="4621" max="4622" width="1.5" style="260" customWidth="1"/>
    <col min="4623" max="4623" width="11.5" style="260" customWidth="1"/>
    <col min="4624" max="4624" width="1.5" style="260" customWidth="1"/>
    <col min="4625" max="4626" width="8.1640625" style="260" customWidth="1"/>
    <col min="4627" max="4867" width="9" style="260"/>
    <col min="4868" max="4868" width="1.6640625" style="260" customWidth="1"/>
    <col min="4869" max="4869" width="10.08203125" style="260" customWidth="1"/>
    <col min="4870" max="4870" width="1.5" style="260" customWidth="1"/>
    <col min="4871" max="4876" width="8.1640625" style="260" customWidth="1"/>
    <col min="4877" max="4878" width="1.5" style="260" customWidth="1"/>
    <col min="4879" max="4879" width="11.5" style="260" customWidth="1"/>
    <col min="4880" max="4880" width="1.5" style="260" customWidth="1"/>
    <col min="4881" max="4882" width="8.1640625" style="260" customWidth="1"/>
    <col min="4883" max="5123" width="9" style="260"/>
    <col min="5124" max="5124" width="1.6640625" style="260" customWidth="1"/>
    <col min="5125" max="5125" width="10.08203125" style="260" customWidth="1"/>
    <col min="5126" max="5126" width="1.5" style="260" customWidth="1"/>
    <col min="5127" max="5132" width="8.1640625" style="260" customWidth="1"/>
    <col min="5133" max="5134" width="1.5" style="260" customWidth="1"/>
    <col min="5135" max="5135" width="11.5" style="260" customWidth="1"/>
    <col min="5136" max="5136" width="1.5" style="260" customWidth="1"/>
    <col min="5137" max="5138" width="8.1640625" style="260" customWidth="1"/>
    <col min="5139" max="5379" width="9" style="260"/>
    <col min="5380" max="5380" width="1.6640625" style="260" customWidth="1"/>
    <col min="5381" max="5381" width="10.08203125" style="260" customWidth="1"/>
    <col min="5382" max="5382" width="1.5" style="260" customWidth="1"/>
    <col min="5383" max="5388" width="8.1640625" style="260" customWidth="1"/>
    <col min="5389" max="5390" width="1.5" style="260" customWidth="1"/>
    <col min="5391" max="5391" width="11.5" style="260" customWidth="1"/>
    <col min="5392" max="5392" width="1.5" style="260" customWidth="1"/>
    <col min="5393" max="5394" width="8.1640625" style="260" customWidth="1"/>
    <col min="5395" max="5635" width="9" style="260"/>
    <col min="5636" max="5636" width="1.6640625" style="260" customWidth="1"/>
    <col min="5637" max="5637" width="10.08203125" style="260" customWidth="1"/>
    <col min="5638" max="5638" width="1.5" style="260" customWidth="1"/>
    <col min="5639" max="5644" width="8.1640625" style="260" customWidth="1"/>
    <col min="5645" max="5646" width="1.5" style="260" customWidth="1"/>
    <col min="5647" max="5647" width="11.5" style="260" customWidth="1"/>
    <col min="5648" max="5648" width="1.5" style="260" customWidth="1"/>
    <col min="5649" max="5650" width="8.1640625" style="260" customWidth="1"/>
    <col min="5651" max="5891" width="9" style="260"/>
    <col min="5892" max="5892" width="1.6640625" style="260" customWidth="1"/>
    <col min="5893" max="5893" width="10.08203125" style="260" customWidth="1"/>
    <col min="5894" max="5894" width="1.5" style="260" customWidth="1"/>
    <col min="5895" max="5900" width="8.1640625" style="260" customWidth="1"/>
    <col min="5901" max="5902" width="1.5" style="260" customWidth="1"/>
    <col min="5903" max="5903" width="11.5" style="260" customWidth="1"/>
    <col min="5904" max="5904" width="1.5" style="260" customWidth="1"/>
    <col min="5905" max="5906" width="8.1640625" style="260" customWidth="1"/>
    <col min="5907" max="6147" width="9" style="260"/>
    <col min="6148" max="6148" width="1.6640625" style="260" customWidth="1"/>
    <col min="6149" max="6149" width="10.08203125" style="260" customWidth="1"/>
    <col min="6150" max="6150" width="1.5" style="260" customWidth="1"/>
    <col min="6151" max="6156" width="8.1640625" style="260" customWidth="1"/>
    <col min="6157" max="6158" width="1.5" style="260" customWidth="1"/>
    <col min="6159" max="6159" width="11.5" style="260" customWidth="1"/>
    <col min="6160" max="6160" width="1.5" style="260" customWidth="1"/>
    <col min="6161" max="6162" width="8.1640625" style="260" customWidth="1"/>
    <col min="6163" max="6403" width="9" style="260"/>
    <col min="6404" max="6404" width="1.6640625" style="260" customWidth="1"/>
    <col min="6405" max="6405" width="10.08203125" style="260" customWidth="1"/>
    <col min="6406" max="6406" width="1.5" style="260" customWidth="1"/>
    <col min="6407" max="6412" width="8.1640625" style="260" customWidth="1"/>
    <col min="6413" max="6414" width="1.5" style="260" customWidth="1"/>
    <col min="6415" max="6415" width="11.5" style="260" customWidth="1"/>
    <col min="6416" max="6416" width="1.5" style="260" customWidth="1"/>
    <col min="6417" max="6418" width="8.1640625" style="260" customWidth="1"/>
    <col min="6419" max="6659" width="9" style="260"/>
    <col min="6660" max="6660" width="1.6640625" style="260" customWidth="1"/>
    <col min="6661" max="6661" width="10.08203125" style="260" customWidth="1"/>
    <col min="6662" max="6662" width="1.5" style="260" customWidth="1"/>
    <col min="6663" max="6668" width="8.1640625" style="260" customWidth="1"/>
    <col min="6669" max="6670" width="1.5" style="260" customWidth="1"/>
    <col min="6671" max="6671" width="11.5" style="260" customWidth="1"/>
    <col min="6672" max="6672" width="1.5" style="260" customWidth="1"/>
    <col min="6673" max="6674" width="8.1640625" style="260" customWidth="1"/>
    <col min="6675" max="6915" width="9" style="260"/>
    <col min="6916" max="6916" width="1.6640625" style="260" customWidth="1"/>
    <col min="6917" max="6917" width="10.08203125" style="260" customWidth="1"/>
    <col min="6918" max="6918" width="1.5" style="260" customWidth="1"/>
    <col min="6919" max="6924" width="8.1640625" style="260" customWidth="1"/>
    <col min="6925" max="6926" width="1.5" style="260" customWidth="1"/>
    <col min="6927" max="6927" width="11.5" style="260" customWidth="1"/>
    <col min="6928" max="6928" width="1.5" style="260" customWidth="1"/>
    <col min="6929" max="6930" width="8.1640625" style="260" customWidth="1"/>
    <col min="6931" max="7171" width="9" style="260"/>
    <col min="7172" max="7172" width="1.6640625" style="260" customWidth="1"/>
    <col min="7173" max="7173" width="10.08203125" style="260" customWidth="1"/>
    <col min="7174" max="7174" width="1.5" style="260" customWidth="1"/>
    <col min="7175" max="7180" width="8.1640625" style="260" customWidth="1"/>
    <col min="7181" max="7182" width="1.5" style="260" customWidth="1"/>
    <col min="7183" max="7183" width="11.5" style="260" customWidth="1"/>
    <col min="7184" max="7184" width="1.5" style="260" customWidth="1"/>
    <col min="7185" max="7186" width="8.1640625" style="260" customWidth="1"/>
    <col min="7187" max="7427" width="9" style="260"/>
    <col min="7428" max="7428" width="1.6640625" style="260" customWidth="1"/>
    <col min="7429" max="7429" width="10.08203125" style="260" customWidth="1"/>
    <col min="7430" max="7430" width="1.5" style="260" customWidth="1"/>
    <col min="7431" max="7436" width="8.1640625" style="260" customWidth="1"/>
    <col min="7437" max="7438" width="1.5" style="260" customWidth="1"/>
    <col min="7439" max="7439" width="11.5" style="260" customWidth="1"/>
    <col min="7440" max="7440" width="1.5" style="260" customWidth="1"/>
    <col min="7441" max="7442" width="8.1640625" style="260" customWidth="1"/>
    <col min="7443" max="7683" width="9" style="260"/>
    <col min="7684" max="7684" width="1.6640625" style="260" customWidth="1"/>
    <col min="7685" max="7685" width="10.08203125" style="260" customWidth="1"/>
    <col min="7686" max="7686" width="1.5" style="260" customWidth="1"/>
    <col min="7687" max="7692" width="8.1640625" style="260" customWidth="1"/>
    <col min="7693" max="7694" width="1.5" style="260" customWidth="1"/>
    <col min="7695" max="7695" width="11.5" style="260" customWidth="1"/>
    <col min="7696" max="7696" width="1.5" style="260" customWidth="1"/>
    <col min="7697" max="7698" width="8.1640625" style="260" customWidth="1"/>
    <col min="7699" max="7939" width="9" style="260"/>
    <col min="7940" max="7940" width="1.6640625" style="260" customWidth="1"/>
    <col min="7941" max="7941" width="10.08203125" style="260" customWidth="1"/>
    <col min="7942" max="7942" width="1.5" style="260" customWidth="1"/>
    <col min="7943" max="7948" width="8.1640625" style="260" customWidth="1"/>
    <col min="7949" max="7950" width="1.5" style="260" customWidth="1"/>
    <col min="7951" max="7951" width="11.5" style="260" customWidth="1"/>
    <col min="7952" max="7952" width="1.5" style="260" customWidth="1"/>
    <col min="7953" max="7954" width="8.1640625" style="260" customWidth="1"/>
    <col min="7955" max="8195" width="9" style="260"/>
    <col min="8196" max="8196" width="1.6640625" style="260" customWidth="1"/>
    <col min="8197" max="8197" width="10.08203125" style="260" customWidth="1"/>
    <col min="8198" max="8198" width="1.5" style="260" customWidth="1"/>
    <col min="8199" max="8204" width="8.1640625" style="260" customWidth="1"/>
    <col min="8205" max="8206" width="1.5" style="260" customWidth="1"/>
    <col min="8207" max="8207" width="11.5" style="260" customWidth="1"/>
    <col min="8208" max="8208" width="1.5" style="260" customWidth="1"/>
    <col min="8209" max="8210" width="8.1640625" style="260" customWidth="1"/>
    <col min="8211" max="8451" width="9" style="260"/>
    <col min="8452" max="8452" width="1.6640625" style="260" customWidth="1"/>
    <col min="8453" max="8453" width="10.08203125" style="260" customWidth="1"/>
    <col min="8454" max="8454" width="1.5" style="260" customWidth="1"/>
    <col min="8455" max="8460" width="8.1640625" style="260" customWidth="1"/>
    <col min="8461" max="8462" width="1.5" style="260" customWidth="1"/>
    <col min="8463" max="8463" width="11.5" style="260" customWidth="1"/>
    <col min="8464" max="8464" width="1.5" style="260" customWidth="1"/>
    <col min="8465" max="8466" width="8.1640625" style="260" customWidth="1"/>
    <col min="8467" max="8707" width="9" style="260"/>
    <col min="8708" max="8708" width="1.6640625" style="260" customWidth="1"/>
    <col min="8709" max="8709" width="10.08203125" style="260" customWidth="1"/>
    <col min="8710" max="8710" width="1.5" style="260" customWidth="1"/>
    <col min="8711" max="8716" width="8.1640625" style="260" customWidth="1"/>
    <col min="8717" max="8718" width="1.5" style="260" customWidth="1"/>
    <col min="8719" max="8719" width="11.5" style="260" customWidth="1"/>
    <col min="8720" max="8720" width="1.5" style="260" customWidth="1"/>
    <col min="8721" max="8722" width="8.1640625" style="260" customWidth="1"/>
    <col min="8723" max="8963" width="9" style="260"/>
    <col min="8964" max="8964" width="1.6640625" style="260" customWidth="1"/>
    <col min="8965" max="8965" width="10.08203125" style="260" customWidth="1"/>
    <col min="8966" max="8966" width="1.5" style="260" customWidth="1"/>
    <col min="8967" max="8972" width="8.1640625" style="260" customWidth="1"/>
    <col min="8973" max="8974" width="1.5" style="260" customWidth="1"/>
    <col min="8975" max="8975" width="11.5" style="260" customWidth="1"/>
    <col min="8976" max="8976" width="1.5" style="260" customWidth="1"/>
    <col min="8977" max="8978" width="8.1640625" style="260" customWidth="1"/>
    <col min="8979" max="9219" width="9" style="260"/>
    <col min="9220" max="9220" width="1.6640625" style="260" customWidth="1"/>
    <col min="9221" max="9221" width="10.08203125" style="260" customWidth="1"/>
    <col min="9222" max="9222" width="1.5" style="260" customWidth="1"/>
    <col min="9223" max="9228" width="8.1640625" style="260" customWidth="1"/>
    <col min="9229" max="9230" width="1.5" style="260" customWidth="1"/>
    <col min="9231" max="9231" width="11.5" style="260" customWidth="1"/>
    <col min="9232" max="9232" width="1.5" style="260" customWidth="1"/>
    <col min="9233" max="9234" width="8.1640625" style="260" customWidth="1"/>
    <col min="9235" max="9475" width="9" style="260"/>
    <col min="9476" max="9476" width="1.6640625" style="260" customWidth="1"/>
    <col min="9477" max="9477" width="10.08203125" style="260" customWidth="1"/>
    <col min="9478" max="9478" width="1.5" style="260" customWidth="1"/>
    <col min="9479" max="9484" width="8.1640625" style="260" customWidth="1"/>
    <col min="9485" max="9486" width="1.5" style="260" customWidth="1"/>
    <col min="9487" max="9487" width="11.5" style="260" customWidth="1"/>
    <col min="9488" max="9488" width="1.5" style="260" customWidth="1"/>
    <col min="9489" max="9490" width="8.1640625" style="260" customWidth="1"/>
    <col min="9491" max="9731" width="9" style="260"/>
    <col min="9732" max="9732" width="1.6640625" style="260" customWidth="1"/>
    <col min="9733" max="9733" width="10.08203125" style="260" customWidth="1"/>
    <col min="9734" max="9734" width="1.5" style="260" customWidth="1"/>
    <col min="9735" max="9740" width="8.1640625" style="260" customWidth="1"/>
    <col min="9741" max="9742" width="1.5" style="260" customWidth="1"/>
    <col min="9743" max="9743" width="11.5" style="260" customWidth="1"/>
    <col min="9744" max="9744" width="1.5" style="260" customWidth="1"/>
    <col min="9745" max="9746" width="8.1640625" style="260" customWidth="1"/>
    <col min="9747" max="9987" width="9" style="260"/>
    <col min="9988" max="9988" width="1.6640625" style="260" customWidth="1"/>
    <col min="9989" max="9989" width="10.08203125" style="260" customWidth="1"/>
    <col min="9990" max="9990" width="1.5" style="260" customWidth="1"/>
    <col min="9991" max="9996" width="8.1640625" style="260" customWidth="1"/>
    <col min="9997" max="9998" width="1.5" style="260" customWidth="1"/>
    <col min="9999" max="9999" width="11.5" style="260" customWidth="1"/>
    <col min="10000" max="10000" width="1.5" style="260" customWidth="1"/>
    <col min="10001" max="10002" width="8.1640625" style="260" customWidth="1"/>
    <col min="10003" max="10243" width="9" style="260"/>
    <col min="10244" max="10244" width="1.6640625" style="260" customWidth="1"/>
    <col min="10245" max="10245" width="10.08203125" style="260" customWidth="1"/>
    <col min="10246" max="10246" width="1.5" style="260" customWidth="1"/>
    <col min="10247" max="10252" width="8.1640625" style="260" customWidth="1"/>
    <col min="10253" max="10254" width="1.5" style="260" customWidth="1"/>
    <col min="10255" max="10255" width="11.5" style="260" customWidth="1"/>
    <col min="10256" max="10256" width="1.5" style="260" customWidth="1"/>
    <col min="10257" max="10258" width="8.1640625" style="260" customWidth="1"/>
    <col min="10259" max="10499" width="9" style="260"/>
    <col min="10500" max="10500" width="1.6640625" style="260" customWidth="1"/>
    <col min="10501" max="10501" width="10.08203125" style="260" customWidth="1"/>
    <col min="10502" max="10502" width="1.5" style="260" customWidth="1"/>
    <col min="10503" max="10508" width="8.1640625" style="260" customWidth="1"/>
    <col min="10509" max="10510" width="1.5" style="260" customWidth="1"/>
    <col min="10511" max="10511" width="11.5" style="260" customWidth="1"/>
    <col min="10512" max="10512" width="1.5" style="260" customWidth="1"/>
    <col min="10513" max="10514" width="8.1640625" style="260" customWidth="1"/>
    <col min="10515" max="10755" width="9" style="260"/>
    <col min="10756" max="10756" width="1.6640625" style="260" customWidth="1"/>
    <col min="10757" max="10757" width="10.08203125" style="260" customWidth="1"/>
    <col min="10758" max="10758" width="1.5" style="260" customWidth="1"/>
    <col min="10759" max="10764" width="8.1640625" style="260" customWidth="1"/>
    <col min="10765" max="10766" width="1.5" style="260" customWidth="1"/>
    <col min="10767" max="10767" width="11.5" style="260" customWidth="1"/>
    <col min="10768" max="10768" width="1.5" style="260" customWidth="1"/>
    <col min="10769" max="10770" width="8.1640625" style="260" customWidth="1"/>
    <col min="10771" max="11011" width="9" style="260"/>
    <col min="11012" max="11012" width="1.6640625" style="260" customWidth="1"/>
    <col min="11013" max="11013" width="10.08203125" style="260" customWidth="1"/>
    <col min="11014" max="11014" width="1.5" style="260" customWidth="1"/>
    <col min="11015" max="11020" width="8.1640625" style="260" customWidth="1"/>
    <col min="11021" max="11022" width="1.5" style="260" customWidth="1"/>
    <col min="11023" max="11023" width="11.5" style="260" customWidth="1"/>
    <col min="11024" max="11024" width="1.5" style="260" customWidth="1"/>
    <col min="11025" max="11026" width="8.1640625" style="260" customWidth="1"/>
    <col min="11027" max="11267" width="9" style="260"/>
    <col min="11268" max="11268" width="1.6640625" style="260" customWidth="1"/>
    <col min="11269" max="11269" width="10.08203125" style="260" customWidth="1"/>
    <col min="11270" max="11270" width="1.5" style="260" customWidth="1"/>
    <col min="11271" max="11276" width="8.1640625" style="260" customWidth="1"/>
    <col min="11277" max="11278" width="1.5" style="260" customWidth="1"/>
    <col min="11279" max="11279" width="11.5" style="260" customWidth="1"/>
    <col min="11280" max="11280" width="1.5" style="260" customWidth="1"/>
    <col min="11281" max="11282" width="8.1640625" style="260" customWidth="1"/>
    <col min="11283" max="11523" width="9" style="260"/>
    <col min="11524" max="11524" width="1.6640625" style="260" customWidth="1"/>
    <col min="11525" max="11525" width="10.08203125" style="260" customWidth="1"/>
    <col min="11526" max="11526" width="1.5" style="260" customWidth="1"/>
    <col min="11527" max="11532" width="8.1640625" style="260" customWidth="1"/>
    <col min="11533" max="11534" width="1.5" style="260" customWidth="1"/>
    <col min="11535" max="11535" width="11.5" style="260" customWidth="1"/>
    <col min="11536" max="11536" width="1.5" style="260" customWidth="1"/>
    <col min="11537" max="11538" width="8.1640625" style="260" customWidth="1"/>
    <col min="11539" max="11779" width="9" style="260"/>
    <col min="11780" max="11780" width="1.6640625" style="260" customWidth="1"/>
    <col min="11781" max="11781" width="10.08203125" style="260" customWidth="1"/>
    <col min="11782" max="11782" width="1.5" style="260" customWidth="1"/>
    <col min="11783" max="11788" width="8.1640625" style="260" customWidth="1"/>
    <col min="11789" max="11790" width="1.5" style="260" customWidth="1"/>
    <col min="11791" max="11791" width="11.5" style="260" customWidth="1"/>
    <col min="11792" max="11792" width="1.5" style="260" customWidth="1"/>
    <col min="11793" max="11794" width="8.1640625" style="260" customWidth="1"/>
    <col min="11795" max="12035" width="9" style="260"/>
    <col min="12036" max="12036" width="1.6640625" style="260" customWidth="1"/>
    <col min="12037" max="12037" width="10.08203125" style="260" customWidth="1"/>
    <col min="12038" max="12038" width="1.5" style="260" customWidth="1"/>
    <col min="12039" max="12044" width="8.1640625" style="260" customWidth="1"/>
    <col min="12045" max="12046" width="1.5" style="260" customWidth="1"/>
    <col min="12047" max="12047" width="11.5" style="260" customWidth="1"/>
    <col min="12048" max="12048" width="1.5" style="260" customWidth="1"/>
    <col min="12049" max="12050" width="8.1640625" style="260" customWidth="1"/>
    <col min="12051" max="12291" width="9" style="260"/>
    <col min="12292" max="12292" width="1.6640625" style="260" customWidth="1"/>
    <col min="12293" max="12293" width="10.08203125" style="260" customWidth="1"/>
    <col min="12294" max="12294" width="1.5" style="260" customWidth="1"/>
    <col min="12295" max="12300" width="8.1640625" style="260" customWidth="1"/>
    <col min="12301" max="12302" width="1.5" style="260" customWidth="1"/>
    <col min="12303" max="12303" width="11.5" style="260" customWidth="1"/>
    <col min="12304" max="12304" width="1.5" style="260" customWidth="1"/>
    <col min="12305" max="12306" width="8.1640625" style="260" customWidth="1"/>
    <col min="12307" max="12547" width="9" style="260"/>
    <col min="12548" max="12548" width="1.6640625" style="260" customWidth="1"/>
    <col min="12549" max="12549" width="10.08203125" style="260" customWidth="1"/>
    <col min="12550" max="12550" width="1.5" style="260" customWidth="1"/>
    <col min="12551" max="12556" width="8.1640625" style="260" customWidth="1"/>
    <col min="12557" max="12558" width="1.5" style="260" customWidth="1"/>
    <col min="12559" max="12559" width="11.5" style="260" customWidth="1"/>
    <col min="12560" max="12560" width="1.5" style="260" customWidth="1"/>
    <col min="12561" max="12562" width="8.1640625" style="260" customWidth="1"/>
    <col min="12563" max="12803" width="9" style="260"/>
    <col min="12804" max="12804" width="1.6640625" style="260" customWidth="1"/>
    <col min="12805" max="12805" width="10.08203125" style="260" customWidth="1"/>
    <col min="12806" max="12806" width="1.5" style="260" customWidth="1"/>
    <col min="12807" max="12812" width="8.1640625" style="260" customWidth="1"/>
    <col min="12813" max="12814" width="1.5" style="260" customWidth="1"/>
    <col min="12815" max="12815" width="11.5" style="260" customWidth="1"/>
    <col min="12816" max="12816" width="1.5" style="260" customWidth="1"/>
    <col min="12817" max="12818" width="8.1640625" style="260" customWidth="1"/>
    <col min="12819" max="13059" width="9" style="260"/>
    <col min="13060" max="13060" width="1.6640625" style="260" customWidth="1"/>
    <col min="13061" max="13061" width="10.08203125" style="260" customWidth="1"/>
    <col min="13062" max="13062" width="1.5" style="260" customWidth="1"/>
    <col min="13063" max="13068" width="8.1640625" style="260" customWidth="1"/>
    <col min="13069" max="13070" width="1.5" style="260" customWidth="1"/>
    <col min="13071" max="13071" width="11.5" style="260" customWidth="1"/>
    <col min="13072" max="13072" width="1.5" style="260" customWidth="1"/>
    <col min="13073" max="13074" width="8.1640625" style="260" customWidth="1"/>
    <col min="13075" max="13315" width="9" style="260"/>
    <col min="13316" max="13316" width="1.6640625" style="260" customWidth="1"/>
    <col min="13317" max="13317" width="10.08203125" style="260" customWidth="1"/>
    <col min="13318" max="13318" width="1.5" style="260" customWidth="1"/>
    <col min="13319" max="13324" width="8.1640625" style="260" customWidth="1"/>
    <col min="13325" max="13326" width="1.5" style="260" customWidth="1"/>
    <col min="13327" max="13327" width="11.5" style="260" customWidth="1"/>
    <col min="13328" max="13328" width="1.5" style="260" customWidth="1"/>
    <col min="13329" max="13330" width="8.1640625" style="260" customWidth="1"/>
    <col min="13331" max="13571" width="9" style="260"/>
    <col min="13572" max="13572" width="1.6640625" style="260" customWidth="1"/>
    <col min="13573" max="13573" width="10.08203125" style="260" customWidth="1"/>
    <col min="13574" max="13574" width="1.5" style="260" customWidth="1"/>
    <col min="13575" max="13580" width="8.1640625" style="260" customWidth="1"/>
    <col min="13581" max="13582" width="1.5" style="260" customWidth="1"/>
    <col min="13583" max="13583" width="11.5" style="260" customWidth="1"/>
    <col min="13584" max="13584" width="1.5" style="260" customWidth="1"/>
    <col min="13585" max="13586" width="8.1640625" style="260" customWidth="1"/>
    <col min="13587" max="13827" width="9" style="260"/>
    <col min="13828" max="13828" width="1.6640625" style="260" customWidth="1"/>
    <col min="13829" max="13829" width="10.08203125" style="260" customWidth="1"/>
    <col min="13830" max="13830" width="1.5" style="260" customWidth="1"/>
    <col min="13831" max="13836" width="8.1640625" style="260" customWidth="1"/>
    <col min="13837" max="13838" width="1.5" style="260" customWidth="1"/>
    <col min="13839" max="13839" width="11.5" style="260" customWidth="1"/>
    <col min="13840" max="13840" width="1.5" style="260" customWidth="1"/>
    <col min="13841" max="13842" width="8.1640625" style="260" customWidth="1"/>
    <col min="13843" max="14083" width="9" style="260"/>
    <col min="14084" max="14084" width="1.6640625" style="260" customWidth="1"/>
    <col min="14085" max="14085" width="10.08203125" style="260" customWidth="1"/>
    <col min="14086" max="14086" width="1.5" style="260" customWidth="1"/>
    <col min="14087" max="14092" width="8.1640625" style="260" customWidth="1"/>
    <col min="14093" max="14094" width="1.5" style="260" customWidth="1"/>
    <col min="14095" max="14095" width="11.5" style="260" customWidth="1"/>
    <col min="14096" max="14096" width="1.5" style="260" customWidth="1"/>
    <col min="14097" max="14098" width="8.1640625" style="260" customWidth="1"/>
    <col min="14099" max="14339" width="9" style="260"/>
    <col min="14340" max="14340" width="1.6640625" style="260" customWidth="1"/>
    <col min="14341" max="14341" width="10.08203125" style="260" customWidth="1"/>
    <col min="14342" max="14342" width="1.5" style="260" customWidth="1"/>
    <col min="14343" max="14348" width="8.1640625" style="260" customWidth="1"/>
    <col min="14349" max="14350" width="1.5" style="260" customWidth="1"/>
    <col min="14351" max="14351" width="11.5" style="260" customWidth="1"/>
    <col min="14352" max="14352" width="1.5" style="260" customWidth="1"/>
    <col min="14353" max="14354" width="8.1640625" style="260" customWidth="1"/>
    <col min="14355" max="14595" width="9" style="260"/>
    <col min="14596" max="14596" width="1.6640625" style="260" customWidth="1"/>
    <col min="14597" max="14597" width="10.08203125" style="260" customWidth="1"/>
    <col min="14598" max="14598" width="1.5" style="260" customWidth="1"/>
    <col min="14599" max="14604" width="8.1640625" style="260" customWidth="1"/>
    <col min="14605" max="14606" width="1.5" style="260" customWidth="1"/>
    <col min="14607" max="14607" width="11.5" style="260" customWidth="1"/>
    <col min="14608" max="14608" width="1.5" style="260" customWidth="1"/>
    <col min="14609" max="14610" width="8.1640625" style="260" customWidth="1"/>
    <col min="14611" max="14851" width="9" style="260"/>
    <col min="14852" max="14852" width="1.6640625" style="260" customWidth="1"/>
    <col min="14853" max="14853" width="10.08203125" style="260" customWidth="1"/>
    <col min="14854" max="14854" width="1.5" style="260" customWidth="1"/>
    <col min="14855" max="14860" width="8.1640625" style="260" customWidth="1"/>
    <col min="14861" max="14862" width="1.5" style="260" customWidth="1"/>
    <col min="14863" max="14863" width="11.5" style="260" customWidth="1"/>
    <col min="14864" max="14864" width="1.5" style="260" customWidth="1"/>
    <col min="14865" max="14866" width="8.1640625" style="260" customWidth="1"/>
    <col min="14867" max="15107" width="9" style="260"/>
    <col min="15108" max="15108" width="1.6640625" style="260" customWidth="1"/>
    <col min="15109" max="15109" width="10.08203125" style="260" customWidth="1"/>
    <col min="15110" max="15110" width="1.5" style="260" customWidth="1"/>
    <col min="15111" max="15116" width="8.1640625" style="260" customWidth="1"/>
    <col min="15117" max="15118" width="1.5" style="260" customWidth="1"/>
    <col min="15119" max="15119" width="11.5" style="260" customWidth="1"/>
    <col min="15120" max="15120" width="1.5" style="260" customWidth="1"/>
    <col min="15121" max="15122" width="8.1640625" style="260" customWidth="1"/>
    <col min="15123" max="15363" width="9" style="260"/>
    <col min="15364" max="15364" width="1.6640625" style="260" customWidth="1"/>
    <col min="15365" max="15365" width="10.08203125" style="260" customWidth="1"/>
    <col min="15366" max="15366" width="1.5" style="260" customWidth="1"/>
    <col min="15367" max="15372" width="8.1640625" style="260" customWidth="1"/>
    <col min="15373" max="15374" width="1.5" style="260" customWidth="1"/>
    <col min="15375" max="15375" width="11.5" style="260" customWidth="1"/>
    <col min="15376" max="15376" width="1.5" style="260" customWidth="1"/>
    <col min="15377" max="15378" width="8.1640625" style="260" customWidth="1"/>
    <col min="15379" max="15619" width="9" style="260"/>
    <col min="15620" max="15620" width="1.6640625" style="260" customWidth="1"/>
    <col min="15621" max="15621" width="10.08203125" style="260" customWidth="1"/>
    <col min="15622" max="15622" width="1.5" style="260" customWidth="1"/>
    <col min="15623" max="15628" width="8.1640625" style="260" customWidth="1"/>
    <col min="15629" max="15630" width="1.5" style="260" customWidth="1"/>
    <col min="15631" max="15631" width="11.5" style="260" customWidth="1"/>
    <col min="15632" max="15632" width="1.5" style="260" customWidth="1"/>
    <col min="15633" max="15634" width="8.1640625" style="260" customWidth="1"/>
    <col min="15635" max="15875" width="9" style="260"/>
    <col min="15876" max="15876" width="1.6640625" style="260" customWidth="1"/>
    <col min="15877" max="15877" width="10.08203125" style="260" customWidth="1"/>
    <col min="15878" max="15878" width="1.5" style="260" customWidth="1"/>
    <col min="15879" max="15884" width="8.1640625" style="260" customWidth="1"/>
    <col min="15885" max="15886" width="1.5" style="260" customWidth="1"/>
    <col min="15887" max="15887" width="11.5" style="260" customWidth="1"/>
    <col min="15888" max="15888" width="1.5" style="260" customWidth="1"/>
    <col min="15889" max="15890" width="8.1640625" style="260" customWidth="1"/>
    <col min="15891" max="16131" width="9" style="260"/>
    <col min="16132" max="16132" width="1.6640625" style="260" customWidth="1"/>
    <col min="16133" max="16133" width="10.08203125" style="260" customWidth="1"/>
    <col min="16134" max="16134" width="1.5" style="260" customWidth="1"/>
    <col min="16135" max="16140" width="8.1640625" style="260" customWidth="1"/>
    <col min="16141" max="16142" width="1.5" style="260" customWidth="1"/>
    <col min="16143" max="16143" width="11.5" style="260" customWidth="1"/>
    <col min="16144" max="16144" width="1.5" style="260" customWidth="1"/>
    <col min="16145" max="16146" width="8.1640625" style="260" customWidth="1"/>
    <col min="16147" max="16384" width="9" style="260"/>
  </cols>
  <sheetData>
    <row r="1" spans="1:25" ht="14">
      <c r="A1" s="263"/>
      <c r="B1" s="299" t="s">
        <v>858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</row>
    <row r="2" spans="1:25" ht="13">
      <c r="A2" s="263"/>
      <c r="B2" s="297"/>
    </row>
    <row r="3" spans="1:25" s="265" customFormat="1" ht="29.5" thickBot="1">
      <c r="B3" s="296" t="s">
        <v>857</v>
      </c>
      <c r="C3" s="241"/>
      <c r="D3" s="1224">
        <v>2008</v>
      </c>
      <c r="E3" s="1224">
        <v>2009</v>
      </c>
      <c r="F3" s="1224">
        <v>2010</v>
      </c>
      <c r="G3" s="1225" t="s">
        <v>856</v>
      </c>
      <c r="H3" s="1226" t="s">
        <v>855</v>
      </c>
      <c r="I3" s="1227">
        <v>2011</v>
      </c>
      <c r="J3" s="1227">
        <v>2012</v>
      </c>
      <c r="K3" s="1227">
        <v>2013</v>
      </c>
      <c r="L3" s="1227">
        <v>2014</v>
      </c>
      <c r="M3" s="1227">
        <v>2015</v>
      </c>
      <c r="N3" s="1227">
        <v>2016</v>
      </c>
      <c r="Q3" s="295"/>
      <c r="R3" s="295"/>
      <c r="S3" s="294"/>
      <c r="T3" s="293"/>
      <c r="U3" s="292"/>
      <c r="V3" s="292"/>
      <c r="W3" s="292"/>
      <c r="X3" s="292"/>
      <c r="Y3" s="292"/>
    </row>
    <row r="4" spans="1:25" s="265" customFormat="1" ht="13">
      <c r="B4" s="291" t="s">
        <v>854</v>
      </c>
      <c r="C4" s="285"/>
      <c r="D4" s="334">
        <f t="shared" ref="D4:J4" si="0">SUM(D5:D8)</f>
        <v>76537.153913000002</v>
      </c>
      <c r="E4" s="334">
        <f t="shared" si="0"/>
        <v>137328.65</v>
      </c>
      <c r="F4" s="334">
        <f t="shared" si="0"/>
        <v>154101.106</v>
      </c>
      <c r="G4" s="334">
        <f t="shared" si="0"/>
        <v>77435.805999999997</v>
      </c>
      <c r="H4" s="338">
        <f t="shared" si="0"/>
        <v>79041.542865133408</v>
      </c>
      <c r="I4" s="339">
        <f t="shared" si="0"/>
        <v>156477.34886513339</v>
      </c>
      <c r="J4" s="338">
        <f t="shared" si="0"/>
        <v>179487.03283384195</v>
      </c>
      <c r="K4" s="338">
        <f t="shared" ref="K4:N4" si="1">SUM(K5:K8)</f>
        <v>197888.17070384222</v>
      </c>
      <c r="L4" s="338">
        <f t="shared" si="1"/>
        <v>214182.54459505831</v>
      </c>
      <c r="M4" s="338">
        <f t="shared" si="1"/>
        <v>230683.71885237904</v>
      </c>
      <c r="N4" s="338">
        <f t="shared" si="1"/>
        <v>247193.34695204149</v>
      </c>
      <c r="Q4" s="284"/>
      <c r="R4" s="283"/>
      <c r="S4" s="281"/>
      <c r="T4" s="282"/>
      <c r="U4" s="281"/>
      <c r="V4" s="281"/>
      <c r="W4" s="281"/>
      <c r="X4" s="281"/>
      <c r="Y4" s="281"/>
    </row>
    <row r="5" spans="1:25" s="265" customFormat="1" ht="13">
      <c r="B5" s="288" t="s">
        <v>853</v>
      </c>
      <c r="C5" s="285"/>
      <c r="D5" s="333">
        <f>'SG&amp;A'!D9/1000000</f>
        <v>54912.277470000001</v>
      </c>
      <c r="E5" s="333">
        <f>'SG&amp;A'!E9/1000000</f>
        <v>100593.19</v>
      </c>
      <c r="F5" s="333">
        <f>'SG&amp;A'!F9/1000000</f>
        <v>114125.773</v>
      </c>
      <c r="G5" s="333">
        <f>'SG&amp;A'!G9/1000000</f>
        <v>56124.112000000001</v>
      </c>
      <c r="H5" s="340">
        <f>'SG&amp;A'!H9/1000000</f>
        <v>58037.010574429944</v>
      </c>
      <c r="I5" s="341">
        <f>G5+H5</f>
        <v>114161.12257442994</v>
      </c>
      <c r="J5" s="340">
        <f>'SG&amp;A'!I9/1000000</f>
        <v>131790.0744969619</v>
      </c>
      <c r="K5" s="340">
        <f>'SG&amp;A'!J9/1000000</f>
        <v>145301.2863791105</v>
      </c>
      <c r="L5" s="340">
        <f>'SG&amp;A'!K9/1000000</f>
        <v>157265.58661350506</v>
      </c>
      <c r="M5" s="340">
        <f>'SG&amp;A'!L9/1000000</f>
        <v>169381.73199918788</v>
      </c>
      <c r="N5" s="340">
        <f>'SG&amp;A'!M9/1000000</f>
        <v>181504.08469965216</v>
      </c>
      <c r="Q5" s="284"/>
      <c r="R5" s="283"/>
      <c r="S5" s="281"/>
      <c r="T5" s="282"/>
      <c r="U5" s="281"/>
      <c r="V5" s="281"/>
      <c r="W5" s="281"/>
      <c r="X5" s="281"/>
      <c r="Y5" s="281"/>
    </row>
    <row r="6" spans="1:25" s="265" customFormat="1" ht="13">
      <c r="B6" s="288" t="s">
        <v>852</v>
      </c>
      <c r="C6" s="285"/>
      <c r="D6" s="333">
        <f>'SG&amp;A'!D10/1000000</f>
        <v>5640.0326249999998</v>
      </c>
      <c r="E6" s="333">
        <f>'SG&amp;A'!E10/1000000</f>
        <v>7924.5150000000003</v>
      </c>
      <c r="F6" s="333">
        <f>'SG&amp;A'!F10/1000000</f>
        <v>8787.2780000000002</v>
      </c>
      <c r="G6" s="333">
        <f>'SG&amp;A'!G10/1000000</f>
        <v>4879.1750000000002</v>
      </c>
      <c r="H6" s="340">
        <f>'SG&amp;A'!H10/1000000</f>
        <v>4626.5729265117025</v>
      </c>
      <c r="I6" s="341">
        <f>G6+H6</f>
        <v>9505.7479265117036</v>
      </c>
      <c r="J6" s="340">
        <f>'SG&amp;A'!I10/1000000</f>
        <v>10505.99237651367</v>
      </c>
      <c r="K6" s="340">
        <f>'SG&amp;A'!J10/1000000</f>
        <v>11583.074164145459</v>
      </c>
      <c r="L6" s="340">
        <f>'SG&amp;A'!K10/1000000</f>
        <v>12536.839821632568</v>
      </c>
      <c r="M6" s="340">
        <f>'SG&amp;A'!L10/1000000</f>
        <v>13502.71021468443</v>
      </c>
      <c r="N6" s="340">
        <f>'SG&amp;A'!M10/1000000</f>
        <v>14469.0754401584</v>
      </c>
      <c r="Q6" s="284"/>
      <c r="R6" s="283"/>
      <c r="S6" s="281"/>
      <c r="T6" s="282"/>
      <c r="U6" s="281"/>
      <c r="V6" s="281"/>
      <c r="W6" s="281"/>
      <c r="X6" s="281"/>
      <c r="Y6" s="281"/>
    </row>
    <row r="7" spans="1:25" s="265" customFormat="1" ht="13">
      <c r="B7" s="288" t="s">
        <v>851</v>
      </c>
      <c r="C7" s="285"/>
      <c r="D7" s="333">
        <f>'SG&amp;A'!D11/1000000</f>
        <v>15084.842895</v>
      </c>
      <c r="E7" s="333">
        <f>'SG&amp;A'!E11/1000000</f>
        <v>27223.742999999999</v>
      </c>
      <c r="F7" s="333">
        <f>'SG&amp;A'!F11/1000000</f>
        <v>29431.178</v>
      </c>
      <c r="G7" s="333">
        <f>'SG&amp;A'!G11/1000000</f>
        <v>15517.392</v>
      </c>
      <c r="H7" s="340">
        <f>'SG&amp;A'!H11/1000000</f>
        <v>15465.284806569514</v>
      </c>
      <c r="I7" s="341">
        <f>G7+H7</f>
        <v>30982.676806569514</v>
      </c>
      <c r="J7" s="340">
        <f>'SG&amp;A'!I11/1000000</f>
        <v>35118.470379528997</v>
      </c>
      <c r="K7" s="340">
        <f>'SG&amp;A'!J11/1000000</f>
        <v>38718.840863314668</v>
      </c>
      <c r="L7" s="340">
        <f>'SG&amp;A'!K11/1000000</f>
        <v>41907.001466434012</v>
      </c>
      <c r="M7" s="340">
        <f>'SG&amp;A'!L11/1000000</f>
        <v>45135.624672432554</v>
      </c>
      <c r="N7" s="340">
        <f>'SG&amp;A'!M11/1000000</f>
        <v>48365.901958991592</v>
      </c>
      <c r="Q7" s="284"/>
      <c r="R7" s="283"/>
      <c r="S7" s="281"/>
      <c r="T7" s="282"/>
      <c r="U7" s="281"/>
      <c r="V7" s="281"/>
      <c r="W7" s="281"/>
      <c r="X7" s="281"/>
      <c r="Y7" s="281"/>
    </row>
    <row r="8" spans="1:25" s="265" customFormat="1" ht="13">
      <c r="B8" s="288" t="s">
        <v>850</v>
      </c>
      <c r="C8" s="285"/>
      <c r="D8" s="333">
        <f>'SG&amp;A'!D12/1000000</f>
        <v>900.00092299999994</v>
      </c>
      <c r="E8" s="333">
        <f>'SG&amp;A'!E12/1000000</f>
        <v>1587.202</v>
      </c>
      <c r="F8" s="333">
        <f>'SG&amp;A'!F12/1000000</f>
        <v>1756.877</v>
      </c>
      <c r="G8" s="333">
        <f>'SG&amp;A'!G12/1000000</f>
        <v>915.12699999999995</v>
      </c>
      <c r="H8" s="340">
        <f>'SG&amp;A'!H12/1000000</f>
        <v>912.67455762225222</v>
      </c>
      <c r="I8" s="341">
        <f>G8+H8</f>
        <v>1827.8015576222522</v>
      </c>
      <c r="J8" s="340">
        <f>'SG&amp;A'!I12/1000000</f>
        <v>2072.4955808373797</v>
      </c>
      <c r="K8" s="340">
        <f>'SG&amp;A'!J12/1000000</f>
        <v>2284.969297271587</v>
      </c>
      <c r="L8" s="340">
        <f>'SG&amp;A'!K12/1000000</f>
        <v>2473.1166934866637</v>
      </c>
      <c r="M8" s="340">
        <f>'SG&amp;A'!L12/1000000</f>
        <v>2663.6519660742033</v>
      </c>
      <c r="N8" s="340">
        <f>'SG&amp;A'!M12/1000000</f>
        <v>2854.2848532393405</v>
      </c>
      <c r="Q8" s="284"/>
      <c r="R8" s="283"/>
      <c r="S8" s="281"/>
      <c r="T8" s="282"/>
      <c r="U8" s="281"/>
      <c r="V8" s="281"/>
      <c r="W8" s="281"/>
      <c r="X8" s="281"/>
      <c r="Y8" s="281"/>
    </row>
    <row r="9" spans="1:25" s="265" customFormat="1" ht="13">
      <c r="B9" s="290" t="s">
        <v>849</v>
      </c>
      <c r="C9" s="285"/>
      <c r="D9" s="334">
        <f t="shared" ref="D9:J9" si="2">SUM(D10:D13)</f>
        <v>90621.078089999995</v>
      </c>
      <c r="E9" s="334">
        <f t="shared" si="2"/>
        <v>194237.36599999998</v>
      </c>
      <c r="F9" s="334">
        <f t="shared" si="2"/>
        <v>234867.114</v>
      </c>
      <c r="G9" s="334">
        <f t="shared" si="2"/>
        <v>126651.414</v>
      </c>
      <c r="H9" s="338">
        <f t="shared" si="2"/>
        <v>135560.16323418423</v>
      </c>
      <c r="I9" s="339">
        <f t="shared" si="2"/>
        <v>262211.57723418425</v>
      </c>
      <c r="J9" s="338">
        <f t="shared" si="2"/>
        <v>286297.18606811448</v>
      </c>
      <c r="K9" s="338">
        <f t="shared" ref="K9:N9" si="3">SUM(K10:K13)</f>
        <v>310831.71487170865</v>
      </c>
      <c r="L9" s="338">
        <f t="shared" si="3"/>
        <v>327020.80092182587</v>
      </c>
      <c r="M9" s="338">
        <f t="shared" si="3"/>
        <v>344010.52350361209</v>
      </c>
      <c r="N9" s="338">
        <f t="shared" si="3"/>
        <v>361900.99725092138</v>
      </c>
      <c r="Q9" s="284"/>
      <c r="R9" s="283"/>
      <c r="S9" s="281"/>
      <c r="T9" s="282"/>
      <c r="U9" s="281"/>
      <c r="V9" s="281"/>
      <c r="W9" s="281"/>
      <c r="X9" s="281"/>
      <c r="Y9" s="281"/>
    </row>
    <row r="10" spans="1:25" s="265" customFormat="1" ht="13">
      <c r="B10" s="286" t="s">
        <v>848</v>
      </c>
      <c r="C10" s="285"/>
      <c r="D10" s="333">
        <f>'SG&amp;A'!D14/1000000</f>
        <v>0</v>
      </c>
      <c r="E10" s="333">
        <f>'SG&amp;A'!E14/1000000</f>
        <v>40084.771999999997</v>
      </c>
      <c r="F10" s="333">
        <f>'SG&amp;A'!F14/1000000</f>
        <v>56520.802000000003</v>
      </c>
      <c r="G10" s="333">
        <f>'SG&amp;A'!G14/1000000</f>
        <v>34959.809000000001</v>
      </c>
      <c r="H10" s="340">
        <f>'SG&amp;A'!H14/1000000</f>
        <v>32844.328702049243</v>
      </c>
      <c r="I10" s="341">
        <f>G10+H10</f>
        <v>67804.137702049251</v>
      </c>
      <c r="J10" s="340">
        <f>'SG&amp;A'!I14/1000000</f>
        <v>69658.587699779149</v>
      </c>
      <c r="K10" s="340">
        <f>'SG&amp;A'!J14/1000000</f>
        <v>75995.264471994611</v>
      </c>
      <c r="L10" s="340">
        <f>'SG&amp;A'!K14/1000000</f>
        <v>80118.891203900013</v>
      </c>
      <c r="M10" s="340">
        <f>'SG&amp;A'!L14/1000000</f>
        <v>84466.272633446468</v>
      </c>
      <c r="N10" s="340">
        <f>'SG&amp;A'!M14/1000000</f>
        <v>89049.550054686915</v>
      </c>
      <c r="Q10" s="284"/>
      <c r="R10" s="283"/>
      <c r="S10" s="281"/>
      <c r="T10" s="282"/>
      <c r="U10" s="281"/>
      <c r="V10" s="281"/>
      <c r="W10" s="281"/>
      <c r="X10" s="281"/>
      <c r="Y10" s="281"/>
    </row>
    <row r="11" spans="1:25" s="265" customFormat="1" ht="13">
      <c r="B11" s="286" t="s">
        <v>847</v>
      </c>
      <c r="C11" s="285"/>
      <c r="D11" s="333">
        <f>'SG&amp;A'!D15/1000000</f>
        <v>57932.843664</v>
      </c>
      <c r="E11" s="333">
        <f>'SG&amp;A'!E15/1000000</f>
        <v>71646.224000000002</v>
      </c>
      <c r="F11" s="333">
        <f>'SG&amp;A'!F15/1000000</f>
        <v>84048.649000000005</v>
      </c>
      <c r="G11" s="333">
        <f>'SG&amp;A'!G15/1000000</f>
        <v>41974.209000000003</v>
      </c>
      <c r="H11" s="340">
        <f>'SG&amp;A'!H15/1000000</f>
        <v>46166.428430881831</v>
      </c>
      <c r="I11" s="341">
        <f>G11+H11</f>
        <v>88140.637430881834</v>
      </c>
      <c r="J11" s="340">
        <f>'SG&amp;A'!I15/1000000</f>
        <v>96704.596976222994</v>
      </c>
      <c r="K11" s="340">
        <f>'SG&amp;A'!J15/1000000</f>
        <v>103992.33690346745</v>
      </c>
      <c r="L11" s="340">
        <f>'SG&amp;A'!K15/1000000</f>
        <v>108957.98167567659</v>
      </c>
      <c r="M11" s="340">
        <f>'SG&amp;A'!L15/1000000</f>
        <v>114115.26078975905</v>
      </c>
      <c r="N11" s="340">
        <f>'SG&amp;A'!M15/1000000</f>
        <v>119531.24342960458</v>
      </c>
      <c r="Q11" s="284"/>
      <c r="R11" s="283"/>
      <c r="S11" s="281"/>
      <c r="T11" s="282"/>
      <c r="U11" s="281"/>
      <c r="V11" s="281"/>
      <c r="W11" s="281"/>
      <c r="X11" s="281"/>
      <c r="Y11" s="281"/>
    </row>
    <row r="12" spans="1:25" s="265" customFormat="1" ht="13">
      <c r="B12" s="286" t="s">
        <v>846</v>
      </c>
      <c r="C12" s="285"/>
      <c r="D12" s="333">
        <f>'SG&amp;A'!D16/1000000</f>
        <v>32688.234425999999</v>
      </c>
      <c r="E12" s="333">
        <f>'SG&amp;A'!E16/1000000</f>
        <v>54566.105000000003</v>
      </c>
      <c r="F12" s="333">
        <f>'SG&amp;A'!F16/1000000</f>
        <v>61330.565999999999</v>
      </c>
      <c r="G12" s="333">
        <f>'SG&amp;A'!G16/1000000</f>
        <v>29252.152999999998</v>
      </c>
      <c r="H12" s="340">
        <f>'SG&amp;A'!H16/1000000</f>
        <v>36235.334686570968</v>
      </c>
      <c r="I12" s="341">
        <f>G12+H12</f>
        <v>65487.487686570967</v>
      </c>
      <c r="J12" s="340">
        <f>'SG&amp;A'!I16/1000000</f>
        <v>76850.474308457022</v>
      </c>
      <c r="K12" s="340">
        <f>'SG&amp;A'!J16/1000000</f>
        <v>83841.379975148928</v>
      </c>
      <c r="L12" s="340">
        <f>'SG&amp;A'!K16/1000000</f>
        <v>88390.749703742593</v>
      </c>
      <c r="M12" s="340">
        <f>'SG&amp;A'!L16/1000000</f>
        <v>93186.975637870783</v>
      </c>
      <c r="N12" s="340">
        <f>'SG&amp;A'!M16/1000000</f>
        <v>98243.452597002208</v>
      </c>
      <c r="Q12" s="284"/>
      <c r="R12" s="283"/>
      <c r="S12" s="281"/>
      <c r="T12" s="282"/>
      <c r="U12" s="281"/>
      <c r="V12" s="281"/>
      <c r="W12" s="281"/>
      <c r="X12" s="281"/>
      <c r="Y12" s="281"/>
    </row>
    <row r="13" spans="1:25" s="265" customFormat="1" ht="13">
      <c r="B13" s="286" t="s">
        <v>845</v>
      </c>
      <c r="C13" s="285"/>
      <c r="D13" s="333">
        <f>'SG&amp;A'!D17/1000000</f>
        <v>0</v>
      </c>
      <c r="E13" s="333">
        <f>'SG&amp;A'!E17/1000000</f>
        <v>27940.264999999999</v>
      </c>
      <c r="F13" s="333">
        <f>'SG&amp;A'!F17/1000000</f>
        <v>32967.097000000002</v>
      </c>
      <c r="G13" s="333">
        <f>'SG&amp;A'!G17/1000000</f>
        <v>20465.242999999999</v>
      </c>
      <c r="H13" s="340">
        <f>'SG&amp;A'!H17/1000000</f>
        <v>20314.071414682207</v>
      </c>
      <c r="I13" s="341">
        <f>G13+H13</f>
        <v>40779.314414682201</v>
      </c>
      <c r="J13" s="340">
        <f>'SG&amp;A'!I17/1000000</f>
        <v>43083.527083655332</v>
      </c>
      <c r="K13" s="340">
        <f>'SG&amp;A'!J17/1000000</f>
        <v>47002.73352109766</v>
      </c>
      <c r="L13" s="340">
        <f>'SG&amp;A'!K17/1000000</f>
        <v>49553.178338506645</v>
      </c>
      <c r="M13" s="340">
        <f>'SG&amp;A'!L17/1000000</f>
        <v>52242.014442535772</v>
      </c>
      <c r="N13" s="340">
        <f>'SG&amp;A'!M17/1000000</f>
        <v>55076.751169627707</v>
      </c>
      <c r="Q13" s="284"/>
      <c r="R13" s="283"/>
      <c r="S13" s="281"/>
      <c r="T13" s="282"/>
      <c r="U13" s="281"/>
      <c r="V13" s="281"/>
      <c r="W13" s="281"/>
      <c r="X13" s="281"/>
      <c r="Y13" s="281"/>
    </row>
    <row r="14" spans="1:25" s="265" customFormat="1" ht="13">
      <c r="B14" s="289" t="s">
        <v>844</v>
      </c>
      <c r="C14" s="285"/>
      <c r="D14" s="334">
        <f t="shared" ref="D14:J14" si="4">SUM(D15:D27)</f>
        <v>91228.07316900001</v>
      </c>
      <c r="E14" s="334">
        <f t="shared" si="4"/>
        <v>109655.64300000001</v>
      </c>
      <c r="F14" s="334">
        <f t="shared" si="4"/>
        <v>120231.30500000001</v>
      </c>
      <c r="G14" s="334">
        <f t="shared" si="4"/>
        <v>60801.046999999999</v>
      </c>
      <c r="H14" s="338">
        <f t="shared" si="4"/>
        <v>68662.773568671182</v>
      </c>
      <c r="I14" s="339">
        <f t="shared" si="4"/>
        <v>129463.82056867119</v>
      </c>
      <c r="J14" s="338">
        <f t="shared" si="4"/>
        <v>140568.5338133903</v>
      </c>
      <c r="K14" s="338">
        <f t="shared" ref="K14:N14" si="5">SUM(K15:K27)</f>
        <v>148865.48142512771</v>
      </c>
      <c r="L14" s="338">
        <f t="shared" si="5"/>
        <v>156099.89197638826</v>
      </c>
      <c r="M14" s="338">
        <f t="shared" si="5"/>
        <v>163251.91477035184</v>
      </c>
      <c r="N14" s="338">
        <f t="shared" si="5"/>
        <v>170226.40872871049</v>
      </c>
      <c r="Q14" s="284"/>
      <c r="R14" s="283"/>
      <c r="S14" s="281"/>
      <c r="T14" s="282"/>
      <c r="U14" s="281"/>
      <c r="V14" s="281"/>
      <c r="W14" s="281"/>
      <c r="X14" s="281"/>
      <c r="Y14" s="281"/>
    </row>
    <row r="15" spans="1:25" s="265" customFormat="1" ht="13">
      <c r="B15" s="286" t="s">
        <v>843</v>
      </c>
      <c r="C15" s="285"/>
      <c r="D15" s="333">
        <f>'SG&amp;A'!D19/1000000</f>
        <v>50418.894717000003</v>
      </c>
      <c r="E15" s="333">
        <f>'SG&amp;A'!E19/1000000</f>
        <v>38412.050999999999</v>
      </c>
      <c r="F15" s="333">
        <f>'SG&amp;A'!F19/1000000</f>
        <v>37613.578000000001</v>
      </c>
      <c r="G15" s="333">
        <f>'SG&amp;A'!G19/1000000</f>
        <v>18808.381000000001</v>
      </c>
      <c r="H15" s="340">
        <f>'SG&amp;A'!H19/1000000</f>
        <v>21024.398101999999</v>
      </c>
      <c r="I15" s="341">
        <f t="shared" ref="I15:I27" si="6">G15+H15</f>
        <v>39832.779102</v>
      </c>
      <c r="J15" s="340">
        <f>'SG&amp;A'!I19/1000000</f>
        <v>40788.765800447996</v>
      </c>
      <c r="K15" s="340">
        <f>'SG&amp;A'!J19/1000000</f>
        <v>42216.372603463678</v>
      </c>
      <c r="L15" s="340">
        <f>'SG&amp;A'!K19/1000000</f>
        <v>43693.945644584899</v>
      </c>
      <c r="M15" s="340">
        <f>'SG&amp;A'!L19/1000000</f>
        <v>45223.23374214537</v>
      </c>
      <c r="N15" s="340">
        <f>'SG&amp;A'!M19/1000000</f>
        <v>46806.046923120455</v>
      </c>
      <c r="Q15" s="284"/>
      <c r="R15" s="283"/>
      <c r="S15" s="281"/>
      <c r="T15" s="282"/>
      <c r="U15" s="281"/>
      <c r="V15" s="281"/>
      <c r="W15" s="281"/>
      <c r="X15" s="281"/>
      <c r="Y15" s="281"/>
    </row>
    <row r="16" spans="1:25" s="265" customFormat="1" ht="13">
      <c r="B16" s="286" t="s">
        <v>842</v>
      </c>
      <c r="C16" s="285"/>
      <c r="D16" s="333">
        <f>'SG&amp;A'!D20/1000000</f>
        <v>24462.190891999999</v>
      </c>
      <c r="E16" s="333">
        <f>'SG&amp;A'!E20/1000000</f>
        <v>45413.231</v>
      </c>
      <c r="F16" s="333">
        <f>'SG&amp;A'!F20/1000000</f>
        <v>53038.998</v>
      </c>
      <c r="G16" s="333">
        <f>'SG&amp;A'!G20/1000000</f>
        <v>27737.870999999999</v>
      </c>
      <c r="H16" s="340">
        <f>'SG&amp;A'!H20/1000000</f>
        <v>30569.296455671185</v>
      </c>
      <c r="I16" s="341">
        <f t="shared" si="6"/>
        <v>58307.167455671181</v>
      </c>
      <c r="J16" s="340">
        <f>'SG&amp;A'!I20/1000000</f>
        <v>67704.121025678309</v>
      </c>
      <c r="K16" s="340">
        <f>'SG&amp;A'!J20/1000000</f>
        <v>73450.814189845827</v>
      </c>
      <c r="L16" s="340">
        <f>'SG&amp;A'!K20/1000000</f>
        <v>78045.711387871517</v>
      </c>
      <c r="M16" s="340">
        <f>'SG&amp;A'!L20/1000000</f>
        <v>82465.837861237</v>
      </c>
      <c r="N16" s="340">
        <f>'SG&amp;A'!M20/1000000</f>
        <v>86612.819127776602</v>
      </c>
      <c r="Q16" s="284"/>
      <c r="R16" s="283"/>
      <c r="S16" s="281"/>
      <c r="T16" s="282"/>
      <c r="U16" s="281"/>
      <c r="V16" s="281"/>
      <c r="W16" s="281"/>
      <c r="X16" s="281"/>
      <c r="Y16" s="281"/>
    </row>
    <row r="17" spans="2:25" s="265" customFormat="1" ht="13">
      <c r="B17" s="286" t="s">
        <v>841</v>
      </c>
      <c r="C17" s="285"/>
      <c r="D17" s="333">
        <f>'SG&amp;A'!D21/1000000</f>
        <v>5302.1923360000001</v>
      </c>
      <c r="E17" s="333">
        <f>'SG&amp;A'!E21/1000000</f>
        <v>10083.249</v>
      </c>
      <c r="F17" s="333">
        <f>'SG&amp;A'!F21/1000000</f>
        <v>11030.37</v>
      </c>
      <c r="G17" s="333">
        <f>'SG&amp;A'!G21/1000000</f>
        <v>5895.2079999999996</v>
      </c>
      <c r="H17" s="340">
        <f>'SG&amp;A'!H21/1000000</f>
        <v>5785.9538300000004</v>
      </c>
      <c r="I17" s="341">
        <f t="shared" si="6"/>
        <v>11681.161830000001</v>
      </c>
      <c r="J17" s="340">
        <f>'SG&amp;A'!I21/1000000</f>
        <v>11961.509713920001</v>
      </c>
      <c r="K17" s="340">
        <f>'SG&amp;A'!J21/1000000</f>
        <v>12380.162553907199</v>
      </c>
      <c r="L17" s="340">
        <f>'SG&amp;A'!K21/1000000</f>
        <v>12813.468243293952</v>
      </c>
      <c r="M17" s="340">
        <f>'SG&amp;A'!L21/1000000</f>
        <v>13261.939631809239</v>
      </c>
      <c r="N17" s="340">
        <f>'SG&amp;A'!M21/1000000</f>
        <v>13726.107518922561</v>
      </c>
      <c r="Q17" s="284"/>
      <c r="R17" s="283"/>
      <c r="S17" s="281"/>
      <c r="T17" s="282"/>
      <c r="U17" s="281"/>
      <c r="V17" s="281"/>
      <c r="W17" s="281"/>
      <c r="X17" s="281"/>
      <c r="Y17" s="281"/>
    </row>
    <row r="18" spans="2:25" s="265" customFormat="1" ht="13">
      <c r="B18" s="286" t="s">
        <v>840</v>
      </c>
      <c r="C18" s="285"/>
      <c r="D18" s="333">
        <f>'SG&amp;A'!D22/1000000</f>
        <v>4428.8737739999997</v>
      </c>
      <c r="E18" s="333">
        <f>'SG&amp;A'!E22/1000000</f>
        <v>2809.1109999999999</v>
      </c>
      <c r="F18" s="333">
        <f>'SG&amp;A'!F22/1000000</f>
        <v>3180.9430000000002</v>
      </c>
      <c r="G18" s="333">
        <f>'SG&amp;A'!G22/1000000</f>
        <v>806.94600000000003</v>
      </c>
      <c r="H18" s="340">
        <f>'SG&amp;A'!H22/1000000</f>
        <v>2561.6726370000001</v>
      </c>
      <c r="I18" s="341">
        <f t="shared" si="6"/>
        <v>3368.618637</v>
      </c>
      <c r="J18" s="340">
        <f>'SG&amp;A'!I22/1000000</f>
        <v>3449.465484288</v>
      </c>
      <c r="K18" s="340">
        <f>'SG&amp;A'!J22/1000000</f>
        <v>3570.19677623808</v>
      </c>
      <c r="L18" s="340">
        <f>'SG&amp;A'!K22/1000000</f>
        <v>3695.1536634064128</v>
      </c>
      <c r="M18" s="340">
        <f>'SG&amp;A'!L22/1000000</f>
        <v>3824.4840416256366</v>
      </c>
      <c r="N18" s="340">
        <f>'SG&amp;A'!M22/1000000</f>
        <v>3958.3409830825335</v>
      </c>
      <c r="Q18" s="284"/>
      <c r="R18" s="283"/>
      <c r="S18" s="281"/>
      <c r="T18" s="282"/>
      <c r="U18" s="281"/>
      <c r="V18" s="281"/>
      <c r="W18" s="281"/>
      <c r="X18" s="281"/>
      <c r="Y18" s="281"/>
    </row>
    <row r="19" spans="2:25" s="265" customFormat="1" ht="13">
      <c r="B19" s="286" t="s">
        <v>839</v>
      </c>
      <c r="C19" s="285"/>
      <c r="D19" s="333">
        <f>'SG&amp;A'!D23/1000000</f>
        <v>1301.5766389999999</v>
      </c>
      <c r="E19" s="333">
        <f>'SG&amp;A'!E23/1000000</f>
        <v>2054.1770000000001</v>
      </c>
      <c r="F19" s="333">
        <f>'SG&amp;A'!F23/1000000</f>
        <v>2692.7559999999999</v>
      </c>
      <c r="G19" s="333">
        <f>'SG&amp;A'!G23/1000000</f>
        <v>1533.0150000000001</v>
      </c>
      <c r="H19" s="340">
        <f>'SG&amp;A'!H23/1000000</f>
        <v>1318.6136039999999</v>
      </c>
      <c r="I19" s="341">
        <f t="shared" si="6"/>
        <v>2851.628604</v>
      </c>
      <c r="J19" s="340">
        <f>'SG&amp;A'!I23/1000000</f>
        <v>2920.0676904960001</v>
      </c>
      <c r="K19" s="340">
        <f>'SG&amp;A'!J23/1000000</f>
        <v>3022.2700596633599</v>
      </c>
      <c r="L19" s="340">
        <f>'SG&amp;A'!K23/1000000</f>
        <v>3128.0495117515775</v>
      </c>
      <c r="M19" s="340">
        <f>'SG&amp;A'!L23/1000000</f>
        <v>3237.5312446628823</v>
      </c>
      <c r="N19" s="340">
        <f>'SG&amp;A'!M23/1000000</f>
        <v>3350.8448382260826</v>
      </c>
      <c r="Q19" s="284"/>
      <c r="R19" s="283"/>
      <c r="S19" s="281"/>
      <c r="T19" s="282"/>
      <c r="U19" s="281"/>
      <c r="V19" s="281"/>
      <c r="W19" s="281"/>
      <c r="X19" s="281"/>
      <c r="Y19" s="281"/>
    </row>
    <row r="20" spans="2:25" s="265" customFormat="1" ht="13">
      <c r="B20" s="286" t="s">
        <v>838</v>
      </c>
      <c r="C20" s="285"/>
      <c r="D20" s="333">
        <f>'SG&amp;A'!D24/1000000</f>
        <v>906.04529300000002</v>
      </c>
      <c r="E20" s="333">
        <f>'SG&amp;A'!E24/1000000</f>
        <v>1592.4670000000001</v>
      </c>
      <c r="F20" s="333">
        <f>'SG&amp;A'!F24/1000000</f>
        <v>1675.4179999999999</v>
      </c>
      <c r="G20" s="333">
        <f>'SG&amp;A'!G24/1000000</f>
        <v>810.96100000000001</v>
      </c>
      <c r="H20" s="340">
        <f>'SG&amp;A'!H24/1000000</f>
        <v>963.30666199999996</v>
      </c>
      <c r="I20" s="341">
        <f t="shared" si="6"/>
        <v>1774.267662</v>
      </c>
      <c r="J20" s="340">
        <f>'SG&amp;A'!I24/1000000</f>
        <v>1816.850085888</v>
      </c>
      <c r="K20" s="340">
        <f>'SG&amp;A'!J24/1000000</f>
        <v>1880.4398388940799</v>
      </c>
      <c r="L20" s="340">
        <f>'SG&amp;A'!K24/1000000</f>
        <v>1946.2552332553726</v>
      </c>
      <c r="M20" s="340">
        <f>'SG&amp;A'!L24/1000000</f>
        <v>2014.3741664193103</v>
      </c>
      <c r="N20" s="340">
        <f>'SG&amp;A'!M24/1000000</f>
        <v>2084.877262243986</v>
      </c>
      <c r="Q20" s="284"/>
      <c r="R20" s="283"/>
      <c r="S20" s="281"/>
      <c r="T20" s="282"/>
      <c r="U20" s="281"/>
      <c r="V20" s="281"/>
      <c r="W20" s="281"/>
      <c r="X20" s="281"/>
      <c r="Y20" s="281"/>
    </row>
    <row r="21" spans="2:25" s="265" customFormat="1" ht="13">
      <c r="B21" s="286" t="s">
        <v>837</v>
      </c>
      <c r="C21" s="285"/>
      <c r="D21" s="333">
        <f>'SG&amp;A'!D25/1000000</f>
        <v>535.48836200000005</v>
      </c>
      <c r="E21" s="333">
        <f>'SG&amp;A'!E25/1000000</f>
        <v>1589.393</v>
      </c>
      <c r="F21" s="333">
        <f>'SG&amp;A'!F25/1000000</f>
        <v>1616.4059999999999</v>
      </c>
      <c r="G21" s="333">
        <f>'SG&amp;A'!G25/1000000</f>
        <v>621.26099999999997</v>
      </c>
      <c r="H21" s="340">
        <f>'SG&amp;A'!H25/1000000</f>
        <v>1090.512954</v>
      </c>
      <c r="I21" s="341">
        <f t="shared" si="6"/>
        <v>1711.773954</v>
      </c>
      <c r="J21" s="340">
        <f>'SG&amp;A'!I25/1000000</f>
        <v>1752.8565288960001</v>
      </c>
      <c r="K21" s="340">
        <f>'SG&amp;A'!J25/1000000</f>
        <v>1814.20650740736</v>
      </c>
      <c r="L21" s="340">
        <f>'SG&amp;A'!K25/1000000</f>
        <v>1877.7037351666177</v>
      </c>
      <c r="M21" s="340">
        <f>'SG&amp;A'!L25/1000000</f>
        <v>1943.423365897449</v>
      </c>
      <c r="N21" s="340">
        <f>'SG&amp;A'!M25/1000000</f>
        <v>2011.4431837038596</v>
      </c>
      <c r="Q21" s="284"/>
      <c r="R21" s="283"/>
      <c r="S21" s="281"/>
      <c r="T21" s="282"/>
      <c r="U21" s="281"/>
      <c r="V21" s="281"/>
      <c r="W21" s="281"/>
      <c r="X21" s="281"/>
      <c r="Y21" s="281"/>
    </row>
    <row r="22" spans="2:25" s="265" customFormat="1" ht="13">
      <c r="B22" s="286" t="s">
        <v>836</v>
      </c>
      <c r="C22" s="285"/>
      <c r="D22" s="333">
        <f>'SG&amp;A'!D26/1000000</f>
        <v>1583.1244409999999</v>
      </c>
      <c r="E22" s="333">
        <f>'SG&amp;A'!E26/1000000</f>
        <v>3290.7910000000002</v>
      </c>
      <c r="F22" s="333">
        <f>'SG&amp;A'!F26/1000000</f>
        <v>4054.12</v>
      </c>
      <c r="G22" s="333">
        <f>'SG&amp;A'!G26/1000000</f>
        <v>2055.02</v>
      </c>
      <c r="H22" s="340">
        <f>'SG&amp;A'!H26/1000000</f>
        <v>2238.2930799999999</v>
      </c>
      <c r="I22" s="341">
        <f t="shared" si="6"/>
        <v>4293.3130799999999</v>
      </c>
      <c r="J22" s="340">
        <f>'SG&amp;A'!I26/1000000</f>
        <v>4396.3525939199999</v>
      </c>
      <c r="K22" s="340">
        <f>'SG&amp;A'!J26/1000000</f>
        <v>4550.2249347072002</v>
      </c>
      <c r="L22" s="340">
        <f>'SG&amp;A'!K26/1000000</f>
        <v>4709.4828074219513</v>
      </c>
      <c r="M22" s="340">
        <f>'SG&amp;A'!L26/1000000</f>
        <v>4874.3147056817188</v>
      </c>
      <c r="N22" s="340">
        <f>'SG&amp;A'!M26/1000000</f>
        <v>5044.9157203805789</v>
      </c>
      <c r="Q22" s="284"/>
      <c r="R22" s="283"/>
      <c r="S22" s="281"/>
      <c r="T22" s="282"/>
      <c r="U22" s="281"/>
      <c r="V22" s="281"/>
      <c r="W22" s="281"/>
      <c r="X22" s="281"/>
      <c r="Y22" s="281"/>
    </row>
    <row r="23" spans="2:25" s="265" customFormat="1" ht="13">
      <c r="B23" s="286" t="s">
        <v>835</v>
      </c>
      <c r="C23" s="285"/>
      <c r="D23" s="333">
        <f>'SG&amp;A'!D27/1000000</f>
        <v>361.53341</v>
      </c>
      <c r="E23" s="333">
        <f>'SG&amp;A'!E27/1000000</f>
        <v>927.63300000000004</v>
      </c>
      <c r="F23" s="333">
        <f>'SG&amp;A'!F27/1000000</f>
        <v>687.24400000000003</v>
      </c>
      <c r="G23" s="333">
        <f>'SG&amp;A'!G27/1000000</f>
        <v>291.17399999999998</v>
      </c>
      <c r="H23" s="340">
        <f>'SG&amp;A'!H27/1000000</f>
        <v>436.61739599999999</v>
      </c>
      <c r="I23" s="341">
        <f t="shared" si="6"/>
        <v>727.79139599999996</v>
      </c>
      <c r="J23" s="340">
        <f>'SG&amp;A'!I27/1000000</f>
        <v>745.25838950400009</v>
      </c>
      <c r="K23" s="340">
        <f>'SG&amp;A'!J27/1000000</f>
        <v>771.3424331366399</v>
      </c>
      <c r="L23" s="340">
        <f>'SG&amp;A'!K27/1000000</f>
        <v>798.3394182964222</v>
      </c>
      <c r="M23" s="340">
        <f>'SG&amp;A'!L27/1000000</f>
        <v>826.28129793679693</v>
      </c>
      <c r="N23" s="340">
        <f>'SG&amp;A'!M27/1000000</f>
        <v>855.20114336458471</v>
      </c>
      <c r="Q23" s="284"/>
      <c r="R23" s="283"/>
      <c r="S23" s="281"/>
      <c r="T23" s="282"/>
      <c r="U23" s="281"/>
      <c r="V23" s="281"/>
      <c r="W23" s="281"/>
      <c r="X23" s="281"/>
      <c r="Y23" s="281"/>
    </row>
    <row r="24" spans="2:25" s="265" customFormat="1" ht="13">
      <c r="B24" s="286" t="s">
        <v>834</v>
      </c>
      <c r="C24" s="285"/>
      <c r="D24" s="333">
        <f>'SG&amp;A'!D28/1000000</f>
        <v>806.107754</v>
      </c>
      <c r="E24" s="333">
        <f>'SG&amp;A'!E28/1000000</f>
        <v>1392.4670000000001</v>
      </c>
      <c r="F24" s="333">
        <f>'SG&amp;A'!F28/1000000</f>
        <v>1437.5070000000001</v>
      </c>
      <c r="G24" s="333">
        <f>'SG&amp;A'!G28/1000000</f>
        <v>739.79499999999996</v>
      </c>
      <c r="H24" s="340">
        <f>'SG&amp;A'!H28/1000000</f>
        <v>782.52491299999997</v>
      </c>
      <c r="I24" s="341">
        <f t="shared" si="6"/>
        <v>1522.3199129999998</v>
      </c>
      <c r="J24" s="340">
        <f>'SG&amp;A'!I28/1000000</f>
        <v>1558.855590912</v>
      </c>
      <c r="K24" s="340">
        <f>'SG&amp;A'!J28/1000000</f>
        <v>1613.4155365939198</v>
      </c>
      <c r="L24" s="340">
        <f>'SG&amp;A'!K28/1000000</f>
        <v>1669.8850803747068</v>
      </c>
      <c r="M24" s="340">
        <f>'SG&amp;A'!L28/1000000</f>
        <v>1728.3310581878213</v>
      </c>
      <c r="N24" s="340">
        <f>'SG&amp;A'!M28/1000000</f>
        <v>1788.822645224395</v>
      </c>
      <c r="Q24" s="284"/>
      <c r="R24" s="283"/>
      <c r="S24" s="281"/>
      <c r="T24" s="282"/>
      <c r="U24" s="281"/>
      <c r="V24" s="281"/>
      <c r="W24" s="281"/>
      <c r="X24" s="281"/>
      <c r="Y24" s="281"/>
    </row>
    <row r="25" spans="2:25" s="265" customFormat="1" ht="13">
      <c r="B25" s="286" t="s">
        <v>833</v>
      </c>
      <c r="C25" s="285"/>
      <c r="D25" s="333">
        <f>'SG&amp;A'!D29/1000000</f>
        <v>262.37389100000001</v>
      </c>
      <c r="E25" s="333">
        <f>'SG&amp;A'!E29/1000000</f>
        <v>366.274</v>
      </c>
      <c r="F25" s="333">
        <f>'SG&amp;A'!F29/1000000</f>
        <v>366.97699999999998</v>
      </c>
      <c r="G25" s="333">
        <f>'SG&amp;A'!G29/1000000</f>
        <v>150.423</v>
      </c>
      <c r="H25" s="340">
        <f>'SG&amp;A'!H29/1000000</f>
        <v>238.20564300000001</v>
      </c>
      <c r="I25" s="341">
        <f t="shared" si="6"/>
        <v>388.62864300000001</v>
      </c>
      <c r="J25" s="340">
        <f>'SG&amp;A'!I29/1000000</f>
        <v>397.955730432</v>
      </c>
      <c r="K25" s="340">
        <f>'SG&amp;A'!J29/1000000</f>
        <v>411.88418099711998</v>
      </c>
      <c r="L25" s="340">
        <f>'SG&amp;A'!K29/1000000</f>
        <v>426.30012733201914</v>
      </c>
      <c r="M25" s="340">
        <f>'SG&amp;A'!L29/1000000</f>
        <v>441.22063178863976</v>
      </c>
      <c r="N25" s="340">
        <f>'SG&amp;A'!M29/1000000</f>
        <v>456.66335390124215</v>
      </c>
      <c r="Q25" s="284"/>
      <c r="R25" s="283"/>
      <c r="S25" s="281"/>
      <c r="T25" s="282"/>
      <c r="U25" s="281"/>
      <c r="V25" s="281"/>
      <c r="W25" s="281"/>
      <c r="X25" s="281"/>
      <c r="Y25" s="281"/>
    </row>
    <row r="26" spans="2:25" s="265" customFormat="1" ht="13">
      <c r="B26" s="286" t="s">
        <v>832</v>
      </c>
      <c r="C26" s="285"/>
      <c r="D26" s="333">
        <f>'SG&amp;A'!D30/1000000</f>
        <v>226.288523</v>
      </c>
      <c r="E26" s="333">
        <f>'SG&amp;A'!E30/1000000</f>
        <v>314.56400000000002</v>
      </c>
      <c r="F26" s="333">
        <f>'SG&amp;A'!F30/1000000</f>
        <v>439.22899999999998</v>
      </c>
      <c r="G26" s="333">
        <f>'SG&amp;A'!G30/1000000</f>
        <v>177.65700000000001</v>
      </c>
      <c r="H26" s="340">
        <f>'SG&amp;A'!H30/1000000</f>
        <v>287.48651100000001</v>
      </c>
      <c r="I26" s="341">
        <f t="shared" si="6"/>
        <v>465.14351099999999</v>
      </c>
      <c r="J26" s="340">
        <f>'SG&amp;A'!I30/1000000</f>
        <v>476.30695526400001</v>
      </c>
      <c r="K26" s="340">
        <f>'SG&amp;A'!J30/1000000</f>
        <v>492.97769869823998</v>
      </c>
      <c r="L26" s="340">
        <f>'SG&amp;A'!K30/1000000</f>
        <v>510.23191815267836</v>
      </c>
      <c r="M26" s="340">
        <f>'SG&amp;A'!L30/1000000</f>
        <v>528.09003528802214</v>
      </c>
      <c r="N26" s="340">
        <f>'SG&amp;A'!M30/1000000</f>
        <v>546.57318652310289</v>
      </c>
      <c r="Q26" s="284"/>
      <c r="R26" s="283"/>
      <c r="S26" s="281"/>
      <c r="T26" s="282"/>
      <c r="U26" s="281"/>
      <c r="V26" s="281"/>
      <c r="W26" s="281"/>
      <c r="X26" s="281"/>
      <c r="Y26" s="281"/>
    </row>
    <row r="27" spans="2:25" s="265" customFormat="1" ht="13">
      <c r="B27" s="288" t="s">
        <v>831</v>
      </c>
      <c r="C27" s="285"/>
      <c r="D27" s="333">
        <f>'SG&amp;A'!D31/1000000</f>
        <v>633.38313700000003</v>
      </c>
      <c r="E27" s="333">
        <f>'SG&amp;A'!E31/1000000</f>
        <v>1410.2349999999999</v>
      </c>
      <c r="F27" s="333">
        <f>'SG&amp;A'!F31/1000000</f>
        <v>2397.759</v>
      </c>
      <c r="G27" s="333">
        <f>'SG&amp;A'!G31/1000000</f>
        <v>1173.335</v>
      </c>
      <c r="H27" s="340">
        <f>'SG&amp;A'!H31/1000000</f>
        <v>1365.891781</v>
      </c>
      <c r="I27" s="341">
        <f t="shared" si="6"/>
        <v>2539.2267810000003</v>
      </c>
      <c r="J27" s="340">
        <f>'SG&amp;A'!I31/1000000</f>
        <v>2600.168223744</v>
      </c>
      <c r="K27" s="340">
        <f>'SG&amp;A'!J31/1000000</f>
        <v>2691.1741115750397</v>
      </c>
      <c r="L27" s="340">
        <f>'SG&amp;A'!K31/1000000</f>
        <v>2785.365205480166</v>
      </c>
      <c r="M27" s="340">
        <f>'SG&amp;A'!L31/1000000</f>
        <v>2882.8529876719713</v>
      </c>
      <c r="N27" s="340">
        <f>'SG&amp;A'!M31/1000000</f>
        <v>2983.7528422404898</v>
      </c>
      <c r="Q27" s="284"/>
      <c r="R27" s="283"/>
      <c r="S27" s="281"/>
      <c r="T27" s="282"/>
      <c r="U27" s="281"/>
      <c r="V27" s="281"/>
      <c r="W27" s="281"/>
      <c r="X27" s="281"/>
      <c r="Y27" s="281"/>
    </row>
    <row r="28" spans="2:25" s="265" customFormat="1" ht="13">
      <c r="B28" s="287" t="s">
        <v>830</v>
      </c>
      <c r="C28" s="285"/>
      <c r="D28" s="334">
        <f t="shared" ref="D28:J28" si="7">SUM(D29:D30)</f>
        <v>71639.902925000002</v>
      </c>
      <c r="E28" s="334">
        <f t="shared" si="7"/>
        <v>35570.682999999997</v>
      </c>
      <c r="F28" s="334">
        <f t="shared" si="7"/>
        <v>36597.596000000005</v>
      </c>
      <c r="G28" s="334">
        <f t="shared" si="7"/>
        <v>19756.434000000001</v>
      </c>
      <c r="H28" s="338">
        <f t="shared" si="7"/>
        <v>20373.754823024938</v>
      </c>
      <c r="I28" s="339">
        <f t="shared" si="7"/>
        <v>40130.188823024939</v>
      </c>
      <c r="J28" s="338">
        <f t="shared" si="7"/>
        <v>41712.567842565324</v>
      </c>
      <c r="K28" s="338">
        <f t="shared" ref="K28:N28" si="8">SUM(K29:K30)</f>
        <v>42240.075110009777</v>
      </c>
      <c r="L28" s="338">
        <f t="shared" si="8"/>
        <v>42317.20062446384</v>
      </c>
      <c r="M28" s="338">
        <f t="shared" si="8"/>
        <v>43234.606539975532</v>
      </c>
      <c r="N28" s="338">
        <f t="shared" si="8"/>
        <v>43022.552109107703</v>
      </c>
      <c r="Q28" s="284"/>
      <c r="R28" s="283"/>
      <c r="S28" s="281"/>
      <c r="T28" s="282"/>
      <c r="U28" s="281"/>
      <c r="V28" s="281"/>
      <c r="W28" s="281"/>
      <c r="X28" s="281"/>
      <c r="Y28" s="281"/>
    </row>
    <row r="29" spans="2:25" s="265" customFormat="1" ht="13">
      <c r="B29" s="286" t="s">
        <v>829</v>
      </c>
      <c r="C29" s="285"/>
      <c r="D29" s="333">
        <f>'SG&amp;A'!D33/1000000</f>
        <v>19307.619867000001</v>
      </c>
      <c r="E29" s="333">
        <f>'SG&amp;A'!E33/1000000</f>
        <v>35250.284</v>
      </c>
      <c r="F29" s="333">
        <f>'SG&amp;A'!F33/1000000</f>
        <v>36189.728000000003</v>
      </c>
      <c r="G29" s="333">
        <f>'SG&amp;A'!G33/1000000</f>
        <v>19527.25</v>
      </c>
      <c r="H29" s="340">
        <f>'SG&amp;A'!H33/1000000</f>
        <v>19981.129679824939</v>
      </c>
      <c r="I29" s="341">
        <f>G29+H29</f>
        <v>39508.379679824939</v>
      </c>
      <c r="J29" s="340">
        <f>'SG&amp;A'!I33/1000000</f>
        <v>40901.901556165321</v>
      </c>
      <c r="K29" s="340">
        <f>'SG&amp;A'!J33/1000000</f>
        <v>41375.188023609779</v>
      </c>
      <c r="L29" s="340">
        <f>'SG&amp;A'!K33/1000000</f>
        <v>41416.39768014384</v>
      </c>
      <c r="M29" s="340">
        <f>'SG&amp;A'!L33/1000000</f>
        <v>42308.370678765932</v>
      </c>
      <c r="N29" s="340">
        <f>'SG&amp;A'!M33/1000000</f>
        <v>42465.173174223091</v>
      </c>
      <c r="Q29" s="284"/>
      <c r="R29" s="283"/>
      <c r="S29" s="281"/>
      <c r="T29" s="282"/>
      <c r="U29" s="281"/>
      <c r="V29" s="281"/>
      <c r="W29" s="281"/>
      <c r="X29" s="281"/>
      <c r="Y29" s="281"/>
    </row>
    <row r="30" spans="2:25" s="265" customFormat="1" ht="13">
      <c r="B30" s="286" t="s">
        <v>828</v>
      </c>
      <c r="C30" s="285"/>
      <c r="D30" s="333">
        <f>'SG&amp;A'!D34/1000000</f>
        <v>52332.283058000001</v>
      </c>
      <c r="E30" s="333">
        <f>'SG&amp;A'!E34/1000000</f>
        <v>320.399</v>
      </c>
      <c r="F30" s="333">
        <f>'SG&amp;A'!F34/1000000</f>
        <v>407.86799999999999</v>
      </c>
      <c r="G30" s="333">
        <f>'SG&amp;A'!G34/1000000</f>
        <v>229.184</v>
      </c>
      <c r="H30" s="340">
        <f>'SG&amp;A'!H34/1000000</f>
        <v>392.62514320000002</v>
      </c>
      <c r="I30" s="341">
        <f>G30+H30</f>
        <v>621.80914319999999</v>
      </c>
      <c r="J30" s="340">
        <f>'SG&amp;A'!I34/1000000</f>
        <v>810.6662864000001</v>
      </c>
      <c r="K30" s="340">
        <f>'SG&amp;A'!J34/1000000</f>
        <v>864.88708640000004</v>
      </c>
      <c r="L30" s="340">
        <f>'SG&amp;A'!K34/1000000</f>
        <v>900.80294432000005</v>
      </c>
      <c r="M30" s="340">
        <f>'SG&amp;A'!L34/1000000</f>
        <v>926.23586120959999</v>
      </c>
      <c r="N30" s="340">
        <f>'SG&amp;A'!M34/1000000</f>
        <v>557.37893488460793</v>
      </c>
      <c r="Q30" s="284"/>
      <c r="R30" s="283"/>
      <c r="S30" s="281"/>
      <c r="T30" s="282"/>
      <c r="U30" s="281"/>
      <c r="V30" s="281"/>
      <c r="W30" s="281"/>
      <c r="X30" s="281"/>
      <c r="Y30" s="281"/>
    </row>
    <row r="31" spans="2:25" s="265" customFormat="1" ht="13.5" thickBot="1">
      <c r="B31" s="280" t="s">
        <v>827</v>
      </c>
      <c r="C31" s="279"/>
      <c r="D31" s="335">
        <f t="shared" ref="D31:J31" si="9">+D4+D9+D14+D28</f>
        <v>330026.20809700002</v>
      </c>
      <c r="E31" s="335">
        <f t="shared" si="9"/>
        <v>476792.342</v>
      </c>
      <c r="F31" s="335">
        <f t="shared" si="9"/>
        <v>545797.12099999993</v>
      </c>
      <c r="G31" s="335">
        <f t="shared" si="9"/>
        <v>284644.701</v>
      </c>
      <c r="H31" s="342">
        <f t="shared" si="9"/>
        <v>303638.23449101381</v>
      </c>
      <c r="I31" s="342">
        <f t="shared" si="9"/>
        <v>588282.93549101381</v>
      </c>
      <c r="J31" s="342">
        <f t="shared" si="9"/>
        <v>648065.32055791211</v>
      </c>
      <c r="K31" s="342">
        <f t="shared" ref="K31" si="10">+K4+K9+K14+K28</f>
        <v>699825.44211068831</v>
      </c>
      <c r="L31" s="342">
        <f t="shared" ref="L31:M31" si="11">+L4+L9+L14+L28</f>
        <v>739620.43811773637</v>
      </c>
      <c r="M31" s="342">
        <f t="shared" si="11"/>
        <v>781180.7636663185</v>
      </c>
      <c r="N31" s="342">
        <f t="shared" ref="N31" si="12">+N4+N9+N14+N28</f>
        <v>822343.30504078115</v>
      </c>
      <c r="Q31" s="278"/>
      <c r="R31" s="278"/>
      <c r="S31" s="277"/>
      <c r="T31" s="277"/>
      <c r="U31" s="277"/>
      <c r="V31" s="277"/>
      <c r="W31" s="277"/>
      <c r="X31" s="277"/>
      <c r="Y31" s="277"/>
    </row>
    <row r="32" spans="2:25" s="265" customFormat="1" ht="13">
      <c r="B32" s="276" t="s">
        <v>826</v>
      </c>
      <c r="C32" s="275"/>
      <c r="D32" s="336">
        <f>'SG&amp;A'!D5/1000000</f>
        <v>1491976.22114</v>
      </c>
      <c r="E32" s="336">
        <f>'SG&amp;A'!E5/1000000</f>
        <v>2663947.8663639999</v>
      </c>
      <c r="F32" s="336">
        <f>'SG&amp;A'!F5/1000000</f>
        <v>3046678.6757970001</v>
      </c>
      <c r="G32" s="336">
        <f>'SG&amp;A'!G5/1000000</f>
        <v>1606909.618359</v>
      </c>
      <c r="H32" s="343">
        <f>'SG&amp;A'!H5/1000000</f>
        <v>1826768.998538546</v>
      </c>
      <c r="I32" s="343">
        <f>G32+H32</f>
        <v>3433678.6168975458</v>
      </c>
      <c r="J32" s="343">
        <f>'SG&amp;A'!I5/1000000</f>
        <v>3874341.5840919763</v>
      </c>
      <c r="K32" s="343">
        <f>'SG&amp;A'!J5/1000000</f>
        <v>4226781.2635950102</v>
      </c>
      <c r="L32" s="343">
        <f>'SG&amp;A'!K5/1000000</f>
        <v>4456133.2940086992</v>
      </c>
      <c r="M32" s="343">
        <f>'SG&amp;A'!L5/1000000</f>
        <v>4697930.3388611386</v>
      </c>
      <c r="N32" s="343">
        <f>'SG&amp;A'!M5/1000000</f>
        <v>4952847.6848899322</v>
      </c>
      <c r="Q32" s="266"/>
      <c r="R32" s="266"/>
      <c r="S32" s="266"/>
      <c r="T32" s="266"/>
      <c r="U32" s="266"/>
      <c r="V32" s="266"/>
      <c r="W32" s="266"/>
      <c r="X32" s="266"/>
      <c r="Y32" s="266"/>
    </row>
    <row r="33" spans="2:23" s="265" customFormat="1" ht="13">
      <c r="B33" s="274" t="s">
        <v>825</v>
      </c>
      <c r="C33" s="273"/>
      <c r="D33" s="337">
        <f t="shared" ref="D33:J33" si="13">D31</f>
        <v>330026.20809700002</v>
      </c>
      <c r="E33" s="337">
        <f t="shared" si="13"/>
        <v>476792.342</v>
      </c>
      <c r="F33" s="337">
        <f t="shared" si="13"/>
        <v>545797.12099999993</v>
      </c>
      <c r="G33" s="337">
        <f t="shared" si="13"/>
        <v>284644.701</v>
      </c>
      <c r="H33" s="344">
        <f t="shared" si="13"/>
        <v>303638.23449101381</v>
      </c>
      <c r="I33" s="344">
        <f t="shared" si="13"/>
        <v>588282.93549101381</v>
      </c>
      <c r="J33" s="344">
        <f t="shared" si="13"/>
        <v>648065.32055791211</v>
      </c>
      <c r="K33" s="344">
        <f t="shared" ref="K33" si="14">K31</f>
        <v>699825.44211068831</v>
      </c>
      <c r="L33" s="344">
        <f t="shared" ref="L33:M33" si="15">L31</f>
        <v>739620.43811773637</v>
      </c>
      <c r="M33" s="344">
        <f t="shared" si="15"/>
        <v>781180.7636663185</v>
      </c>
      <c r="N33" s="344">
        <f t="shared" ref="N33" si="16">N31</f>
        <v>822343.30504078115</v>
      </c>
    </row>
    <row r="34" spans="2:23" s="268" customFormat="1" ht="13.5" thickBot="1">
      <c r="B34" s="272" t="s">
        <v>824</v>
      </c>
      <c r="C34" s="271"/>
      <c r="D34" s="270">
        <f t="shared" ref="D34:J34" si="17">+D33/D32</f>
        <v>0.22120071581625558</v>
      </c>
      <c r="E34" s="270">
        <f t="shared" si="17"/>
        <v>0.17897960692855822</v>
      </c>
      <c r="F34" s="270">
        <f t="shared" si="17"/>
        <v>0.17914495720728454</v>
      </c>
      <c r="G34" s="269">
        <f t="shared" si="17"/>
        <v>0.17713796578720054</v>
      </c>
      <c r="H34" s="1052">
        <f t="shared" si="17"/>
        <v>0.16621599925000416</v>
      </c>
      <c r="I34" s="1052">
        <f t="shared" si="17"/>
        <v>0.17132731426756209</v>
      </c>
      <c r="J34" s="1052">
        <f t="shared" si="17"/>
        <v>0.16727108503258065</v>
      </c>
      <c r="K34" s="1052">
        <f t="shared" ref="K34:N34" si="18">+K33/K32</f>
        <v>0.1655693537156131</v>
      </c>
      <c r="L34" s="1052">
        <f t="shared" si="18"/>
        <v>0.1659780777007189</v>
      </c>
      <c r="M34" s="1052">
        <f t="shared" si="18"/>
        <v>0.16628189592434239</v>
      </c>
      <c r="N34" s="1052">
        <f t="shared" si="18"/>
        <v>0.16603444268023279</v>
      </c>
    </row>
    <row r="35" spans="2:23" s="265" customFormat="1" ht="16"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6"/>
      <c r="P35" s="266"/>
      <c r="Q35" s="266"/>
      <c r="R35" s="266"/>
      <c r="S35" s="266"/>
      <c r="T35" s="266"/>
      <c r="U35" s="266"/>
      <c r="V35" s="266"/>
      <c r="W35" s="266"/>
    </row>
    <row r="36" spans="2:23" s="265" customFormat="1" ht="16">
      <c r="B36" s="267"/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6"/>
      <c r="P36" s="266"/>
      <c r="Q36" s="266"/>
      <c r="R36" s="266"/>
      <c r="S36" s="266"/>
      <c r="T36" s="266"/>
      <c r="U36" s="266"/>
      <c r="V36" s="266"/>
      <c r="W36" s="266"/>
    </row>
    <row r="37" spans="2:23" s="263" customFormat="1"/>
    <row r="38" spans="2:23" s="263" customFormat="1" ht="13">
      <c r="I38" s="264"/>
      <c r="J38" s="264"/>
    </row>
    <row r="41" spans="2:23">
      <c r="L41" s="260" t="s">
        <v>2074</v>
      </c>
    </row>
  </sheetData>
  <phoneticPr fontId="2" type="noConversion"/>
  <pageMargins left="0.59055118110236227" right="0.59055118110236227" top="0.98425196850393704" bottom="0.98425196850393704" header="0.51181102362204722" footer="0.51181102362204722"/>
  <pageSetup paperSize="9" scale="84" orientation="landscape" r:id="rId1"/>
  <headerFooter scaleWithDoc="0">
    <oddHeader>&amp;CProject K
Valuation&amp;R&amp;8Draft - Work in Progress</oddHeader>
    <oddFooter>&amp;L&amp;8&amp;F
&amp;D, &amp;T&amp;C&amp;8Page &amp;P of &amp;N&amp;R&amp;8&amp;A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Y211"/>
  <sheetViews>
    <sheetView showGridLines="0" topLeftCell="A10" workbookViewId="0">
      <selection activeCell="B20" sqref="B20"/>
    </sheetView>
  </sheetViews>
  <sheetFormatPr defaultColWidth="9" defaultRowHeight="14.5"/>
  <cols>
    <col min="1" max="1" width="1.6640625" style="477" customWidth="1"/>
    <col min="2" max="2" width="18.1640625" style="477" customWidth="1"/>
    <col min="3" max="3" width="18" style="477" customWidth="1"/>
    <col min="4" max="13" width="10.6640625" style="477" customWidth="1"/>
    <col min="14" max="14" width="11.08203125" style="478" customWidth="1"/>
    <col min="15" max="22" width="9" style="478"/>
    <col min="23" max="16384" width="9" style="477"/>
  </cols>
  <sheetData>
    <row r="1" spans="2:25" ht="23">
      <c r="B1" s="535" t="s">
        <v>1181</v>
      </c>
    </row>
    <row r="2" spans="2:25">
      <c r="I2" s="477">
        <f>BS!E7</f>
        <v>202019012912</v>
      </c>
    </row>
    <row r="4" spans="2:25" ht="29.5" thickBot="1">
      <c r="B4" s="499" t="s">
        <v>857</v>
      </c>
      <c r="C4" s="497" t="s">
        <v>1180</v>
      </c>
      <c r="D4" s="497" t="s">
        <v>868</v>
      </c>
      <c r="E4" s="497" t="s">
        <v>867</v>
      </c>
      <c r="F4" s="497" t="s">
        <v>866</v>
      </c>
      <c r="G4" s="498" t="s">
        <v>1154</v>
      </c>
      <c r="H4" s="497" t="s">
        <v>865</v>
      </c>
      <c r="I4" s="497" t="s">
        <v>864</v>
      </c>
      <c r="J4" s="497" t="s">
        <v>863</v>
      </c>
      <c r="K4" s="497" t="s">
        <v>862</v>
      </c>
      <c r="L4" s="497" t="s">
        <v>861</v>
      </c>
      <c r="M4" s="497" t="s">
        <v>860</v>
      </c>
    </row>
    <row r="5" spans="2:25" s="533" customFormat="1" ht="13">
      <c r="B5" s="534" t="s">
        <v>1179</v>
      </c>
      <c r="C5" s="537">
        <f t="shared" ref="C5:O5" si="0">SUM(C6:C7)</f>
        <v>172210.27450699999</v>
      </c>
      <c r="D5" s="537">
        <f t="shared" si="0"/>
        <v>180526.19670999999</v>
      </c>
      <c r="E5" s="537">
        <f t="shared" si="0"/>
        <v>201751.01042500001</v>
      </c>
      <c r="F5" s="537">
        <f t="shared" si="0"/>
        <v>235508.21891200001</v>
      </c>
      <c r="G5" s="538">
        <f t="shared" si="0"/>
        <v>348416.84099200001</v>
      </c>
      <c r="H5" s="537">
        <f t="shared" si="0"/>
        <v>251684.17187903967</v>
      </c>
      <c r="I5" s="537">
        <f t="shared" si="0"/>
        <v>296236.69752547465</v>
      </c>
      <c r="J5" s="537">
        <f t="shared" si="0"/>
        <v>322089.08908732876</v>
      </c>
      <c r="K5" s="537">
        <f t="shared" si="0"/>
        <v>338411.16109989991</v>
      </c>
      <c r="L5" s="537">
        <f t="shared" si="0"/>
        <v>355556.22278998018</v>
      </c>
      <c r="M5" s="537">
        <f t="shared" si="0"/>
        <v>373565.53020427522</v>
      </c>
      <c r="N5" s="531"/>
      <c r="O5" s="537">
        <f t="shared" si="0"/>
        <v>16175.952967039659</v>
      </c>
      <c r="P5" s="531"/>
      <c r="Q5" s="531"/>
      <c r="R5" s="531"/>
      <c r="S5" s="531"/>
      <c r="T5" s="531"/>
      <c r="U5" s="531"/>
      <c r="V5" s="531"/>
      <c r="W5" s="531"/>
      <c r="X5" s="531"/>
      <c r="Y5" s="531"/>
    </row>
    <row r="6" spans="2:25" s="478" customFormat="1">
      <c r="B6" s="530" t="s">
        <v>1170</v>
      </c>
      <c r="C6" s="536">
        <v>149481.935581</v>
      </c>
      <c r="D6" s="536">
        <f>BS!C7/1000000</f>
        <v>158782.39270999999</v>
      </c>
      <c r="E6" s="536">
        <f>BS!D7/1000000</f>
        <v>170078.86142500001</v>
      </c>
      <c r="F6" s="536">
        <f>BS!E7/1000000</f>
        <v>202019.01291200001</v>
      </c>
      <c r="G6" s="539">
        <f>BS!F7/1000000</f>
        <v>314577.716992</v>
      </c>
      <c r="H6" s="536">
        <f t="shared" ref="H6:M6" si="1">H21</f>
        <v>212613.84123919113</v>
      </c>
      <c r="I6" s="536">
        <f t="shared" si="1"/>
        <v>254805.12987152152</v>
      </c>
      <c r="J6" s="536">
        <f t="shared" si="1"/>
        <v>276888.58983343001</v>
      </c>
      <c r="K6" s="536">
        <f t="shared" si="1"/>
        <v>290758.00919305155</v>
      </c>
      <c r="L6" s="536">
        <f t="shared" si="1"/>
        <v>305317.33330556151</v>
      </c>
      <c r="M6" s="536">
        <f t="shared" si="1"/>
        <v>320600.5968130611</v>
      </c>
      <c r="N6" s="536"/>
      <c r="O6" s="536">
        <f>H6-F6</f>
        <v>10594.82832719112</v>
      </c>
      <c r="U6" s="531"/>
      <c r="V6" s="531"/>
      <c r="W6" s="531"/>
      <c r="X6" s="531"/>
      <c r="Y6" s="531"/>
    </row>
    <row r="7" spans="2:25" s="478" customFormat="1">
      <c r="B7" s="530" t="s">
        <v>1162</v>
      </c>
      <c r="C7" s="536">
        <v>22728.338926</v>
      </c>
      <c r="D7" s="536">
        <f>SUM(BS!C9:C10)/1000000</f>
        <v>21743.804</v>
      </c>
      <c r="E7" s="536">
        <f>SUM(BS!D9:D10)/1000000</f>
        <v>31672.149000000001</v>
      </c>
      <c r="F7" s="536">
        <f>SUM(BS!E9:E10)/1000000</f>
        <v>33489.205999999998</v>
      </c>
      <c r="G7" s="539">
        <f>SUM(BS!F9:F10)/1000000</f>
        <v>33839.124000000003</v>
      </c>
      <c r="H7" s="536">
        <f t="shared" ref="H7:M7" si="2">H40</f>
        <v>39070.330639848537</v>
      </c>
      <c r="I7" s="536">
        <f t="shared" si="2"/>
        <v>41431.567653953149</v>
      </c>
      <c r="J7" s="536">
        <f t="shared" si="2"/>
        <v>45200.499253898743</v>
      </c>
      <c r="K7" s="536">
        <f t="shared" si="2"/>
        <v>47653.151906848376</v>
      </c>
      <c r="L7" s="536">
        <f t="shared" si="2"/>
        <v>50238.889484418658</v>
      </c>
      <c r="M7" s="536">
        <f t="shared" si="2"/>
        <v>52964.933391214116</v>
      </c>
      <c r="N7" s="536"/>
      <c r="O7" s="536">
        <f t="shared" ref="O7:O11" si="3">H7-F7</f>
        <v>5581.1246398485382</v>
      </c>
      <c r="U7" s="531"/>
      <c r="V7" s="531"/>
      <c r="W7" s="531"/>
      <c r="X7" s="531"/>
      <c r="Y7" s="531"/>
    </row>
    <row r="8" spans="2:25" s="531" customFormat="1" ht="13">
      <c r="B8" s="532" t="s">
        <v>1178</v>
      </c>
      <c r="C8" s="540">
        <f t="shared" ref="C8:O8" si="4">SUM(C9:C11)</f>
        <v>210906.14037000001</v>
      </c>
      <c r="D8" s="540">
        <f t="shared" si="4"/>
        <v>224561.951</v>
      </c>
      <c r="E8" s="540">
        <f t="shared" si="4"/>
        <v>243914.23499999999</v>
      </c>
      <c r="F8" s="540">
        <f t="shared" si="4"/>
        <v>184844.114</v>
      </c>
      <c r="G8" s="541">
        <f t="shared" si="4"/>
        <v>207160.924</v>
      </c>
      <c r="H8" s="540">
        <f t="shared" si="4"/>
        <v>230523.02869632351</v>
      </c>
      <c r="I8" s="540">
        <f t="shared" si="4"/>
        <v>259924.57085004461</v>
      </c>
      <c r="J8" s="540">
        <f t="shared" si="4"/>
        <v>283394.18485292041</v>
      </c>
      <c r="K8" s="540">
        <f t="shared" si="4"/>
        <v>299546.81554475607</v>
      </c>
      <c r="L8" s="540">
        <f t="shared" si="4"/>
        <v>315111.63372323191</v>
      </c>
      <c r="M8" s="540">
        <f t="shared" si="4"/>
        <v>331436.27004878176</v>
      </c>
      <c r="O8" s="540">
        <f t="shared" si="4"/>
        <v>45678.914696323525</v>
      </c>
    </row>
    <row r="9" spans="2:25" s="478" customFormat="1">
      <c r="B9" s="530" t="s">
        <v>1177</v>
      </c>
      <c r="C9" s="536">
        <v>151623.50655300001</v>
      </c>
      <c r="D9" s="536">
        <f>BS!C55/1000000</f>
        <v>163636.701</v>
      </c>
      <c r="E9" s="536">
        <f>BS!D55/1000000</f>
        <v>168737.79699999999</v>
      </c>
      <c r="F9" s="536">
        <f>BS!E55/1000000</f>
        <v>119735.96799999999</v>
      </c>
      <c r="G9" s="539">
        <f>BS!F55/1000000</f>
        <v>129705.443</v>
      </c>
      <c r="H9" s="536">
        <f t="shared" ref="H9:M9" si="5">H22</f>
        <v>150879.65042476458</v>
      </c>
      <c r="I9" s="536">
        <f t="shared" si="5"/>
        <v>180820.34874766823</v>
      </c>
      <c r="J9" s="536">
        <f t="shared" si="5"/>
        <v>196491.69309572311</v>
      </c>
      <c r="K9" s="536">
        <f t="shared" si="5"/>
        <v>206334.01160319961</v>
      </c>
      <c r="L9" s="536">
        <f t="shared" si="5"/>
        <v>216665.91530106397</v>
      </c>
      <c r="M9" s="536">
        <f t="shared" si="5"/>
        <v>227511.55659102552</v>
      </c>
      <c r="N9" s="536"/>
      <c r="O9" s="536">
        <f t="shared" si="3"/>
        <v>31143.682424764585</v>
      </c>
      <c r="U9" s="531"/>
      <c r="V9" s="531"/>
      <c r="W9" s="531"/>
      <c r="X9" s="531"/>
      <c r="Y9" s="531"/>
    </row>
    <row r="10" spans="2:25" s="478" customFormat="1">
      <c r="B10" s="530" t="s">
        <v>1176</v>
      </c>
      <c r="C10" s="536">
        <v>50534.189218</v>
      </c>
      <c r="D10" s="536">
        <f>BS!C56/1000000</f>
        <v>53803.455999999998</v>
      </c>
      <c r="E10" s="536">
        <f>BS!D56/1000000</f>
        <v>56522.368999999999</v>
      </c>
      <c r="F10" s="536">
        <f>BS!E56/1000000</f>
        <v>48268.192000000003</v>
      </c>
      <c r="G10" s="539">
        <f>BS!F56/1000000</f>
        <v>60615.527000000002</v>
      </c>
      <c r="H10" s="536">
        <f t="shared" ref="H10:M10" si="6">H56</f>
        <v>58361.389670364442</v>
      </c>
      <c r="I10" s="536">
        <f t="shared" si="6"/>
        <v>56536.04476420609</v>
      </c>
      <c r="J10" s="536">
        <f t="shared" si="6"/>
        <v>62281.340767790061</v>
      </c>
      <c r="K10" s="536">
        <f t="shared" si="6"/>
        <v>67255.669228747443</v>
      </c>
      <c r="L10" s="536">
        <f t="shared" si="6"/>
        <v>71080.107334823086</v>
      </c>
      <c r="M10" s="536">
        <f t="shared" si="6"/>
        <v>75074.19977550974</v>
      </c>
      <c r="N10" s="536"/>
      <c r="O10" s="536">
        <f t="shared" si="3"/>
        <v>10093.19767036444</v>
      </c>
      <c r="U10" s="531"/>
      <c r="V10" s="531"/>
      <c r="W10" s="531"/>
      <c r="X10" s="531"/>
      <c r="Y10" s="531"/>
    </row>
    <row r="11" spans="2:25" s="478" customFormat="1">
      <c r="B11" s="530" t="s">
        <v>1175</v>
      </c>
      <c r="C11" s="536">
        <v>8748.4445990000004</v>
      </c>
      <c r="D11" s="536">
        <f>BS!C69/1000000</f>
        <v>7121.7939999999999</v>
      </c>
      <c r="E11" s="536">
        <f>BS!D69/1000000</f>
        <v>18654.069</v>
      </c>
      <c r="F11" s="536">
        <f>BS!E69/1000000</f>
        <v>16839.954000000002</v>
      </c>
      <c r="G11" s="558">
        <f>F11</f>
        <v>16839.954000000002</v>
      </c>
      <c r="H11" s="536">
        <f t="shared" ref="H11:M11" si="7">H41</f>
        <v>21281.988601194505</v>
      </c>
      <c r="I11" s="536">
        <f t="shared" si="7"/>
        <v>22568.177338170288</v>
      </c>
      <c r="J11" s="536">
        <f t="shared" si="7"/>
        <v>24621.150989407219</v>
      </c>
      <c r="K11" s="536">
        <f t="shared" si="7"/>
        <v>25957.134712809002</v>
      </c>
      <c r="L11" s="536">
        <f t="shared" si="7"/>
        <v>27365.611087344856</v>
      </c>
      <c r="M11" s="536">
        <f t="shared" si="7"/>
        <v>28850.513682246507</v>
      </c>
      <c r="N11" s="536"/>
      <c r="O11" s="536">
        <f t="shared" si="3"/>
        <v>4442.0346011945039</v>
      </c>
      <c r="U11" s="531"/>
      <c r="V11" s="531"/>
      <c r="W11" s="531"/>
      <c r="X11" s="531"/>
      <c r="Y11" s="531"/>
    </row>
    <row r="12" spans="2:25">
      <c r="B12" s="529" t="s">
        <v>1174</v>
      </c>
      <c r="C12" s="542">
        <f t="shared" ref="C12:M12" si="8">+C5-C8</f>
        <v>-38695.865863000014</v>
      </c>
      <c r="D12" s="542">
        <f t="shared" si="8"/>
        <v>-44035.754290000012</v>
      </c>
      <c r="E12" s="542">
        <f t="shared" si="8"/>
        <v>-42163.224574999971</v>
      </c>
      <c r="F12" s="542">
        <f t="shared" si="8"/>
        <v>50664.10491200001</v>
      </c>
      <c r="G12" s="543">
        <f t="shared" si="8"/>
        <v>141255.91699200001</v>
      </c>
      <c r="H12" s="542">
        <f t="shared" si="8"/>
        <v>21161.143182716158</v>
      </c>
      <c r="I12" s="542">
        <f t="shared" si="8"/>
        <v>36312.126675430045</v>
      </c>
      <c r="J12" s="542">
        <f t="shared" si="8"/>
        <v>38694.904234408343</v>
      </c>
      <c r="K12" s="542">
        <f t="shared" si="8"/>
        <v>38864.345555143838</v>
      </c>
      <c r="L12" s="542">
        <f t="shared" si="8"/>
        <v>40444.589066748274</v>
      </c>
      <c r="M12" s="542">
        <f t="shared" si="8"/>
        <v>42129.260155493452</v>
      </c>
      <c r="U12" s="531"/>
      <c r="V12" s="531"/>
      <c r="W12" s="531"/>
      <c r="X12" s="531"/>
      <c r="Y12" s="531"/>
    </row>
    <row r="13" spans="2:25" ht="15" thickBot="1">
      <c r="B13" s="528" t="s">
        <v>1173</v>
      </c>
      <c r="C13" s="544"/>
      <c r="D13" s="544">
        <f t="shared" ref="D13:M13" si="9">+D12-C12</f>
        <v>-5339.888426999998</v>
      </c>
      <c r="E13" s="544">
        <f t="shared" si="9"/>
        <v>1872.5297150000406</v>
      </c>
      <c r="F13" s="544">
        <f t="shared" si="9"/>
        <v>92827.329486999981</v>
      </c>
      <c r="G13" s="545">
        <f t="shared" si="9"/>
        <v>90591.812080000003</v>
      </c>
      <c r="H13" s="544">
        <f t="shared" si="9"/>
        <v>-120094.77380928386</v>
      </c>
      <c r="I13" s="544">
        <f t="shared" si="9"/>
        <v>15150.983492713887</v>
      </c>
      <c r="J13" s="544">
        <f t="shared" si="9"/>
        <v>2382.7775589782977</v>
      </c>
      <c r="K13" s="544">
        <f t="shared" si="9"/>
        <v>169.44132073549554</v>
      </c>
      <c r="L13" s="544">
        <f t="shared" si="9"/>
        <v>1580.2435116044362</v>
      </c>
      <c r="M13" s="544">
        <f t="shared" si="9"/>
        <v>1684.6710887451773</v>
      </c>
      <c r="U13" s="531"/>
      <c r="V13" s="531"/>
      <c r="W13" s="531"/>
      <c r="X13" s="531"/>
      <c r="Y13" s="531"/>
    </row>
    <row r="14" spans="2:25">
      <c r="B14" s="477" t="s">
        <v>1182</v>
      </c>
    </row>
    <row r="17" spans="2:22" s="479" customFormat="1" ht="13.5">
      <c r="B17" s="482" t="s">
        <v>1172</v>
      </c>
      <c r="J17" s="527"/>
      <c r="N17" s="480"/>
      <c r="O17" s="480"/>
      <c r="P17" s="480"/>
      <c r="Q17" s="480"/>
      <c r="R17" s="480"/>
      <c r="S17" s="480"/>
      <c r="T17" s="480"/>
      <c r="U17" s="480"/>
      <c r="V17" s="480"/>
    </row>
    <row r="18" spans="2:22" s="479" customFormat="1" ht="12">
      <c r="N18" s="480"/>
      <c r="O18" s="480"/>
      <c r="P18" s="480"/>
      <c r="Q18" s="480"/>
      <c r="R18" s="480"/>
      <c r="S18" s="480"/>
      <c r="T18" s="480"/>
      <c r="U18" s="480"/>
      <c r="V18" s="480"/>
    </row>
    <row r="19" spans="2:22" s="479" customFormat="1" ht="29.5" thickBot="1">
      <c r="B19" s="499" t="s">
        <v>857</v>
      </c>
      <c r="C19" s="497"/>
      <c r="D19" s="497" t="s">
        <v>868</v>
      </c>
      <c r="E19" s="497" t="s">
        <v>867</v>
      </c>
      <c r="F19" s="497" t="s">
        <v>866</v>
      </c>
      <c r="G19" s="498" t="s">
        <v>1154</v>
      </c>
      <c r="H19" s="497" t="s">
        <v>865</v>
      </c>
      <c r="I19" s="497" t="s">
        <v>864</v>
      </c>
      <c r="J19" s="497" t="s">
        <v>863</v>
      </c>
      <c r="K19" s="497" t="s">
        <v>862</v>
      </c>
      <c r="L19" s="497" t="s">
        <v>861</v>
      </c>
      <c r="M19" s="497" t="s">
        <v>860</v>
      </c>
      <c r="N19" s="480"/>
      <c r="O19" s="480"/>
      <c r="P19" s="480"/>
      <c r="Q19" s="480"/>
      <c r="R19" s="480"/>
      <c r="S19" s="480"/>
      <c r="T19" s="480"/>
      <c r="U19" s="480"/>
      <c r="V19" s="480"/>
    </row>
    <row r="20" spans="2:22" s="479" customFormat="1">
      <c r="B20" s="496" t="s">
        <v>1171</v>
      </c>
      <c r="C20" s="495"/>
      <c r="D20" s="546">
        <f>IS!C5/1000000+731594.251</f>
        <v>1844686.8309309999</v>
      </c>
      <c r="E20" s="546">
        <f>IS!D5/1000000</f>
        <v>2005984.3105349999</v>
      </c>
      <c r="F20" s="546">
        <f>IS!E5/1000000</f>
        <v>2286620.4427060001</v>
      </c>
      <c r="G20" s="547">
        <f>IS!F5/1000000</f>
        <v>1195964.884535</v>
      </c>
      <c r="H20" s="550">
        <f>매출원가추정!H6</f>
        <v>1195964.884535</v>
      </c>
      <c r="I20" s="550">
        <f>매출원가추정!K6</f>
        <v>2866586.5397059345</v>
      </c>
      <c r="J20" s="550">
        <f>매출원가추정!L6</f>
        <v>3115027.9627999715</v>
      </c>
      <c r="K20" s="550">
        <f>매출원가추정!M6</f>
        <v>3271060.4997817618</v>
      </c>
      <c r="L20" s="550">
        <f>매출원가추정!N6</f>
        <v>3434854.5432893671</v>
      </c>
      <c r="M20" s="550">
        <f>매출원가추정!O6</f>
        <v>3606792.9868971063</v>
      </c>
      <c r="N20" s="480"/>
      <c r="O20" s="480"/>
      <c r="P20" s="480"/>
      <c r="Q20" s="480"/>
      <c r="R20" s="480"/>
      <c r="S20" s="480"/>
      <c r="T20" s="480"/>
      <c r="U20" s="480"/>
      <c r="V20" s="480"/>
    </row>
    <row r="21" spans="2:22" s="479" customFormat="1">
      <c r="B21" s="521" t="s">
        <v>1170</v>
      </c>
      <c r="C21" s="552">
        <f>C6</f>
        <v>149481.935581</v>
      </c>
      <c r="D21" s="552">
        <f>D6</f>
        <v>158782.39270999999</v>
      </c>
      <c r="E21" s="552">
        <f>E6</f>
        <v>170078.86142500001</v>
      </c>
      <c r="F21" s="552">
        <f>F6</f>
        <v>202019.01291200001</v>
      </c>
      <c r="G21" s="556">
        <f>G6</f>
        <v>314577.716992</v>
      </c>
      <c r="H21" s="552">
        <f>H20*2/H23</f>
        <v>212613.84123919113</v>
      </c>
      <c r="I21" s="552">
        <f>I20/I23</f>
        <v>254805.12987152152</v>
      </c>
      <c r="J21" s="552">
        <f>J20/J23</f>
        <v>276888.58983343001</v>
      </c>
      <c r="K21" s="552">
        <f>K20/K23</f>
        <v>290758.00919305155</v>
      </c>
      <c r="L21" s="552">
        <f>L20/L23</f>
        <v>305317.33330556151</v>
      </c>
      <c r="M21" s="552">
        <f>M20/M23</f>
        <v>320600.5968130611</v>
      </c>
      <c r="N21" s="480"/>
      <c r="O21" s="480"/>
      <c r="P21" s="480"/>
      <c r="Q21" s="480"/>
      <c r="R21" s="480"/>
      <c r="S21" s="480"/>
      <c r="T21" s="480"/>
      <c r="U21" s="480"/>
      <c r="V21" s="480"/>
    </row>
    <row r="22" spans="2:22" s="479" customFormat="1">
      <c r="B22" s="520" t="s">
        <v>1169</v>
      </c>
      <c r="C22" s="553">
        <f>C9</f>
        <v>151623.50655300001</v>
      </c>
      <c r="D22" s="553">
        <f>D9</f>
        <v>163636.701</v>
      </c>
      <c r="E22" s="553">
        <f>E9</f>
        <v>168737.79699999999</v>
      </c>
      <c r="F22" s="553">
        <f>F9</f>
        <v>119735.96799999999</v>
      </c>
      <c r="G22" s="557">
        <f>G9</f>
        <v>129705.443</v>
      </c>
      <c r="H22" s="553">
        <f>H20*2/H25</f>
        <v>150879.65042476458</v>
      </c>
      <c r="I22" s="553">
        <f>I20/I25</f>
        <v>180820.34874766823</v>
      </c>
      <c r="J22" s="553">
        <f>J20/J25</f>
        <v>196491.69309572311</v>
      </c>
      <c r="K22" s="553">
        <f>K20/K25</f>
        <v>206334.01160319961</v>
      </c>
      <c r="L22" s="553">
        <f>L20/L25</f>
        <v>216665.91530106397</v>
      </c>
      <c r="M22" s="553">
        <f>M20/M25</f>
        <v>227511.55659102552</v>
      </c>
      <c r="N22" s="480"/>
      <c r="O22" s="480"/>
      <c r="P22" s="480"/>
      <c r="Q22" s="480"/>
      <c r="R22" s="480"/>
      <c r="S22" s="480"/>
      <c r="T22" s="480"/>
      <c r="U22" s="480"/>
      <c r="V22" s="480"/>
    </row>
    <row r="23" spans="2:22" s="479" customFormat="1">
      <c r="B23" s="494" t="s">
        <v>1168</v>
      </c>
      <c r="C23" s="493"/>
      <c r="D23" s="510">
        <f>+D20/AVERAGE(C21:D21)</f>
        <v>11.968214688724053</v>
      </c>
      <c r="E23" s="510">
        <f>+E20/AVERAGE(D21:E21)</f>
        <v>12.199578304299287</v>
      </c>
      <c r="F23" s="510">
        <f>+F20/AVERAGE(E21:F21)</f>
        <v>12.290424645828873</v>
      </c>
      <c r="G23" s="511">
        <f>+G20*2/AVERAGE(F21:G21)</f>
        <v>9.2603364698591726</v>
      </c>
      <c r="H23" s="510">
        <f>D28</f>
        <v>11.250113139995776</v>
      </c>
      <c r="I23" s="510">
        <f>H23</f>
        <v>11.250113139995776</v>
      </c>
      <c r="J23" s="510">
        <f t="shared" ref="J23:M23" si="10">I23</f>
        <v>11.250113139995776</v>
      </c>
      <c r="K23" s="510">
        <f t="shared" si="10"/>
        <v>11.250113139995776</v>
      </c>
      <c r="L23" s="510">
        <f t="shared" si="10"/>
        <v>11.250113139995776</v>
      </c>
      <c r="M23" s="510">
        <f t="shared" si="10"/>
        <v>11.250113139995776</v>
      </c>
      <c r="N23" s="480"/>
      <c r="O23" s="480"/>
      <c r="P23" s="480"/>
      <c r="Q23" s="480"/>
      <c r="R23" s="480"/>
      <c r="S23" s="480"/>
      <c r="T23" s="480"/>
      <c r="U23" s="480"/>
      <c r="V23" s="480"/>
    </row>
    <row r="24" spans="2:22" s="479" customFormat="1">
      <c r="B24" s="519" t="s">
        <v>1158</v>
      </c>
      <c r="C24" s="518"/>
      <c r="D24" s="516">
        <f t="shared" ref="D24:M24" si="11">365/D23</f>
        <v>30.497447572016533</v>
      </c>
      <c r="E24" s="516">
        <f t="shared" si="11"/>
        <v>29.919066946057416</v>
      </c>
      <c r="F24" s="516">
        <f t="shared" si="11"/>
        <v>29.697916102831627</v>
      </c>
      <c r="G24" s="517">
        <f t="shared" si="11"/>
        <v>39.415414460156306</v>
      </c>
      <c r="H24" s="516">
        <f t="shared" si="11"/>
        <v>32.444118157565221</v>
      </c>
      <c r="I24" s="516">
        <f t="shared" si="11"/>
        <v>32.444118157565221</v>
      </c>
      <c r="J24" s="516">
        <f t="shared" si="11"/>
        <v>32.444118157565221</v>
      </c>
      <c r="K24" s="516">
        <f t="shared" si="11"/>
        <v>32.444118157565221</v>
      </c>
      <c r="L24" s="516">
        <f t="shared" si="11"/>
        <v>32.444118157565221</v>
      </c>
      <c r="M24" s="516">
        <f t="shared" si="11"/>
        <v>32.444118157565221</v>
      </c>
      <c r="N24" s="480"/>
      <c r="O24" s="480"/>
      <c r="P24" s="480"/>
      <c r="Q24" s="480"/>
      <c r="R24" s="480"/>
      <c r="S24" s="480"/>
      <c r="T24" s="480"/>
      <c r="U24" s="480"/>
      <c r="V24" s="480"/>
    </row>
    <row r="25" spans="2:22" s="479" customFormat="1">
      <c r="B25" s="492" t="s">
        <v>1167</v>
      </c>
      <c r="C25" s="489"/>
      <c r="D25" s="489">
        <f t="shared" ref="D25" si="12">+D20/AVERAGE(C22:D22)</f>
        <v>11.702630314489532</v>
      </c>
      <c r="E25" s="489">
        <f>+E20/AVERAGE(D22:E22)</f>
        <v>12.070627094471007</v>
      </c>
      <c r="F25" s="489">
        <f t="shared" ref="F25" si="13">+F20/AVERAGE(E22:F22)</f>
        <v>15.853229791665804</v>
      </c>
      <c r="G25" s="490">
        <f>+G20*2/AVERAGE(F22:G22)</f>
        <v>19.178289278278658</v>
      </c>
      <c r="H25" s="489">
        <f>+D29</f>
        <v>15.853229791665804</v>
      </c>
      <c r="I25" s="489">
        <f>+H25</f>
        <v>15.853229791665804</v>
      </c>
      <c r="J25" s="489">
        <f>+I25</f>
        <v>15.853229791665804</v>
      </c>
      <c r="K25" s="489">
        <f>+J25</f>
        <v>15.853229791665804</v>
      </c>
      <c r="L25" s="489">
        <f>+K25</f>
        <v>15.853229791665804</v>
      </c>
      <c r="M25" s="489">
        <f>+L25</f>
        <v>15.853229791665804</v>
      </c>
      <c r="N25" s="480"/>
      <c r="O25" s="480"/>
      <c r="P25" s="480"/>
      <c r="Q25" s="480"/>
      <c r="R25" s="480"/>
      <c r="S25" s="480"/>
      <c r="T25" s="480"/>
      <c r="U25" s="480"/>
      <c r="V25" s="480"/>
    </row>
    <row r="26" spans="2:22" s="479" customFormat="1" ht="15" thickBot="1">
      <c r="B26" s="488" t="s">
        <v>1158</v>
      </c>
      <c r="C26" s="487"/>
      <c r="D26" s="485">
        <f t="shared" ref="D26:M26" si="14">365/D25</f>
        <v>31.189569369552565</v>
      </c>
      <c r="E26" s="485">
        <f t="shared" si="14"/>
        <v>30.238694074741943</v>
      </c>
      <c r="F26" s="485">
        <f t="shared" si="14"/>
        <v>23.023699573943226</v>
      </c>
      <c r="G26" s="486">
        <f t="shared" si="14"/>
        <v>19.031937348728974</v>
      </c>
      <c r="H26" s="485">
        <f t="shared" si="14"/>
        <v>23.023699573943226</v>
      </c>
      <c r="I26" s="485">
        <f t="shared" si="14"/>
        <v>23.023699573943226</v>
      </c>
      <c r="J26" s="485">
        <f t="shared" si="14"/>
        <v>23.023699573943226</v>
      </c>
      <c r="K26" s="485">
        <f t="shared" si="14"/>
        <v>23.023699573943226</v>
      </c>
      <c r="L26" s="485">
        <f t="shared" si="14"/>
        <v>23.023699573943226</v>
      </c>
      <c r="M26" s="485">
        <f t="shared" si="14"/>
        <v>23.023699573943226</v>
      </c>
      <c r="N26" s="480"/>
      <c r="O26" s="480"/>
      <c r="P26" s="480"/>
      <c r="Q26" s="480"/>
      <c r="R26" s="480"/>
      <c r="S26" s="480"/>
      <c r="T26" s="480"/>
      <c r="U26" s="480"/>
      <c r="V26" s="480"/>
    </row>
    <row r="27" spans="2:22" s="479" customFormat="1"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80"/>
      <c r="O27" s="480"/>
      <c r="P27" s="480"/>
      <c r="Q27" s="480"/>
      <c r="R27" s="480"/>
      <c r="S27" s="480"/>
      <c r="T27" s="480"/>
      <c r="U27" s="480"/>
      <c r="V27" s="480"/>
    </row>
    <row r="28" spans="2:22" s="479" customFormat="1">
      <c r="B28" s="509" t="s">
        <v>1166</v>
      </c>
      <c r="C28" s="508"/>
      <c r="D28" s="507">
        <f>AVERAGE(E23:G23)</f>
        <v>11.250113139995776</v>
      </c>
      <c r="F28" s="526"/>
      <c r="N28" s="480"/>
      <c r="O28" s="480"/>
      <c r="P28" s="480"/>
      <c r="Q28" s="480"/>
      <c r="R28" s="480"/>
      <c r="S28" s="480"/>
      <c r="T28" s="480"/>
      <c r="U28" s="480"/>
      <c r="V28" s="480"/>
    </row>
    <row r="29" spans="2:22" s="479" customFormat="1" ht="12">
      <c r="B29" s="506" t="s">
        <v>1165</v>
      </c>
      <c r="C29" s="505"/>
      <c r="D29" s="504">
        <f>F25</f>
        <v>15.853229791665804</v>
      </c>
      <c r="N29" s="480"/>
      <c r="O29" s="480"/>
      <c r="P29" s="480"/>
      <c r="Q29" s="480"/>
      <c r="R29" s="480"/>
      <c r="S29" s="480"/>
      <c r="T29" s="480"/>
      <c r="U29" s="480"/>
      <c r="V29" s="480"/>
    </row>
    <row r="30" spans="2:22" s="479" customFormat="1">
      <c r="B30" s="525"/>
      <c r="E30" s="524"/>
      <c r="N30" s="480"/>
      <c r="O30" s="480"/>
      <c r="P30" s="480"/>
      <c r="Q30" s="480"/>
      <c r="R30" s="480"/>
      <c r="S30" s="480"/>
      <c r="T30" s="480"/>
      <c r="U30" s="480"/>
      <c r="V30" s="480"/>
    </row>
    <row r="31" spans="2:22" s="479" customFormat="1">
      <c r="B31" s="1070" t="s">
        <v>2132</v>
      </c>
      <c r="C31" s="1078"/>
      <c r="D31" s="1254" t="s">
        <v>2133</v>
      </c>
      <c r="E31" s="1255">
        <v>2012</v>
      </c>
      <c r="F31" s="1255">
        <v>2013</v>
      </c>
      <c r="G31" s="1255">
        <v>2014</v>
      </c>
      <c r="H31" s="1255">
        <v>2015</v>
      </c>
      <c r="I31" s="1256">
        <v>2016</v>
      </c>
      <c r="N31" s="480"/>
      <c r="O31" s="480"/>
      <c r="P31" s="480"/>
      <c r="Q31" s="480"/>
      <c r="R31" s="480"/>
      <c r="S31" s="480"/>
      <c r="T31" s="480"/>
      <c r="U31" s="480"/>
      <c r="V31" s="480"/>
    </row>
    <row r="32" spans="2:22" s="479" customFormat="1">
      <c r="B32" s="1071" t="s">
        <v>2131</v>
      </c>
      <c r="C32" s="1073">
        <f>G23</f>
        <v>9.2603364698591726</v>
      </c>
      <c r="D32" s="1080">
        <f>C32</f>
        <v>9.2603364698591726</v>
      </c>
      <c r="E32" s="1076">
        <f>D32*(1+$C$34)</f>
        <v>9.7776896679513943</v>
      </c>
      <c r="F32" s="1076">
        <f t="shared" ref="F32:I32" si="15">E32*(1+$C$34)</f>
        <v>10.3239461712796</v>
      </c>
      <c r="G32" s="1076">
        <f t="shared" si="15"/>
        <v>10.900720739463802</v>
      </c>
      <c r="H32" s="1076">
        <f t="shared" si="15"/>
        <v>11.509718344942554</v>
      </c>
      <c r="I32" s="1079">
        <f t="shared" si="15"/>
        <v>12.152739212950744</v>
      </c>
      <c r="N32" s="480"/>
      <c r="O32" s="480"/>
      <c r="P32" s="480"/>
      <c r="Q32" s="480"/>
      <c r="R32" s="480"/>
      <c r="S32" s="480"/>
      <c r="T32" s="480"/>
      <c r="U32" s="480"/>
      <c r="V32" s="480"/>
    </row>
    <row r="33" spans="2:22" s="479" customFormat="1">
      <c r="B33" s="1071" t="s">
        <v>2130</v>
      </c>
      <c r="C33" s="1073">
        <f>AVERAGE(D23:F23)</f>
        <v>12.152739212950737</v>
      </c>
      <c r="D33" s="1081" t="s">
        <v>2135</v>
      </c>
      <c r="E33" s="1074"/>
      <c r="F33" s="1072"/>
      <c r="G33" s="1072"/>
      <c r="H33" s="1072"/>
      <c r="I33" s="1073"/>
      <c r="N33" s="480"/>
      <c r="O33" s="480"/>
      <c r="P33" s="480"/>
      <c r="Q33" s="480"/>
      <c r="R33" s="480"/>
      <c r="S33" s="480"/>
      <c r="T33" s="480"/>
      <c r="U33" s="480"/>
      <c r="V33" s="480"/>
    </row>
    <row r="34" spans="2:22" s="479" customFormat="1">
      <c r="B34" s="1075" t="s">
        <v>2134</v>
      </c>
      <c r="C34" s="1079">
        <f>(C33/C32)^(1/5)-1</f>
        <v>5.586764582217052E-2</v>
      </c>
      <c r="D34" s="1082" t="s">
        <v>2136</v>
      </c>
      <c r="E34" s="520"/>
      <c r="F34" s="520"/>
      <c r="G34" s="520"/>
      <c r="H34" s="520"/>
      <c r="I34" s="1077"/>
      <c r="N34" s="480"/>
      <c r="O34" s="480"/>
      <c r="P34" s="480"/>
      <c r="Q34" s="480"/>
      <c r="R34" s="480"/>
      <c r="S34" s="480"/>
      <c r="T34" s="480"/>
      <c r="U34" s="480"/>
      <c r="V34" s="480"/>
    </row>
    <row r="36" spans="2:22">
      <c r="B36" s="482" t="s">
        <v>1164</v>
      </c>
      <c r="D36" s="479"/>
      <c r="H36" s="500"/>
    </row>
    <row r="38" spans="2:22" ht="29.5" thickBot="1">
      <c r="B38" s="499" t="s">
        <v>857</v>
      </c>
      <c r="C38" s="497"/>
      <c r="D38" s="497" t="s">
        <v>868</v>
      </c>
      <c r="E38" s="497" t="s">
        <v>867</v>
      </c>
      <c r="F38" s="497" t="s">
        <v>866</v>
      </c>
      <c r="G38" s="498" t="s">
        <v>1154</v>
      </c>
      <c r="H38" s="497" t="s">
        <v>865</v>
      </c>
      <c r="I38" s="497" t="s">
        <v>864</v>
      </c>
      <c r="J38" s="497" t="s">
        <v>863</v>
      </c>
      <c r="K38" s="497" t="s">
        <v>862</v>
      </c>
      <c r="L38" s="497" t="s">
        <v>861</v>
      </c>
      <c r="M38" s="497" t="s">
        <v>860</v>
      </c>
    </row>
    <row r="39" spans="2:22">
      <c r="B39" s="523" t="s">
        <v>1163</v>
      </c>
      <c r="C39" s="522"/>
      <c r="D39" s="548">
        <f>IS!C4/1000000+959325.966</f>
        <v>2451302.1871400001</v>
      </c>
      <c r="E39" s="548">
        <f>IS!D4/1000000</f>
        <v>2663947.8663639999</v>
      </c>
      <c r="F39" s="548">
        <f>IS!E4/1000000</f>
        <v>3046678.6757970001</v>
      </c>
      <c r="G39" s="549">
        <f>IS!F4/1000000</f>
        <v>1606909.618359</v>
      </c>
      <c r="H39" s="551">
        <f>매출추정!J11</f>
        <v>1826768.9985385463</v>
      </c>
      <c r="I39" s="551">
        <f>매출추정!L11</f>
        <v>3874341.5840919763</v>
      </c>
      <c r="J39" s="551">
        <f>매출추정!M11</f>
        <v>4226781.2635950102</v>
      </c>
      <c r="K39" s="551">
        <f>매출추정!N11</f>
        <v>4456133.2940086992</v>
      </c>
      <c r="L39" s="551">
        <f>매출추정!O11</f>
        <v>4697930.3388611386</v>
      </c>
      <c r="M39" s="551">
        <f>매출추정!P11</f>
        <v>4952847.6848899331</v>
      </c>
    </row>
    <row r="40" spans="2:22">
      <c r="B40" s="494" t="s">
        <v>1162</v>
      </c>
      <c r="C40" s="554">
        <f>C7</f>
        <v>22728.338926</v>
      </c>
      <c r="D40" s="554">
        <f>D7</f>
        <v>21743.804</v>
      </c>
      <c r="E40" s="554">
        <f>E7</f>
        <v>31672.149000000001</v>
      </c>
      <c r="F40" s="554">
        <f>F7</f>
        <v>33489.205999999998</v>
      </c>
      <c r="G40" s="555">
        <f>G7</f>
        <v>33839.124000000003</v>
      </c>
      <c r="H40" s="554">
        <f>+H39*2/H42</f>
        <v>39070.330639848537</v>
      </c>
      <c r="I40" s="554">
        <f>+I39/I42</f>
        <v>41431.567653953149</v>
      </c>
      <c r="J40" s="554">
        <f>+J39/J42</f>
        <v>45200.499253898743</v>
      </c>
      <c r="K40" s="554">
        <f>+K39/K42</f>
        <v>47653.151906848376</v>
      </c>
      <c r="L40" s="554">
        <f>+L39/L42</f>
        <v>50238.889484418658</v>
      </c>
      <c r="M40" s="554">
        <f>+M39/M42</f>
        <v>52964.933391214116</v>
      </c>
    </row>
    <row r="41" spans="2:22">
      <c r="B41" s="494" t="s">
        <v>1161</v>
      </c>
      <c r="C41" s="554">
        <f t="shared" ref="C41" si="16">C11</f>
        <v>8748.4445990000004</v>
      </c>
      <c r="D41" s="554">
        <f t="shared" ref="D41:G41" si="17">D11</f>
        <v>7121.7939999999999</v>
      </c>
      <c r="E41" s="554">
        <f t="shared" si="17"/>
        <v>18654.069</v>
      </c>
      <c r="F41" s="554">
        <f t="shared" si="17"/>
        <v>16839.954000000002</v>
      </c>
      <c r="G41" s="555">
        <f t="shared" si="17"/>
        <v>16839.954000000002</v>
      </c>
      <c r="H41" s="554">
        <f>+H39*2/H44</f>
        <v>21281.988601194505</v>
      </c>
      <c r="I41" s="554">
        <f>+I39/I44</f>
        <v>22568.177338170288</v>
      </c>
      <c r="J41" s="554">
        <f>+J39/J44</f>
        <v>24621.150989407219</v>
      </c>
      <c r="K41" s="554">
        <f>+K39/K44</f>
        <v>25957.134712809002</v>
      </c>
      <c r="L41" s="554">
        <f>+L39/L44</f>
        <v>27365.611087344856</v>
      </c>
      <c r="M41" s="554">
        <f>+M39/M44</f>
        <v>28850.513682246507</v>
      </c>
    </row>
    <row r="42" spans="2:22">
      <c r="B42" s="492" t="s">
        <v>1160</v>
      </c>
      <c r="C42" s="491"/>
      <c r="D42" s="489">
        <f>+D$39/AVERAGE(C40:D40)</f>
        <v>110.23989517297946</v>
      </c>
      <c r="E42" s="489">
        <f>+E$39/AVERAGE(D40:E40)</f>
        <v>99.74353041549216</v>
      </c>
      <c r="F42" s="489">
        <f>+F$39/AVERAGE(E40:F40)</f>
        <v>93.511826934752975</v>
      </c>
      <c r="G42" s="490">
        <f>+G$39*2/AVERAGE(F40:G40)</f>
        <v>95.467071193300058</v>
      </c>
      <c r="H42" s="489">
        <f>D47</f>
        <v>93.511826934752975</v>
      </c>
      <c r="I42" s="489">
        <f>+H42</f>
        <v>93.511826934752975</v>
      </c>
      <c r="J42" s="489">
        <f>+I42</f>
        <v>93.511826934752975</v>
      </c>
      <c r="K42" s="489">
        <f>+J42</f>
        <v>93.511826934752975</v>
      </c>
      <c r="L42" s="489">
        <f>+K42</f>
        <v>93.511826934752975</v>
      </c>
      <c r="M42" s="489">
        <f>+L42</f>
        <v>93.511826934752975</v>
      </c>
    </row>
    <row r="43" spans="2:22" s="483" customFormat="1">
      <c r="B43" s="515" t="s">
        <v>1158</v>
      </c>
      <c r="C43" s="514"/>
      <c r="D43" s="512">
        <f t="shared" ref="D43:M43" si="18">365/D42</f>
        <v>3.3109610584015137</v>
      </c>
      <c r="E43" s="512">
        <f t="shared" si="18"/>
        <v>3.6593852100437405</v>
      </c>
      <c r="F43" s="512">
        <f t="shared" si="18"/>
        <v>3.9032495884683702</v>
      </c>
      <c r="G43" s="513">
        <f t="shared" si="18"/>
        <v>3.8233078216147889</v>
      </c>
      <c r="H43" s="512">
        <f t="shared" si="18"/>
        <v>3.9032495884683702</v>
      </c>
      <c r="I43" s="512">
        <f t="shared" si="18"/>
        <v>3.9032495884683702</v>
      </c>
      <c r="J43" s="512">
        <f t="shared" si="18"/>
        <v>3.9032495884683702</v>
      </c>
      <c r="K43" s="512">
        <f t="shared" si="18"/>
        <v>3.9032495884683702</v>
      </c>
      <c r="L43" s="512">
        <f t="shared" si="18"/>
        <v>3.9032495884683702</v>
      </c>
      <c r="M43" s="512">
        <f t="shared" si="18"/>
        <v>3.9032495884683702</v>
      </c>
      <c r="N43" s="484"/>
      <c r="O43" s="484"/>
      <c r="P43" s="484"/>
      <c r="Q43" s="484"/>
      <c r="R43" s="484"/>
      <c r="S43" s="484"/>
      <c r="T43" s="484"/>
      <c r="U43" s="484"/>
      <c r="V43" s="484"/>
    </row>
    <row r="44" spans="2:22">
      <c r="B44" s="494" t="s">
        <v>1159</v>
      </c>
      <c r="C44" s="493"/>
      <c r="D44" s="510">
        <f>+D$39/AVERAGE(C41:D41)</f>
        <v>308.91812644763377</v>
      </c>
      <c r="E44" s="510">
        <f>+E$39/AVERAGE(D41:E41)</f>
        <v>206.70096410459664</v>
      </c>
      <c r="F44" s="510">
        <f>+F$39/AVERAGE(E41:F41)</f>
        <v>171.67277295092754</v>
      </c>
      <c r="G44" s="511">
        <f>+G$39*2/AVERAGE(F41:G41)</f>
        <v>190.84489403700269</v>
      </c>
      <c r="H44" s="510">
        <f>D48</f>
        <v>171.67277295092754</v>
      </c>
      <c r="I44" s="510">
        <f>+H44</f>
        <v>171.67277295092754</v>
      </c>
      <c r="J44" s="510">
        <f>+I44</f>
        <v>171.67277295092754</v>
      </c>
      <c r="K44" s="510">
        <f>+J44</f>
        <v>171.67277295092754</v>
      </c>
      <c r="L44" s="510">
        <f>+K44</f>
        <v>171.67277295092754</v>
      </c>
      <c r="M44" s="510">
        <f>+L44</f>
        <v>171.67277295092754</v>
      </c>
    </row>
    <row r="45" spans="2:22" s="483" customFormat="1" ht="15" thickBot="1">
      <c r="B45" s="488" t="s">
        <v>1158</v>
      </c>
      <c r="C45" s="487"/>
      <c r="D45" s="485">
        <f t="shared" ref="D45:M45" si="19">365/D44</f>
        <v>1.1815428385419557</v>
      </c>
      <c r="E45" s="485">
        <f t="shared" si="19"/>
        <v>1.7658359823387155</v>
      </c>
      <c r="F45" s="485">
        <f t="shared" si="19"/>
        <v>2.1261379642556064</v>
      </c>
      <c r="G45" s="486">
        <f t="shared" si="19"/>
        <v>1.9125478931033417</v>
      </c>
      <c r="H45" s="485">
        <f t="shared" si="19"/>
        <v>2.1261379642556064</v>
      </c>
      <c r="I45" s="485">
        <f t="shared" si="19"/>
        <v>2.1261379642556064</v>
      </c>
      <c r="J45" s="485">
        <f t="shared" si="19"/>
        <v>2.1261379642556064</v>
      </c>
      <c r="K45" s="485">
        <f t="shared" si="19"/>
        <v>2.1261379642556064</v>
      </c>
      <c r="L45" s="485">
        <f t="shared" si="19"/>
        <v>2.1261379642556064</v>
      </c>
      <c r="M45" s="485">
        <f t="shared" si="19"/>
        <v>2.1261379642556064</v>
      </c>
      <c r="N45" s="484"/>
      <c r="O45" s="484"/>
      <c r="P45" s="484"/>
      <c r="Q45" s="484"/>
      <c r="R45" s="484"/>
      <c r="S45" s="484"/>
      <c r="T45" s="484"/>
      <c r="U45" s="484"/>
      <c r="V45" s="484"/>
    </row>
    <row r="46" spans="2:22">
      <c r="B46" s="479"/>
    </row>
    <row r="47" spans="2:22">
      <c r="B47" s="509" t="s">
        <v>1157</v>
      </c>
      <c r="C47" s="508"/>
      <c r="D47" s="507">
        <f>F42</f>
        <v>93.511826934752975</v>
      </c>
    </row>
    <row r="48" spans="2:22">
      <c r="B48" s="503" t="s">
        <v>1156</v>
      </c>
      <c r="C48" s="502"/>
      <c r="D48" s="501">
        <f>F44</f>
        <v>171.67277295092754</v>
      </c>
    </row>
    <row r="49" spans="2:22">
      <c r="B49" s="479"/>
    </row>
    <row r="50" spans="2:22">
      <c r="B50" s="479"/>
    </row>
    <row r="52" spans="2:22">
      <c r="B52" s="482" t="s">
        <v>1155</v>
      </c>
      <c r="D52" s="479"/>
      <c r="H52" s="500"/>
    </row>
    <row r="54" spans="2:22" ht="29.5" thickBot="1">
      <c r="B54" s="499" t="s">
        <v>857</v>
      </c>
      <c r="C54" s="497"/>
      <c r="D54" s="497" t="s">
        <v>868</v>
      </c>
      <c r="E54" s="497" t="s">
        <v>867</v>
      </c>
      <c r="F54" s="497" t="s">
        <v>866</v>
      </c>
      <c r="G54" s="498" t="s">
        <v>1154</v>
      </c>
      <c r="H54" s="497" t="s">
        <v>865</v>
      </c>
      <c r="I54" s="497" t="s">
        <v>864</v>
      </c>
      <c r="J54" s="497" t="s">
        <v>863</v>
      </c>
      <c r="K54" s="497" t="s">
        <v>862</v>
      </c>
      <c r="L54" s="497" t="s">
        <v>861</v>
      </c>
      <c r="M54" s="497" t="s">
        <v>860</v>
      </c>
    </row>
    <row r="55" spans="2:22">
      <c r="B55" s="496" t="s">
        <v>1153</v>
      </c>
      <c r="C55" s="495"/>
      <c r="D55" s="546">
        <f>IS!C7/1000000+214418.188</f>
        <v>544444.39609699999</v>
      </c>
      <c r="E55" s="546">
        <f>IS!D7/1000000</f>
        <v>474895.31185100001</v>
      </c>
      <c r="F55" s="546">
        <f>IS!E7/1000000</f>
        <v>545196.42374999996</v>
      </c>
      <c r="G55" s="547">
        <f>IS!F7/1000000</f>
        <v>282729.18149500003</v>
      </c>
      <c r="H55" s="550">
        <f>'R-SG&amp;A'!H31</f>
        <v>303638.23449101381</v>
      </c>
      <c r="I55" s="550">
        <f>'R-SG&amp;A'!I31</f>
        <v>588282.93549101381</v>
      </c>
      <c r="J55" s="550">
        <f>'R-SG&amp;A'!J31</f>
        <v>648065.32055791211</v>
      </c>
      <c r="K55" s="550">
        <f>'R-SG&amp;A'!K31</f>
        <v>699825.44211068831</v>
      </c>
      <c r="L55" s="550">
        <f>'R-SG&amp;A'!L31</f>
        <v>739620.43811773637</v>
      </c>
      <c r="M55" s="550">
        <f>'R-SG&amp;A'!M31</f>
        <v>781180.7636663185</v>
      </c>
    </row>
    <row r="56" spans="2:22">
      <c r="B56" s="494" t="s">
        <v>990</v>
      </c>
      <c r="C56" s="554">
        <f>C10</f>
        <v>50534.189218</v>
      </c>
      <c r="D56" s="554">
        <f>D10</f>
        <v>53803.455999999998</v>
      </c>
      <c r="E56" s="554">
        <f>E10</f>
        <v>56522.368999999999</v>
      </c>
      <c r="F56" s="554">
        <f>F10</f>
        <v>48268.192000000003</v>
      </c>
      <c r="G56" s="555">
        <f>G10</f>
        <v>60615.527000000002</v>
      </c>
      <c r="H56" s="554">
        <f>+H55*2/H57</f>
        <v>58361.389670364442</v>
      </c>
      <c r="I56" s="554">
        <f>+I55/I57</f>
        <v>56536.04476420609</v>
      </c>
      <c r="J56" s="554">
        <f>+J55/J57</f>
        <v>62281.340767790061</v>
      </c>
      <c r="K56" s="554">
        <f>+K55/K57</f>
        <v>67255.669228747443</v>
      </c>
      <c r="L56" s="554">
        <f>+L55/L57</f>
        <v>71080.107334823086</v>
      </c>
      <c r="M56" s="554">
        <f>+M55/M57</f>
        <v>75074.19977550974</v>
      </c>
    </row>
    <row r="57" spans="2:22">
      <c r="B57" s="492" t="s">
        <v>1152</v>
      </c>
      <c r="C57" s="491"/>
      <c r="D57" s="489">
        <f>+D$55/AVERAGE(C56:D56)</f>
        <v>10.436202483953974</v>
      </c>
      <c r="E57" s="489">
        <f>+E$55/AVERAGE(D56:E56)</f>
        <v>8.6089600843864069</v>
      </c>
      <c r="F57" s="489">
        <f>+F$55/AVERAGE(E56:F56)</f>
        <v>10.405449089064424</v>
      </c>
      <c r="G57" s="490">
        <f>+G$55*2/AVERAGE(F56:G56)</f>
        <v>10.386463066897999</v>
      </c>
      <c r="H57" s="489">
        <f>D60</f>
        <v>10.405449089064424</v>
      </c>
      <c r="I57" s="489">
        <f>+H57</f>
        <v>10.405449089064424</v>
      </c>
      <c r="J57" s="489">
        <f>+I57</f>
        <v>10.405449089064424</v>
      </c>
      <c r="K57" s="489">
        <f>+J57</f>
        <v>10.405449089064424</v>
      </c>
      <c r="L57" s="489">
        <f>+K57</f>
        <v>10.405449089064424</v>
      </c>
      <c r="M57" s="489">
        <f>+L57</f>
        <v>10.405449089064424</v>
      </c>
    </row>
    <row r="58" spans="2:22" s="483" customFormat="1">
      <c r="B58" s="515" t="s">
        <v>1151</v>
      </c>
      <c r="C58" s="514"/>
      <c r="D58" s="512">
        <f t="shared" ref="D58:M58" si="20">365/D57</f>
        <v>34.974407650790624</v>
      </c>
      <c r="E58" s="512">
        <f t="shared" si="20"/>
        <v>42.397687574598031</v>
      </c>
      <c r="F58" s="512">
        <f t="shared" si="20"/>
        <v>35.077774815466221</v>
      </c>
      <c r="G58" s="513">
        <f t="shared" si="20"/>
        <v>35.141895527772782</v>
      </c>
      <c r="H58" s="512">
        <f t="shared" si="20"/>
        <v>35.077774815466221</v>
      </c>
      <c r="I58" s="512">
        <f t="shared" si="20"/>
        <v>35.077774815466221</v>
      </c>
      <c r="J58" s="512">
        <f t="shared" si="20"/>
        <v>35.077774815466221</v>
      </c>
      <c r="K58" s="512">
        <f t="shared" si="20"/>
        <v>35.077774815466221</v>
      </c>
      <c r="L58" s="512">
        <f t="shared" si="20"/>
        <v>35.077774815466221</v>
      </c>
      <c r="M58" s="512">
        <f t="shared" si="20"/>
        <v>35.077774815466221</v>
      </c>
      <c r="N58" s="484"/>
      <c r="O58" s="484"/>
      <c r="P58" s="484"/>
      <c r="Q58" s="484"/>
      <c r="R58" s="484"/>
      <c r="S58" s="484"/>
      <c r="T58" s="484"/>
      <c r="U58" s="484"/>
      <c r="V58" s="484"/>
    </row>
    <row r="59" spans="2:22">
      <c r="B59" s="479"/>
    </row>
    <row r="60" spans="2:22">
      <c r="B60" s="506" t="s">
        <v>1150</v>
      </c>
      <c r="C60" s="505"/>
      <c r="D60" s="504">
        <f>F57</f>
        <v>10.405449089064424</v>
      </c>
    </row>
    <row r="61" spans="2:22">
      <c r="B61" s="479"/>
    </row>
    <row r="62" spans="2:22" s="479" customFormat="1" ht="12">
      <c r="N62" s="480"/>
      <c r="O62" s="480"/>
      <c r="P62" s="480"/>
      <c r="Q62" s="480"/>
      <c r="R62" s="480"/>
      <c r="S62" s="480"/>
      <c r="T62" s="480"/>
      <c r="U62" s="480"/>
      <c r="V62" s="480"/>
    </row>
    <row r="64" spans="2:22" s="479" customFormat="1" ht="13.5">
      <c r="B64" s="482" t="s">
        <v>1249</v>
      </c>
      <c r="D64" s="479" t="s">
        <v>1149</v>
      </c>
      <c r="E64" s="481"/>
      <c r="N64" s="480"/>
      <c r="O64" s="480"/>
      <c r="P64" s="480"/>
      <c r="Q64" s="480"/>
      <c r="R64" s="480"/>
      <c r="S64" s="480"/>
      <c r="T64" s="480"/>
      <c r="U64" s="480"/>
      <c r="V64" s="480"/>
    </row>
    <row r="65" spans="14:22" s="479" customFormat="1" ht="12">
      <c r="N65" s="480"/>
      <c r="O65" s="480"/>
      <c r="P65" s="480"/>
      <c r="Q65" s="480"/>
      <c r="R65" s="480"/>
      <c r="S65" s="480"/>
      <c r="T65" s="480"/>
      <c r="U65" s="480"/>
      <c r="V65" s="480"/>
    </row>
    <row r="66" spans="14:22" s="479" customFormat="1" ht="12">
      <c r="N66" s="480"/>
      <c r="O66" s="480"/>
      <c r="P66" s="480"/>
      <c r="Q66" s="480"/>
      <c r="R66" s="480"/>
      <c r="S66" s="480"/>
      <c r="T66" s="480"/>
      <c r="U66" s="480"/>
      <c r="V66" s="480"/>
    </row>
    <row r="67" spans="14:22" s="479" customFormat="1" ht="12">
      <c r="N67" s="480"/>
      <c r="O67" s="480"/>
      <c r="P67" s="480"/>
      <c r="Q67" s="480"/>
      <c r="R67" s="480"/>
      <c r="S67" s="480"/>
      <c r="T67" s="480"/>
      <c r="U67" s="480"/>
      <c r="V67" s="480"/>
    </row>
    <row r="68" spans="14:22" s="479" customFormat="1" ht="12">
      <c r="N68" s="480"/>
      <c r="O68" s="480"/>
      <c r="P68" s="480"/>
      <c r="Q68" s="480"/>
      <c r="R68" s="480"/>
      <c r="S68" s="480"/>
      <c r="T68" s="480"/>
      <c r="U68" s="480"/>
      <c r="V68" s="480"/>
    </row>
    <row r="69" spans="14:22" s="479" customFormat="1" ht="12">
      <c r="N69" s="480"/>
      <c r="O69" s="480"/>
      <c r="P69" s="480"/>
      <c r="Q69" s="480"/>
      <c r="R69" s="480"/>
      <c r="S69" s="480"/>
      <c r="T69" s="480"/>
      <c r="U69" s="480"/>
      <c r="V69" s="480"/>
    </row>
    <row r="70" spans="14:22" s="479" customFormat="1" ht="12">
      <c r="N70" s="480"/>
      <c r="O70" s="480"/>
      <c r="P70" s="480"/>
      <c r="Q70" s="480"/>
      <c r="R70" s="480"/>
      <c r="S70" s="480"/>
      <c r="T70" s="480"/>
      <c r="U70" s="480"/>
      <c r="V70" s="480"/>
    </row>
    <row r="71" spans="14:22" s="479" customFormat="1" ht="12">
      <c r="N71" s="480"/>
      <c r="O71" s="480"/>
      <c r="P71" s="480"/>
      <c r="Q71" s="480"/>
      <c r="R71" s="480"/>
      <c r="S71" s="480"/>
      <c r="T71" s="480"/>
      <c r="U71" s="480"/>
      <c r="V71" s="480"/>
    </row>
    <row r="72" spans="14:22" s="479" customFormat="1" ht="12">
      <c r="N72" s="480"/>
      <c r="O72" s="480"/>
      <c r="P72" s="480"/>
      <c r="Q72" s="480"/>
      <c r="R72" s="480"/>
      <c r="S72" s="480"/>
      <c r="T72" s="480"/>
      <c r="U72" s="480"/>
      <c r="V72" s="480"/>
    </row>
    <row r="73" spans="14:22" s="479" customFormat="1" ht="12">
      <c r="N73" s="480"/>
      <c r="O73" s="480"/>
      <c r="P73" s="480"/>
      <c r="Q73" s="480"/>
      <c r="R73" s="480"/>
      <c r="S73" s="480"/>
      <c r="T73" s="480"/>
      <c r="U73" s="480"/>
      <c r="V73" s="480"/>
    </row>
    <row r="74" spans="14:22" s="479" customFormat="1" ht="12">
      <c r="N74" s="480"/>
      <c r="O74" s="480"/>
      <c r="P74" s="480"/>
      <c r="Q74" s="480"/>
      <c r="R74" s="480"/>
      <c r="S74" s="480"/>
      <c r="T74" s="480"/>
      <c r="U74" s="480"/>
      <c r="V74" s="480"/>
    </row>
    <row r="75" spans="14:22" s="479" customFormat="1" ht="12">
      <c r="N75" s="480"/>
      <c r="O75" s="480"/>
      <c r="P75" s="480"/>
      <c r="Q75" s="480"/>
      <c r="R75" s="480"/>
      <c r="S75" s="480"/>
      <c r="T75" s="480"/>
      <c r="U75" s="480"/>
      <c r="V75" s="480"/>
    </row>
    <row r="76" spans="14:22" s="479" customFormat="1" ht="12">
      <c r="N76" s="480"/>
      <c r="O76" s="480"/>
      <c r="P76" s="480"/>
      <c r="Q76" s="480"/>
      <c r="R76" s="480"/>
      <c r="S76" s="480"/>
      <c r="T76" s="480"/>
      <c r="U76" s="480"/>
      <c r="V76" s="480"/>
    </row>
    <row r="77" spans="14:22" s="479" customFormat="1" ht="12">
      <c r="N77" s="480"/>
      <c r="O77" s="480"/>
      <c r="P77" s="480"/>
      <c r="Q77" s="480"/>
      <c r="R77" s="480"/>
      <c r="S77" s="480"/>
      <c r="T77" s="480"/>
      <c r="U77" s="480"/>
      <c r="V77" s="480"/>
    </row>
    <row r="78" spans="14:22" s="479" customFormat="1" ht="12">
      <c r="N78" s="480"/>
      <c r="O78" s="480"/>
      <c r="P78" s="480"/>
      <c r="Q78" s="480"/>
      <c r="R78" s="480"/>
      <c r="S78" s="480"/>
      <c r="T78" s="480"/>
      <c r="U78" s="480"/>
      <c r="V78" s="480"/>
    </row>
    <row r="79" spans="14:22" s="479" customFormat="1" ht="12">
      <c r="N79" s="480"/>
      <c r="O79" s="480"/>
      <c r="P79" s="480"/>
      <c r="Q79" s="480"/>
      <c r="R79" s="480"/>
      <c r="S79" s="480"/>
      <c r="T79" s="480"/>
      <c r="U79" s="480"/>
      <c r="V79" s="480"/>
    </row>
    <row r="80" spans="14:22" s="479" customFormat="1" ht="12">
      <c r="N80" s="480"/>
      <c r="O80" s="480"/>
      <c r="P80" s="480"/>
      <c r="Q80" s="480"/>
      <c r="R80" s="480"/>
      <c r="S80" s="480"/>
      <c r="T80" s="480"/>
      <c r="U80" s="480"/>
      <c r="V80" s="480"/>
    </row>
    <row r="81" spans="14:22" s="479" customFormat="1" ht="12">
      <c r="N81" s="480"/>
      <c r="O81" s="480"/>
      <c r="P81" s="480"/>
      <c r="Q81" s="480"/>
      <c r="R81" s="480"/>
      <c r="S81" s="480"/>
      <c r="T81" s="480"/>
      <c r="U81" s="480"/>
      <c r="V81" s="480"/>
    </row>
    <row r="82" spans="14:22" s="479" customFormat="1" ht="12">
      <c r="N82" s="480"/>
      <c r="O82" s="480"/>
      <c r="P82" s="480"/>
      <c r="Q82" s="480"/>
      <c r="R82" s="480"/>
      <c r="S82" s="480"/>
      <c r="T82" s="480"/>
      <c r="U82" s="480"/>
      <c r="V82" s="480"/>
    </row>
    <row r="83" spans="14:22" s="479" customFormat="1" ht="12">
      <c r="N83" s="480"/>
      <c r="O83" s="480"/>
      <c r="P83" s="480"/>
      <c r="Q83" s="480"/>
      <c r="R83" s="480"/>
      <c r="S83" s="480"/>
      <c r="T83" s="480"/>
      <c r="U83" s="480"/>
      <c r="V83" s="480"/>
    </row>
    <row r="84" spans="14:22" s="479" customFormat="1" ht="12">
      <c r="N84" s="480"/>
      <c r="O84" s="480"/>
      <c r="P84" s="480"/>
      <c r="Q84" s="480"/>
      <c r="R84" s="480"/>
      <c r="S84" s="480"/>
      <c r="T84" s="480"/>
      <c r="U84" s="480"/>
      <c r="V84" s="480"/>
    </row>
    <row r="85" spans="14:22" s="479" customFormat="1" ht="12">
      <c r="N85" s="480"/>
      <c r="O85" s="480"/>
      <c r="P85" s="480"/>
      <c r="Q85" s="480"/>
      <c r="R85" s="480"/>
      <c r="S85" s="480"/>
      <c r="T85" s="480"/>
      <c r="U85" s="480"/>
      <c r="V85" s="480"/>
    </row>
    <row r="86" spans="14:22" s="479" customFormat="1" ht="12">
      <c r="N86" s="480"/>
      <c r="O86" s="480"/>
      <c r="P86" s="480"/>
      <c r="Q86" s="480"/>
      <c r="R86" s="480"/>
      <c r="S86" s="480"/>
      <c r="T86" s="480"/>
      <c r="U86" s="480"/>
      <c r="V86" s="480"/>
    </row>
    <row r="87" spans="14:22" s="479" customFormat="1" ht="12">
      <c r="N87" s="480"/>
      <c r="O87" s="480"/>
      <c r="P87" s="480"/>
      <c r="Q87" s="480"/>
      <c r="R87" s="480"/>
      <c r="S87" s="480"/>
      <c r="T87" s="480"/>
      <c r="U87" s="480"/>
      <c r="V87" s="480"/>
    </row>
    <row r="88" spans="14:22" s="479" customFormat="1" ht="12">
      <c r="N88" s="480"/>
      <c r="O88" s="480"/>
      <c r="P88" s="480"/>
      <c r="Q88" s="480"/>
      <c r="R88" s="480"/>
      <c r="S88" s="480"/>
      <c r="T88" s="480"/>
      <c r="U88" s="480"/>
      <c r="V88" s="480"/>
    </row>
    <row r="89" spans="14:22" s="479" customFormat="1" ht="12">
      <c r="N89" s="480"/>
      <c r="O89" s="480"/>
      <c r="P89" s="480"/>
      <c r="Q89" s="480"/>
      <c r="R89" s="480"/>
      <c r="S89" s="480"/>
      <c r="T89" s="480"/>
      <c r="U89" s="480"/>
      <c r="V89" s="480"/>
    </row>
    <row r="90" spans="14:22" s="479" customFormat="1" ht="12">
      <c r="N90" s="480"/>
      <c r="O90" s="480"/>
      <c r="P90" s="480"/>
      <c r="Q90" s="480"/>
      <c r="R90" s="480"/>
      <c r="S90" s="480"/>
      <c r="T90" s="480"/>
      <c r="U90" s="480"/>
      <c r="V90" s="480"/>
    </row>
    <row r="91" spans="14:22" s="479" customFormat="1" ht="12">
      <c r="N91" s="480"/>
      <c r="O91" s="480"/>
      <c r="P91" s="480"/>
      <c r="Q91" s="480"/>
      <c r="R91" s="480"/>
      <c r="S91" s="480"/>
      <c r="T91" s="480"/>
      <c r="U91" s="480"/>
      <c r="V91" s="480"/>
    </row>
    <row r="92" spans="14:22" s="479" customFormat="1" ht="12">
      <c r="N92" s="480"/>
      <c r="O92" s="480"/>
      <c r="P92" s="480"/>
      <c r="Q92" s="480"/>
      <c r="R92" s="480"/>
      <c r="S92" s="480"/>
      <c r="T92" s="480"/>
      <c r="U92" s="480"/>
      <c r="V92" s="480"/>
    </row>
    <row r="93" spans="14:22" s="479" customFormat="1" ht="12">
      <c r="N93" s="480"/>
      <c r="O93" s="480"/>
      <c r="P93" s="480"/>
      <c r="Q93" s="480"/>
      <c r="R93" s="480"/>
      <c r="S93" s="480"/>
      <c r="T93" s="480"/>
      <c r="U93" s="480"/>
      <c r="V93" s="480"/>
    </row>
    <row r="94" spans="14:22" s="479" customFormat="1" ht="12">
      <c r="N94" s="480"/>
      <c r="O94" s="480"/>
      <c r="P94" s="480"/>
      <c r="Q94" s="480"/>
      <c r="R94" s="480"/>
      <c r="S94" s="480"/>
      <c r="T94" s="480"/>
      <c r="U94" s="480"/>
      <c r="V94" s="480"/>
    </row>
    <row r="95" spans="14:22" s="479" customFormat="1" ht="12">
      <c r="N95" s="480"/>
      <c r="O95" s="480"/>
      <c r="P95" s="480"/>
      <c r="Q95" s="480"/>
      <c r="R95" s="480"/>
      <c r="S95" s="480"/>
      <c r="T95" s="480"/>
      <c r="U95" s="480"/>
      <c r="V95" s="480"/>
    </row>
    <row r="96" spans="14:22" s="479" customFormat="1" ht="12">
      <c r="N96" s="480"/>
      <c r="O96" s="480"/>
      <c r="P96" s="480"/>
      <c r="Q96" s="480"/>
      <c r="R96" s="480"/>
      <c r="S96" s="480"/>
      <c r="T96" s="480"/>
      <c r="U96" s="480"/>
      <c r="V96" s="480"/>
    </row>
    <row r="97" spans="14:22" s="479" customFormat="1" ht="12">
      <c r="N97" s="480"/>
      <c r="O97" s="480"/>
      <c r="P97" s="480"/>
      <c r="Q97" s="480"/>
      <c r="R97" s="480"/>
      <c r="S97" s="480"/>
      <c r="T97" s="480"/>
      <c r="U97" s="480"/>
      <c r="V97" s="480"/>
    </row>
    <row r="98" spans="14:22" s="479" customFormat="1" ht="12">
      <c r="N98" s="480"/>
      <c r="O98" s="480"/>
      <c r="P98" s="480"/>
      <c r="Q98" s="480"/>
      <c r="R98" s="480"/>
      <c r="S98" s="480"/>
      <c r="T98" s="480"/>
      <c r="U98" s="480"/>
      <c r="V98" s="480"/>
    </row>
    <row r="99" spans="14:22" s="479" customFormat="1" ht="12">
      <c r="N99" s="480"/>
      <c r="O99" s="480"/>
      <c r="P99" s="480"/>
      <c r="Q99" s="480"/>
      <c r="R99" s="480"/>
      <c r="S99" s="480"/>
      <c r="T99" s="480"/>
      <c r="U99" s="480"/>
      <c r="V99" s="480"/>
    </row>
    <row r="100" spans="14:22" s="479" customFormat="1" ht="12">
      <c r="N100" s="480"/>
      <c r="O100" s="480"/>
      <c r="P100" s="480"/>
      <c r="Q100" s="480"/>
      <c r="R100" s="480"/>
      <c r="S100" s="480"/>
      <c r="T100" s="480"/>
      <c r="U100" s="480"/>
      <c r="V100" s="480"/>
    </row>
    <row r="101" spans="14:22" s="479" customFormat="1" ht="12">
      <c r="N101" s="480"/>
      <c r="O101" s="480"/>
      <c r="P101" s="480"/>
      <c r="Q101" s="480"/>
      <c r="R101" s="480"/>
      <c r="S101" s="480"/>
      <c r="T101" s="480"/>
      <c r="U101" s="480"/>
      <c r="V101" s="480"/>
    </row>
    <row r="102" spans="14:22" s="479" customFormat="1" ht="12">
      <c r="N102" s="480"/>
      <c r="O102" s="480"/>
      <c r="P102" s="480"/>
      <c r="Q102" s="480"/>
      <c r="R102" s="480"/>
      <c r="S102" s="480"/>
      <c r="T102" s="480"/>
      <c r="U102" s="480"/>
      <c r="V102" s="480"/>
    </row>
    <row r="103" spans="14:22" s="479" customFormat="1" ht="12">
      <c r="N103" s="480"/>
      <c r="O103" s="480"/>
      <c r="P103" s="480"/>
      <c r="Q103" s="480"/>
      <c r="R103" s="480"/>
      <c r="S103" s="480"/>
      <c r="T103" s="480"/>
      <c r="U103" s="480"/>
      <c r="V103" s="480"/>
    </row>
    <row r="104" spans="14:22" s="479" customFormat="1" ht="12">
      <c r="N104" s="480"/>
      <c r="O104" s="480"/>
      <c r="P104" s="480"/>
      <c r="Q104" s="480"/>
      <c r="R104" s="480"/>
      <c r="S104" s="480"/>
      <c r="T104" s="480"/>
      <c r="U104" s="480"/>
      <c r="V104" s="480"/>
    </row>
    <row r="105" spans="14:22" s="479" customFormat="1" ht="12">
      <c r="N105" s="480"/>
      <c r="O105" s="480"/>
      <c r="P105" s="480"/>
      <c r="Q105" s="480"/>
      <c r="R105" s="480"/>
      <c r="S105" s="480"/>
      <c r="T105" s="480"/>
      <c r="U105" s="480"/>
      <c r="V105" s="480"/>
    </row>
    <row r="106" spans="14:22" s="479" customFormat="1" ht="12">
      <c r="N106" s="480"/>
      <c r="O106" s="480"/>
      <c r="P106" s="480"/>
      <c r="Q106" s="480"/>
      <c r="R106" s="480"/>
      <c r="S106" s="480"/>
      <c r="T106" s="480"/>
      <c r="U106" s="480"/>
      <c r="V106" s="480"/>
    </row>
    <row r="107" spans="14:22" s="479" customFormat="1" ht="12">
      <c r="N107" s="480"/>
      <c r="O107" s="480"/>
      <c r="P107" s="480"/>
      <c r="Q107" s="480"/>
      <c r="R107" s="480"/>
      <c r="S107" s="480"/>
      <c r="T107" s="480"/>
      <c r="U107" s="480"/>
      <c r="V107" s="480"/>
    </row>
    <row r="108" spans="14:22" s="479" customFormat="1" ht="12">
      <c r="N108" s="480"/>
      <c r="O108" s="480"/>
      <c r="P108" s="480"/>
      <c r="Q108" s="480"/>
      <c r="R108" s="480"/>
      <c r="S108" s="480"/>
      <c r="T108" s="480"/>
      <c r="U108" s="480"/>
      <c r="V108" s="480"/>
    </row>
    <row r="109" spans="14:22" s="479" customFormat="1" ht="12">
      <c r="N109" s="480"/>
      <c r="O109" s="480"/>
      <c r="P109" s="480"/>
      <c r="Q109" s="480"/>
      <c r="R109" s="480"/>
      <c r="S109" s="480"/>
      <c r="T109" s="480"/>
      <c r="U109" s="480"/>
      <c r="V109" s="480"/>
    </row>
    <row r="110" spans="14:22" s="479" customFormat="1" ht="12">
      <c r="N110" s="480"/>
      <c r="O110" s="480"/>
      <c r="P110" s="480"/>
      <c r="Q110" s="480"/>
      <c r="R110" s="480"/>
      <c r="S110" s="480"/>
      <c r="T110" s="480"/>
      <c r="U110" s="480"/>
      <c r="V110" s="480"/>
    </row>
    <row r="111" spans="14:22" s="479" customFormat="1" ht="12">
      <c r="N111" s="480"/>
      <c r="O111" s="480"/>
      <c r="P111" s="480"/>
      <c r="Q111" s="480"/>
      <c r="R111" s="480"/>
      <c r="S111" s="480"/>
      <c r="T111" s="480"/>
      <c r="U111" s="480"/>
      <c r="V111" s="480"/>
    </row>
    <row r="112" spans="14:22" s="479" customFormat="1" ht="12">
      <c r="N112" s="480"/>
      <c r="O112" s="480"/>
      <c r="P112" s="480"/>
      <c r="Q112" s="480"/>
      <c r="R112" s="480"/>
      <c r="S112" s="480"/>
      <c r="T112" s="480"/>
      <c r="U112" s="480"/>
      <c r="V112" s="480"/>
    </row>
    <row r="113" spans="14:22" s="479" customFormat="1" ht="12">
      <c r="N113" s="480"/>
      <c r="O113" s="480"/>
      <c r="P113" s="480"/>
      <c r="Q113" s="480"/>
      <c r="R113" s="480"/>
      <c r="S113" s="480"/>
      <c r="T113" s="480"/>
      <c r="U113" s="480"/>
      <c r="V113" s="480"/>
    </row>
    <row r="114" spans="14:22" s="479" customFormat="1" ht="12">
      <c r="N114" s="480"/>
      <c r="O114" s="480"/>
      <c r="P114" s="480"/>
      <c r="Q114" s="480"/>
      <c r="R114" s="480"/>
      <c r="S114" s="480"/>
      <c r="T114" s="480"/>
      <c r="U114" s="480"/>
      <c r="V114" s="480"/>
    </row>
    <row r="115" spans="14:22" s="479" customFormat="1" ht="12">
      <c r="N115" s="480"/>
      <c r="O115" s="480"/>
      <c r="P115" s="480"/>
      <c r="Q115" s="480"/>
      <c r="R115" s="480"/>
      <c r="S115" s="480"/>
      <c r="T115" s="480"/>
      <c r="U115" s="480"/>
      <c r="V115" s="480"/>
    </row>
    <row r="116" spans="14:22" s="479" customFormat="1" ht="12">
      <c r="N116" s="480"/>
      <c r="O116" s="480"/>
      <c r="P116" s="480"/>
      <c r="Q116" s="480"/>
      <c r="R116" s="480"/>
      <c r="S116" s="480"/>
      <c r="T116" s="480"/>
      <c r="U116" s="480"/>
      <c r="V116" s="480"/>
    </row>
    <row r="117" spans="14:22" s="479" customFormat="1" ht="12">
      <c r="N117" s="480"/>
      <c r="O117" s="480"/>
      <c r="P117" s="480"/>
      <c r="Q117" s="480"/>
      <c r="R117" s="480"/>
      <c r="S117" s="480"/>
      <c r="T117" s="480"/>
      <c r="U117" s="480"/>
      <c r="V117" s="480"/>
    </row>
    <row r="118" spans="14:22" s="479" customFormat="1" ht="12">
      <c r="N118" s="480"/>
      <c r="O118" s="480"/>
      <c r="P118" s="480"/>
      <c r="Q118" s="480"/>
      <c r="R118" s="480"/>
      <c r="S118" s="480"/>
      <c r="T118" s="480"/>
      <c r="U118" s="480"/>
      <c r="V118" s="480"/>
    </row>
    <row r="119" spans="14:22" s="479" customFormat="1" ht="12">
      <c r="N119" s="480"/>
      <c r="O119" s="480"/>
      <c r="P119" s="480"/>
      <c r="Q119" s="480"/>
      <c r="R119" s="480"/>
      <c r="S119" s="480"/>
      <c r="T119" s="480"/>
      <c r="U119" s="480"/>
      <c r="V119" s="480"/>
    </row>
    <row r="120" spans="14:22" s="479" customFormat="1" ht="12">
      <c r="N120" s="480"/>
      <c r="O120" s="480"/>
      <c r="P120" s="480"/>
      <c r="Q120" s="480"/>
      <c r="R120" s="480"/>
      <c r="S120" s="480"/>
      <c r="T120" s="480"/>
      <c r="U120" s="480"/>
      <c r="V120" s="480"/>
    </row>
    <row r="121" spans="14:22" s="479" customFormat="1" ht="12">
      <c r="N121" s="480"/>
      <c r="O121" s="480"/>
      <c r="P121" s="480"/>
      <c r="Q121" s="480"/>
      <c r="R121" s="480"/>
      <c r="S121" s="480"/>
      <c r="T121" s="480"/>
      <c r="U121" s="480"/>
      <c r="V121" s="480"/>
    </row>
    <row r="122" spans="14:22" s="479" customFormat="1" ht="12">
      <c r="N122" s="480"/>
      <c r="O122" s="480"/>
      <c r="P122" s="480"/>
      <c r="Q122" s="480"/>
      <c r="R122" s="480"/>
      <c r="S122" s="480"/>
      <c r="T122" s="480"/>
      <c r="U122" s="480"/>
      <c r="V122" s="480"/>
    </row>
    <row r="123" spans="14:22" s="479" customFormat="1" ht="12">
      <c r="N123" s="480"/>
      <c r="O123" s="480"/>
      <c r="P123" s="480"/>
      <c r="Q123" s="480"/>
      <c r="R123" s="480"/>
      <c r="S123" s="480"/>
      <c r="T123" s="480"/>
      <c r="U123" s="480"/>
      <c r="V123" s="480"/>
    </row>
    <row r="124" spans="14:22" s="479" customFormat="1" ht="12">
      <c r="N124" s="480"/>
      <c r="O124" s="480"/>
      <c r="P124" s="480"/>
      <c r="Q124" s="480"/>
      <c r="R124" s="480"/>
      <c r="S124" s="480"/>
      <c r="T124" s="480"/>
      <c r="U124" s="480"/>
      <c r="V124" s="480"/>
    </row>
    <row r="125" spans="14:22" s="479" customFormat="1" ht="12">
      <c r="N125" s="480"/>
      <c r="O125" s="480"/>
      <c r="P125" s="480"/>
      <c r="Q125" s="480"/>
      <c r="R125" s="480"/>
      <c r="S125" s="480"/>
      <c r="T125" s="480"/>
      <c r="U125" s="480"/>
      <c r="V125" s="480"/>
    </row>
    <row r="126" spans="14:22" s="479" customFormat="1" ht="12">
      <c r="N126" s="480"/>
      <c r="O126" s="480"/>
      <c r="P126" s="480"/>
      <c r="Q126" s="480"/>
      <c r="R126" s="480"/>
      <c r="S126" s="480"/>
      <c r="T126" s="480"/>
      <c r="U126" s="480"/>
      <c r="V126" s="480"/>
    </row>
    <row r="127" spans="14:22" s="479" customFormat="1" ht="12">
      <c r="N127" s="480"/>
      <c r="O127" s="480"/>
      <c r="P127" s="480"/>
      <c r="Q127" s="480"/>
      <c r="R127" s="480"/>
      <c r="S127" s="480"/>
      <c r="T127" s="480"/>
      <c r="U127" s="480"/>
      <c r="V127" s="480"/>
    </row>
    <row r="128" spans="14:22" s="479" customFormat="1" ht="12">
      <c r="N128" s="480"/>
      <c r="O128" s="480"/>
      <c r="P128" s="480"/>
      <c r="Q128" s="480"/>
      <c r="R128" s="480"/>
      <c r="S128" s="480"/>
      <c r="T128" s="480"/>
      <c r="U128" s="480"/>
      <c r="V128" s="480"/>
    </row>
    <row r="129" spans="14:22" s="479" customFormat="1" ht="12">
      <c r="N129" s="480"/>
      <c r="O129" s="480"/>
      <c r="P129" s="480"/>
      <c r="Q129" s="480"/>
      <c r="R129" s="480"/>
      <c r="S129" s="480"/>
      <c r="T129" s="480"/>
      <c r="U129" s="480"/>
      <c r="V129" s="480"/>
    </row>
    <row r="130" spans="14:22" s="479" customFormat="1" ht="12">
      <c r="N130" s="480"/>
      <c r="O130" s="480"/>
      <c r="P130" s="480"/>
      <c r="Q130" s="480"/>
      <c r="R130" s="480"/>
      <c r="S130" s="480"/>
      <c r="T130" s="480"/>
      <c r="U130" s="480"/>
      <c r="V130" s="480"/>
    </row>
    <row r="131" spans="14:22" s="479" customFormat="1" ht="12">
      <c r="N131" s="480"/>
      <c r="O131" s="480"/>
      <c r="P131" s="480"/>
      <c r="Q131" s="480"/>
      <c r="R131" s="480"/>
      <c r="S131" s="480"/>
      <c r="T131" s="480"/>
      <c r="U131" s="480"/>
      <c r="V131" s="480"/>
    </row>
    <row r="132" spans="14:22" s="479" customFormat="1" ht="12">
      <c r="N132" s="480"/>
      <c r="O132" s="480"/>
      <c r="P132" s="480"/>
      <c r="Q132" s="480"/>
      <c r="R132" s="480"/>
      <c r="S132" s="480"/>
      <c r="T132" s="480"/>
      <c r="U132" s="480"/>
      <c r="V132" s="480"/>
    </row>
    <row r="133" spans="14:22" s="479" customFormat="1" ht="12">
      <c r="N133" s="480"/>
      <c r="O133" s="480"/>
      <c r="P133" s="480"/>
      <c r="Q133" s="480"/>
      <c r="R133" s="480"/>
      <c r="S133" s="480"/>
      <c r="T133" s="480"/>
      <c r="U133" s="480"/>
      <c r="V133" s="480"/>
    </row>
    <row r="134" spans="14:22" s="479" customFormat="1" ht="12">
      <c r="N134" s="480"/>
      <c r="O134" s="480"/>
      <c r="P134" s="480"/>
      <c r="Q134" s="480"/>
      <c r="R134" s="480"/>
      <c r="S134" s="480"/>
      <c r="T134" s="480"/>
      <c r="U134" s="480"/>
      <c r="V134" s="480"/>
    </row>
    <row r="135" spans="14:22" s="479" customFormat="1" ht="12">
      <c r="N135" s="480"/>
      <c r="O135" s="480"/>
      <c r="P135" s="480"/>
      <c r="Q135" s="480"/>
      <c r="R135" s="480"/>
      <c r="S135" s="480"/>
      <c r="T135" s="480"/>
      <c r="U135" s="480"/>
      <c r="V135" s="480"/>
    </row>
    <row r="136" spans="14:22" s="479" customFormat="1" ht="12">
      <c r="N136" s="480"/>
      <c r="O136" s="480"/>
      <c r="P136" s="480"/>
      <c r="Q136" s="480"/>
      <c r="R136" s="480"/>
      <c r="S136" s="480"/>
      <c r="T136" s="480"/>
      <c r="U136" s="480"/>
      <c r="V136" s="480"/>
    </row>
    <row r="137" spans="14:22" s="479" customFormat="1" ht="12">
      <c r="N137" s="480"/>
      <c r="O137" s="480"/>
      <c r="P137" s="480"/>
      <c r="Q137" s="480"/>
      <c r="R137" s="480"/>
      <c r="S137" s="480"/>
      <c r="T137" s="480"/>
      <c r="U137" s="480"/>
      <c r="V137" s="480"/>
    </row>
    <row r="138" spans="14:22" s="479" customFormat="1" ht="12">
      <c r="N138" s="480"/>
      <c r="O138" s="480"/>
      <c r="P138" s="480"/>
      <c r="Q138" s="480"/>
      <c r="R138" s="480"/>
      <c r="S138" s="480"/>
      <c r="T138" s="480"/>
      <c r="U138" s="480"/>
      <c r="V138" s="480"/>
    </row>
    <row r="139" spans="14:22" s="479" customFormat="1" ht="12">
      <c r="N139" s="480"/>
      <c r="O139" s="480"/>
      <c r="P139" s="480"/>
      <c r="Q139" s="480"/>
      <c r="R139" s="480"/>
      <c r="S139" s="480"/>
      <c r="T139" s="480"/>
      <c r="U139" s="480"/>
      <c r="V139" s="480"/>
    </row>
    <row r="140" spans="14:22" s="479" customFormat="1" ht="12">
      <c r="N140" s="480"/>
      <c r="O140" s="480"/>
      <c r="P140" s="480"/>
      <c r="Q140" s="480"/>
      <c r="R140" s="480"/>
      <c r="S140" s="480"/>
      <c r="T140" s="480"/>
      <c r="U140" s="480"/>
      <c r="V140" s="480"/>
    </row>
    <row r="141" spans="14:22" s="479" customFormat="1" ht="12">
      <c r="N141" s="480"/>
      <c r="O141" s="480"/>
      <c r="P141" s="480"/>
      <c r="Q141" s="480"/>
      <c r="R141" s="480"/>
      <c r="S141" s="480"/>
      <c r="T141" s="480"/>
      <c r="U141" s="480"/>
      <c r="V141" s="480"/>
    </row>
    <row r="142" spans="14:22" s="479" customFormat="1" ht="12">
      <c r="N142" s="480"/>
      <c r="O142" s="480"/>
      <c r="P142" s="480"/>
      <c r="Q142" s="480"/>
      <c r="R142" s="480"/>
      <c r="S142" s="480"/>
      <c r="T142" s="480"/>
      <c r="U142" s="480"/>
      <c r="V142" s="480"/>
    </row>
    <row r="143" spans="14:22" s="479" customFormat="1" ht="12">
      <c r="N143" s="480"/>
      <c r="O143" s="480"/>
      <c r="P143" s="480"/>
      <c r="Q143" s="480"/>
      <c r="R143" s="480"/>
      <c r="S143" s="480"/>
      <c r="T143" s="480"/>
      <c r="U143" s="480"/>
      <c r="V143" s="480"/>
    </row>
    <row r="144" spans="14:22" s="479" customFormat="1" ht="12">
      <c r="N144" s="480"/>
      <c r="O144" s="480"/>
      <c r="P144" s="480"/>
      <c r="Q144" s="480"/>
      <c r="R144" s="480"/>
      <c r="S144" s="480"/>
      <c r="T144" s="480"/>
      <c r="U144" s="480"/>
      <c r="V144" s="480"/>
    </row>
    <row r="145" spans="14:22" s="479" customFormat="1" ht="12">
      <c r="N145" s="480"/>
      <c r="O145" s="480"/>
      <c r="P145" s="480"/>
      <c r="Q145" s="480"/>
      <c r="R145" s="480"/>
      <c r="S145" s="480"/>
      <c r="T145" s="480"/>
      <c r="U145" s="480"/>
      <c r="V145" s="480"/>
    </row>
    <row r="146" spans="14:22" s="479" customFormat="1" ht="12">
      <c r="N146" s="480"/>
      <c r="O146" s="480"/>
      <c r="P146" s="480"/>
      <c r="Q146" s="480"/>
      <c r="R146" s="480"/>
      <c r="S146" s="480"/>
      <c r="T146" s="480"/>
      <c r="U146" s="480"/>
      <c r="V146" s="480"/>
    </row>
    <row r="147" spans="14:22" s="479" customFormat="1" ht="12">
      <c r="N147" s="480"/>
      <c r="O147" s="480"/>
      <c r="P147" s="480"/>
      <c r="Q147" s="480"/>
      <c r="R147" s="480"/>
      <c r="S147" s="480"/>
      <c r="T147" s="480"/>
      <c r="U147" s="480"/>
      <c r="V147" s="480"/>
    </row>
    <row r="148" spans="14:22" s="479" customFormat="1" ht="12">
      <c r="N148" s="480"/>
      <c r="O148" s="480"/>
      <c r="P148" s="480"/>
      <c r="Q148" s="480"/>
      <c r="R148" s="480"/>
      <c r="S148" s="480"/>
      <c r="T148" s="480"/>
      <c r="U148" s="480"/>
      <c r="V148" s="480"/>
    </row>
    <row r="149" spans="14:22" s="479" customFormat="1" ht="12">
      <c r="N149" s="480"/>
      <c r="O149" s="480"/>
      <c r="P149" s="480"/>
      <c r="Q149" s="480"/>
      <c r="R149" s="480"/>
      <c r="S149" s="480"/>
      <c r="T149" s="480"/>
      <c r="U149" s="480"/>
      <c r="V149" s="480"/>
    </row>
    <row r="150" spans="14:22" s="479" customFormat="1" ht="12">
      <c r="N150" s="480"/>
      <c r="O150" s="480"/>
      <c r="P150" s="480"/>
      <c r="Q150" s="480"/>
      <c r="R150" s="480"/>
      <c r="S150" s="480"/>
      <c r="T150" s="480"/>
      <c r="U150" s="480"/>
      <c r="V150" s="480"/>
    </row>
    <row r="151" spans="14:22" s="479" customFormat="1" ht="12">
      <c r="N151" s="480"/>
      <c r="O151" s="480"/>
      <c r="P151" s="480"/>
      <c r="Q151" s="480"/>
      <c r="R151" s="480"/>
      <c r="S151" s="480"/>
      <c r="T151" s="480"/>
      <c r="U151" s="480"/>
      <c r="V151" s="480"/>
    </row>
    <row r="152" spans="14:22" s="479" customFormat="1" ht="12">
      <c r="N152" s="480"/>
      <c r="O152" s="480"/>
      <c r="P152" s="480"/>
      <c r="Q152" s="480"/>
      <c r="R152" s="480"/>
      <c r="S152" s="480"/>
      <c r="T152" s="480"/>
      <c r="U152" s="480"/>
      <c r="V152" s="480"/>
    </row>
    <row r="153" spans="14:22" s="479" customFormat="1" ht="12">
      <c r="N153" s="480"/>
      <c r="O153" s="480"/>
      <c r="P153" s="480"/>
      <c r="Q153" s="480"/>
      <c r="R153" s="480"/>
      <c r="S153" s="480"/>
      <c r="T153" s="480"/>
      <c r="U153" s="480"/>
      <c r="V153" s="480"/>
    </row>
    <row r="154" spans="14:22" s="479" customFormat="1" ht="12">
      <c r="N154" s="480"/>
      <c r="O154" s="480"/>
      <c r="P154" s="480"/>
      <c r="Q154" s="480"/>
      <c r="R154" s="480"/>
      <c r="S154" s="480"/>
      <c r="T154" s="480"/>
      <c r="U154" s="480"/>
      <c r="V154" s="480"/>
    </row>
    <row r="155" spans="14:22" s="479" customFormat="1" ht="12">
      <c r="N155" s="480"/>
      <c r="O155" s="480"/>
      <c r="P155" s="480"/>
      <c r="Q155" s="480"/>
      <c r="R155" s="480"/>
      <c r="S155" s="480"/>
      <c r="T155" s="480"/>
      <c r="U155" s="480"/>
      <c r="V155" s="480"/>
    </row>
    <row r="156" spans="14:22" s="479" customFormat="1" ht="12">
      <c r="N156" s="480"/>
      <c r="O156" s="480"/>
      <c r="P156" s="480"/>
      <c r="Q156" s="480"/>
      <c r="R156" s="480"/>
      <c r="S156" s="480"/>
      <c r="T156" s="480"/>
      <c r="U156" s="480"/>
      <c r="V156" s="480"/>
    </row>
    <row r="157" spans="14:22" s="479" customFormat="1" ht="12">
      <c r="N157" s="480"/>
      <c r="O157" s="480"/>
      <c r="P157" s="480"/>
      <c r="Q157" s="480"/>
      <c r="R157" s="480"/>
      <c r="S157" s="480"/>
      <c r="T157" s="480"/>
      <c r="U157" s="480"/>
      <c r="V157" s="480"/>
    </row>
    <row r="158" spans="14:22" s="479" customFormat="1" ht="12">
      <c r="N158" s="480"/>
      <c r="O158" s="480"/>
      <c r="P158" s="480"/>
      <c r="Q158" s="480"/>
      <c r="R158" s="480"/>
      <c r="S158" s="480"/>
      <c r="T158" s="480"/>
      <c r="U158" s="480"/>
      <c r="V158" s="480"/>
    </row>
    <row r="159" spans="14:22" s="479" customFormat="1" ht="12">
      <c r="N159" s="480"/>
      <c r="O159" s="480"/>
      <c r="P159" s="480"/>
      <c r="Q159" s="480"/>
      <c r="R159" s="480"/>
      <c r="S159" s="480"/>
      <c r="T159" s="480"/>
      <c r="U159" s="480"/>
      <c r="V159" s="480"/>
    </row>
    <row r="160" spans="14:22" s="479" customFormat="1" ht="12">
      <c r="N160" s="480"/>
      <c r="O160" s="480"/>
      <c r="P160" s="480"/>
      <c r="Q160" s="480"/>
      <c r="R160" s="480"/>
      <c r="S160" s="480"/>
      <c r="T160" s="480"/>
      <c r="U160" s="480"/>
      <c r="V160" s="480"/>
    </row>
    <row r="161" spans="14:22" s="479" customFormat="1" ht="12">
      <c r="N161" s="480"/>
      <c r="O161" s="480"/>
      <c r="P161" s="480"/>
      <c r="Q161" s="480"/>
      <c r="R161" s="480"/>
      <c r="S161" s="480"/>
      <c r="T161" s="480"/>
      <c r="U161" s="480"/>
      <c r="V161" s="480"/>
    </row>
    <row r="162" spans="14:22" s="479" customFormat="1" ht="12">
      <c r="N162" s="480"/>
      <c r="O162" s="480"/>
      <c r="P162" s="480"/>
      <c r="Q162" s="480"/>
      <c r="R162" s="480"/>
      <c r="S162" s="480"/>
      <c r="T162" s="480"/>
      <c r="U162" s="480"/>
      <c r="V162" s="480"/>
    </row>
    <row r="163" spans="14:22" s="479" customFormat="1" ht="12">
      <c r="N163" s="480"/>
      <c r="O163" s="480"/>
      <c r="P163" s="480"/>
      <c r="Q163" s="480"/>
      <c r="R163" s="480"/>
      <c r="S163" s="480"/>
      <c r="T163" s="480"/>
      <c r="U163" s="480"/>
      <c r="V163" s="480"/>
    </row>
    <row r="164" spans="14:22" s="479" customFormat="1" ht="12">
      <c r="N164" s="480"/>
      <c r="O164" s="480"/>
      <c r="P164" s="480"/>
      <c r="Q164" s="480"/>
      <c r="R164" s="480"/>
      <c r="S164" s="480"/>
      <c r="T164" s="480"/>
      <c r="U164" s="480"/>
      <c r="V164" s="480"/>
    </row>
    <row r="165" spans="14:22" s="479" customFormat="1" ht="12">
      <c r="N165" s="480"/>
      <c r="O165" s="480"/>
      <c r="P165" s="480"/>
      <c r="Q165" s="480"/>
      <c r="R165" s="480"/>
      <c r="S165" s="480"/>
      <c r="T165" s="480"/>
      <c r="U165" s="480"/>
      <c r="V165" s="480"/>
    </row>
    <row r="166" spans="14:22" s="479" customFormat="1" ht="12">
      <c r="N166" s="480"/>
      <c r="O166" s="480"/>
      <c r="P166" s="480"/>
      <c r="Q166" s="480"/>
      <c r="R166" s="480"/>
      <c r="S166" s="480"/>
      <c r="T166" s="480"/>
      <c r="U166" s="480"/>
      <c r="V166" s="480"/>
    </row>
    <row r="167" spans="14:22" s="479" customFormat="1" ht="12">
      <c r="N167" s="480"/>
      <c r="O167" s="480"/>
      <c r="P167" s="480"/>
      <c r="Q167" s="480"/>
      <c r="R167" s="480"/>
      <c r="S167" s="480"/>
      <c r="T167" s="480"/>
      <c r="U167" s="480"/>
      <c r="V167" s="480"/>
    </row>
    <row r="168" spans="14:22" s="479" customFormat="1" ht="12">
      <c r="N168" s="480"/>
      <c r="O168" s="480"/>
      <c r="P168" s="480"/>
      <c r="Q168" s="480"/>
      <c r="R168" s="480"/>
      <c r="S168" s="480"/>
      <c r="T168" s="480"/>
      <c r="U168" s="480"/>
      <c r="V168" s="480"/>
    </row>
    <row r="169" spans="14:22" s="479" customFormat="1" ht="12">
      <c r="N169" s="480"/>
      <c r="O169" s="480"/>
      <c r="P169" s="480"/>
      <c r="Q169" s="480"/>
      <c r="R169" s="480"/>
      <c r="S169" s="480"/>
      <c r="T169" s="480"/>
      <c r="U169" s="480"/>
      <c r="V169" s="480"/>
    </row>
    <row r="170" spans="14:22" s="479" customFormat="1" ht="12">
      <c r="N170" s="480"/>
      <c r="O170" s="480"/>
      <c r="P170" s="480"/>
      <c r="Q170" s="480"/>
      <c r="R170" s="480"/>
      <c r="S170" s="480"/>
      <c r="T170" s="480"/>
      <c r="U170" s="480"/>
      <c r="V170" s="480"/>
    </row>
    <row r="171" spans="14:22" s="479" customFormat="1" ht="12">
      <c r="N171" s="480"/>
      <c r="O171" s="480"/>
      <c r="P171" s="480"/>
      <c r="Q171" s="480"/>
      <c r="R171" s="480"/>
      <c r="S171" s="480"/>
      <c r="T171" s="480"/>
      <c r="U171" s="480"/>
      <c r="V171" s="480"/>
    </row>
    <row r="172" spans="14:22" s="479" customFormat="1" ht="12">
      <c r="N172" s="480"/>
      <c r="O172" s="480"/>
      <c r="P172" s="480"/>
      <c r="Q172" s="480"/>
      <c r="R172" s="480"/>
      <c r="S172" s="480"/>
      <c r="T172" s="480"/>
      <c r="U172" s="480"/>
      <c r="V172" s="480"/>
    </row>
    <row r="173" spans="14:22" s="479" customFormat="1" ht="12">
      <c r="N173" s="480"/>
      <c r="O173" s="480"/>
      <c r="P173" s="480"/>
      <c r="Q173" s="480"/>
      <c r="R173" s="480"/>
      <c r="S173" s="480"/>
      <c r="T173" s="480"/>
      <c r="U173" s="480"/>
      <c r="V173" s="480"/>
    </row>
    <row r="174" spans="14:22" s="479" customFormat="1" ht="12">
      <c r="N174" s="480"/>
      <c r="O174" s="480"/>
      <c r="P174" s="480"/>
      <c r="Q174" s="480"/>
      <c r="R174" s="480"/>
      <c r="S174" s="480"/>
      <c r="T174" s="480"/>
      <c r="U174" s="480"/>
      <c r="V174" s="480"/>
    </row>
    <row r="175" spans="14:22" s="479" customFormat="1" ht="12">
      <c r="N175" s="480"/>
      <c r="O175" s="480"/>
      <c r="P175" s="480"/>
      <c r="Q175" s="480"/>
      <c r="R175" s="480"/>
      <c r="S175" s="480"/>
      <c r="T175" s="480"/>
      <c r="U175" s="480"/>
      <c r="V175" s="480"/>
    </row>
    <row r="176" spans="14:22" s="479" customFormat="1" ht="12">
      <c r="N176" s="480"/>
      <c r="O176" s="480"/>
      <c r="P176" s="480"/>
      <c r="Q176" s="480"/>
      <c r="R176" s="480"/>
      <c r="S176" s="480"/>
      <c r="T176" s="480"/>
      <c r="U176" s="480"/>
      <c r="V176" s="480"/>
    </row>
    <row r="177" spans="14:22" s="479" customFormat="1" ht="12">
      <c r="N177" s="480"/>
      <c r="O177" s="480"/>
      <c r="P177" s="480"/>
      <c r="Q177" s="480"/>
      <c r="R177" s="480"/>
      <c r="S177" s="480"/>
      <c r="T177" s="480"/>
      <c r="U177" s="480"/>
      <c r="V177" s="480"/>
    </row>
    <row r="178" spans="14:22" s="479" customFormat="1" ht="12">
      <c r="N178" s="480"/>
      <c r="O178" s="480"/>
      <c r="P178" s="480"/>
      <c r="Q178" s="480"/>
      <c r="R178" s="480"/>
      <c r="S178" s="480"/>
      <c r="T178" s="480"/>
      <c r="U178" s="480"/>
      <c r="V178" s="480"/>
    </row>
    <row r="179" spans="14:22" s="479" customFormat="1" ht="12">
      <c r="N179" s="480"/>
      <c r="O179" s="480"/>
      <c r="P179" s="480"/>
      <c r="Q179" s="480"/>
      <c r="R179" s="480"/>
      <c r="S179" s="480"/>
      <c r="T179" s="480"/>
      <c r="U179" s="480"/>
      <c r="V179" s="480"/>
    </row>
    <row r="180" spans="14:22" s="479" customFormat="1" ht="12">
      <c r="N180" s="480"/>
      <c r="O180" s="480"/>
      <c r="P180" s="480"/>
      <c r="Q180" s="480"/>
      <c r="R180" s="480"/>
      <c r="S180" s="480"/>
      <c r="T180" s="480"/>
      <c r="U180" s="480"/>
      <c r="V180" s="480"/>
    </row>
    <row r="181" spans="14:22" s="479" customFormat="1" ht="12">
      <c r="N181" s="480"/>
      <c r="O181" s="480"/>
      <c r="P181" s="480"/>
      <c r="Q181" s="480"/>
      <c r="R181" s="480"/>
      <c r="S181" s="480"/>
      <c r="T181" s="480"/>
      <c r="U181" s="480"/>
      <c r="V181" s="480"/>
    </row>
    <row r="182" spans="14:22" s="479" customFormat="1" ht="12">
      <c r="N182" s="480"/>
      <c r="O182" s="480"/>
      <c r="P182" s="480"/>
      <c r="Q182" s="480"/>
      <c r="R182" s="480"/>
      <c r="S182" s="480"/>
      <c r="T182" s="480"/>
      <c r="U182" s="480"/>
      <c r="V182" s="480"/>
    </row>
    <row r="183" spans="14:22" s="479" customFormat="1" ht="12">
      <c r="N183" s="480"/>
      <c r="O183" s="480"/>
      <c r="P183" s="480"/>
      <c r="Q183" s="480"/>
      <c r="R183" s="480"/>
      <c r="S183" s="480"/>
      <c r="T183" s="480"/>
      <c r="U183" s="480"/>
      <c r="V183" s="480"/>
    </row>
    <row r="184" spans="14:22" s="479" customFormat="1" ht="12">
      <c r="N184" s="480"/>
      <c r="O184" s="480"/>
      <c r="P184" s="480"/>
      <c r="Q184" s="480"/>
      <c r="R184" s="480"/>
      <c r="S184" s="480"/>
      <c r="T184" s="480"/>
      <c r="U184" s="480"/>
      <c r="V184" s="480"/>
    </row>
    <row r="185" spans="14:22" s="479" customFormat="1" ht="12">
      <c r="N185" s="480"/>
      <c r="O185" s="480"/>
      <c r="P185" s="480"/>
      <c r="Q185" s="480"/>
      <c r="R185" s="480"/>
      <c r="S185" s="480"/>
      <c r="T185" s="480"/>
      <c r="U185" s="480"/>
      <c r="V185" s="480"/>
    </row>
    <row r="186" spans="14:22" s="479" customFormat="1" ht="12">
      <c r="N186" s="480"/>
      <c r="O186" s="480"/>
      <c r="P186" s="480"/>
      <c r="Q186" s="480"/>
      <c r="R186" s="480"/>
      <c r="S186" s="480"/>
      <c r="T186" s="480"/>
      <c r="U186" s="480"/>
      <c r="V186" s="480"/>
    </row>
    <row r="187" spans="14:22" s="479" customFormat="1" ht="12">
      <c r="N187" s="480"/>
      <c r="O187" s="480"/>
      <c r="P187" s="480"/>
      <c r="Q187" s="480"/>
      <c r="R187" s="480"/>
      <c r="S187" s="480"/>
      <c r="T187" s="480"/>
      <c r="U187" s="480"/>
      <c r="V187" s="480"/>
    </row>
    <row r="188" spans="14:22" s="479" customFormat="1" ht="12">
      <c r="N188" s="480"/>
      <c r="O188" s="480"/>
      <c r="P188" s="480"/>
      <c r="Q188" s="480"/>
      <c r="R188" s="480"/>
      <c r="S188" s="480"/>
      <c r="T188" s="480"/>
      <c r="U188" s="480"/>
      <c r="V188" s="480"/>
    </row>
    <row r="189" spans="14:22" s="479" customFormat="1" ht="12">
      <c r="N189" s="480"/>
      <c r="O189" s="480"/>
      <c r="P189" s="480"/>
      <c r="Q189" s="480"/>
      <c r="R189" s="480"/>
      <c r="S189" s="480"/>
      <c r="T189" s="480"/>
      <c r="U189" s="480"/>
      <c r="V189" s="480"/>
    </row>
    <row r="190" spans="14:22" s="479" customFormat="1" ht="12">
      <c r="N190" s="480"/>
      <c r="O190" s="480"/>
      <c r="P190" s="480"/>
      <c r="Q190" s="480"/>
      <c r="R190" s="480"/>
      <c r="S190" s="480"/>
      <c r="T190" s="480"/>
      <c r="U190" s="480"/>
      <c r="V190" s="480"/>
    </row>
    <row r="191" spans="14:22" s="479" customFormat="1" ht="12">
      <c r="N191" s="480"/>
      <c r="O191" s="480"/>
      <c r="P191" s="480"/>
      <c r="Q191" s="480"/>
      <c r="R191" s="480"/>
      <c r="S191" s="480"/>
      <c r="T191" s="480"/>
      <c r="U191" s="480"/>
      <c r="V191" s="480"/>
    </row>
    <row r="192" spans="14:22" s="479" customFormat="1" ht="12">
      <c r="N192" s="480"/>
      <c r="O192" s="480"/>
      <c r="P192" s="480"/>
      <c r="Q192" s="480"/>
      <c r="R192" s="480"/>
      <c r="S192" s="480"/>
      <c r="T192" s="480"/>
      <c r="U192" s="480"/>
      <c r="V192" s="480"/>
    </row>
    <row r="193" spans="14:22" s="479" customFormat="1" ht="12">
      <c r="N193" s="480"/>
      <c r="O193" s="480"/>
      <c r="P193" s="480"/>
      <c r="Q193" s="480"/>
      <c r="R193" s="480"/>
      <c r="S193" s="480"/>
      <c r="T193" s="480"/>
      <c r="U193" s="480"/>
      <c r="V193" s="480"/>
    </row>
    <row r="194" spans="14:22" s="479" customFormat="1" ht="12">
      <c r="N194" s="480"/>
      <c r="O194" s="480"/>
      <c r="P194" s="480"/>
      <c r="Q194" s="480"/>
      <c r="R194" s="480"/>
      <c r="S194" s="480"/>
      <c r="T194" s="480"/>
      <c r="U194" s="480"/>
      <c r="V194" s="480"/>
    </row>
    <row r="195" spans="14:22" s="479" customFormat="1" ht="12">
      <c r="N195" s="480"/>
      <c r="O195" s="480"/>
      <c r="P195" s="480"/>
      <c r="Q195" s="480"/>
      <c r="R195" s="480"/>
      <c r="S195" s="480"/>
      <c r="T195" s="480"/>
      <c r="U195" s="480"/>
      <c r="V195" s="480"/>
    </row>
    <row r="196" spans="14:22" s="479" customFormat="1" ht="12">
      <c r="N196" s="480"/>
      <c r="O196" s="480"/>
      <c r="P196" s="480"/>
      <c r="Q196" s="480"/>
      <c r="R196" s="480"/>
      <c r="S196" s="480"/>
      <c r="T196" s="480"/>
      <c r="U196" s="480"/>
      <c r="V196" s="480"/>
    </row>
    <row r="197" spans="14:22" s="479" customFormat="1" ht="12">
      <c r="N197" s="480"/>
      <c r="O197" s="480"/>
      <c r="P197" s="480"/>
      <c r="Q197" s="480"/>
      <c r="R197" s="480"/>
      <c r="S197" s="480"/>
      <c r="T197" s="480"/>
      <c r="U197" s="480"/>
      <c r="V197" s="480"/>
    </row>
    <row r="198" spans="14:22" s="479" customFormat="1" ht="12">
      <c r="N198" s="480"/>
      <c r="O198" s="480"/>
      <c r="P198" s="480"/>
      <c r="Q198" s="480"/>
      <c r="R198" s="480"/>
      <c r="S198" s="480"/>
      <c r="T198" s="480"/>
      <c r="U198" s="480"/>
      <c r="V198" s="480"/>
    </row>
    <row r="199" spans="14:22" s="479" customFormat="1" ht="12">
      <c r="N199" s="480"/>
      <c r="O199" s="480"/>
      <c r="P199" s="480"/>
      <c r="Q199" s="480"/>
      <c r="R199" s="480"/>
      <c r="S199" s="480"/>
      <c r="T199" s="480"/>
      <c r="U199" s="480"/>
      <c r="V199" s="480"/>
    </row>
    <row r="200" spans="14:22" s="479" customFormat="1" ht="12">
      <c r="N200" s="480"/>
      <c r="O200" s="480"/>
      <c r="P200" s="480"/>
      <c r="Q200" s="480"/>
      <c r="R200" s="480"/>
      <c r="S200" s="480"/>
      <c r="T200" s="480"/>
      <c r="U200" s="480"/>
      <c r="V200" s="480"/>
    </row>
    <row r="201" spans="14:22" s="479" customFormat="1" ht="12">
      <c r="N201" s="480"/>
      <c r="O201" s="480"/>
      <c r="P201" s="480"/>
      <c r="Q201" s="480"/>
      <c r="R201" s="480"/>
      <c r="S201" s="480"/>
      <c r="T201" s="480"/>
      <c r="U201" s="480"/>
      <c r="V201" s="480"/>
    </row>
    <row r="202" spans="14:22" s="479" customFormat="1" ht="12">
      <c r="N202" s="480"/>
      <c r="O202" s="480"/>
      <c r="P202" s="480"/>
      <c r="Q202" s="480"/>
      <c r="R202" s="480"/>
      <c r="S202" s="480"/>
      <c r="T202" s="480"/>
      <c r="U202" s="480"/>
      <c r="V202" s="480"/>
    </row>
    <row r="203" spans="14:22" s="479" customFormat="1" ht="12">
      <c r="N203" s="480"/>
      <c r="O203" s="480"/>
      <c r="P203" s="480"/>
      <c r="Q203" s="480"/>
      <c r="R203" s="480"/>
      <c r="S203" s="480"/>
      <c r="T203" s="480"/>
      <c r="U203" s="480"/>
      <c r="V203" s="480"/>
    </row>
    <row r="204" spans="14:22" s="479" customFormat="1" ht="12">
      <c r="N204" s="480"/>
      <c r="O204" s="480"/>
      <c r="P204" s="480"/>
      <c r="Q204" s="480"/>
      <c r="R204" s="480"/>
      <c r="S204" s="480"/>
      <c r="T204" s="480"/>
      <c r="U204" s="480"/>
      <c r="V204" s="480"/>
    </row>
    <row r="205" spans="14:22" s="479" customFormat="1" ht="12">
      <c r="N205" s="480"/>
      <c r="O205" s="480"/>
      <c r="P205" s="480"/>
      <c r="Q205" s="480"/>
      <c r="R205" s="480"/>
      <c r="S205" s="480"/>
      <c r="T205" s="480"/>
      <c r="U205" s="480"/>
      <c r="V205" s="480"/>
    </row>
    <row r="206" spans="14:22" s="479" customFormat="1" ht="12">
      <c r="N206" s="480"/>
      <c r="O206" s="480"/>
      <c r="P206" s="480"/>
      <c r="Q206" s="480"/>
      <c r="R206" s="480"/>
      <c r="S206" s="480"/>
      <c r="T206" s="480"/>
      <c r="U206" s="480"/>
      <c r="V206" s="480"/>
    </row>
    <row r="207" spans="14:22" s="479" customFormat="1" ht="12">
      <c r="N207" s="480"/>
      <c r="O207" s="480"/>
      <c r="P207" s="480"/>
      <c r="Q207" s="480"/>
      <c r="R207" s="480"/>
      <c r="S207" s="480"/>
      <c r="T207" s="480"/>
      <c r="U207" s="480"/>
      <c r="V207" s="480"/>
    </row>
    <row r="208" spans="14:22" s="479" customFormat="1" ht="12">
      <c r="N208" s="480"/>
      <c r="O208" s="480"/>
      <c r="P208" s="480"/>
      <c r="Q208" s="480"/>
      <c r="R208" s="480"/>
      <c r="S208" s="480"/>
      <c r="T208" s="480"/>
      <c r="U208" s="480"/>
      <c r="V208" s="480"/>
    </row>
    <row r="209" spans="14:22" s="479" customFormat="1" ht="12">
      <c r="N209" s="480"/>
      <c r="O209" s="480"/>
      <c r="P209" s="480"/>
      <c r="Q209" s="480"/>
      <c r="R209" s="480"/>
      <c r="S209" s="480"/>
      <c r="T209" s="480"/>
      <c r="U209" s="480"/>
      <c r="V209" s="480"/>
    </row>
    <row r="210" spans="14:22" s="479" customFormat="1" ht="12">
      <c r="N210" s="480"/>
      <c r="O210" s="480"/>
      <c r="P210" s="480"/>
      <c r="Q210" s="480"/>
      <c r="R210" s="480"/>
      <c r="S210" s="480"/>
      <c r="T210" s="480"/>
      <c r="U210" s="480"/>
      <c r="V210" s="480"/>
    </row>
    <row r="211" spans="14:22" s="479" customFormat="1" ht="12">
      <c r="N211" s="480"/>
      <c r="O211" s="480"/>
      <c r="P211" s="480"/>
      <c r="Q211" s="480"/>
      <c r="R211" s="480"/>
      <c r="S211" s="480"/>
      <c r="T211" s="480"/>
      <c r="U211" s="480"/>
      <c r="V211" s="480"/>
    </row>
  </sheetData>
  <phoneticPr fontId="2" type="noConversion"/>
  <pageMargins left="0.6" right="0.6" top="1" bottom="1" header="0.5" footer="0.5"/>
  <pageSetup paperSize="9" orientation="landscape" r:id="rId1"/>
  <headerFooter scaleWithDoc="0">
    <oddHeader>&amp;R&amp;8Draft - Work in Progress</oddHeader>
    <oddFooter>&amp;L&amp;8&amp;F
&amp;D, &amp;T&amp;C&amp;8Page &amp;P of &amp;N&amp;R&amp;8&amp;A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</vt:i4>
      </vt:variant>
    </vt:vector>
  </HeadingPairs>
  <TitlesOfParts>
    <vt:vector size="18" baseType="lpstr">
      <vt:lpstr>보고서 목차</vt:lpstr>
      <vt:lpstr>보고서용</vt:lpstr>
      <vt:lpstr>추정FS</vt:lpstr>
      <vt:lpstr>DCF</vt:lpstr>
      <vt:lpstr>매출추정</vt:lpstr>
      <vt:lpstr>매출원가추정</vt:lpstr>
      <vt:lpstr>CAPEX</vt:lpstr>
      <vt:lpstr>R-SG&amp;A</vt:lpstr>
      <vt:lpstr>NWC</vt:lpstr>
      <vt:lpstr>NetDebt</vt:lpstr>
      <vt:lpstr>SG&amp;A</vt:lpstr>
      <vt:lpstr>WACC</vt:lpstr>
      <vt:lpstr>Multiple</vt:lpstr>
      <vt:lpstr>Multiple_대용기업 정리</vt:lpstr>
      <vt:lpstr>IS</vt:lpstr>
      <vt:lpstr>BS</vt:lpstr>
      <vt:lpstr>EIU_KR</vt:lpstr>
      <vt:lpstr>'R-SG&amp;A'!Print_Area</vt:lpstr>
    </vt:vector>
  </TitlesOfParts>
  <Company>Samil PwC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SPwC-X460</dc:creator>
  <cp:lastModifiedBy>Seoho Kim</cp:lastModifiedBy>
  <dcterms:created xsi:type="dcterms:W3CDTF">2011-10-24T02:56:28Z</dcterms:created>
  <dcterms:modified xsi:type="dcterms:W3CDTF">2021-12-23T00:26:33Z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mrt_NotesFontSize">
    <vt:lpwstr>8</vt:lpwstr>
  </property>
  <property fmtid="{D5CDD505-2E9C-101B-9397-08002B2CF9AE}" pid="3" name="Smrt_WorkbookThemeColor">
    <vt:lpwstr>PwC Burgundy</vt:lpwstr>
  </property>
  <property fmtid="{D5CDD505-2E9C-101B-9397-08002B2CF9AE}" pid="4" name="Smrt_WorkbookNumberDisplay">
    <vt:lpwstr>0</vt:lpwstr>
  </property>
  <property fmtid="{D5CDD505-2E9C-101B-9397-08002B2CF9AE}" pid="5" name="Smrt_WorkbookPercentageDisplay">
    <vt:lpwstr>0</vt:lpwstr>
  </property>
  <property fmtid="{D5CDD505-2E9C-101B-9397-08002B2CF9AE}" pid="6" name="ShowPageNumber">
    <vt:lpwstr>False</vt:lpwstr>
  </property>
</Properties>
</file>