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a7318a0aba533e/01. Work/21. Lecture/13. M^0A^J FS^J Valuation^J IPO/2021.09 FS_패캠/11. Reference Materials/2021.12 (FS) 현대자동차/"/>
    </mc:Choice>
  </mc:AlternateContent>
  <xr:revisionPtr revIDLastSave="48" documentId="8_{D9DE0907-0243-4EBE-95AF-57D659E332E7}" xr6:coauthVersionLast="47" xr6:coauthVersionMax="47" xr10:uidLastSave="{E8552CAC-FB7D-402B-84F0-2876B1D76791}"/>
  <bookViews>
    <workbookView xWindow="8292" yWindow="1056" windowWidth="13740" windowHeight="10008" tabRatio="1000" activeTab="1" xr2:uid="{125E56C2-1990-4B1C-9144-21E542163F35}"/>
    <workbookView xWindow="14628" yWindow="3792" windowWidth="13740" windowHeight="10008" tabRatio="1000" xr2:uid="{4D87228F-AD3C-4BAA-AD16-AA0C5F554B5D}"/>
  </bookViews>
  <sheets>
    <sheet name="JV NPV (제시)" sheetId="6" r:id="rId1"/>
    <sheet name="GLVN NPV (제시)" sheetId="11" r:id="rId2"/>
    <sheet name="주요 지표" sheetId="2" r:id="rId3"/>
  </sheets>
  <definedNames>
    <definedName name="_xlnm.Print_Area" localSheetId="1">'GLVN NPV (제시)'!$A$1:$AL$69</definedName>
    <definedName name="_xlnm.Print_Area" localSheetId="0">'JV NPV (제시)'!$A$1:$AK$58</definedName>
    <definedName name="_xlnm.Print_Area" localSheetId="2">'주요 지표'!$C$3:$M$60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" i="11" l="1"/>
  <c r="AE11" i="11"/>
  <c r="AE12" i="11"/>
  <c r="AE13" i="11"/>
  <c r="AE14" i="11"/>
  <c r="AE15" i="11"/>
  <c r="AE16" i="11"/>
  <c r="AE17" i="11"/>
  <c r="AE18" i="11"/>
  <c r="AE19" i="11"/>
  <c r="AE21" i="11"/>
  <c r="AE22" i="11"/>
  <c r="AE23" i="11"/>
  <c r="AE24" i="11"/>
  <c r="AE25" i="11"/>
  <c r="AE26" i="11"/>
  <c r="AE27" i="11"/>
  <c r="AE28" i="11"/>
  <c r="AE29" i="11"/>
  <c r="AE30" i="11"/>
  <c r="D4" i="11" l="1"/>
  <c r="C4" i="6"/>
  <c r="AA9" i="6"/>
  <c r="AA10" i="6"/>
  <c r="AA15" i="6"/>
  <c r="AA16" i="6"/>
  <c r="V29" i="6"/>
  <c r="Q29" i="6"/>
  <c r="L29" i="6"/>
  <c r="E52" i="6"/>
  <c r="E53" i="6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E54" i="6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E55" i="6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E56" i="6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C57" i="6"/>
  <c r="F29" i="6" s="1"/>
  <c r="F13" i="6"/>
  <c r="F19" i="6" s="1"/>
  <c r="AB27" i="11"/>
  <c r="AB22" i="11"/>
  <c r="AB18" i="11"/>
  <c r="AB17" i="11"/>
  <c r="AB15" i="11"/>
  <c r="AB11" i="11"/>
  <c r="AB21" i="11"/>
  <c r="AB19" i="11"/>
  <c r="AB12" i="11"/>
  <c r="AB10" i="11"/>
  <c r="AB14" i="11"/>
  <c r="AB16" i="11"/>
  <c r="AB23" i="11"/>
  <c r="AB24" i="11"/>
  <c r="AB25" i="11"/>
  <c r="AB28" i="11"/>
  <c r="AB29" i="11"/>
  <c r="AB30" i="11"/>
  <c r="G41" i="11"/>
  <c r="F64" i="11"/>
  <c r="H64" i="11" s="1"/>
  <c r="F65" i="11"/>
  <c r="H65" i="11" s="1"/>
  <c r="I65" i="11" s="1"/>
  <c r="J65" i="11" s="1"/>
  <c r="K65" i="11" s="1"/>
  <c r="L65" i="11" s="1"/>
  <c r="M65" i="11" s="1"/>
  <c r="N65" i="11" s="1"/>
  <c r="O65" i="11" s="1"/>
  <c r="P65" i="11" s="1"/>
  <c r="Q65" i="11" s="1"/>
  <c r="R65" i="11" s="1"/>
  <c r="S65" i="11" s="1"/>
  <c r="T65" i="11" s="1"/>
  <c r="U65" i="11" s="1"/>
  <c r="V65" i="11" s="1"/>
  <c r="W65" i="11" s="1"/>
  <c r="X65" i="11" s="1"/>
  <c r="Y65" i="11" s="1"/>
  <c r="Z65" i="11" s="1"/>
  <c r="AA65" i="11" s="1"/>
  <c r="D68" i="11"/>
  <c r="W43" i="11" s="1"/>
  <c r="E57" i="6" l="1"/>
  <c r="G52" i="6"/>
  <c r="H43" i="11"/>
  <c r="R43" i="11"/>
  <c r="M43" i="11"/>
  <c r="I64" i="11"/>
  <c r="G57" i="6" l="1"/>
  <c r="H52" i="6"/>
  <c r="J64" i="11"/>
  <c r="G28" i="6" l="1"/>
  <c r="G17" i="6"/>
  <c r="G13" i="6" s="1"/>
  <c r="I52" i="6"/>
  <c r="H57" i="6"/>
  <c r="K64" i="11"/>
  <c r="H28" i="6" l="1"/>
  <c r="H17" i="6"/>
  <c r="H13" i="6" s="1"/>
  <c r="J52" i="6"/>
  <c r="I57" i="6"/>
  <c r="L64" i="11"/>
  <c r="I17" i="6" l="1"/>
  <c r="I13" i="6" s="1"/>
  <c r="I28" i="6"/>
  <c r="K52" i="6"/>
  <c r="J57" i="6"/>
  <c r="M64" i="11"/>
  <c r="J17" i="6" l="1"/>
  <c r="J13" i="6" s="1"/>
  <c r="J28" i="6"/>
  <c r="L52" i="6"/>
  <c r="K57" i="6"/>
  <c r="N64" i="11"/>
  <c r="K17" i="6" l="1"/>
  <c r="K13" i="6" s="1"/>
  <c r="K28" i="6"/>
  <c r="M52" i="6"/>
  <c r="L57" i="6"/>
  <c r="O64" i="11"/>
  <c r="L17" i="6" l="1"/>
  <c r="L13" i="6" s="1"/>
  <c r="L28" i="6"/>
  <c r="N52" i="6"/>
  <c r="M57" i="6"/>
  <c r="P64" i="11"/>
  <c r="M28" i="6" l="1"/>
  <c r="M17" i="6"/>
  <c r="M13" i="6" s="1"/>
  <c r="O52" i="6"/>
  <c r="N57" i="6"/>
  <c r="Q64" i="11"/>
  <c r="N28" i="6" l="1"/>
  <c r="N17" i="6"/>
  <c r="N13" i="6" s="1"/>
  <c r="P52" i="6"/>
  <c r="O57" i="6"/>
  <c r="R64" i="11"/>
  <c r="O28" i="6" l="1"/>
  <c r="O17" i="6"/>
  <c r="O13" i="6" s="1"/>
  <c r="Q52" i="6"/>
  <c r="P57" i="6"/>
  <c r="S64" i="11"/>
  <c r="P28" i="6" l="1"/>
  <c r="P17" i="6"/>
  <c r="P13" i="6" s="1"/>
  <c r="R52" i="6"/>
  <c r="Q57" i="6"/>
  <c r="T64" i="11"/>
  <c r="Q17" i="6" l="1"/>
  <c r="Q13" i="6" s="1"/>
  <c r="Q28" i="6"/>
  <c r="S52" i="6"/>
  <c r="R57" i="6"/>
  <c r="U64" i="11"/>
  <c r="R17" i="6" l="1"/>
  <c r="R13" i="6" s="1"/>
  <c r="R28" i="6"/>
  <c r="T52" i="6"/>
  <c r="S57" i="6"/>
  <c r="V64" i="11"/>
  <c r="S28" i="6" l="1"/>
  <c r="S17" i="6"/>
  <c r="S13" i="6" s="1"/>
  <c r="U52" i="6"/>
  <c r="T57" i="6"/>
  <c r="W64" i="11"/>
  <c r="T28" i="6" l="1"/>
  <c r="T17" i="6"/>
  <c r="T13" i="6" s="1"/>
  <c r="V52" i="6"/>
  <c r="U57" i="6"/>
  <c r="X64" i="11"/>
  <c r="U28" i="6" l="1"/>
  <c r="U17" i="6"/>
  <c r="U13" i="6" s="1"/>
  <c r="W52" i="6"/>
  <c r="V57" i="6"/>
  <c r="Y64" i="11"/>
  <c r="V28" i="6" l="1"/>
  <c r="V17" i="6"/>
  <c r="V13" i="6" s="1"/>
  <c r="X52" i="6"/>
  <c r="W57" i="6"/>
  <c r="Z64" i="11"/>
  <c r="W17" i="6" l="1"/>
  <c r="W13" i="6" s="1"/>
  <c r="W28" i="6"/>
  <c r="Y52" i="6"/>
  <c r="X57" i="6"/>
  <c r="AA64" i="11"/>
  <c r="X28" i="6" l="1"/>
  <c r="X17" i="6"/>
  <c r="X13" i="6" s="1"/>
  <c r="Z52" i="6"/>
  <c r="Z57" i="6" s="1"/>
  <c r="Y57" i="6"/>
  <c r="Y17" i="6" l="1"/>
  <c r="Y13" i="6" s="1"/>
  <c r="Y28" i="6"/>
  <c r="Z17" i="6"/>
  <c r="Z28" i="6"/>
  <c r="N20" i="11"/>
  <c r="AA20" i="11"/>
  <c r="S20" i="11"/>
  <c r="K20" i="11"/>
  <c r="X20" i="11"/>
  <c r="P20" i="11"/>
  <c r="L20" i="11"/>
  <c r="Y20" i="11"/>
  <c r="Q20" i="11"/>
  <c r="I20" i="11"/>
  <c r="H20" i="11"/>
  <c r="U20" i="11"/>
  <c r="M20" i="11"/>
  <c r="Z20" i="11"/>
  <c r="R20" i="11"/>
  <c r="J20" i="11"/>
  <c r="W20" i="11"/>
  <c r="V20" i="11"/>
  <c r="O20" i="11"/>
  <c r="G20" i="11"/>
  <c r="T20" i="11"/>
  <c r="G9" i="11"/>
  <c r="G33" i="11" s="1"/>
  <c r="AE20" i="11" l="1"/>
  <c r="Z13" i="6"/>
  <c r="AA13" i="6" s="1"/>
  <c r="AA17" i="6"/>
  <c r="AB20" i="11"/>
  <c r="G31" i="11"/>
  <c r="G34" i="11" l="1"/>
  <c r="G37" i="11" l="1"/>
  <c r="G40" i="11"/>
  <c r="G45" i="11" s="1"/>
  <c r="D58" i="11" l="1"/>
  <c r="J58" i="11" l="1"/>
  <c r="G48" i="11"/>
  <c r="H60" i="11"/>
  <c r="I60" i="11" s="1"/>
  <c r="J60" i="11" s="1"/>
  <c r="H9" i="11"/>
  <c r="I9" i="11"/>
  <c r="J9" i="11"/>
  <c r="K9" i="11"/>
  <c r="L9" i="11"/>
  <c r="AE9" i="11" s="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 s="1"/>
  <c r="F67" i="11"/>
  <c r="F66" i="11"/>
  <c r="H66" i="11" s="1"/>
  <c r="D60" i="11"/>
  <c r="G49" i="11" l="1"/>
  <c r="J46" i="11"/>
  <c r="R46" i="11"/>
  <c r="Z46" i="11"/>
  <c r="M46" i="11"/>
  <c r="L46" i="11"/>
  <c r="T46" i="11"/>
  <c r="N46" i="11"/>
  <c r="V46" i="11"/>
  <c r="I46" i="11"/>
  <c r="Y46" i="11"/>
  <c r="K46" i="11"/>
  <c r="AA46" i="11"/>
  <c r="U46" i="11"/>
  <c r="G46" i="11"/>
  <c r="O46" i="11"/>
  <c r="W46" i="11"/>
  <c r="H46" i="11"/>
  <c r="P46" i="11"/>
  <c r="X46" i="11"/>
  <c r="Q46" i="11"/>
  <c r="S46" i="11"/>
  <c r="I66" i="11"/>
  <c r="H67" i="11"/>
  <c r="I67" i="11" s="1"/>
  <c r="J67" i="11" s="1"/>
  <c r="K67" i="11" s="1"/>
  <c r="L67" i="11" s="1"/>
  <c r="M67" i="11" s="1"/>
  <c r="N67" i="11" s="1"/>
  <c r="O67" i="11" s="1"/>
  <c r="P67" i="11" s="1"/>
  <c r="Q67" i="11" s="1"/>
  <c r="R67" i="11" s="1"/>
  <c r="S67" i="11" s="1"/>
  <c r="T67" i="11" s="1"/>
  <c r="U67" i="11" s="1"/>
  <c r="V67" i="11" s="1"/>
  <c r="W67" i="11" s="1"/>
  <c r="X67" i="11" s="1"/>
  <c r="Y67" i="11" s="1"/>
  <c r="Z67" i="11" s="1"/>
  <c r="AA67" i="11" s="1"/>
  <c r="F68" i="11"/>
  <c r="W33" i="11"/>
  <c r="W31" i="11"/>
  <c r="O33" i="11"/>
  <c r="O31" i="11"/>
  <c r="X33" i="11"/>
  <c r="X31" i="11"/>
  <c r="V33" i="11"/>
  <c r="V31" i="11"/>
  <c r="N33" i="11"/>
  <c r="N31" i="11"/>
  <c r="U33" i="11"/>
  <c r="U31" i="11"/>
  <c r="M33" i="11"/>
  <c r="M31" i="11"/>
  <c r="T33" i="11"/>
  <c r="T31" i="11"/>
  <c r="L33" i="11"/>
  <c r="L31" i="11"/>
  <c r="P33" i="11"/>
  <c r="P31" i="11"/>
  <c r="AA33" i="11"/>
  <c r="AB33" i="11" s="1"/>
  <c r="AA31" i="11"/>
  <c r="S33" i="11"/>
  <c r="S31" i="11"/>
  <c r="K33" i="11"/>
  <c r="K31" i="11"/>
  <c r="H33" i="11"/>
  <c r="H31" i="11"/>
  <c r="Z33" i="11"/>
  <c r="Z31" i="11"/>
  <c r="R33" i="11"/>
  <c r="R31" i="11"/>
  <c r="J33" i="11"/>
  <c r="J31" i="11"/>
  <c r="J34" i="11" s="1"/>
  <c r="Y33" i="11"/>
  <c r="Y31" i="11"/>
  <c r="Q33" i="11"/>
  <c r="Q31" i="11"/>
  <c r="Q34" i="11" s="1"/>
  <c r="I33" i="11"/>
  <c r="I31" i="11"/>
  <c r="W34" i="11" l="1"/>
  <c r="AE33" i="11"/>
  <c r="L34" i="11"/>
  <c r="AE31" i="11"/>
  <c r="Z34" i="11"/>
  <c r="Z35" i="11" s="1"/>
  <c r="O34" i="11"/>
  <c r="O35" i="11" s="1"/>
  <c r="AB31" i="11"/>
  <c r="I34" i="11"/>
  <c r="I35" i="11" s="1"/>
  <c r="R34" i="11"/>
  <c r="R35" i="11" s="1"/>
  <c r="J35" i="11"/>
  <c r="J39" i="11"/>
  <c r="J40" i="11" s="1"/>
  <c r="L35" i="11"/>
  <c r="L39" i="11"/>
  <c r="L40" i="11" s="1"/>
  <c r="W35" i="11"/>
  <c r="W39" i="11"/>
  <c r="W40" i="11" s="1"/>
  <c r="S34" i="11"/>
  <c r="Q35" i="11"/>
  <c r="Q39" i="11"/>
  <c r="Q40" i="11" s="1"/>
  <c r="T34" i="11"/>
  <c r="H68" i="11"/>
  <c r="P34" i="11"/>
  <c r="M34" i="11"/>
  <c r="J66" i="11"/>
  <c r="I68" i="11"/>
  <c r="V34" i="11"/>
  <c r="AA34" i="11"/>
  <c r="Y34" i="11"/>
  <c r="H34" i="11"/>
  <c r="X34" i="11"/>
  <c r="K34" i="11"/>
  <c r="U34" i="11"/>
  <c r="N34" i="11"/>
  <c r="J61" i="11"/>
  <c r="G47" i="11"/>
  <c r="AA32" i="11"/>
  <c r="AB32" i="11" s="1"/>
  <c r="I32" i="11"/>
  <c r="J32" i="11"/>
  <c r="Q32" i="11"/>
  <c r="R32" i="11"/>
  <c r="Y32" i="11"/>
  <c r="H32" i="11"/>
  <c r="Z32" i="11"/>
  <c r="L32" i="11"/>
  <c r="AE32" i="11" s="1"/>
  <c r="S32" i="11"/>
  <c r="M32" i="11"/>
  <c r="T32" i="11"/>
  <c r="N32" i="11"/>
  <c r="U32" i="11"/>
  <c r="V32" i="11"/>
  <c r="P32" i="11"/>
  <c r="O32" i="11"/>
  <c r="K32" i="11"/>
  <c r="X32" i="11"/>
  <c r="W32" i="11"/>
  <c r="K60" i="11"/>
  <c r="O39" i="11" l="1"/>
  <c r="O40" i="11" s="1"/>
  <c r="I39" i="11"/>
  <c r="I40" i="11" s="1"/>
  <c r="Z39" i="11"/>
  <c r="Z40" i="11" s="1"/>
  <c r="AE34" i="11"/>
  <c r="R39" i="11"/>
  <c r="R40" i="11" s="1"/>
  <c r="AB34" i="11"/>
  <c r="I36" i="11"/>
  <c r="I37" i="11" s="1"/>
  <c r="I38" i="11" s="1"/>
  <c r="I42" i="11"/>
  <c r="I41" i="11" s="1"/>
  <c r="I45" i="11" s="1"/>
  <c r="I49" i="11" s="1"/>
  <c r="X35" i="11"/>
  <c r="X39" i="11"/>
  <c r="X40" i="11" s="1"/>
  <c r="S35" i="11"/>
  <c r="S39" i="11"/>
  <c r="S40" i="11" s="1"/>
  <c r="K35" i="11"/>
  <c r="K39" i="11"/>
  <c r="K40" i="11" s="1"/>
  <c r="H35" i="11"/>
  <c r="AE35" i="11" s="1"/>
  <c r="H40" i="11"/>
  <c r="M35" i="11"/>
  <c r="M39" i="11"/>
  <c r="M40" i="11" s="1"/>
  <c r="Y35" i="11"/>
  <c r="Y39" i="11"/>
  <c r="Y40" i="11" s="1"/>
  <c r="P35" i="11"/>
  <c r="P39" i="11"/>
  <c r="P40" i="11" s="1"/>
  <c r="H36" i="11"/>
  <c r="H37" i="11" s="1"/>
  <c r="H38" i="11" s="1"/>
  <c r="H42" i="11"/>
  <c r="H41" i="11" s="1"/>
  <c r="T35" i="11"/>
  <c r="T39" i="11"/>
  <c r="T40" i="11" s="1"/>
  <c r="U35" i="11"/>
  <c r="U39" i="11"/>
  <c r="U40" i="11" s="1"/>
  <c r="AA39" i="11"/>
  <c r="N35" i="11"/>
  <c r="N39" i="11"/>
  <c r="N40" i="11" s="1"/>
  <c r="V35" i="11"/>
  <c r="V39" i="11"/>
  <c r="V40" i="11" s="1"/>
  <c r="K66" i="11"/>
  <c r="J68" i="11"/>
  <c r="AA35" i="11"/>
  <c r="L60" i="11"/>
  <c r="K61" i="11"/>
  <c r="AB35" i="11" l="1"/>
  <c r="H45" i="11"/>
  <c r="H49" i="11" s="1"/>
  <c r="AA40" i="11"/>
  <c r="AB40" i="11" s="1"/>
  <c r="AB39" i="11"/>
  <c r="J36" i="11"/>
  <c r="J37" i="11" s="1"/>
  <c r="J38" i="11" s="1"/>
  <c r="J42" i="11"/>
  <c r="J41" i="11" s="1"/>
  <c r="J45" i="11" s="1"/>
  <c r="J49" i="11" s="1"/>
  <c r="L66" i="11"/>
  <c r="K68" i="11"/>
  <c r="M60" i="11"/>
  <c r="L61" i="11"/>
  <c r="H47" i="11" l="1"/>
  <c r="K36" i="11"/>
  <c r="K37" i="11" s="1"/>
  <c r="K38" i="11" s="1"/>
  <c r="K42" i="11"/>
  <c r="K41" i="11" s="1"/>
  <c r="K45" i="11" s="1"/>
  <c r="K49" i="11" s="1"/>
  <c r="M66" i="11"/>
  <c r="L68" i="11"/>
  <c r="I47" i="11"/>
  <c r="M61" i="11"/>
  <c r="N60" i="11"/>
  <c r="L36" i="11" l="1"/>
  <c r="L42" i="11"/>
  <c r="L41" i="11" s="1"/>
  <c r="L45" i="11" s="1"/>
  <c r="L49" i="11" s="1"/>
  <c r="N66" i="11"/>
  <c r="M68" i="11"/>
  <c r="O60" i="11"/>
  <c r="N61" i="11"/>
  <c r="J47" i="11"/>
  <c r="L37" i="11" l="1"/>
  <c r="L38" i="11" s="1"/>
  <c r="AE36" i="11"/>
  <c r="M36" i="11"/>
  <c r="M37" i="11" s="1"/>
  <c r="M38" i="11" s="1"/>
  <c r="M42" i="11"/>
  <c r="M41" i="11" s="1"/>
  <c r="M45" i="11" s="1"/>
  <c r="M49" i="11" s="1"/>
  <c r="O66" i="11"/>
  <c r="N68" i="11"/>
  <c r="P60" i="11"/>
  <c r="K47" i="11"/>
  <c r="O61" i="11"/>
  <c r="N36" i="11" l="1"/>
  <c r="N37" i="11" s="1"/>
  <c r="N38" i="11" s="1"/>
  <c r="N42" i="11"/>
  <c r="N41" i="11" s="1"/>
  <c r="N45" i="11" s="1"/>
  <c r="N49" i="11" s="1"/>
  <c r="P66" i="11"/>
  <c r="O68" i="11"/>
  <c r="P61" i="11"/>
  <c r="Q60" i="11"/>
  <c r="O36" i="11" l="1"/>
  <c r="O37" i="11" s="1"/>
  <c r="O38" i="11" s="1"/>
  <c r="O42" i="11"/>
  <c r="O41" i="11" s="1"/>
  <c r="O45" i="11" s="1"/>
  <c r="O49" i="11" s="1"/>
  <c r="Q66" i="11"/>
  <c r="P68" i="11"/>
  <c r="R60" i="11"/>
  <c r="M47" i="11"/>
  <c r="S61" i="11"/>
  <c r="Q61" i="11"/>
  <c r="P36" i="11" l="1"/>
  <c r="P37" i="11" s="1"/>
  <c r="P38" i="11" s="1"/>
  <c r="P42" i="11"/>
  <c r="P41" i="11" s="1"/>
  <c r="P45" i="11" s="1"/>
  <c r="P49" i="11" s="1"/>
  <c r="R66" i="11"/>
  <c r="Q68" i="11"/>
  <c r="R61" i="11"/>
  <c r="N47" i="11"/>
  <c r="Q36" i="11" l="1"/>
  <c r="Q37" i="11" s="1"/>
  <c r="Q38" i="11" s="1"/>
  <c r="Q42" i="11"/>
  <c r="Q41" i="11" s="1"/>
  <c r="Q45" i="11" s="1"/>
  <c r="Q49" i="11" s="1"/>
  <c r="S66" i="11"/>
  <c r="R68" i="11"/>
  <c r="O47" i="11"/>
  <c r="L47" i="11"/>
  <c r="R36" i="11" l="1"/>
  <c r="R37" i="11" s="1"/>
  <c r="R38" i="11" s="1"/>
  <c r="R42" i="11"/>
  <c r="R41" i="11" s="1"/>
  <c r="R45" i="11" s="1"/>
  <c r="R49" i="11" s="1"/>
  <c r="T66" i="11"/>
  <c r="S68" i="11"/>
  <c r="P47" i="11"/>
  <c r="S36" i="11" l="1"/>
  <c r="S37" i="11" s="1"/>
  <c r="S38" i="11" s="1"/>
  <c r="S42" i="11"/>
  <c r="S41" i="11" s="1"/>
  <c r="S45" i="11" s="1"/>
  <c r="S49" i="11" s="1"/>
  <c r="U66" i="11"/>
  <c r="T68" i="11"/>
  <c r="Q47" i="11"/>
  <c r="T36" i="11" l="1"/>
  <c r="T37" i="11" s="1"/>
  <c r="T38" i="11" s="1"/>
  <c r="T42" i="11"/>
  <c r="T41" i="11" s="1"/>
  <c r="T45" i="11" s="1"/>
  <c r="T49" i="11" s="1"/>
  <c r="V66" i="11"/>
  <c r="U68" i="11"/>
  <c r="R47" i="11"/>
  <c r="U36" i="11" l="1"/>
  <c r="U37" i="11" s="1"/>
  <c r="U38" i="11" s="1"/>
  <c r="U42" i="11"/>
  <c r="U41" i="11" s="1"/>
  <c r="U45" i="11" s="1"/>
  <c r="U49" i="11" s="1"/>
  <c r="W66" i="11"/>
  <c r="V68" i="11"/>
  <c r="S47" i="11"/>
  <c r="V36" i="11" l="1"/>
  <c r="V37" i="11" s="1"/>
  <c r="V38" i="11" s="1"/>
  <c r="V42" i="11"/>
  <c r="V41" i="11" s="1"/>
  <c r="V45" i="11" s="1"/>
  <c r="V49" i="11" s="1"/>
  <c r="X66" i="11"/>
  <c r="W68" i="11"/>
  <c r="T47" i="11"/>
  <c r="W36" i="11" l="1"/>
  <c r="W37" i="11" s="1"/>
  <c r="W38" i="11" s="1"/>
  <c r="W42" i="11"/>
  <c r="W41" i="11" s="1"/>
  <c r="W45" i="11" s="1"/>
  <c r="W49" i="11" s="1"/>
  <c r="Y66" i="11"/>
  <c r="X68" i="11"/>
  <c r="U47" i="11"/>
  <c r="X36" i="11" l="1"/>
  <c r="X37" i="11" s="1"/>
  <c r="X38" i="11" s="1"/>
  <c r="X42" i="11"/>
  <c r="X41" i="11" s="1"/>
  <c r="X45" i="11" s="1"/>
  <c r="X49" i="11" s="1"/>
  <c r="Z66" i="11"/>
  <c r="Y68" i="11"/>
  <c r="V47" i="11"/>
  <c r="Y36" i="11" l="1"/>
  <c r="Y37" i="11" s="1"/>
  <c r="Y38" i="11" s="1"/>
  <c r="Y42" i="11"/>
  <c r="Y41" i="11" s="1"/>
  <c r="Y45" i="11" s="1"/>
  <c r="Y49" i="11" s="1"/>
  <c r="AA66" i="11"/>
  <c r="AA68" i="11" s="1"/>
  <c r="Z68" i="11"/>
  <c r="W47" i="11"/>
  <c r="Z36" i="11" l="1"/>
  <c r="Z37" i="11" s="1"/>
  <c r="Z38" i="11" s="1"/>
  <c r="Z42" i="11"/>
  <c r="Z41" i="11" s="1"/>
  <c r="Z45" i="11" s="1"/>
  <c r="Z49" i="11" s="1"/>
  <c r="AA36" i="11"/>
  <c r="AB36" i="11" s="1"/>
  <c r="AA42" i="11"/>
  <c r="X47" i="11"/>
  <c r="AA37" i="11" l="1"/>
  <c r="AB37" i="11" s="1"/>
  <c r="AA41" i="11"/>
  <c r="AB42" i="11"/>
  <c r="AA38" i="11"/>
  <c r="AB38" i="11" s="1"/>
  <c r="Y47" i="11"/>
  <c r="AB41" i="11" l="1"/>
  <c r="AA45" i="11"/>
  <c r="AA49" i="11" s="1"/>
  <c r="Z47" i="11"/>
  <c r="AA47" i="11" l="1"/>
  <c r="G51" i="11" l="1"/>
  <c r="G50" i="11"/>
  <c r="F27" i="6"/>
  <c r="G27" i="6"/>
  <c r="F32" i="6"/>
  <c r="F31" i="6" l="1"/>
  <c r="F26" i="6" s="1"/>
  <c r="F37" i="6"/>
  <c r="F36" i="6" s="1"/>
  <c r="J19" i="2"/>
  <c r="AD15" i="6"/>
  <c r="AD16" i="6"/>
  <c r="F43" i="6" l="1"/>
  <c r="F60" i="2" l="1"/>
  <c r="G58" i="2"/>
  <c r="C49" i="6" l="1"/>
  <c r="F21" i="6" s="1"/>
  <c r="G21" i="6" s="1"/>
  <c r="I47" i="6"/>
  <c r="C46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H21" i="6" l="1"/>
  <c r="AA21" i="6"/>
  <c r="AD10" i="6"/>
  <c r="I48" i="6"/>
  <c r="I31" i="6"/>
  <c r="F22" i="6"/>
  <c r="F33" i="6" s="1"/>
  <c r="I49" i="6"/>
  <c r="I21" i="6" s="1"/>
  <c r="J47" i="6"/>
  <c r="F35" i="6" l="1"/>
  <c r="F38" i="6"/>
  <c r="K47" i="6"/>
  <c r="J31" i="6"/>
  <c r="F24" i="6"/>
  <c r="G26" i="6"/>
  <c r="J48" i="6"/>
  <c r="L47" i="6" l="1"/>
  <c r="K31" i="6"/>
  <c r="K48" i="6"/>
  <c r="J49" i="6"/>
  <c r="G50" i="2"/>
  <c r="G54" i="2"/>
  <c r="G49" i="2"/>
  <c r="E52" i="2"/>
  <c r="J21" i="6" l="1"/>
  <c r="M47" i="6"/>
  <c r="L31" i="6"/>
  <c r="L48" i="6"/>
  <c r="K49" i="6"/>
  <c r="K21" i="6" l="1"/>
  <c r="AD21" i="6" s="1"/>
  <c r="N47" i="6"/>
  <c r="M31" i="6"/>
  <c r="M48" i="6"/>
  <c r="L49" i="6"/>
  <c r="L21" i="6" l="1"/>
  <c r="O47" i="6"/>
  <c r="N31" i="6"/>
  <c r="M49" i="6"/>
  <c r="N48" i="6"/>
  <c r="M21" i="6" l="1"/>
  <c r="AD17" i="6"/>
  <c r="P47" i="6"/>
  <c r="O31" i="6"/>
  <c r="N49" i="6"/>
  <c r="O48" i="6"/>
  <c r="AD13" i="6" l="1"/>
  <c r="N21" i="6"/>
  <c r="Q47" i="6"/>
  <c r="P31" i="6"/>
  <c r="O49" i="6"/>
  <c r="P48" i="6"/>
  <c r="O21" i="6" l="1"/>
  <c r="R47" i="6"/>
  <c r="Q31" i="6"/>
  <c r="Q48" i="6"/>
  <c r="P49" i="6"/>
  <c r="R31" i="6" l="1"/>
  <c r="P21" i="6"/>
  <c r="R48" i="6"/>
  <c r="Q49" i="6"/>
  <c r="Q21" i="6" l="1"/>
  <c r="H41" i="2" l="1"/>
  <c r="I38" i="2" s="1"/>
  <c r="H35" i="2"/>
  <c r="I31" i="2" s="1"/>
  <c r="F22" i="2"/>
  <c r="G22" i="2"/>
  <c r="H29" i="2" s="1"/>
  <c r="H19" i="2"/>
  <c r="H20" i="2"/>
  <c r="H21" i="2"/>
  <c r="G10" i="2"/>
  <c r="I10" i="2" s="1"/>
  <c r="F8" i="2"/>
  <c r="F11" i="2"/>
  <c r="G11" i="2" s="1"/>
  <c r="I11" i="2" s="1"/>
  <c r="I30" i="2" l="1"/>
  <c r="H22" i="2"/>
  <c r="I40" i="2"/>
  <c r="H10" i="2"/>
  <c r="J10" i="2" s="1"/>
  <c r="H37" i="2"/>
  <c r="I34" i="2"/>
  <c r="I39" i="2"/>
  <c r="I41" i="2" s="1"/>
  <c r="I33" i="2"/>
  <c r="I32" i="2"/>
  <c r="H11" i="2"/>
  <c r="J11" i="2" s="1"/>
  <c r="I35" i="2" l="1"/>
  <c r="M11" i="6" l="1"/>
  <c r="G11" i="6"/>
  <c r="H11" i="6"/>
  <c r="Q11" i="6"/>
  <c r="J11" i="6"/>
  <c r="T11" i="6"/>
  <c r="T19" i="6" s="1"/>
  <c r="O11" i="6"/>
  <c r="X11" i="6"/>
  <c r="S11" i="6"/>
  <c r="V11" i="6"/>
  <c r="N11" i="6"/>
  <c r="L11" i="6"/>
  <c r="P11" i="6"/>
  <c r="W11" i="6"/>
  <c r="Y11" i="6"/>
  <c r="I11" i="6"/>
  <c r="U11" i="6"/>
  <c r="R11" i="6"/>
  <c r="Z11" i="6"/>
  <c r="AD9" i="6"/>
  <c r="K11" i="6"/>
  <c r="K19" i="6" s="1"/>
  <c r="AA11" i="6" l="1"/>
  <c r="Q12" i="6"/>
  <c r="Q19" i="6"/>
  <c r="G12" i="6"/>
  <c r="G19" i="6"/>
  <c r="AD19" i="6" s="1"/>
  <c r="R12" i="6"/>
  <c r="R19" i="6"/>
  <c r="U19" i="6"/>
  <c r="U20" i="6" s="1"/>
  <c r="I12" i="6"/>
  <c r="I19" i="6"/>
  <c r="M12" i="6"/>
  <c r="M19" i="6"/>
  <c r="S12" i="6"/>
  <c r="S19" i="6"/>
  <c r="W12" i="6"/>
  <c r="W19" i="6"/>
  <c r="X12" i="6"/>
  <c r="X19" i="6"/>
  <c r="X22" i="6" s="1"/>
  <c r="X23" i="6" s="1"/>
  <c r="X27" i="6" s="1"/>
  <c r="X26" i="6" s="1"/>
  <c r="X33" i="6" s="1"/>
  <c r="P19" i="6"/>
  <c r="P22" i="6" s="1"/>
  <c r="P23" i="6" s="1"/>
  <c r="P27" i="6" s="1"/>
  <c r="P26" i="6" s="1"/>
  <c r="P33" i="6" s="1"/>
  <c r="O12" i="6"/>
  <c r="O19" i="6"/>
  <c r="V12" i="6"/>
  <c r="V19" i="6"/>
  <c r="V22" i="6" s="1"/>
  <c r="V23" i="6" s="1"/>
  <c r="V27" i="6" s="1"/>
  <c r="V26" i="6" s="1"/>
  <c r="V33" i="6" s="1"/>
  <c r="H12" i="6"/>
  <c r="H19" i="6"/>
  <c r="Y12" i="6"/>
  <c r="Y19" i="6"/>
  <c r="Y22" i="6" s="1"/>
  <c r="Y23" i="6" s="1"/>
  <c r="Y27" i="6" s="1"/>
  <c r="Y26" i="6" s="1"/>
  <c r="Y33" i="6" s="1"/>
  <c r="L12" i="6"/>
  <c r="L19" i="6"/>
  <c r="Z12" i="6"/>
  <c r="AA12" i="6" s="1"/>
  <c r="Z19" i="6"/>
  <c r="AA19" i="6" s="1"/>
  <c r="N12" i="6"/>
  <c r="N19" i="6"/>
  <c r="J12" i="6"/>
  <c r="J19" i="6"/>
  <c r="U12" i="6"/>
  <c r="P12" i="6"/>
  <c r="AD11" i="6"/>
  <c r="K12" i="6"/>
  <c r="AD12" i="6" s="1"/>
  <c r="T12" i="6"/>
  <c r="T20" i="6"/>
  <c r="T22" i="6"/>
  <c r="P20" i="6"/>
  <c r="K20" i="6"/>
  <c r="K22" i="6"/>
  <c r="V35" i="6" l="1"/>
  <c r="V38" i="6"/>
  <c r="X35" i="6"/>
  <c r="X38" i="6"/>
  <c r="X20" i="6"/>
  <c r="Y35" i="6"/>
  <c r="Y38" i="6"/>
  <c r="P35" i="6"/>
  <c r="P38" i="6"/>
  <c r="Y20" i="6"/>
  <c r="U22" i="6"/>
  <c r="U23" i="6" s="1"/>
  <c r="U27" i="6" s="1"/>
  <c r="U26" i="6" s="1"/>
  <c r="U33" i="6" s="1"/>
  <c r="V20" i="6"/>
  <c r="V24" i="6"/>
  <c r="V25" i="6" s="1"/>
  <c r="T23" i="6"/>
  <c r="T27" i="6" s="1"/>
  <c r="T26" i="6" s="1"/>
  <c r="T33" i="6" s="1"/>
  <c r="M22" i="6"/>
  <c r="M20" i="6"/>
  <c r="S20" i="6"/>
  <c r="S22" i="6"/>
  <c r="L20" i="6"/>
  <c r="L22" i="6"/>
  <c r="Y24" i="6"/>
  <c r="Y25" i="6" s="1"/>
  <c r="Q20" i="6"/>
  <c r="Q22" i="6"/>
  <c r="N20" i="6"/>
  <c r="N22" i="6"/>
  <c r="W20" i="6"/>
  <c r="W22" i="6"/>
  <c r="I22" i="6"/>
  <c r="I20" i="6"/>
  <c r="Z22" i="6"/>
  <c r="AA22" i="6" s="1"/>
  <c r="Z20" i="6"/>
  <c r="AA20" i="6" s="1"/>
  <c r="R20" i="6"/>
  <c r="R22" i="6"/>
  <c r="G20" i="6"/>
  <c r="AD20" i="6" s="1"/>
  <c r="G22" i="6"/>
  <c r="AD22" i="6" s="1"/>
  <c r="U24" i="6"/>
  <c r="U25" i="6" s="1"/>
  <c r="P24" i="6"/>
  <c r="P25" i="6" s="1"/>
  <c r="H22" i="6"/>
  <c r="H20" i="6"/>
  <c r="O22" i="6"/>
  <c r="O20" i="6"/>
  <c r="K23" i="6"/>
  <c r="K24" i="6" s="1"/>
  <c r="J20" i="6"/>
  <c r="J22" i="6"/>
  <c r="X24" i="6"/>
  <c r="X25" i="6" s="1"/>
  <c r="T35" i="6" l="1"/>
  <c r="T38" i="6"/>
  <c r="U35" i="6"/>
  <c r="U38" i="6"/>
  <c r="T24" i="6"/>
  <c r="T25" i="6" s="1"/>
  <c r="O23" i="6"/>
  <c r="O27" i="6" s="1"/>
  <c r="O26" i="6" s="1"/>
  <c r="O33" i="6" s="1"/>
  <c r="N23" i="6"/>
  <c r="N27" i="6" s="1"/>
  <c r="N26" i="6" s="1"/>
  <c r="N33" i="6" s="1"/>
  <c r="S23" i="6"/>
  <c r="S27" i="6" s="1"/>
  <c r="S26" i="6" s="1"/>
  <c r="S33" i="6" s="1"/>
  <c r="J23" i="6"/>
  <c r="J27" i="6" s="1"/>
  <c r="J26" i="6" s="1"/>
  <c r="J33" i="6" s="1"/>
  <c r="Q23" i="6"/>
  <c r="Q27" i="6" s="1"/>
  <c r="Q26" i="6" s="1"/>
  <c r="Q33" i="6" s="1"/>
  <c r="M23" i="6"/>
  <c r="M27" i="6" s="1"/>
  <c r="M26" i="6" s="1"/>
  <c r="M33" i="6" s="1"/>
  <c r="R23" i="6"/>
  <c r="R27" i="6" s="1"/>
  <c r="R26" i="6" s="1"/>
  <c r="R33" i="6" s="1"/>
  <c r="Z23" i="6"/>
  <c r="G24" i="6"/>
  <c r="G25" i="6" s="1"/>
  <c r="G33" i="6"/>
  <c r="I23" i="6"/>
  <c r="I27" i="6" s="1"/>
  <c r="I26" i="6" s="1"/>
  <c r="I33" i="6" s="1"/>
  <c r="H23" i="6"/>
  <c r="H27" i="6" s="1"/>
  <c r="H26" i="6" s="1"/>
  <c r="H33" i="6" s="1"/>
  <c r="K25" i="6"/>
  <c r="K27" i="6"/>
  <c r="K26" i="6" s="1"/>
  <c r="K33" i="6" s="1"/>
  <c r="W23" i="6"/>
  <c r="W27" i="6" s="1"/>
  <c r="W26" i="6" s="1"/>
  <c r="W33" i="6" s="1"/>
  <c r="L23" i="6"/>
  <c r="L27" i="6" s="1"/>
  <c r="L26" i="6" s="1"/>
  <c r="L33" i="6" s="1"/>
  <c r="N35" i="6" l="1"/>
  <c r="N38" i="6"/>
  <c r="O35" i="6"/>
  <c r="O38" i="6"/>
  <c r="W35" i="6"/>
  <c r="W38" i="6"/>
  <c r="S35" i="6"/>
  <c r="S38" i="6"/>
  <c r="R35" i="6"/>
  <c r="R38" i="6"/>
  <c r="I35" i="6"/>
  <c r="I38" i="6"/>
  <c r="G35" i="6"/>
  <c r="G38" i="6"/>
  <c r="K35" i="6"/>
  <c r="K38" i="6"/>
  <c r="M35" i="6"/>
  <c r="M38" i="6"/>
  <c r="L35" i="6"/>
  <c r="L38" i="6"/>
  <c r="Q35" i="6"/>
  <c r="Q38" i="6"/>
  <c r="H35" i="6"/>
  <c r="H38" i="6"/>
  <c r="J35" i="6"/>
  <c r="J38" i="6"/>
  <c r="Q24" i="6"/>
  <c r="Q25" i="6" s="1"/>
  <c r="H24" i="6"/>
  <c r="H25" i="6" s="1"/>
  <c r="AD24" i="6"/>
  <c r="AD25" i="6"/>
  <c r="I24" i="6"/>
  <c r="I25" i="6" s="1"/>
  <c r="S24" i="6"/>
  <c r="S25" i="6" s="1"/>
  <c r="J24" i="6"/>
  <c r="J25" i="6" s="1"/>
  <c r="Z27" i="6"/>
  <c r="Z26" i="6" s="1"/>
  <c r="AA26" i="6" s="1"/>
  <c r="N24" i="6"/>
  <c r="N25" i="6" s="1"/>
  <c r="W24" i="6"/>
  <c r="W25" i="6" s="1"/>
  <c r="R24" i="6"/>
  <c r="R25" i="6" s="1"/>
  <c r="Z24" i="6"/>
  <c r="AA24" i="6" s="1"/>
  <c r="L24" i="6"/>
  <c r="L25" i="6" s="1"/>
  <c r="M24" i="6"/>
  <c r="M25" i="6" s="1"/>
  <c r="O24" i="6"/>
  <c r="O25" i="6" s="1"/>
  <c r="Z25" i="6" l="1"/>
  <c r="AA25" i="6" s="1"/>
  <c r="Z33" i="6"/>
  <c r="Z35" i="6" l="1"/>
  <c r="Z38" i="6"/>
  <c r="F40" i="6" l="1"/>
  <c r="F39" i="6"/>
</calcChain>
</file>

<file path=xl/sharedStrings.xml><?xml version="1.0" encoding="utf-8"?>
<sst xmlns="http://schemas.openxmlformats.org/spreadsheetml/2006/main" count="257" uniqueCount="160">
  <si>
    <t>2022년</t>
    <phoneticPr fontId="2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</si>
  <si>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</si>
  <si>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</si>
  <si>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</si>
  <si>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</si>
  <si>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</si>
  <si>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</si>
  <si>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</si>
  <si>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</si>
  <si>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</si>
  <si>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</si>
  <si>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</si>
  <si>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2034년</t>
  </si>
  <si>
    <t>2035년</t>
  </si>
  <si>
    <t>2036년</t>
  </si>
  <si>
    <t>2037년</t>
  </si>
  <si>
    <t>2038년</t>
  </si>
  <si>
    <t>2039년</t>
  </si>
  <si>
    <t>2040년</t>
  </si>
  <si>
    <t>2041년</t>
  </si>
  <si>
    <t>2042년</t>
  </si>
  <si>
    <t>매출원가</t>
    <phoneticPr fontId="2" type="noConversion"/>
  </si>
  <si>
    <t>매출이익</t>
    <phoneticPr fontId="2" type="noConversion"/>
  </si>
  <si>
    <t>영업이익</t>
    <phoneticPr fontId="2" type="noConversion"/>
  </si>
  <si>
    <t>%</t>
    <phoneticPr fontId="2" type="noConversion"/>
  </si>
  <si>
    <t>CAGR</t>
    <phoneticPr fontId="2" type="noConversion"/>
  </si>
  <si>
    <t>매출총이익</t>
    <phoneticPr fontId="2" type="noConversion"/>
  </si>
  <si>
    <t>판매관리비</t>
    <phoneticPr fontId="2" type="noConversion"/>
  </si>
  <si>
    <t>당기순이익</t>
    <phoneticPr fontId="2" type="noConversion"/>
  </si>
  <si>
    <t>법인세</t>
    <phoneticPr fontId="2" type="noConversion"/>
  </si>
  <si>
    <t>일반</t>
    <phoneticPr fontId="2" type="noConversion"/>
  </si>
  <si>
    <t>콜드체인</t>
    <phoneticPr fontId="2" type="noConversion"/>
  </si>
  <si>
    <t>Key Driver</t>
    <phoneticPr fontId="2" type="noConversion"/>
  </si>
  <si>
    <t>Pallet</t>
    <phoneticPr fontId="2" type="noConversion"/>
  </si>
  <si>
    <t>UPA</t>
    <phoneticPr fontId="2" type="noConversion"/>
  </si>
  <si>
    <t>부지</t>
    <phoneticPr fontId="2" type="noConversion"/>
  </si>
  <si>
    <t>창고</t>
    <phoneticPr fontId="2" type="noConversion"/>
  </si>
  <si>
    <t>상온</t>
    <phoneticPr fontId="2" type="noConversion"/>
  </si>
  <si>
    <t>사무시설</t>
    <phoneticPr fontId="2" type="noConversion"/>
  </si>
  <si>
    <t>부대시설</t>
    <phoneticPr fontId="2" type="noConversion"/>
  </si>
  <si>
    <t>연면적</t>
    <phoneticPr fontId="2" type="noConversion"/>
  </si>
  <si>
    <t>당사</t>
    <phoneticPr fontId="2" type="noConversion"/>
  </si>
  <si>
    <t>당사 직영</t>
    <phoneticPr fontId="2" type="noConversion"/>
  </si>
  <si>
    <t>UPA 직영</t>
    <phoneticPr fontId="2" type="noConversion"/>
  </si>
  <si>
    <t>순 보관면적</t>
    <phoneticPr fontId="2" type="noConversion"/>
  </si>
  <si>
    <t>UPA 영업</t>
    <phoneticPr fontId="2" type="noConversion"/>
  </si>
  <si>
    <t>당사 영업</t>
    <phoneticPr fontId="2" type="noConversion"/>
  </si>
  <si>
    <t>합계</t>
    <phoneticPr fontId="2" type="noConversion"/>
  </si>
  <si>
    <t>영업 대상</t>
    <phoneticPr fontId="2" type="noConversion"/>
  </si>
  <si>
    <t>현지 진출 기업 전략적 협업</t>
    <phoneticPr fontId="2" type="noConversion"/>
  </si>
  <si>
    <t>수행</t>
    <phoneticPr fontId="2" type="noConversion"/>
  </si>
  <si>
    <t>Capa</t>
    <phoneticPr fontId="2" type="noConversion"/>
  </si>
  <si>
    <t>전체 창고 면적</t>
    <phoneticPr fontId="2" type="noConversion"/>
  </si>
  <si>
    <t>■ 물류센터 면적</t>
    <phoneticPr fontId="2" type="noConversion"/>
  </si>
  <si>
    <t>■ 보관 Capa</t>
    <phoneticPr fontId="2" type="noConversion"/>
  </si>
  <si>
    <t>제곱미터</t>
    <phoneticPr fontId="2" type="noConversion"/>
  </si>
  <si>
    <t>■ 운영 계획 ('25년 기준)</t>
    <phoneticPr fontId="2" type="noConversion"/>
  </si>
  <si>
    <t>물량</t>
    <phoneticPr fontId="2" type="noConversion"/>
  </si>
  <si>
    <t>비중</t>
    <phoneticPr fontId="2" type="noConversion"/>
  </si>
  <si>
    <t>매출액</t>
    <phoneticPr fontId="2" type="noConversion"/>
  </si>
  <si>
    <t>백만원</t>
    <phoneticPr fontId="2" type="noConversion"/>
  </si>
  <si>
    <t>세전이익</t>
    <phoneticPr fontId="2" type="noConversion"/>
  </si>
  <si>
    <t>투자</t>
    <phoneticPr fontId="2" type="noConversion"/>
  </si>
  <si>
    <t>구분</t>
    <phoneticPr fontId="2" type="noConversion"/>
  </si>
  <si>
    <t>토지</t>
    <phoneticPr fontId="2" type="noConversion"/>
  </si>
  <si>
    <t>건축</t>
  </si>
  <si>
    <t>건축</t>
    <phoneticPr fontId="2" type="noConversion"/>
  </si>
  <si>
    <t>기타</t>
    <phoneticPr fontId="2" type="noConversion"/>
  </si>
  <si>
    <t>금액</t>
    <phoneticPr fontId="2" type="noConversion"/>
  </si>
  <si>
    <t>시스템</t>
    <phoneticPr fontId="2" type="noConversion"/>
  </si>
  <si>
    <t>상각년수</t>
  </si>
  <si>
    <t>상각년수</t>
    <phoneticPr fontId="2" type="noConversion"/>
  </si>
  <si>
    <t>감가상각비</t>
  </si>
  <si>
    <t>감가상각비</t>
    <phoneticPr fontId="2" type="noConversion"/>
  </si>
  <si>
    <t>설비</t>
    <phoneticPr fontId="2" type="noConversion"/>
  </si>
  <si>
    <t>이자비용</t>
    <phoneticPr fontId="2" type="noConversion"/>
  </si>
  <si>
    <t>총 투자 금액</t>
    <phoneticPr fontId="2" type="noConversion"/>
  </si>
  <si>
    <t>차입비중</t>
    <phoneticPr fontId="2" type="noConversion"/>
  </si>
  <si>
    <t>차입 금액</t>
    <phoneticPr fontId="2" type="noConversion"/>
  </si>
  <si>
    <t>차입 상환</t>
    <phoneticPr fontId="2" type="noConversion"/>
  </si>
  <si>
    <t>이자 비용</t>
    <phoneticPr fontId="2" type="noConversion"/>
  </si>
  <si>
    <t>상환 후 잔액</t>
    <phoneticPr fontId="2" type="noConversion"/>
  </si>
  <si>
    <t>(3년 거치 10년 분할 상환)</t>
    <phoneticPr fontId="2" type="noConversion"/>
  </si>
  <si>
    <t>기타 조정사항</t>
    <phoneticPr fontId="2" type="noConversion"/>
  </si>
  <si>
    <t>감가상각비 (+)</t>
    <phoneticPr fontId="2" type="noConversion"/>
  </si>
  <si>
    <t>자본적지출 (-)</t>
    <phoneticPr fontId="2" type="noConversion"/>
  </si>
  <si>
    <t>순운전자본변동 (-)</t>
    <phoneticPr fontId="2" type="noConversion"/>
  </si>
  <si>
    <t>법인세 (-)</t>
    <phoneticPr fontId="2" type="noConversion"/>
  </si>
  <si>
    <t>WACC</t>
    <phoneticPr fontId="2" type="noConversion"/>
  </si>
  <si>
    <t>NPV</t>
    <phoneticPr fontId="2" type="noConversion"/>
  </si>
  <si>
    <t>IRR</t>
    <phoneticPr fontId="2" type="noConversion"/>
  </si>
  <si>
    <t>Remark</t>
    <phoneticPr fontId="2" type="noConversion"/>
  </si>
  <si>
    <t>초기 투자</t>
    <phoneticPr fontId="2" type="noConversion"/>
  </si>
  <si>
    <t>인건비</t>
    <phoneticPr fontId="2" type="noConversion"/>
  </si>
  <si>
    <t>운영비</t>
    <phoneticPr fontId="2" type="noConversion"/>
  </si>
  <si>
    <t>건물 수선비</t>
    <phoneticPr fontId="2" type="noConversion"/>
  </si>
  <si>
    <t>이자율</t>
    <phoneticPr fontId="2" type="noConversion"/>
  </si>
  <si>
    <t>Payback Period</t>
    <phoneticPr fontId="2" type="noConversion"/>
  </si>
  <si>
    <t>차량 렌탈비, 기타 영업비용 등</t>
    <phoneticPr fontId="2" type="noConversion"/>
  </si>
  <si>
    <t>Discount Factor</t>
    <phoneticPr fontId="2" type="noConversion"/>
  </si>
  <si>
    <t>당사 (사업계획 반영 기준)</t>
    <phoneticPr fontId="2" type="noConversion"/>
  </si>
  <si>
    <t>상각 완료시 재투자 가정</t>
    <phoneticPr fontId="2" type="noConversion"/>
  </si>
  <si>
    <t>LOI 확보 예정</t>
    <phoneticPr fontId="2" type="noConversion"/>
  </si>
  <si>
    <t>전체</t>
    <phoneticPr fontId="2" type="noConversion"/>
  </si>
  <si>
    <t>Facility</t>
    <phoneticPr fontId="2" type="noConversion"/>
  </si>
  <si>
    <t>Pallets</t>
    <phoneticPr fontId="2" type="noConversion"/>
  </si>
  <si>
    <t>JV</t>
    <phoneticPr fontId="2" type="noConversion"/>
  </si>
  <si>
    <t>입출고</t>
    <phoneticPr fontId="2" type="noConversion"/>
  </si>
  <si>
    <t>CAGR (5개년)</t>
    <phoneticPr fontId="2" type="noConversion"/>
  </si>
  <si>
    <t>원리금</t>
    <phoneticPr fontId="2" type="noConversion"/>
  </si>
  <si>
    <t>Net Borrowing (+)</t>
    <phoneticPr fontId="2" type="noConversion"/>
  </si>
  <si>
    <t>Capital Injection (+)</t>
    <phoneticPr fontId="2" type="noConversion"/>
  </si>
  <si>
    <t>보관</t>
    <phoneticPr fontId="2" type="noConversion"/>
  </si>
  <si>
    <t>직영</t>
    <phoneticPr fontId="2" type="noConversion"/>
  </si>
  <si>
    <t>위탁</t>
    <phoneticPr fontId="2" type="noConversion"/>
  </si>
  <si>
    <t>운송</t>
    <phoneticPr fontId="2" type="noConversion"/>
  </si>
  <si>
    <t>부가서비스</t>
    <phoneticPr fontId="2" type="noConversion"/>
  </si>
  <si>
    <t>직접 경비</t>
    <phoneticPr fontId="2" type="noConversion"/>
  </si>
  <si>
    <t>출자</t>
    <phoneticPr fontId="2" type="noConversion"/>
  </si>
  <si>
    <t>초기 운영 투자</t>
    <phoneticPr fontId="2" type="noConversion"/>
  </si>
  <si>
    <t>(3년 후 일시 상환)</t>
    <phoneticPr fontId="2" type="noConversion"/>
  </si>
  <si>
    <t>상온/콜드체인</t>
    <phoneticPr fontId="2" type="noConversion"/>
  </si>
  <si>
    <t>상온 (UPA)</t>
    <phoneticPr fontId="2" type="noConversion"/>
  </si>
  <si>
    <t>상온 (GLVN)</t>
    <phoneticPr fontId="2" type="noConversion"/>
  </si>
  <si>
    <t>외주비</t>
    <phoneticPr fontId="2" type="noConversion"/>
  </si>
  <si>
    <t>임차료</t>
    <phoneticPr fontId="2" type="noConversion"/>
  </si>
  <si>
    <t>GLVN 추가 상온창고 보관용역</t>
    <phoneticPr fontId="2" type="noConversion"/>
  </si>
  <si>
    <t>장비 사용료</t>
    <phoneticPr fontId="2" type="noConversion"/>
  </si>
  <si>
    <t>도급 인건비</t>
    <phoneticPr fontId="2" type="noConversion"/>
  </si>
  <si>
    <t>운영 경비</t>
    <phoneticPr fontId="2" type="noConversion"/>
  </si>
  <si>
    <t>SI본부 공통비 적용 (0.64%)</t>
    <phoneticPr fontId="2" type="noConversion"/>
  </si>
  <si>
    <t>EBITDA</t>
    <phoneticPr fontId="2" type="noConversion"/>
  </si>
  <si>
    <t>저온용 특수 WIFI 장치</t>
    <phoneticPr fontId="2" type="noConversion"/>
  </si>
  <si>
    <t>서버 구축</t>
    <phoneticPr fontId="2" type="noConversion"/>
  </si>
  <si>
    <t>자동 랩핑기</t>
    <phoneticPr fontId="2" type="noConversion"/>
  </si>
  <si>
    <t>수동 랩핑기</t>
    <phoneticPr fontId="2" type="noConversion"/>
  </si>
  <si>
    <t>베트남 법인세 20%</t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</si>
  <si>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NOPLAT</t>
    </r>
    <r>
      <rPr>
        <sz val="10"/>
        <color theme="1"/>
        <rFont val="맑은 고딕"/>
        <family val="3"/>
        <charset val="129"/>
        <scheme val="minor"/>
      </rPr>
      <t xml:space="preserve"> (Net Operating Profit Less Adjusted Tax)</t>
    </r>
    <phoneticPr fontId="2" type="noConversion"/>
  </si>
  <si>
    <t>기타 조정 사항</t>
    <phoneticPr fontId="2" type="noConversion"/>
  </si>
  <si>
    <t>인허가비</t>
    <phoneticPr fontId="2" type="noConversion"/>
  </si>
  <si>
    <t>감가 상각비</t>
    <phoneticPr fontId="2" type="noConversion"/>
  </si>
  <si>
    <t>설비</t>
  </si>
  <si>
    <t>건출/설비 부대비용</t>
  </si>
  <si>
    <t>보관랙</t>
  </si>
  <si>
    <t>토지</t>
  </si>
  <si>
    <t>(1) FCFE</t>
    <phoneticPr fontId="2" type="noConversion"/>
  </si>
  <si>
    <t>(2) 영업현금흐름의 현가</t>
    <phoneticPr fontId="2" type="noConversion"/>
  </si>
  <si>
    <t>(3) 투자비현금흐름</t>
    <phoneticPr fontId="2" type="noConversion"/>
  </si>
  <si>
    <t>(1)+(3) 현금흐름 계</t>
    <phoneticPr fontId="2" type="noConversion"/>
  </si>
  <si>
    <t>16년</t>
    <phoneticPr fontId="2" type="noConversion"/>
  </si>
  <si>
    <t>(1) FCFF</t>
    <phoneticPr fontId="2" type="noConversion"/>
  </si>
  <si>
    <t>3년</t>
    <phoneticPr fontId="2" type="noConversion"/>
  </si>
  <si>
    <r>
      <t xml:space="preserve">■ 물류센터 JV Feasibility  </t>
    </r>
    <r>
      <rPr>
        <sz val="10"/>
        <color theme="1"/>
        <rFont val="맑은 고딕"/>
        <family val="3"/>
        <charset val="129"/>
        <scheme val="minor"/>
      </rPr>
      <t>(제시 기준)</t>
    </r>
    <phoneticPr fontId="2" type="noConversion"/>
  </si>
  <si>
    <r>
      <t xml:space="preserve">■ 물류센터 프로젝트 GLVN Feasibility  </t>
    </r>
    <r>
      <rPr>
        <sz val="10"/>
        <color theme="1"/>
        <rFont val="맑은 고딕"/>
        <family val="3"/>
        <charset val="129"/>
        <scheme val="minor"/>
      </rPr>
      <t>(영업대상 화주 高 + 中 + 低 포함)</t>
    </r>
    <phoneticPr fontId="2" type="noConversion"/>
  </si>
  <si>
    <t>대상 LOI 확보 예정</t>
    <phoneticPr fontId="2" type="noConversion"/>
  </si>
  <si>
    <t>K</t>
    <phoneticPr fontId="2" type="noConversion"/>
  </si>
  <si>
    <t>B</t>
    <phoneticPr fontId="2" type="noConversion"/>
  </si>
  <si>
    <t>T</t>
    <phoneticPr fontId="2" type="noConversion"/>
  </si>
  <si>
    <t>G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</si>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</sst>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"/>
    <numFmt numFmtId="179" formatCode="0.0"/>
    <numFmt numFmtId="180" formatCode="#,##0_);[Red]\(#,##0\);\-_)"/>
    <numFmt numFmtId="182" formatCode="#,##0.00_);[Red]\(#,##0.00\);\-_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medium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medium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41" fontId="4" fillId="0" borderId="1" xfId="1" applyFont="1" applyBorder="1">
      <alignment vertical="center"/>
    </xf>
    <xf numFmtId="0" fontId="4" fillId="0" borderId="3" xfId="0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2" xfId="1" applyFont="1" applyBorder="1">
      <alignment vertical="center"/>
    </xf>
    <xf numFmtId="0" fontId="4" fillId="0" borderId="2" xfId="0" applyFont="1" applyBorder="1">
      <alignment vertical="center"/>
    </xf>
    <xf numFmtId="176" fontId="5" fillId="0" borderId="2" xfId="1" applyNumberFormat="1" applyFont="1" applyBorder="1">
      <alignment vertical="center"/>
    </xf>
    <xf numFmtId="176" fontId="5" fillId="0" borderId="2" xfId="0" applyNumberFormat="1" applyFont="1" applyBorder="1">
      <alignment vertical="center"/>
    </xf>
    <xf numFmtId="0" fontId="3" fillId="2" borderId="2" xfId="0" applyFont="1" applyFill="1" applyBorder="1">
      <alignment vertical="center"/>
    </xf>
    <xf numFmtId="176" fontId="6" fillId="2" borderId="2" xfId="0" applyNumberFormat="1" applyFont="1" applyFill="1" applyBorder="1">
      <alignment vertical="center"/>
    </xf>
    <xf numFmtId="176" fontId="6" fillId="0" borderId="2" xfId="0" applyNumberFormat="1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2" xfId="0" applyFont="1" applyBorder="1">
      <alignment vertical="center"/>
    </xf>
    <xf numFmtId="176" fontId="5" fillId="0" borderId="3" xfId="0" applyNumberFormat="1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41" fontId="4" fillId="0" borderId="14" xfId="1" applyFont="1" applyBorder="1">
      <alignment vertical="center"/>
    </xf>
    <xf numFmtId="41" fontId="4" fillId="0" borderId="15" xfId="1" applyFont="1" applyBorder="1">
      <alignment vertical="center"/>
    </xf>
    <xf numFmtId="41" fontId="4" fillId="0" borderId="0" xfId="1" applyFont="1">
      <alignment vertical="center"/>
    </xf>
    <xf numFmtId="41" fontId="4" fillId="0" borderId="18" xfId="1" applyFont="1" applyBorder="1">
      <alignment vertical="center"/>
    </xf>
    <xf numFmtId="41" fontId="3" fillId="2" borderId="2" xfId="1" applyFont="1" applyFill="1" applyBorder="1">
      <alignment vertical="center"/>
    </xf>
    <xf numFmtId="41" fontId="3" fillId="0" borderId="17" xfId="1" applyFont="1" applyBorder="1">
      <alignment vertical="center"/>
    </xf>
    <xf numFmtId="0" fontId="4" fillId="0" borderId="11" xfId="0" applyFont="1" applyBorder="1">
      <alignment vertical="center"/>
    </xf>
    <xf numFmtId="0" fontId="3" fillId="0" borderId="11" xfId="0" applyFont="1" applyBorder="1">
      <alignment vertical="center"/>
    </xf>
    <xf numFmtId="41" fontId="3" fillId="0" borderId="20" xfId="1" applyFont="1" applyBorder="1">
      <alignment vertical="center"/>
    </xf>
    <xf numFmtId="41" fontId="4" fillId="0" borderId="21" xfId="1" applyFont="1" applyBorder="1">
      <alignment vertical="center"/>
    </xf>
    <xf numFmtId="41" fontId="4" fillId="0" borderId="23" xfId="1" applyFont="1" applyBorder="1">
      <alignment vertical="center"/>
    </xf>
    <xf numFmtId="41" fontId="4" fillId="0" borderId="24" xfId="1" applyFont="1" applyBorder="1">
      <alignment vertical="center"/>
    </xf>
    <xf numFmtId="41" fontId="4" fillId="0" borderId="3" xfId="1" applyFont="1" applyBorder="1">
      <alignment vertical="center"/>
    </xf>
    <xf numFmtId="0" fontId="3" fillId="2" borderId="26" xfId="0" applyFont="1" applyFill="1" applyBorder="1">
      <alignment vertical="center"/>
    </xf>
    <xf numFmtId="41" fontId="3" fillId="2" borderId="26" xfId="1" applyFont="1" applyFill="1" applyBorder="1">
      <alignment vertical="center"/>
    </xf>
    <xf numFmtId="41" fontId="3" fillId="2" borderId="27" xfId="1" applyFont="1" applyFill="1" applyBorder="1">
      <alignment vertical="center"/>
    </xf>
    <xf numFmtId="41" fontId="3" fillId="2" borderId="28" xfId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41" fontId="3" fillId="2" borderId="3" xfId="1" applyFont="1" applyFill="1" applyBorder="1">
      <alignment vertical="center"/>
    </xf>
    <xf numFmtId="0" fontId="5" fillId="3" borderId="4" xfId="0" applyFont="1" applyFill="1" applyBorder="1" applyAlignment="1">
      <alignment horizontal="left" vertical="center"/>
    </xf>
    <xf numFmtId="9" fontId="4" fillId="0" borderId="2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41" fontId="3" fillId="0" borderId="1" xfId="1" applyFont="1" applyFill="1" applyBorder="1">
      <alignment vertical="center"/>
    </xf>
    <xf numFmtId="9" fontId="3" fillId="2" borderId="3" xfId="1" applyNumberFormat="1" applyFont="1" applyFill="1" applyBorder="1">
      <alignment vertical="center"/>
    </xf>
    <xf numFmtId="9" fontId="3" fillId="2" borderId="2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0" fontId="3" fillId="0" borderId="26" xfId="0" applyFont="1" applyBorder="1">
      <alignment vertical="center"/>
    </xf>
    <xf numFmtId="41" fontId="3" fillId="0" borderId="26" xfId="1" applyFont="1" applyBorder="1">
      <alignment vertical="center"/>
    </xf>
    <xf numFmtId="41" fontId="4" fillId="0" borderId="16" xfId="1" applyFont="1" applyBorder="1" applyAlignment="1">
      <alignment horizontal="center" vertical="center"/>
    </xf>
    <xf numFmtId="41" fontId="4" fillId="0" borderId="25" xfId="1" applyFont="1" applyBorder="1" applyAlignment="1">
      <alignment horizontal="center" vertical="center"/>
    </xf>
    <xf numFmtId="41" fontId="3" fillId="2" borderId="29" xfId="1" applyFont="1" applyFill="1" applyBorder="1" applyAlignment="1">
      <alignment horizontal="center" vertical="center"/>
    </xf>
    <xf numFmtId="41" fontId="4" fillId="0" borderId="19" xfId="1" applyFont="1" applyBorder="1" applyAlignment="1">
      <alignment horizontal="center" vertical="center"/>
    </xf>
    <xf numFmtId="41" fontId="4" fillId="0" borderId="22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4" fillId="0" borderId="0" xfId="0" applyNumberFormat="1" applyFont="1">
      <alignment vertical="center"/>
    </xf>
    <xf numFmtId="176" fontId="9" fillId="0" borderId="2" xfId="0" applyNumberFormat="1" applyFont="1" applyBorder="1">
      <alignment vertical="center"/>
    </xf>
    <xf numFmtId="10" fontId="4" fillId="0" borderId="2" xfId="0" applyNumberFormat="1" applyFont="1" applyFill="1" applyBorder="1">
      <alignment vertical="center"/>
    </xf>
    <xf numFmtId="9" fontId="5" fillId="0" borderId="2" xfId="0" applyNumberFormat="1" applyFont="1" applyBorder="1">
      <alignment vertical="center"/>
    </xf>
    <xf numFmtId="176" fontId="4" fillId="0" borderId="0" xfId="1" applyNumberFormat="1" applyFont="1">
      <alignment vertical="center"/>
    </xf>
    <xf numFmtId="9" fontId="4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41" fontId="4" fillId="0" borderId="0" xfId="1" applyFont="1" applyAlignment="1">
      <alignment horizontal="center" vertical="center"/>
    </xf>
    <xf numFmtId="9" fontId="4" fillId="0" borderId="0" xfId="0" applyNumberFormat="1" applyFont="1" applyFill="1">
      <alignment vertical="center"/>
    </xf>
    <xf numFmtId="9" fontId="5" fillId="2" borderId="2" xfId="0" applyNumberFormat="1" applyFont="1" applyFill="1" applyBorder="1">
      <alignment vertical="center"/>
    </xf>
    <xf numFmtId="9" fontId="4" fillId="0" borderId="2" xfId="0" applyNumberFormat="1" applyFont="1" applyFill="1" applyBorder="1">
      <alignment vertical="center"/>
    </xf>
    <xf numFmtId="9" fontId="4" fillId="2" borderId="2" xfId="0" applyNumberFormat="1" applyFont="1" applyFill="1" applyBorder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0" xfId="0" applyNumberFormat="1" applyFont="1">
      <alignment vertical="center"/>
    </xf>
    <xf numFmtId="176" fontId="6" fillId="3" borderId="10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>
      <alignment vertical="center"/>
    </xf>
    <xf numFmtId="176" fontId="5" fillId="0" borderId="2" xfId="0" applyNumberFormat="1" applyFont="1" applyFill="1" applyBorder="1">
      <alignment vertical="center"/>
    </xf>
    <xf numFmtId="176" fontId="6" fillId="0" borderId="2" xfId="0" applyNumberFormat="1" applyFont="1" applyBorder="1">
      <alignment vertical="center"/>
    </xf>
    <xf numFmtId="176" fontId="6" fillId="0" borderId="3" xfId="0" applyNumberFormat="1" applyFont="1" applyFill="1" applyBorder="1">
      <alignment vertical="center"/>
    </xf>
    <xf numFmtId="176" fontId="5" fillId="0" borderId="0" xfId="0" applyNumberFormat="1" applyFont="1" applyBorder="1">
      <alignment vertical="center"/>
    </xf>
    <xf numFmtId="176" fontId="6" fillId="0" borderId="1" xfId="0" applyNumberFormat="1" applyFont="1" applyBorder="1">
      <alignment vertical="center"/>
    </xf>
    <xf numFmtId="9" fontId="5" fillId="2" borderId="8" xfId="0" applyNumberFormat="1" applyFont="1" applyFill="1" applyBorder="1">
      <alignment vertical="center"/>
    </xf>
    <xf numFmtId="9" fontId="4" fillId="2" borderId="8" xfId="0" applyNumberFormat="1" applyFont="1" applyFill="1" applyBorder="1">
      <alignment vertical="center"/>
    </xf>
    <xf numFmtId="9" fontId="5" fillId="0" borderId="8" xfId="0" applyNumberFormat="1" applyFont="1" applyBorder="1">
      <alignment vertical="center"/>
    </xf>
    <xf numFmtId="9" fontId="5" fillId="0" borderId="0" xfId="0" applyNumberFormat="1" applyFont="1" applyAlignment="1">
      <alignment horizontal="right" vertical="center"/>
    </xf>
    <xf numFmtId="9" fontId="5" fillId="0" borderId="0" xfId="0" applyNumberFormat="1" applyFont="1" applyFill="1" applyAlignment="1">
      <alignment horizontal="right" vertical="center"/>
    </xf>
    <xf numFmtId="180" fontId="7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80" fontId="4" fillId="0" borderId="6" xfId="0" applyNumberFormat="1" applyFont="1" applyBorder="1">
      <alignment vertical="center"/>
    </xf>
    <xf numFmtId="180" fontId="3" fillId="3" borderId="1" xfId="0" applyNumberFormat="1" applyFont="1" applyFill="1" applyBorder="1">
      <alignment vertical="center"/>
    </xf>
    <xf numFmtId="180" fontId="4" fillId="3" borderId="1" xfId="0" applyNumberFormat="1" applyFont="1" applyFill="1" applyBorder="1">
      <alignment vertical="center"/>
    </xf>
    <xf numFmtId="180" fontId="3" fillId="0" borderId="3" xfId="0" applyNumberFormat="1" applyFont="1" applyBorder="1">
      <alignment vertical="center"/>
    </xf>
    <xf numFmtId="180" fontId="4" fillId="0" borderId="0" xfId="0" applyNumberFormat="1" applyFont="1" applyBorder="1">
      <alignment vertical="center"/>
    </xf>
    <xf numFmtId="180" fontId="5" fillId="0" borderId="0" xfId="0" applyNumberFormat="1" applyFont="1" applyFill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0" fontId="5" fillId="0" borderId="7" xfId="0" applyNumberFormat="1" applyFont="1" applyFill="1" applyBorder="1" applyAlignment="1">
      <alignment horizontal="center" vertical="center"/>
    </xf>
    <xf numFmtId="180" fontId="5" fillId="0" borderId="0" xfId="0" applyNumberFormat="1" applyFont="1" applyFill="1">
      <alignment vertical="center"/>
    </xf>
    <xf numFmtId="180" fontId="4" fillId="0" borderId="0" xfId="0" applyNumberFormat="1" applyFont="1" applyAlignment="1">
      <alignment horizontal="center" vertical="center"/>
    </xf>
    <xf numFmtId="180" fontId="5" fillId="3" borderId="10" xfId="0" applyNumberFormat="1" applyFont="1" applyFill="1" applyBorder="1" applyAlignment="1">
      <alignment horizontal="left" vertical="center"/>
    </xf>
    <xf numFmtId="180" fontId="3" fillId="3" borderId="10" xfId="0" applyNumberFormat="1" applyFont="1" applyFill="1" applyBorder="1" applyAlignment="1">
      <alignment horizontal="center" vertical="center"/>
    </xf>
    <xf numFmtId="180" fontId="3" fillId="3" borderId="31" xfId="0" applyNumberFormat="1" applyFont="1" applyFill="1" applyBorder="1" applyAlignment="1">
      <alignment horizontal="center" vertical="center"/>
    </xf>
    <xf numFmtId="180" fontId="3" fillId="2" borderId="2" xfId="0" applyNumberFormat="1" applyFont="1" applyFill="1" applyBorder="1">
      <alignment vertical="center"/>
    </xf>
    <xf numFmtId="180" fontId="3" fillId="2" borderId="8" xfId="0" applyNumberFormat="1" applyFont="1" applyFill="1" applyBorder="1">
      <alignment vertical="center"/>
    </xf>
    <xf numFmtId="180" fontId="6" fillId="2" borderId="2" xfId="0" applyNumberFormat="1" applyFont="1" applyFill="1" applyBorder="1">
      <alignment vertical="center"/>
    </xf>
    <xf numFmtId="180" fontId="4" fillId="0" borderId="2" xfId="0" applyNumberFormat="1" applyFont="1" applyBorder="1">
      <alignment vertical="center"/>
    </xf>
    <xf numFmtId="180" fontId="4" fillId="0" borderId="8" xfId="0" applyNumberFormat="1" applyFont="1" applyBorder="1">
      <alignment vertical="center"/>
    </xf>
    <xf numFmtId="180" fontId="5" fillId="0" borderId="2" xfId="0" applyNumberFormat="1" applyFont="1" applyBorder="1">
      <alignment vertical="center"/>
    </xf>
    <xf numFmtId="180" fontId="3" fillId="0" borderId="0" xfId="0" applyNumberFormat="1" applyFont="1">
      <alignment vertical="center"/>
    </xf>
    <xf numFmtId="180" fontId="3" fillId="2" borderId="2" xfId="1" applyNumberFormat="1" applyFont="1" applyFill="1" applyBorder="1">
      <alignment vertical="center"/>
    </xf>
    <xf numFmtId="180" fontId="3" fillId="2" borderId="8" xfId="1" applyNumberFormat="1" applyFont="1" applyFill="1" applyBorder="1">
      <alignment vertical="center"/>
    </xf>
    <xf numFmtId="180" fontId="4" fillId="0" borderId="2" xfId="1" applyNumberFormat="1" applyFont="1" applyBorder="1">
      <alignment vertical="center"/>
    </xf>
    <xf numFmtId="180" fontId="4" fillId="0" borderId="8" xfId="1" applyNumberFormat="1" applyFont="1" applyBorder="1">
      <alignment vertical="center"/>
    </xf>
    <xf numFmtId="180" fontId="3" fillId="0" borderId="2" xfId="0" applyNumberFormat="1" applyFont="1" applyBorder="1">
      <alignment vertical="center"/>
    </xf>
    <xf numFmtId="180" fontId="3" fillId="0" borderId="2" xfId="1" applyNumberFormat="1" applyFont="1" applyBorder="1">
      <alignment vertical="center"/>
    </xf>
    <xf numFmtId="180" fontId="3" fillId="0" borderId="8" xfId="1" applyNumberFormat="1" applyFont="1" applyBorder="1">
      <alignment vertical="center"/>
    </xf>
    <xf numFmtId="180" fontId="3" fillId="0" borderId="8" xfId="0" applyNumberFormat="1" applyFont="1" applyBorder="1">
      <alignment vertical="center"/>
    </xf>
    <xf numFmtId="180" fontId="9" fillId="0" borderId="2" xfId="0" applyNumberFormat="1" applyFont="1" applyBorder="1">
      <alignment vertical="center"/>
    </xf>
    <xf numFmtId="180" fontId="10" fillId="0" borderId="2" xfId="0" applyNumberFormat="1" applyFont="1" applyBorder="1">
      <alignment vertical="center"/>
    </xf>
    <xf numFmtId="180" fontId="9" fillId="0" borderId="2" xfId="1" applyNumberFormat="1" applyFont="1" applyBorder="1" applyAlignment="1">
      <alignment horizontal="right" vertical="center"/>
    </xf>
    <xf numFmtId="180" fontId="4" fillId="0" borderId="3" xfId="0" applyNumberFormat="1" applyFont="1" applyBorder="1">
      <alignment vertical="center"/>
    </xf>
    <xf numFmtId="180" fontId="4" fillId="0" borderId="9" xfId="0" applyNumberFormat="1" applyFont="1" applyBorder="1">
      <alignment vertical="center"/>
    </xf>
    <xf numFmtId="180" fontId="4" fillId="0" borderId="0" xfId="1" applyNumberFormat="1" applyFont="1" applyBorder="1">
      <alignment vertical="center"/>
    </xf>
    <xf numFmtId="180" fontId="3" fillId="0" borderId="1" xfId="0" applyNumberFormat="1" applyFont="1" applyBorder="1">
      <alignment vertical="center"/>
    </xf>
    <xf numFmtId="180" fontId="3" fillId="0" borderId="7" xfId="0" applyNumberFormat="1" applyFont="1" applyBorder="1">
      <alignment vertical="center"/>
    </xf>
    <xf numFmtId="180" fontId="3" fillId="0" borderId="2" xfId="0" applyNumberFormat="1" applyFont="1" applyFill="1" applyBorder="1">
      <alignment vertical="center"/>
    </xf>
    <xf numFmtId="180" fontId="3" fillId="0" borderId="2" xfId="1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0" borderId="8" xfId="0" applyNumberFormat="1" applyFont="1" applyFill="1" applyBorder="1">
      <alignment vertical="center"/>
    </xf>
    <xf numFmtId="180" fontId="4" fillId="0" borderId="2" xfId="1" applyNumberFormat="1" applyFont="1" applyFill="1" applyBorder="1">
      <alignment vertical="center"/>
    </xf>
    <xf numFmtId="180" fontId="4" fillId="0" borderId="8" xfId="1" applyNumberFormat="1" applyFont="1" applyFill="1" applyBorder="1">
      <alignment vertical="center"/>
    </xf>
    <xf numFmtId="180" fontId="4" fillId="0" borderId="3" xfId="1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180" fontId="4" fillId="0" borderId="1" xfId="1" applyNumberFormat="1" applyFont="1" applyBorder="1">
      <alignment vertical="center"/>
    </xf>
    <xf numFmtId="180" fontId="4" fillId="0" borderId="7" xfId="0" applyNumberFormat="1" applyFont="1" applyBorder="1">
      <alignment vertical="center"/>
    </xf>
    <xf numFmtId="9" fontId="5" fillId="0" borderId="0" xfId="0" applyNumberFormat="1" applyFont="1" applyFill="1">
      <alignment vertical="center"/>
    </xf>
    <xf numFmtId="9" fontId="4" fillId="0" borderId="0" xfId="0" applyNumberFormat="1" applyFont="1" applyAlignment="1">
      <alignment horizontal="center" vertical="center"/>
    </xf>
    <xf numFmtId="9" fontId="4" fillId="0" borderId="0" xfId="0" applyNumberFormat="1" applyFont="1" applyBorder="1">
      <alignment vertical="center"/>
    </xf>
    <xf numFmtId="182" fontId="5" fillId="0" borderId="2" xfId="0" applyNumberFormat="1" applyFont="1" applyBorder="1">
      <alignment vertical="center"/>
    </xf>
    <xf numFmtId="182" fontId="5" fillId="0" borderId="2" xfId="1" applyNumberFormat="1" applyFont="1" applyBorder="1">
      <alignment vertical="center"/>
    </xf>
    <xf numFmtId="182" fontId="5" fillId="0" borderId="8" xfId="1" applyNumberFormat="1" applyFont="1" applyBorder="1">
      <alignment vertical="center"/>
    </xf>
    <xf numFmtId="182" fontId="5" fillId="0" borderId="0" xfId="0" applyNumberFormat="1" applyFont="1">
      <alignment vertical="center"/>
    </xf>
    <xf numFmtId="180" fontId="3" fillId="2" borderId="5" xfId="0" applyNumberFormat="1" applyFont="1" applyFill="1" applyBorder="1">
      <alignment vertical="center"/>
    </xf>
    <xf numFmtId="180" fontId="3" fillId="2" borderId="32" xfId="0" applyNumberFormat="1" applyFont="1" applyFill="1" applyBorder="1">
      <alignment vertical="center"/>
    </xf>
    <xf numFmtId="180" fontId="5" fillId="0" borderId="0" xfId="0" applyNumberFormat="1" applyFont="1" applyAlignment="1">
      <alignment horizontal="right" vertical="center"/>
    </xf>
    <xf numFmtId="180" fontId="4" fillId="0" borderId="0" xfId="0" applyNumberFormat="1" applyFont="1" applyFill="1">
      <alignment vertical="center"/>
    </xf>
    <xf numFmtId="180" fontId="5" fillId="0" borderId="0" xfId="0" applyNumberFormat="1" applyFont="1" applyFill="1" applyAlignment="1">
      <alignment horizontal="right" vertical="center"/>
    </xf>
    <xf numFmtId="180" fontId="6" fillId="0" borderId="0" xfId="0" applyNumberFormat="1" applyFont="1" applyAlignment="1">
      <alignment horizontal="right" vertical="center"/>
    </xf>
    <xf numFmtId="180" fontId="3" fillId="0" borderId="0" xfId="0" applyNumberFormat="1" applyFont="1" applyFill="1">
      <alignment vertical="center"/>
    </xf>
    <xf numFmtId="180" fontId="4" fillId="0" borderId="3" xfId="0" applyNumberFormat="1" applyFont="1" applyFill="1" applyBorder="1">
      <alignment vertical="center"/>
    </xf>
    <xf numFmtId="180" fontId="4" fillId="0" borderId="3" xfId="1" applyNumberFormat="1" applyFont="1" applyFill="1" applyBorder="1">
      <alignment vertical="center"/>
    </xf>
    <xf numFmtId="180" fontId="3" fillId="0" borderId="3" xfId="0" applyNumberFormat="1" applyFont="1" applyFill="1" applyBorder="1">
      <alignment vertical="center"/>
    </xf>
    <xf numFmtId="180" fontId="3" fillId="0" borderId="3" xfId="1" applyNumberFormat="1" applyFont="1" applyFill="1" applyBorder="1">
      <alignment vertical="center"/>
    </xf>
    <xf numFmtId="180" fontId="4" fillId="0" borderId="7" xfId="1" applyNumberFormat="1" applyFont="1" applyBorder="1">
      <alignment vertical="center"/>
    </xf>
    <xf numFmtId="9" fontId="4" fillId="0" borderId="2" xfId="1" applyNumberFormat="1" applyFont="1" applyFill="1" applyBorder="1">
      <alignment vertical="center"/>
    </xf>
    <xf numFmtId="9" fontId="4" fillId="0" borderId="8" xfId="1" applyNumberFormat="1" applyFont="1" applyFill="1" applyBorder="1">
      <alignment vertical="center"/>
    </xf>
    <xf numFmtId="9" fontId="3" fillId="0" borderId="3" xfId="1" applyNumberFormat="1" applyFont="1" applyFill="1" applyBorder="1">
      <alignment vertical="center"/>
    </xf>
    <xf numFmtId="9" fontId="3" fillId="0" borderId="9" xfId="1" applyNumberFormat="1" applyFont="1" applyFill="1" applyBorder="1">
      <alignment vertical="center"/>
    </xf>
    <xf numFmtId="9" fontId="3" fillId="0" borderId="3" xfId="0" applyNumberFormat="1" applyFont="1" applyFill="1" applyBorder="1">
      <alignment vertical="center"/>
    </xf>
    <xf numFmtId="180" fontId="9" fillId="4" borderId="2" xfId="0" applyNumberFormat="1" applyFont="1" applyFill="1" applyBorder="1">
      <alignment vertical="center"/>
    </xf>
    <xf numFmtId="180" fontId="3" fillId="4" borderId="2" xfId="1" applyNumberFormat="1" applyFont="1" applyFill="1" applyBorder="1">
      <alignment vertical="center"/>
    </xf>
    <xf numFmtId="180" fontId="3" fillId="4" borderId="2" xfId="0" applyNumberFormat="1" applyFont="1" applyFill="1" applyBorder="1">
      <alignment vertical="center"/>
    </xf>
    <xf numFmtId="180" fontId="3" fillId="4" borderId="8" xfId="1" applyNumberFormat="1" applyFont="1" applyFill="1" applyBorder="1">
      <alignment vertical="center"/>
    </xf>
    <xf numFmtId="180" fontId="3" fillId="4" borderId="1" xfId="1" applyNumberFormat="1" applyFont="1" applyFill="1" applyBorder="1">
      <alignment vertical="center"/>
    </xf>
    <xf numFmtId="180" fontId="4" fillId="4" borderId="2" xfId="0" applyNumberFormat="1" applyFont="1" applyFill="1" applyBorder="1">
      <alignment vertical="center"/>
    </xf>
    <xf numFmtId="180" fontId="4" fillId="4" borderId="2" xfId="1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E855-57AC-4428-94E7-53368C895422}">
  <dimension ref="A1:AD59"/>
  <sheetViews>
    <sheetView showGridLines="0" zoomScale="85" zoomScaleNormal="85" workbookViewId="0">
      <selection activeCell="N8" sqref="N8"/>
    </sheetView>
    <sheetView showGridLines="0" tabSelected="1" topLeftCell="A17" workbookViewId="1">
      <selection activeCell="F33" sqref="F33"/>
    </sheetView>
  </sheetViews>
  <sheetFormatPr defaultColWidth="9" defaultRowHeight="18" customHeight="1" x14ac:dyDescent="0.4"/>
  <cols>
    <col min="1" max="1" width="2.59765625" style="92" customWidth="1"/>
    <col min="2" max="2" width="24.69921875" style="92" bestFit="1" customWidth="1"/>
    <col min="3" max="3" width="14.59765625" style="92" bestFit="1" customWidth="1"/>
    <col min="4" max="10" width="7.69921875" style="92" customWidth="1"/>
    <col min="11" max="11" width="7.69921875" style="93" customWidth="1"/>
    <col min="12" max="27" width="7.69921875" style="92" customWidth="1"/>
    <col min="28" max="28" width="25" style="92" bestFit="1" customWidth="1"/>
    <col min="29" max="29" width="1.69921875" style="92" customWidth="1"/>
    <col min="30" max="30" width="9" style="69"/>
    <col min="31" max="16384" width="9" style="92"/>
  </cols>
  <sheetData>
    <row r="1" spans="1:30" ht="18" customHeight="1" x14ac:dyDescent="0.4">
      <c r="A1" s="91" t="s">
        <v>152</v>
      </c>
    </row>
    <row r="3" spans="1:30" ht="18" customHeight="1" x14ac:dyDescent="0.4">
      <c r="B3" s="94" t="s">
        <v>32</v>
      </c>
      <c r="C3" s="95"/>
    </row>
    <row r="4" spans="1:30" ht="18" customHeight="1" x14ac:dyDescent="0.4">
      <c r="B4" s="96" t="s">
        <v>88</v>
      </c>
      <c r="C4" s="96">
        <f>C5</f>
        <v>6.8400000000000002E-2</v>
      </c>
    </row>
    <row r="5" spans="1:30" ht="18" customHeight="1" x14ac:dyDescent="0.4">
      <c r="B5" s="97" t="s">
        <v>34</v>
      </c>
      <c r="C5" s="97">
        <v>6.8400000000000002E-2</v>
      </c>
    </row>
    <row r="7" spans="1:30" s="101" customFormat="1" ht="18" customHeight="1" x14ac:dyDescent="0.4">
      <c r="A7" s="98"/>
      <c r="B7" s="99"/>
      <c r="C7" s="99"/>
      <c r="D7" s="99"/>
      <c r="E7" s="99"/>
      <c r="F7" s="99">
        <v>0</v>
      </c>
      <c r="G7" s="99">
        <v>1</v>
      </c>
      <c r="H7" s="99">
        <v>2</v>
      </c>
      <c r="I7" s="99">
        <v>3</v>
      </c>
      <c r="J7" s="99">
        <v>4</v>
      </c>
      <c r="K7" s="100">
        <v>5</v>
      </c>
      <c r="L7" s="99">
        <v>6</v>
      </c>
      <c r="M7" s="99">
        <v>7</v>
      </c>
      <c r="N7" s="99">
        <v>8</v>
      </c>
      <c r="O7" s="99">
        <v>9</v>
      </c>
      <c r="P7" s="99">
        <v>10</v>
      </c>
      <c r="Q7" s="99">
        <v>11</v>
      </c>
      <c r="R7" s="99">
        <v>12</v>
      </c>
      <c r="S7" s="99">
        <v>13</v>
      </c>
      <c r="T7" s="99">
        <v>14</v>
      </c>
      <c r="U7" s="99">
        <v>15</v>
      </c>
      <c r="V7" s="99">
        <v>16</v>
      </c>
      <c r="W7" s="99">
        <v>17</v>
      </c>
      <c r="X7" s="99">
        <v>18</v>
      </c>
      <c r="Y7" s="99">
        <v>19</v>
      </c>
      <c r="Z7" s="99">
        <v>20</v>
      </c>
      <c r="AA7" s="99"/>
      <c r="AB7" s="99"/>
      <c r="AD7" s="139"/>
    </row>
    <row r="8" spans="1:30" s="102" customFormat="1" ht="18" customHeight="1" thickBot="1" x14ac:dyDescent="0.45">
      <c r="B8" s="103" t="s">
        <v>60</v>
      </c>
      <c r="C8" s="104"/>
      <c r="D8" s="104"/>
      <c r="E8" s="104"/>
      <c r="F8" s="104" t="s">
        <v>0</v>
      </c>
      <c r="G8" s="104" t="s">
        <v>1</v>
      </c>
      <c r="H8" s="104" t="s">
        <v>2</v>
      </c>
      <c r="I8" s="104" t="s">
        <v>3</v>
      </c>
      <c r="J8" s="104" t="s">
        <v>4</v>
      </c>
      <c r="K8" s="105" t="s">
        <v>5</v>
      </c>
      <c r="L8" s="104" t="s">
        <v>6</v>
      </c>
      <c r="M8" s="104" t="s">
        <v>7</v>
      </c>
      <c r="N8" s="104" t="s">
        <v>8</v>
      </c>
      <c r="O8" s="104" t="s">
        <v>9</v>
      </c>
      <c r="P8" s="104" t="s">
        <v>10</v>
      </c>
      <c r="Q8" s="104" t="s">
        <v>11</v>
      </c>
      <c r="R8" s="104" t="s">
        <v>12</v>
      </c>
      <c r="S8" s="104" t="s">
        <v>13</v>
      </c>
      <c r="T8" s="104" t="s">
        <v>14</v>
      </c>
      <c r="U8" s="104" t="s">
        <v>15</v>
      </c>
      <c r="V8" s="104" t="s">
        <v>16</v>
      </c>
      <c r="W8" s="104" t="s">
        <v>17</v>
      </c>
      <c r="X8" s="104" t="s">
        <v>18</v>
      </c>
      <c r="Y8" s="104" t="s">
        <v>19</v>
      </c>
      <c r="Z8" s="104" t="s">
        <v>20</v>
      </c>
      <c r="AA8" s="104" t="s">
        <v>25</v>
      </c>
      <c r="AB8" s="104" t="s">
        <v>91</v>
      </c>
      <c r="AD8" s="140" t="s">
        <v>108</v>
      </c>
    </row>
    <row r="9" spans="1:30" ht="18" customHeight="1" x14ac:dyDescent="0.4">
      <c r="B9" s="106" t="s">
        <v>59</v>
      </c>
      <c r="C9" s="106"/>
      <c r="D9" s="106"/>
      <c r="E9" s="106"/>
      <c r="F9" s="106"/>
      <c r="G9" s="106">
        <v>2509.2498094000002</v>
      </c>
      <c r="H9" s="106">
        <v>3050.5025830700429</v>
      </c>
      <c r="I9" s="106">
        <v>3543.1001043394504</v>
      </c>
      <c r="J9" s="106">
        <v>4046.5571604435218</v>
      </c>
      <c r="K9" s="107">
        <v>4875.1612537003675</v>
      </c>
      <c r="L9" s="106">
        <v>5272.4199345815014</v>
      </c>
      <c r="M9" s="106">
        <v>5351.4080464416838</v>
      </c>
      <c r="N9" s="106">
        <v>5404.9221269061009</v>
      </c>
      <c r="O9" s="106">
        <v>5458.9713481751614</v>
      </c>
      <c r="P9" s="106">
        <v>5513.5610616569129</v>
      </c>
      <c r="Q9" s="106">
        <v>5568.6803614231785</v>
      </c>
      <c r="R9" s="106">
        <v>5624.3671650374108</v>
      </c>
      <c r="S9" s="106">
        <v>5680.6108366877843</v>
      </c>
      <c r="T9" s="106">
        <v>5737.4169450546624</v>
      </c>
      <c r="U9" s="106">
        <v>5794.7911145052103</v>
      </c>
      <c r="V9" s="106">
        <v>5852.7390256502622</v>
      </c>
      <c r="W9" s="106">
        <v>5911.2664159067654</v>
      </c>
      <c r="X9" s="106">
        <v>5970.3790800658335</v>
      </c>
      <c r="Y9" s="106">
        <v>6030.0828708664912</v>
      </c>
      <c r="Z9" s="106">
        <v>6090.3836995751553</v>
      </c>
      <c r="AA9" s="108">
        <f t="shared" ref="AA9:AA26" si="0">(Z9/G9)^(1/19)-1</f>
        <v>4.7776034606053175E-2</v>
      </c>
      <c r="AB9" s="106"/>
      <c r="AD9" s="69">
        <f t="shared" ref="AD9:AD25" si="1">(K9/G9)^(1/4)-1</f>
        <v>0.18062308642610847</v>
      </c>
    </row>
    <row r="10" spans="1:30" ht="18" customHeight="1" x14ac:dyDescent="0.4">
      <c r="B10" s="109" t="s">
        <v>21</v>
      </c>
      <c r="C10" s="109"/>
      <c r="D10" s="109"/>
      <c r="E10" s="109"/>
      <c r="F10" s="109"/>
      <c r="G10" s="109">
        <v>300.87139135331302</v>
      </c>
      <c r="H10" s="109">
        <v>538.599333834611</v>
      </c>
      <c r="I10" s="109">
        <v>835.74936651576081</v>
      </c>
      <c r="J10" s="109">
        <v>950.49115392450835</v>
      </c>
      <c r="K10" s="110">
        <v>1298.8625881214109</v>
      </c>
      <c r="L10" s="109">
        <v>1450.6830673880547</v>
      </c>
      <c r="M10" s="109">
        <v>1488.8911903697949</v>
      </c>
      <c r="N10" s="109">
        <v>1528.2382541147019</v>
      </c>
      <c r="O10" s="109">
        <v>1568.7156077994459</v>
      </c>
      <c r="P10" s="109">
        <v>1610.6170529021008</v>
      </c>
      <c r="Q10" s="109">
        <v>1642.6650404787922</v>
      </c>
      <c r="R10" s="109">
        <v>1687.2235692826023</v>
      </c>
      <c r="S10" s="109">
        <v>1715.96382036106</v>
      </c>
      <c r="T10" s="109">
        <v>1745.2788764610877</v>
      </c>
      <c r="U10" s="109">
        <v>1775.180233683114</v>
      </c>
      <c r="V10" s="109">
        <v>1805.679618049583</v>
      </c>
      <c r="W10" s="109">
        <v>1836.7889901033805</v>
      </c>
      <c r="X10" s="109">
        <v>1868.5205495982534</v>
      </c>
      <c r="Y10" s="109">
        <v>1900.8867402830244</v>
      </c>
      <c r="Z10" s="109">
        <v>1933.9002547814905</v>
      </c>
      <c r="AA10" s="111">
        <f t="shared" si="0"/>
        <v>0.10288216715977461</v>
      </c>
      <c r="AB10" s="109"/>
      <c r="AD10" s="69">
        <f t="shared" si="1"/>
        <v>0.441436710055229</v>
      </c>
    </row>
    <row r="11" spans="1:30" ht="18" customHeight="1" x14ac:dyDescent="0.4">
      <c r="B11" s="106" t="s">
        <v>26</v>
      </c>
      <c r="C11" s="106"/>
      <c r="D11" s="106"/>
      <c r="E11" s="106"/>
      <c r="F11" s="106"/>
      <c r="G11" s="106">
        <f t="shared" ref="G11:Z11" si="2">G9-G10</f>
        <v>2208.3784180466873</v>
      </c>
      <c r="H11" s="106">
        <f t="shared" si="2"/>
        <v>2511.9032492354318</v>
      </c>
      <c r="I11" s="106">
        <f t="shared" si="2"/>
        <v>2707.3507378236895</v>
      </c>
      <c r="J11" s="106">
        <f t="shared" si="2"/>
        <v>3096.0660065190132</v>
      </c>
      <c r="K11" s="107">
        <f t="shared" si="2"/>
        <v>3576.2986655789564</v>
      </c>
      <c r="L11" s="106">
        <f t="shared" si="2"/>
        <v>3821.7368671934464</v>
      </c>
      <c r="M11" s="106">
        <f t="shared" si="2"/>
        <v>3862.5168560718889</v>
      </c>
      <c r="N11" s="106">
        <f t="shared" si="2"/>
        <v>3876.6838727913992</v>
      </c>
      <c r="O11" s="106">
        <f t="shared" si="2"/>
        <v>3890.2557403757155</v>
      </c>
      <c r="P11" s="106">
        <f t="shared" si="2"/>
        <v>3902.9440087548119</v>
      </c>
      <c r="Q11" s="106">
        <f t="shared" si="2"/>
        <v>3926.0153209443861</v>
      </c>
      <c r="R11" s="106">
        <f t="shared" si="2"/>
        <v>3937.1435957548083</v>
      </c>
      <c r="S11" s="106">
        <f t="shared" si="2"/>
        <v>3964.647016326724</v>
      </c>
      <c r="T11" s="106">
        <f t="shared" si="2"/>
        <v>3992.1380685935746</v>
      </c>
      <c r="U11" s="106">
        <f t="shared" si="2"/>
        <v>4019.6108808220961</v>
      </c>
      <c r="V11" s="106">
        <f t="shared" si="2"/>
        <v>4047.0594076006792</v>
      </c>
      <c r="W11" s="106">
        <f t="shared" si="2"/>
        <v>4074.4774258033849</v>
      </c>
      <c r="X11" s="106">
        <f t="shared" si="2"/>
        <v>4101.8585304675798</v>
      </c>
      <c r="Y11" s="106">
        <f t="shared" si="2"/>
        <v>4129.1961305834666</v>
      </c>
      <c r="Z11" s="106">
        <f t="shared" si="2"/>
        <v>4156.4834447936646</v>
      </c>
      <c r="AA11" s="108">
        <f t="shared" si="0"/>
        <v>3.3844919612089353E-2</v>
      </c>
      <c r="AB11" s="106"/>
      <c r="AD11" s="69">
        <f t="shared" si="1"/>
        <v>0.12808044682652198</v>
      </c>
    </row>
    <row r="12" spans="1:30" s="70" customFormat="1" ht="18" customHeight="1" x14ac:dyDescent="0.4">
      <c r="B12" s="67"/>
      <c r="C12" s="67" t="s">
        <v>24</v>
      </c>
      <c r="D12" s="67"/>
      <c r="E12" s="67"/>
      <c r="F12" s="67"/>
      <c r="G12" s="67">
        <f t="shared" ref="G12:Z12" si="3">G11/G9</f>
        <v>0.88009508251183022</v>
      </c>
      <c r="H12" s="67">
        <f t="shared" si="3"/>
        <v>0.82343914841318977</v>
      </c>
      <c r="I12" s="67">
        <f t="shared" si="3"/>
        <v>0.76411917758344794</v>
      </c>
      <c r="J12" s="67">
        <f t="shared" si="3"/>
        <v>0.76511115097646853</v>
      </c>
      <c r="K12" s="88">
        <f t="shared" si="3"/>
        <v>0.73357546129668172</v>
      </c>
      <c r="L12" s="67">
        <f t="shared" si="3"/>
        <v>0.7248544149768672</v>
      </c>
      <c r="M12" s="67">
        <f t="shared" si="3"/>
        <v>0.7217758060217806</v>
      </c>
      <c r="N12" s="67">
        <f t="shared" si="3"/>
        <v>0.71725064335209954</v>
      </c>
      <c r="O12" s="67">
        <f t="shared" si="3"/>
        <v>0.71263531025422211</v>
      </c>
      <c r="P12" s="67">
        <f t="shared" si="3"/>
        <v>0.7078807988356467</v>
      </c>
      <c r="Q12" s="67">
        <f t="shared" si="3"/>
        <v>0.70501717931984531</v>
      </c>
      <c r="R12" s="67">
        <f t="shared" si="3"/>
        <v>0.70001539377250455</v>
      </c>
      <c r="S12" s="67">
        <f t="shared" si="3"/>
        <v>0.69792617912168153</v>
      </c>
      <c r="T12" s="67">
        <f t="shared" si="3"/>
        <v>0.69580755709842179</v>
      </c>
      <c r="U12" s="67">
        <f t="shared" si="3"/>
        <v>0.69365932289783871</v>
      </c>
      <c r="V12" s="67">
        <f t="shared" si="3"/>
        <v>0.69148126883225158</v>
      </c>
      <c r="W12" s="67">
        <f t="shared" si="3"/>
        <v>0.68927318431111106</v>
      </c>
      <c r="X12" s="67">
        <f t="shared" si="3"/>
        <v>0.68703485582063739</v>
      </c>
      <c r="Y12" s="67">
        <f t="shared" si="3"/>
        <v>0.68476606690317721</v>
      </c>
      <c r="Z12" s="67">
        <f t="shared" si="3"/>
        <v>0.68246659813627286</v>
      </c>
      <c r="AA12" s="67">
        <f t="shared" si="0"/>
        <v>-1.3295890088955709E-2</v>
      </c>
      <c r="AB12" s="67"/>
      <c r="AD12" s="70">
        <f t="shared" si="1"/>
        <v>-4.4504160729771702E-2</v>
      </c>
    </row>
    <row r="13" spans="1:30" s="112" customFormat="1" ht="18" customHeight="1" x14ac:dyDescent="0.4">
      <c r="B13" s="106" t="s">
        <v>27</v>
      </c>
      <c r="C13" s="106"/>
      <c r="D13" s="106"/>
      <c r="E13" s="106"/>
      <c r="F13" s="113">
        <f t="shared" ref="F13:Z13" si="4">SUM(F14:F18)</f>
        <v>1814.43895</v>
      </c>
      <c r="G13" s="113">
        <f t="shared" si="4"/>
        <v>1227.2380914411763</v>
      </c>
      <c r="H13" s="113">
        <f t="shared" si="4"/>
        <v>1405.3556808331764</v>
      </c>
      <c r="I13" s="113">
        <f t="shared" si="4"/>
        <v>1647.6645805223764</v>
      </c>
      <c r="J13" s="113">
        <f t="shared" si="4"/>
        <v>1688.7174200874965</v>
      </c>
      <c r="K13" s="114">
        <f t="shared" si="4"/>
        <v>1760.3291683073285</v>
      </c>
      <c r="L13" s="113">
        <f t="shared" si="4"/>
        <v>1809.2457145805295</v>
      </c>
      <c r="M13" s="113">
        <f t="shared" si="4"/>
        <v>1820.0705271633167</v>
      </c>
      <c r="N13" s="113">
        <f t="shared" si="4"/>
        <v>1831.1118359977595</v>
      </c>
      <c r="O13" s="113">
        <f t="shared" si="4"/>
        <v>1842.373971008891</v>
      </c>
      <c r="P13" s="113">
        <f t="shared" si="4"/>
        <v>1853.8613487202454</v>
      </c>
      <c r="Q13" s="113">
        <f t="shared" si="4"/>
        <v>1891.0578452358268</v>
      </c>
      <c r="R13" s="113">
        <f t="shared" si="4"/>
        <v>1903.0093130067198</v>
      </c>
      <c r="S13" s="113">
        <f t="shared" si="4"/>
        <v>1915.1998101330307</v>
      </c>
      <c r="T13" s="113">
        <f t="shared" si="4"/>
        <v>1921.4169636674494</v>
      </c>
      <c r="U13" s="113">
        <f t="shared" si="4"/>
        <v>1927.6962887372119</v>
      </c>
      <c r="V13" s="113">
        <f t="shared" si="4"/>
        <v>1934.0384070576724</v>
      </c>
      <c r="W13" s="113">
        <f t="shared" si="4"/>
        <v>1940.4439465613373</v>
      </c>
      <c r="X13" s="113">
        <f t="shared" si="4"/>
        <v>1946.9135414600389</v>
      </c>
      <c r="Y13" s="113">
        <f t="shared" si="4"/>
        <v>1953.4478323077276</v>
      </c>
      <c r="Z13" s="113">
        <f t="shared" si="4"/>
        <v>1960.0474660638931</v>
      </c>
      <c r="AA13" s="108">
        <f t="shared" si="0"/>
        <v>2.4948366151551715E-2</v>
      </c>
      <c r="AB13" s="106"/>
      <c r="AD13" s="71">
        <f t="shared" si="1"/>
        <v>9.4375255076663889E-2</v>
      </c>
    </row>
    <row r="14" spans="1:30" ht="18" customHeight="1" x14ac:dyDescent="0.4">
      <c r="B14" s="109"/>
      <c r="C14" s="109" t="s">
        <v>93</v>
      </c>
      <c r="D14" s="109"/>
      <c r="E14" s="109"/>
      <c r="F14" s="109">
        <v>0</v>
      </c>
      <c r="G14" s="115">
        <v>0</v>
      </c>
      <c r="H14" s="115">
        <v>178.11758939199999</v>
      </c>
      <c r="I14" s="115">
        <v>405.13886633120001</v>
      </c>
      <c r="J14" s="115">
        <v>446.19170589632006</v>
      </c>
      <c r="K14" s="116">
        <v>517.80345411615201</v>
      </c>
      <c r="L14" s="115">
        <v>541.24062913935313</v>
      </c>
      <c r="M14" s="115">
        <v>552.06544172214035</v>
      </c>
      <c r="N14" s="115">
        <v>563.10675055658317</v>
      </c>
      <c r="O14" s="115">
        <v>574.36888556771464</v>
      </c>
      <c r="P14" s="115">
        <v>585.85626327906903</v>
      </c>
      <c r="Q14" s="115">
        <v>597.57338854465058</v>
      </c>
      <c r="R14" s="115">
        <v>609.5248563155435</v>
      </c>
      <c r="S14" s="115">
        <v>621.7153534418544</v>
      </c>
      <c r="T14" s="115">
        <v>627.93250697627309</v>
      </c>
      <c r="U14" s="115">
        <v>634.21183204603562</v>
      </c>
      <c r="V14" s="115">
        <v>640.55395036649611</v>
      </c>
      <c r="W14" s="115">
        <v>646.95948987016106</v>
      </c>
      <c r="X14" s="115">
        <v>653.42908476886259</v>
      </c>
      <c r="Y14" s="115">
        <v>659.96337561655128</v>
      </c>
      <c r="Z14" s="115">
        <v>666.56300937271681</v>
      </c>
      <c r="AA14" s="111"/>
      <c r="AB14" s="109"/>
    </row>
    <row r="15" spans="1:30" ht="18" customHeight="1" x14ac:dyDescent="0.4">
      <c r="B15" s="109"/>
      <c r="C15" s="109" t="s">
        <v>94</v>
      </c>
      <c r="D15" s="109"/>
      <c r="E15" s="109"/>
      <c r="F15" s="109">
        <v>1725</v>
      </c>
      <c r="G15" s="115">
        <v>6</v>
      </c>
      <c r="H15" s="115">
        <v>6</v>
      </c>
      <c r="I15" s="115">
        <v>6</v>
      </c>
      <c r="J15" s="115">
        <v>6</v>
      </c>
      <c r="K15" s="116">
        <v>6</v>
      </c>
      <c r="L15" s="115">
        <v>6</v>
      </c>
      <c r="M15" s="115">
        <v>6</v>
      </c>
      <c r="N15" s="115">
        <v>6</v>
      </c>
      <c r="O15" s="115">
        <v>6</v>
      </c>
      <c r="P15" s="115">
        <v>6</v>
      </c>
      <c r="Q15" s="115">
        <v>6</v>
      </c>
      <c r="R15" s="115">
        <v>6</v>
      </c>
      <c r="S15" s="115">
        <v>6</v>
      </c>
      <c r="T15" s="115">
        <v>6</v>
      </c>
      <c r="U15" s="115">
        <v>6</v>
      </c>
      <c r="V15" s="115">
        <v>6</v>
      </c>
      <c r="W15" s="115">
        <v>6</v>
      </c>
      <c r="X15" s="115">
        <v>6</v>
      </c>
      <c r="Y15" s="115">
        <v>6</v>
      </c>
      <c r="Z15" s="115">
        <v>6</v>
      </c>
      <c r="AA15" s="111">
        <f t="shared" si="0"/>
        <v>0</v>
      </c>
      <c r="AB15" s="109" t="s">
        <v>98</v>
      </c>
      <c r="AD15" s="69">
        <f t="shared" si="1"/>
        <v>0</v>
      </c>
    </row>
    <row r="16" spans="1:30" ht="18" customHeight="1" x14ac:dyDescent="0.4">
      <c r="B16" s="109"/>
      <c r="C16" s="109" t="s">
        <v>95</v>
      </c>
      <c r="D16" s="109"/>
      <c r="E16" s="109"/>
      <c r="F16" s="109">
        <v>0</v>
      </c>
      <c r="G16" s="115">
        <v>10.191748499999999</v>
      </c>
      <c r="H16" s="115">
        <v>10.191748499999999</v>
      </c>
      <c r="I16" s="115">
        <v>25.47937125</v>
      </c>
      <c r="J16" s="115">
        <v>25.47937125</v>
      </c>
      <c r="K16" s="116">
        <v>25.47937125</v>
      </c>
      <c r="L16" s="115">
        <v>50.9587425</v>
      </c>
      <c r="M16" s="115">
        <v>50.9587425</v>
      </c>
      <c r="N16" s="115">
        <v>50.9587425</v>
      </c>
      <c r="O16" s="115">
        <v>50.9587425</v>
      </c>
      <c r="P16" s="115">
        <v>50.9587425</v>
      </c>
      <c r="Q16" s="115">
        <v>76.438113749999999</v>
      </c>
      <c r="R16" s="115">
        <v>76.438113749999999</v>
      </c>
      <c r="S16" s="115">
        <v>76.438113749999999</v>
      </c>
      <c r="T16" s="115">
        <v>76.438113749999999</v>
      </c>
      <c r="U16" s="115">
        <v>76.438113749999999</v>
      </c>
      <c r="V16" s="115">
        <v>76.438113749999999</v>
      </c>
      <c r="W16" s="115">
        <v>76.438113749999999</v>
      </c>
      <c r="X16" s="115">
        <v>76.438113749999999</v>
      </c>
      <c r="Y16" s="115">
        <v>76.438113749999999</v>
      </c>
      <c r="Z16" s="115">
        <v>76.438113749999999</v>
      </c>
      <c r="AA16" s="111">
        <f t="shared" si="0"/>
        <v>0.11187471976194696</v>
      </c>
      <c r="AB16" s="109"/>
      <c r="AD16" s="69">
        <f t="shared" si="1"/>
        <v>0.25743342968293548</v>
      </c>
    </row>
    <row r="17" spans="2:30" ht="18" customHeight="1" x14ac:dyDescent="0.4">
      <c r="B17" s="109"/>
      <c r="C17" s="109" t="s">
        <v>140</v>
      </c>
      <c r="D17" s="109"/>
      <c r="E17" s="109"/>
      <c r="F17" s="109">
        <v>0</v>
      </c>
      <c r="G17" s="115">
        <f t="shared" ref="G17:Z17" si="5">G57</f>
        <v>1211.0463429411764</v>
      </c>
      <c r="H17" s="115">
        <f t="shared" si="5"/>
        <v>1211.0463429411764</v>
      </c>
      <c r="I17" s="115">
        <f t="shared" si="5"/>
        <v>1211.0463429411764</v>
      </c>
      <c r="J17" s="115">
        <f t="shared" si="5"/>
        <v>1211.0463429411764</v>
      </c>
      <c r="K17" s="116">
        <f t="shared" si="5"/>
        <v>1211.0463429411764</v>
      </c>
      <c r="L17" s="115">
        <f t="shared" si="5"/>
        <v>1211.0463429411764</v>
      </c>
      <c r="M17" s="115">
        <f t="shared" si="5"/>
        <v>1211.0463429411764</v>
      </c>
      <c r="N17" s="115">
        <f t="shared" si="5"/>
        <v>1211.0463429411764</v>
      </c>
      <c r="O17" s="115">
        <f t="shared" si="5"/>
        <v>1211.0463429411764</v>
      </c>
      <c r="P17" s="115">
        <f t="shared" si="5"/>
        <v>1211.0463429411764</v>
      </c>
      <c r="Q17" s="115">
        <f t="shared" si="5"/>
        <v>1211.0463429411764</v>
      </c>
      <c r="R17" s="115">
        <f t="shared" si="5"/>
        <v>1211.0463429411764</v>
      </c>
      <c r="S17" s="115">
        <f t="shared" si="5"/>
        <v>1211.0463429411764</v>
      </c>
      <c r="T17" s="115">
        <f t="shared" si="5"/>
        <v>1211.0463429411764</v>
      </c>
      <c r="U17" s="115">
        <f t="shared" si="5"/>
        <v>1211.0463429411764</v>
      </c>
      <c r="V17" s="115">
        <f t="shared" si="5"/>
        <v>1211.0463429411764</v>
      </c>
      <c r="W17" s="115">
        <f t="shared" si="5"/>
        <v>1211.0463429411764</v>
      </c>
      <c r="X17" s="115">
        <f t="shared" si="5"/>
        <v>1211.0463429411764</v>
      </c>
      <c r="Y17" s="115">
        <f t="shared" si="5"/>
        <v>1211.0463429411764</v>
      </c>
      <c r="Z17" s="115">
        <f t="shared" si="5"/>
        <v>1211.0463429411764</v>
      </c>
      <c r="AA17" s="111">
        <f t="shared" si="0"/>
        <v>0</v>
      </c>
      <c r="AB17" s="109"/>
      <c r="AD17" s="69">
        <f t="shared" si="1"/>
        <v>0</v>
      </c>
    </row>
    <row r="18" spans="2:30" ht="18" customHeight="1" x14ac:dyDescent="0.4">
      <c r="B18" s="109"/>
      <c r="C18" s="109" t="s">
        <v>139</v>
      </c>
      <c r="D18" s="109"/>
      <c r="E18" s="109"/>
      <c r="F18" s="115">
        <v>89.438949999999991</v>
      </c>
      <c r="G18" s="115"/>
      <c r="H18" s="115"/>
      <c r="I18" s="115"/>
      <c r="J18" s="115"/>
      <c r="K18" s="116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1"/>
      <c r="AB18" s="109"/>
    </row>
    <row r="19" spans="2:30" ht="18" customHeight="1" x14ac:dyDescent="0.4">
      <c r="B19" s="106" t="s">
        <v>23</v>
      </c>
      <c r="C19" s="106"/>
      <c r="D19" s="106"/>
      <c r="E19" s="106"/>
      <c r="F19" s="106">
        <f t="shared" ref="F19:Z19" si="6">F11-F13</f>
        <v>-1814.43895</v>
      </c>
      <c r="G19" s="113">
        <f t="shared" si="6"/>
        <v>981.14032660551106</v>
      </c>
      <c r="H19" s="113">
        <f t="shared" si="6"/>
        <v>1106.5475684022554</v>
      </c>
      <c r="I19" s="113">
        <f t="shared" si="6"/>
        <v>1059.6861573013132</v>
      </c>
      <c r="J19" s="113">
        <f t="shared" si="6"/>
        <v>1407.3485864315167</v>
      </c>
      <c r="K19" s="114">
        <f t="shared" si="6"/>
        <v>1815.9694972716279</v>
      </c>
      <c r="L19" s="113">
        <f t="shared" si="6"/>
        <v>2012.4911526129169</v>
      </c>
      <c r="M19" s="113">
        <f t="shared" si="6"/>
        <v>2042.4463289085722</v>
      </c>
      <c r="N19" s="113">
        <f t="shared" si="6"/>
        <v>2045.5720367936397</v>
      </c>
      <c r="O19" s="113">
        <f t="shared" si="6"/>
        <v>2047.8817693668245</v>
      </c>
      <c r="P19" s="113">
        <f t="shared" si="6"/>
        <v>2049.0826600345663</v>
      </c>
      <c r="Q19" s="113">
        <f t="shared" si="6"/>
        <v>2034.9574757085593</v>
      </c>
      <c r="R19" s="113">
        <f t="shared" si="6"/>
        <v>2034.1342827480885</v>
      </c>
      <c r="S19" s="113">
        <f t="shared" si="6"/>
        <v>2049.4472061936931</v>
      </c>
      <c r="T19" s="113">
        <f t="shared" si="6"/>
        <v>2070.721104926125</v>
      </c>
      <c r="U19" s="113">
        <f t="shared" si="6"/>
        <v>2091.9145920848841</v>
      </c>
      <c r="V19" s="113">
        <f t="shared" si="6"/>
        <v>2113.0210005430067</v>
      </c>
      <c r="W19" s="113">
        <f t="shared" si="6"/>
        <v>2134.0334792420476</v>
      </c>
      <c r="X19" s="113">
        <f t="shared" si="6"/>
        <v>2154.9449890075412</v>
      </c>
      <c r="Y19" s="113">
        <f t="shared" si="6"/>
        <v>2175.7482982757392</v>
      </c>
      <c r="Z19" s="113">
        <f t="shared" si="6"/>
        <v>2196.4359787297717</v>
      </c>
      <c r="AA19" s="108">
        <f t="shared" si="0"/>
        <v>4.3326865810376924E-2</v>
      </c>
      <c r="AB19" s="106"/>
      <c r="AD19" s="69">
        <f t="shared" si="1"/>
        <v>0.166391525985778</v>
      </c>
    </row>
    <row r="20" spans="2:30" s="70" customFormat="1" ht="18" customHeight="1" x14ac:dyDescent="0.4">
      <c r="B20" s="67"/>
      <c r="C20" s="67" t="s">
        <v>24</v>
      </c>
      <c r="D20" s="67"/>
      <c r="E20" s="67"/>
      <c r="F20" s="67"/>
      <c r="G20" s="67">
        <f t="shared" ref="G20:Z20" si="7">G19/G9</f>
        <v>0.39100942557812396</v>
      </c>
      <c r="H20" s="67">
        <f t="shared" si="7"/>
        <v>0.36274270821584415</v>
      </c>
      <c r="I20" s="67">
        <f t="shared" si="7"/>
        <v>0.2990844531892991</v>
      </c>
      <c r="J20" s="67">
        <f t="shared" si="7"/>
        <v>0.3477891280491055</v>
      </c>
      <c r="K20" s="88">
        <f t="shared" si="7"/>
        <v>0.37249424229675732</v>
      </c>
      <c r="L20" s="67">
        <f t="shared" si="7"/>
        <v>0.38170160525589064</v>
      </c>
      <c r="M20" s="67">
        <f t="shared" si="7"/>
        <v>0.38166521991658958</v>
      </c>
      <c r="N20" s="67">
        <f t="shared" si="7"/>
        <v>0.37846466401627349</v>
      </c>
      <c r="O20" s="67">
        <f t="shared" si="7"/>
        <v>0.37514059678136902</v>
      </c>
      <c r="P20" s="67">
        <f t="shared" si="7"/>
        <v>0.37164414017005271</v>
      </c>
      <c r="Q20" s="67">
        <f t="shared" si="7"/>
        <v>0.36542903230820173</v>
      </c>
      <c r="R20" s="67">
        <f t="shared" si="7"/>
        <v>0.36166456119593648</v>
      </c>
      <c r="S20" s="67">
        <f t="shared" si="7"/>
        <v>0.36077937128829479</v>
      </c>
      <c r="T20" s="67">
        <f t="shared" si="7"/>
        <v>0.3609152210405368</v>
      </c>
      <c r="U20" s="67">
        <f t="shared" si="7"/>
        <v>0.36099913711272796</v>
      </c>
      <c r="V20" s="67">
        <f t="shared" si="7"/>
        <v>0.3610311328221647</v>
      </c>
      <c r="W20" s="67">
        <f t="shared" si="7"/>
        <v>0.3610112163951073</v>
      </c>
      <c r="X20" s="67">
        <f t="shared" si="7"/>
        <v>0.36093939096808225</v>
      </c>
      <c r="Y20" s="67">
        <f t="shared" si="7"/>
        <v>0.36081565458868986</v>
      </c>
      <c r="Z20" s="67">
        <f t="shared" si="7"/>
        <v>0.36064000021591214</v>
      </c>
      <c r="AA20" s="67">
        <f t="shared" si="0"/>
        <v>-4.2462975375735512E-3</v>
      </c>
      <c r="AB20" s="67"/>
      <c r="AD20" s="70">
        <f t="shared" si="1"/>
        <v>-1.2054279307218474E-2</v>
      </c>
    </row>
    <row r="21" spans="2:30" ht="18" customHeight="1" x14ac:dyDescent="0.4">
      <c r="B21" s="109" t="s">
        <v>75</v>
      </c>
      <c r="C21" s="109"/>
      <c r="D21" s="109"/>
      <c r="E21" s="109"/>
      <c r="F21" s="115">
        <f>C49</f>
        <v>833.7</v>
      </c>
      <c r="G21" s="109">
        <f>F21</f>
        <v>833.7</v>
      </c>
      <c r="H21" s="109">
        <f>G21</f>
        <v>833.7</v>
      </c>
      <c r="I21" s="109">
        <f t="shared" ref="I21:Q21" si="8">I49</f>
        <v>750.33</v>
      </c>
      <c r="J21" s="109">
        <f t="shared" si="8"/>
        <v>666.96</v>
      </c>
      <c r="K21" s="110">
        <f t="shared" si="8"/>
        <v>583.59</v>
      </c>
      <c r="L21" s="109">
        <f t="shared" si="8"/>
        <v>500.22</v>
      </c>
      <c r="M21" s="109">
        <f t="shared" si="8"/>
        <v>416.85</v>
      </c>
      <c r="N21" s="109">
        <f t="shared" si="8"/>
        <v>333.48</v>
      </c>
      <c r="O21" s="109">
        <f t="shared" si="8"/>
        <v>250.11</v>
      </c>
      <c r="P21" s="109">
        <f t="shared" si="8"/>
        <v>166.74</v>
      </c>
      <c r="Q21" s="109">
        <f t="shared" si="8"/>
        <v>83.37</v>
      </c>
      <c r="R21" s="109"/>
      <c r="S21" s="109"/>
      <c r="T21" s="109"/>
      <c r="U21" s="109"/>
      <c r="V21" s="109"/>
      <c r="W21" s="109"/>
      <c r="X21" s="109"/>
      <c r="Y21" s="109"/>
      <c r="Z21" s="109"/>
      <c r="AA21" s="111">
        <f t="shared" si="0"/>
        <v>-1</v>
      </c>
      <c r="AB21" s="109"/>
      <c r="AD21" s="69">
        <f t="shared" si="1"/>
        <v>-8.5308780771305548E-2</v>
      </c>
    </row>
    <row r="22" spans="2:30" s="112" customFormat="1" ht="18" customHeight="1" x14ac:dyDescent="0.4">
      <c r="B22" s="106" t="s">
        <v>61</v>
      </c>
      <c r="C22" s="106"/>
      <c r="D22" s="106"/>
      <c r="E22" s="106"/>
      <c r="F22" s="106">
        <f t="shared" ref="F22:Z22" si="9">F19-F21</f>
        <v>-2648.13895</v>
      </c>
      <c r="G22" s="106">
        <f t="shared" si="9"/>
        <v>147.44032660551102</v>
      </c>
      <c r="H22" s="106">
        <f>H19-H21</f>
        <v>272.84756840225532</v>
      </c>
      <c r="I22" s="106">
        <f t="shared" si="9"/>
        <v>309.35615730131315</v>
      </c>
      <c r="J22" s="106">
        <f t="shared" si="9"/>
        <v>740.38858643151661</v>
      </c>
      <c r="K22" s="107">
        <f t="shared" si="9"/>
        <v>1232.3794972716278</v>
      </c>
      <c r="L22" s="106">
        <f t="shared" si="9"/>
        <v>1512.2711526129169</v>
      </c>
      <c r="M22" s="106">
        <f t="shared" si="9"/>
        <v>1625.5963289085721</v>
      </c>
      <c r="N22" s="106">
        <f t="shared" si="9"/>
        <v>1712.0920367936396</v>
      </c>
      <c r="O22" s="106">
        <f t="shared" si="9"/>
        <v>1797.7717693668246</v>
      </c>
      <c r="P22" s="106">
        <f t="shared" si="9"/>
        <v>1882.3426600345663</v>
      </c>
      <c r="Q22" s="106">
        <f t="shared" si="9"/>
        <v>1951.5874757085594</v>
      </c>
      <c r="R22" s="106">
        <f t="shared" si="9"/>
        <v>2034.1342827480885</v>
      </c>
      <c r="S22" s="106">
        <f t="shared" si="9"/>
        <v>2049.4472061936931</v>
      </c>
      <c r="T22" s="106">
        <f t="shared" si="9"/>
        <v>2070.721104926125</v>
      </c>
      <c r="U22" s="106">
        <f t="shared" si="9"/>
        <v>2091.9145920848841</v>
      </c>
      <c r="V22" s="106">
        <f t="shared" si="9"/>
        <v>2113.0210005430067</v>
      </c>
      <c r="W22" s="106">
        <f t="shared" si="9"/>
        <v>2134.0334792420476</v>
      </c>
      <c r="X22" s="106">
        <f t="shared" si="9"/>
        <v>2154.9449890075412</v>
      </c>
      <c r="Y22" s="106">
        <f t="shared" si="9"/>
        <v>2175.7482982757392</v>
      </c>
      <c r="Z22" s="106">
        <f t="shared" si="9"/>
        <v>2196.4359787297717</v>
      </c>
      <c r="AA22" s="108">
        <f t="shared" si="0"/>
        <v>0.15276882865776642</v>
      </c>
      <c r="AB22" s="106"/>
      <c r="AD22" s="71">
        <f t="shared" si="1"/>
        <v>0.70032541002588533</v>
      </c>
    </row>
    <row r="23" spans="2:30" ht="18" customHeight="1" x14ac:dyDescent="0.4">
      <c r="B23" s="109" t="s">
        <v>29</v>
      </c>
      <c r="C23" s="109"/>
      <c r="D23" s="109"/>
      <c r="E23" s="109"/>
      <c r="F23" s="115">
        <v>0</v>
      </c>
      <c r="G23" s="115">
        <v>0</v>
      </c>
      <c r="H23" s="115">
        <f>H22*0.2*0.5</f>
        <v>27.284756840225533</v>
      </c>
      <c r="I23" s="115">
        <f>I22*0.2*0.5</f>
        <v>30.935615730131317</v>
      </c>
      <c r="J23" s="115">
        <f>J22*0.2*0.5</f>
        <v>74.03885864315167</v>
      </c>
      <c r="K23" s="116">
        <f>K22*0.2*0.5</f>
        <v>123.23794972716279</v>
      </c>
      <c r="L23" s="115">
        <f t="shared" ref="L23:Z23" si="10">L22*0.2</f>
        <v>302.45423052258337</v>
      </c>
      <c r="M23" s="115">
        <f t="shared" si="10"/>
        <v>325.11926578171443</v>
      </c>
      <c r="N23" s="115">
        <f t="shared" si="10"/>
        <v>342.41840735872796</v>
      </c>
      <c r="O23" s="115">
        <f t="shared" si="10"/>
        <v>359.55435387336496</v>
      </c>
      <c r="P23" s="115">
        <f t="shared" si="10"/>
        <v>376.46853200691328</v>
      </c>
      <c r="Q23" s="115">
        <f t="shared" si="10"/>
        <v>390.3174951417119</v>
      </c>
      <c r="R23" s="115">
        <f t="shared" si="10"/>
        <v>406.82685654961773</v>
      </c>
      <c r="S23" s="115">
        <f t="shared" si="10"/>
        <v>409.88944123873864</v>
      </c>
      <c r="T23" s="115">
        <f t="shared" si="10"/>
        <v>414.14422098522505</v>
      </c>
      <c r="U23" s="115">
        <f t="shared" si="10"/>
        <v>418.38291841697685</v>
      </c>
      <c r="V23" s="115">
        <f t="shared" si="10"/>
        <v>422.60420010860139</v>
      </c>
      <c r="W23" s="115">
        <f t="shared" si="10"/>
        <v>426.80669584840956</v>
      </c>
      <c r="X23" s="115">
        <f t="shared" si="10"/>
        <v>430.98899780150828</v>
      </c>
      <c r="Y23" s="115">
        <f t="shared" si="10"/>
        <v>435.14965965514784</v>
      </c>
      <c r="Z23" s="115">
        <f t="shared" si="10"/>
        <v>439.28719574595436</v>
      </c>
      <c r="AA23" s="111"/>
      <c r="AB23" s="109"/>
    </row>
    <row r="24" spans="2:30" ht="18" customHeight="1" x14ac:dyDescent="0.4">
      <c r="B24" s="109" t="s">
        <v>28</v>
      </c>
      <c r="C24" s="109"/>
      <c r="D24" s="109"/>
      <c r="E24" s="109"/>
      <c r="F24" s="109">
        <f t="shared" ref="F24:Z24" si="11">F22-F23</f>
        <v>-2648.13895</v>
      </c>
      <c r="G24" s="109">
        <f t="shared" si="11"/>
        <v>147.44032660551102</v>
      </c>
      <c r="H24" s="109">
        <f t="shared" si="11"/>
        <v>245.56281156202979</v>
      </c>
      <c r="I24" s="109">
        <f t="shared" si="11"/>
        <v>278.42054157118184</v>
      </c>
      <c r="J24" s="109">
        <f t="shared" si="11"/>
        <v>666.34972778836493</v>
      </c>
      <c r="K24" s="110">
        <f t="shared" si="11"/>
        <v>1109.1415475444651</v>
      </c>
      <c r="L24" s="109">
        <f t="shared" si="11"/>
        <v>1209.8169220903335</v>
      </c>
      <c r="M24" s="109">
        <f t="shared" si="11"/>
        <v>1300.4770631268577</v>
      </c>
      <c r="N24" s="109">
        <f t="shared" si="11"/>
        <v>1369.6736294349116</v>
      </c>
      <c r="O24" s="109">
        <f t="shared" si="11"/>
        <v>1438.2174154934596</v>
      </c>
      <c r="P24" s="109">
        <f t="shared" si="11"/>
        <v>1505.8741280276531</v>
      </c>
      <c r="Q24" s="109">
        <f t="shared" si="11"/>
        <v>1561.2699805668476</v>
      </c>
      <c r="R24" s="109">
        <f t="shared" si="11"/>
        <v>1627.3074261984707</v>
      </c>
      <c r="S24" s="109">
        <f t="shared" si="11"/>
        <v>1639.5577649549546</v>
      </c>
      <c r="T24" s="109">
        <f t="shared" si="11"/>
        <v>1656.5768839409</v>
      </c>
      <c r="U24" s="109">
        <f t="shared" si="11"/>
        <v>1673.5316736679074</v>
      </c>
      <c r="V24" s="109">
        <f t="shared" si="11"/>
        <v>1690.4168004344053</v>
      </c>
      <c r="W24" s="109">
        <f t="shared" si="11"/>
        <v>1707.226783393638</v>
      </c>
      <c r="X24" s="109">
        <f t="shared" si="11"/>
        <v>1723.9559912060329</v>
      </c>
      <c r="Y24" s="109">
        <f t="shared" si="11"/>
        <v>1740.5986386205914</v>
      </c>
      <c r="Z24" s="109">
        <f t="shared" si="11"/>
        <v>1757.1487829838175</v>
      </c>
      <c r="AA24" s="111">
        <f t="shared" si="0"/>
        <v>0.13930944426515945</v>
      </c>
      <c r="AB24" s="109"/>
      <c r="AD24" s="69">
        <f t="shared" si="1"/>
        <v>0.65612331950734126</v>
      </c>
    </row>
    <row r="25" spans="2:30" s="70" customFormat="1" ht="18" customHeight="1" x14ac:dyDescent="0.4">
      <c r="B25" s="67"/>
      <c r="C25" s="67" t="s">
        <v>24</v>
      </c>
      <c r="D25" s="67"/>
      <c r="E25" s="67"/>
      <c r="F25" s="67"/>
      <c r="G25" s="67">
        <f t="shared" ref="G25:Z25" si="12">G24/G9</f>
        <v>5.8758727829002502E-2</v>
      </c>
      <c r="H25" s="67">
        <f t="shared" si="12"/>
        <v>8.0499132478981217E-2</v>
      </c>
      <c r="I25" s="67">
        <f t="shared" si="12"/>
        <v>7.8581054266624664E-2</v>
      </c>
      <c r="J25" s="67">
        <f t="shared" si="12"/>
        <v>0.16467078095477339</v>
      </c>
      <c r="K25" s="88">
        <f t="shared" si="12"/>
        <v>0.22750868942080621</v>
      </c>
      <c r="L25" s="67">
        <f t="shared" si="12"/>
        <v>0.22946141185667199</v>
      </c>
      <c r="M25" s="67">
        <f t="shared" si="12"/>
        <v>0.24301586644875361</v>
      </c>
      <c r="N25" s="67">
        <f t="shared" si="12"/>
        <v>0.25341227815597478</v>
      </c>
      <c r="O25" s="67">
        <f t="shared" si="12"/>
        <v>0.26345941822431995</v>
      </c>
      <c r="P25" s="67">
        <f t="shared" si="12"/>
        <v>0.27312187371968888</v>
      </c>
      <c r="Q25" s="67">
        <f t="shared" si="12"/>
        <v>0.28036624105461072</v>
      </c>
      <c r="R25" s="67">
        <f t="shared" si="12"/>
        <v>0.28933164895674918</v>
      </c>
      <c r="S25" s="67">
        <f t="shared" si="12"/>
        <v>0.28862349703063583</v>
      </c>
      <c r="T25" s="67">
        <f t="shared" si="12"/>
        <v>0.28873217683242947</v>
      </c>
      <c r="U25" s="67">
        <f t="shared" si="12"/>
        <v>0.28879930969018242</v>
      </c>
      <c r="V25" s="67">
        <f t="shared" si="12"/>
        <v>0.28882490625773177</v>
      </c>
      <c r="W25" s="67">
        <f t="shared" si="12"/>
        <v>0.28880897311608583</v>
      </c>
      <c r="X25" s="67">
        <f t="shared" si="12"/>
        <v>0.28875151277446581</v>
      </c>
      <c r="Y25" s="67">
        <f t="shared" si="12"/>
        <v>0.2886525236709519</v>
      </c>
      <c r="Z25" s="67">
        <f t="shared" si="12"/>
        <v>0.28851200017272971</v>
      </c>
      <c r="AA25" s="67">
        <f t="shared" si="0"/>
        <v>8.7359709170596878E-2</v>
      </c>
      <c r="AB25" s="67"/>
      <c r="AD25" s="70">
        <f t="shared" si="1"/>
        <v>0.40275362945902615</v>
      </c>
    </row>
    <row r="26" spans="2:30" s="112" customFormat="1" ht="18" customHeight="1" x14ac:dyDescent="0.4">
      <c r="B26" s="106" t="s">
        <v>83</v>
      </c>
      <c r="C26" s="106"/>
      <c r="D26" s="106"/>
      <c r="E26" s="106"/>
      <c r="F26" s="106">
        <f t="shared" ref="F26:Z26" si="13">SUM(F27:F32)</f>
        <v>2654.7629000000015</v>
      </c>
      <c r="G26" s="106">
        <f t="shared" si="13"/>
        <v>1211.0463429411764</v>
      </c>
      <c r="H26" s="106">
        <f t="shared" si="13"/>
        <v>1183.7615861009508</v>
      </c>
      <c r="I26" s="106">
        <f t="shared" si="13"/>
        <v>-804.88927278895494</v>
      </c>
      <c r="J26" s="106">
        <f t="shared" si="13"/>
        <v>-847.99251570197521</v>
      </c>
      <c r="K26" s="107">
        <f t="shared" si="13"/>
        <v>-897.19160678598632</v>
      </c>
      <c r="L26" s="106">
        <f t="shared" si="13"/>
        <v>-1647.4587875814073</v>
      </c>
      <c r="M26" s="106">
        <f t="shared" si="13"/>
        <v>-1099.072922840538</v>
      </c>
      <c r="N26" s="106">
        <f t="shared" si="13"/>
        <v>-1116.3720644175517</v>
      </c>
      <c r="O26" s="106">
        <f t="shared" si="13"/>
        <v>-1133.5080109321887</v>
      </c>
      <c r="P26" s="106">
        <f t="shared" si="13"/>
        <v>-1150.4221890657368</v>
      </c>
      <c r="Q26" s="106">
        <f t="shared" si="13"/>
        <v>-1735.3220522005356</v>
      </c>
      <c r="R26" s="106">
        <f t="shared" si="13"/>
        <v>-1180.7805136084414</v>
      </c>
      <c r="S26" s="106">
        <f t="shared" si="13"/>
        <v>801.15690170243772</v>
      </c>
      <c r="T26" s="106">
        <f t="shared" si="13"/>
        <v>796.90212195595132</v>
      </c>
      <c r="U26" s="106">
        <f t="shared" si="13"/>
        <v>792.66342452419951</v>
      </c>
      <c r="V26" s="106">
        <f t="shared" si="13"/>
        <v>217.3912428325749</v>
      </c>
      <c r="W26" s="106">
        <f t="shared" si="13"/>
        <v>784.23964709276675</v>
      </c>
      <c r="X26" s="106">
        <f t="shared" si="13"/>
        <v>780.05734513966809</v>
      </c>
      <c r="Y26" s="106">
        <f t="shared" si="13"/>
        <v>775.89668328602852</v>
      </c>
      <c r="Z26" s="106">
        <f t="shared" si="13"/>
        <v>771.759147195222</v>
      </c>
      <c r="AA26" s="108">
        <f t="shared" si="0"/>
        <v>-2.3435109452655145E-2</v>
      </c>
      <c r="AB26" s="106"/>
      <c r="AD26" s="71"/>
    </row>
    <row r="27" spans="2:30" ht="18" customHeight="1" x14ac:dyDescent="0.4">
      <c r="B27" s="109"/>
      <c r="C27" s="109" t="s">
        <v>87</v>
      </c>
      <c r="D27" s="109"/>
      <c r="E27" s="109"/>
      <c r="F27" s="109">
        <f t="shared" ref="F27:Z27" si="14">-F23</f>
        <v>0</v>
      </c>
      <c r="G27" s="115">
        <f t="shared" si="14"/>
        <v>0</v>
      </c>
      <c r="H27" s="115">
        <f t="shared" si="14"/>
        <v>-27.284756840225533</v>
      </c>
      <c r="I27" s="115">
        <f t="shared" si="14"/>
        <v>-30.935615730131317</v>
      </c>
      <c r="J27" s="115">
        <f t="shared" si="14"/>
        <v>-74.03885864315167</v>
      </c>
      <c r="K27" s="116">
        <f t="shared" si="14"/>
        <v>-123.23794972716279</v>
      </c>
      <c r="L27" s="115">
        <f t="shared" si="14"/>
        <v>-302.45423052258337</v>
      </c>
      <c r="M27" s="115">
        <f t="shared" si="14"/>
        <v>-325.11926578171443</v>
      </c>
      <c r="N27" s="115">
        <f t="shared" si="14"/>
        <v>-342.41840735872796</v>
      </c>
      <c r="O27" s="115">
        <f t="shared" si="14"/>
        <v>-359.55435387336496</v>
      </c>
      <c r="P27" s="115">
        <f t="shared" si="14"/>
        <v>-376.46853200691328</v>
      </c>
      <c r="Q27" s="115">
        <f t="shared" si="14"/>
        <v>-390.3174951417119</v>
      </c>
      <c r="R27" s="115">
        <f t="shared" si="14"/>
        <v>-406.82685654961773</v>
      </c>
      <c r="S27" s="115">
        <f t="shared" si="14"/>
        <v>-409.88944123873864</v>
      </c>
      <c r="T27" s="115">
        <f t="shared" si="14"/>
        <v>-414.14422098522505</v>
      </c>
      <c r="U27" s="115">
        <f t="shared" si="14"/>
        <v>-418.38291841697685</v>
      </c>
      <c r="V27" s="115">
        <f t="shared" si="14"/>
        <v>-422.60420010860139</v>
      </c>
      <c r="W27" s="115">
        <f t="shared" si="14"/>
        <v>-426.80669584840956</v>
      </c>
      <c r="X27" s="115">
        <f t="shared" si="14"/>
        <v>-430.98899780150828</v>
      </c>
      <c r="Y27" s="115">
        <f t="shared" si="14"/>
        <v>-435.14965965514784</v>
      </c>
      <c r="Z27" s="115">
        <f t="shared" si="14"/>
        <v>-439.28719574595436</v>
      </c>
      <c r="AA27" s="109"/>
      <c r="AB27" s="109"/>
    </row>
    <row r="28" spans="2:30" ht="18" customHeight="1" x14ac:dyDescent="0.4">
      <c r="B28" s="109"/>
      <c r="C28" s="109" t="s">
        <v>84</v>
      </c>
      <c r="D28" s="109"/>
      <c r="E28" s="109"/>
      <c r="F28" s="109"/>
      <c r="G28" s="109">
        <f t="shared" ref="G28:Z28" si="15">G57</f>
        <v>1211.0463429411764</v>
      </c>
      <c r="H28" s="109">
        <f t="shared" si="15"/>
        <v>1211.0463429411764</v>
      </c>
      <c r="I28" s="109">
        <f t="shared" si="15"/>
        <v>1211.0463429411764</v>
      </c>
      <c r="J28" s="109">
        <f t="shared" si="15"/>
        <v>1211.0463429411764</v>
      </c>
      <c r="K28" s="110">
        <f t="shared" si="15"/>
        <v>1211.0463429411764</v>
      </c>
      <c r="L28" s="109">
        <f t="shared" si="15"/>
        <v>1211.0463429411764</v>
      </c>
      <c r="M28" s="109">
        <f t="shared" si="15"/>
        <v>1211.0463429411764</v>
      </c>
      <c r="N28" s="109">
        <f t="shared" si="15"/>
        <v>1211.0463429411764</v>
      </c>
      <c r="O28" s="109">
        <f t="shared" si="15"/>
        <v>1211.0463429411764</v>
      </c>
      <c r="P28" s="109">
        <f t="shared" si="15"/>
        <v>1211.0463429411764</v>
      </c>
      <c r="Q28" s="109">
        <f t="shared" si="15"/>
        <v>1211.0463429411764</v>
      </c>
      <c r="R28" s="109">
        <f t="shared" si="15"/>
        <v>1211.0463429411764</v>
      </c>
      <c r="S28" s="109">
        <f t="shared" si="15"/>
        <v>1211.0463429411764</v>
      </c>
      <c r="T28" s="109">
        <f t="shared" si="15"/>
        <v>1211.0463429411764</v>
      </c>
      <c r="U28" s="109">
        <f t="shared" si="15"/>
        <v>1211.0463429411764</v>
      </c>
      <c r="V28" s="109">
        <f t="shared" si="15"/>
        <v>1211.0463429411764</v>
      </c>
      <c r="W28" s="109">
        <f t="shared" si="15"/>
        <v>1211.0463429411764</v>
      </c>
      <c r="X28" s="109">
        <f t="shared" si="15"/>
        <v>1211.0463429411764</v>
      </c>
      <c r="Y28" s="109">
        <f t="shared" si="15"/>
        <v>1211.0463429411764</v>
      </c>
      <c r="Z28" s="109">
        <f t="shared" si="15"/>
        <v>1211.0463429411764</v>
      </c>
      <c r="AA28" s="109"/>
      <c r="AB28" s="109"/>
    </row>
    <row r="29" spans="2:30" ht="18" customHeight="1" x14ac:dyDescent="0.4">
      <c r="B29" s="109"/>
      <c r="C29" s="109" t="s">
        <v>85</v>
      </c>
      <c r="D29" s="109"/>
      <c r="E29" s="109"/>
      <c r="F29" s="109">
        <f>-C57</f>
        <v>-25342.037099999998</v>
      </c>
      <c r="G29" s="109"/>
      <c r="H29" s="109"/>
      <c r="I29" s="109"/>
      <c r="J29" s="109"/>
      <c r="K29" s="110"/>
      <c r="L29" s="109">
        <f>-$C$55</f>
        <v>-571.05090000000007</v>
      </c>
      <c r="M29" s="109"/>
      <c r="N29" s="109"/>
      <c r="O29" s="109"/>
      <c r="P29" s="109"/>
      <c r="Q29" s="109">
        <f>-$C$55</f>
        <v>-571.05090000000007</v>
      </c>
      <c r="R29" s="109"/>
      <c r="S29" s="109"/>
      <c r="T29" s="109"/>
      <c r="U29" s="109"/>
      <c r="V29" s="109">
        <f>-$C$55</f>
        <v>-571.05090000000007</v>
      </c>
      <c r="W29" s="109"/>
      <c r="X29" s="109"/>
      <c r="Y29" s="109"/>
      <c r="Z29" s="109"/>
      <c r="AA29" s="109"/>
      <c r="AB29" s="109" t="s">
        <v>101</v>
      </c>
    </row>
    <row r="30" spans="2:30" ht="18" customHeight="1" x14ac:dyDescent="0.4">
      <c r="B30" s="109"/>
      <c r="C30" s="109" t="s">
        <v>86</v>
      </c>
      <c r="D30" s="109"/>
      <c r="E30" s="109"/>
      <c r="F30" s="109"/>
      <c r="G30" s="109"/>
      <c r="H30" s="109"/>
      <c r="I30" s="109"/>
      <c r="J30" s="109"/>
      <c r="K30" s="110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</row>
    <row r="31" spans="2:30" ht="18" customHeight="1" x14ac:dyDescent="0.4">
      <c r="B31" s="109"/>
      <c r="C31" s="109" t="s">
        <v>110</v>
      </c>
      <c r="D31" s="109"/>
      <c r="E31" s="109"/>
      <c r="F31" s="168">
        <f>C47</f>
        <v>19850</v>
      </c>
      <c r="G31" s="109"/>
      <c r="H31" s="109"/>
      <c r="I31" s="109">
        <f t="shared" ref="I31:R31" si="16">-I47</f>
        <v>-1985</v>
      </c>
      <c r="J31" s="109">
        <f t="shared" si="16"/>
        <v>-1985</v>
      </c>
      <c r="K31" s="110">
        <f t="shared" si="16"/>
        <v>-1985</v>
      </c>
      <c r="L31" s="109">
        <f t="shared" si="16"/>
        <v>-1985</v>
      </c>
      <c r="M31" s="109">
        <f t="shared" si="16"/>
        <v>-1985</v>
      </c>
      <c r="N31" s="109">
        <f t="shared" si="16"/>
        <v>-1985</v>
      </c>
      <c r="O31" s="109">
        <f t="shared" si="16"/>
        <v>-1985</v>
      </c>
      <c r="P31" s="109">
        <f t="shared" si="16"/>
        <v>-1985</v>
      </c>
      <c r="Q31" s="109">
        <f t="shared" si="16"/>
        <v>-1985</v>
      </c>
      <c r="R31" s="109">
        <f t="shared" si="16"/>
        <v>-1985</v>
      </c>
      <c r="S31" s="109"/>
      <c r="T31" s="109"/>
      <c r="U31" s="109"/>
      <c r="V31" s="109"/>
      <c r="W31" s="109"/>
      <c r="X31" s="109"/>
      <c r="Y31" s="109"/>
      <c r="Z31" s="109"/>
      <c r="AA31" s="109"/>
      <c r="AB31" s="109"/>
    </row>
    <row r="32" spans="2:30" ht="18" customHeight="1" x14ac:dyDescent="0.4">
      <c r="B32" s="109"/>
      <c r="C32" s="109" t="s">
        <v>111</v>
      </c>
      <c r="D32" s="109"/>
      <c r="E32" s="109"/>
      <c r="F32" s="168">
        <f>C45*0.3</f>
        <v>8146.7999999999993</v>
      </c>
      <c r="G32" s="109"/>
      <c r="H32" s="109"/>
      <c r="I32" s="109"/>
      <c r="J32" s="109"/>
      <c r="K32" s="110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</row>
    <row r="33" spans="2:30" ht="18" customHeight="1" x14ac:dyDescent="0.4">
      <c r="B33" s="165" t="s">
        <v>145</v>
      </c>
      <c r="C33" s="106"/>
      <c r="D33" s="106"/>
      <c r="E33" s="106"/>
      <c r="F33" s="106">
        <f t="shared" ref="F33:Z33" si="17">F22+F26</f>
        <v>6.6239500000015141</v>
      </c>
      <c r="G33" s="106">
        <f>G22+G26</f>
        <v>1358.4866695466874</v>
      </c>
      <c r="H33" s="106">
        <f t="shared" si="17"/>
        <v>1456.6091545032061</v>
      </c>
      <c r="I33" s="106">
        <f t="shared" si="17"/>
        <v>-495.53311548764179</v>
      </c>
      <c r="J33" s="106">
        <f t="shared" si="17"/>
        <v>-107.60392927045859</v>
      </c>
      <c r="K33" s="107">
        <f t="shared" si="17"/>
        <v>335.18789048564145</v>
      </c>
      <c r="L33" s="106">
        <f t="shared" si="17"/>
        <v>-135.18763496849033</v>
      </c>
      <c r="M33" s="106">
        <f t="shared" si="17"/>
        <v>526.52340606803409</v>
      </c>
      <c r="N33" s="106">
        <f t="shared" si="17"/>
        <v>595.71997237608798</v>
      </c>
      <c r="O33" s="106">
        <f t="shared" si="17"/>
        <v>664.26375843463597</v>
      </c>
      <c r="P33" s="106">
        <f t="shared" si="17"/>
        <v>731.92047096882948</v>
      </c>
      <c r="Q33" s="106">
        <f t="shared" si="17"/>
        <v>216.26542350802379</v>
      </c>
      <c r="R33" s="106">
        <f t="shared" si="17"/>
        <v>853.35376913964706</v>
      </c>
      <c r="S33" s="106">
        <f t="shared" si="17"/>
        <v>2850.6041078961307</v>
      </c>
      <c r="T33" s="106">
        <f t="shared" si="17"/>
        <v>2867.6232268820763</v>
      </c>
      <c r="U33" s="106">
        <f t="shared" si="17"/>
        <v>2884.5780166090835</v>
      </c>
      <c r="V33" s="106">
        <f t="shared" si="17"/>
        <v>2330.4122433755815</v>
      </c>
      <c r="W33" s="106">
        <f t="shared" si="17"/>
        <v>2918.2731263348142</v>
      </c>
      <c r="X33" s="106">
        <f t="shared" si="17"/>
        <v>2935.0023341472092</v>
      </c>
      <c r="Y33" s="106">
        <f t="shared" si="17"/>
        <v>2951.644981561768</v>
      </c>
      <c r="Z33" s="106">
        <f t="shared" si="17"/>
        <v>2968.1951259249936</v>
      </c>
      <c r="AA33" s="106"/>
      <c r="AB33" s="106"/>
    </row>
    <row r="34" spans="2:30" s="145" customFormat="1" ht="18" customHeight="1" x14ac:dyDescent="0.4">
      <c r="B34" s="142" t="s">
        <v>99</v>
      </c>
      <c r="C34" s="142"/>
      <c r="D34" s="142"/>
      <c r="E34" s="142"/>
      <c r="F34" s="143">
        <f t="shared" ref="F34:Z34" si="18">1/(1+$C$4)^F7</f>
        <v>1</v>
      </c>
      <c r="G34" s="143">
        <f t="shared" si="18"/>
        <v>0.93597903406963678</v>
      </c>
      <c r="H34" s="143">
        <f t="shared" si="18"/>
        <v>0.87605675221793033</v>
      </c>
      <c r="I34" s="143">
        <f t="shared" si="18"/>
        <v>0.81997075273112152</v>
      </c>
      <c r="J34" s="143">
        <f t="shared" si="18"/>
        <v>0.76747543310662814</v>
      </c>
      <c r="K34" s="144">
        <f t="shared" si="18"/>
        <v>0.71834091455131799</v>
      </c>
      <c r="L34" s="143">
        <f t="shared" si="18"/>
        <v>0.67235203533444199</v>
      </c>
      <c r="M34" s="143">
        <f t="shared" si="18"/>
        <v>0.62930740858708545</v>
      </c>
      <c r="N34" s="143">
        <f t="shared" si="18"/>
        <v>0.58901854042220636</v>
      </c>
      <c r="O34" s="143">
        <f t="shared" si="18"/>
        <v>0.55130900451348408</v>
      </c>
      <c r="P34" s="143">
        <f t="shared" si="18"/>
        <v>0.51601366951842376</v>
      </c>
      <c r="Q34" s="143">
        <f t="shared" si="18"/>
        <v>0.48297797596258307</v>
      </c>
      <c r="R34" s="143">
        <f t="shared" si="18"/>
        <v>0.45205725941836672</v>
      </c>
      <c r="S34" s="143">
        <f t="shared" si="18"/>
        <v>0.42311611701457014</v>
      </c>
      <c r="T34" s="143">
        <f t="shared" si="18"/>
        <v>0.39602781450259278</v>
      </c>
      <c r="U34" s="143">
        <f t="shared" si="18"/>
        <v>0.37067373128284609</v>
      </c>
      <c r="V34" s="143">
        <f t="shared" si="18"/>
        <v>0.34694284096110634</v>
      </c>
      <c r="W34" s="143">
        <f t="shared" si="18"/>
        <v>0.32473122516015196</v>
      </c>
      <c r="X34" s="143">
        <f t="shared" si="18"/>
        <v>0.30394161845764878</v>
      </c>
      <c r="Y34" s="143">
        <f t="shared" si="18"/>
        <v>0.28448298245755221</v>
      </c>
      <c r="Z34" s="143">
        <f t="shared" si="18"/>
        <v>0.26627010712986909</v>
      </c>
      <c r="AA34" s="142"/>
      <c r="AB34" s="142"/>
    </row>
    <row r="35" spans="2:30" s="112" customFormat="1" ht="18" customHeight="1" x14ac:dyDescent="0.4">
      <c r="B35" s="117" t="s">
        <v>146</v>
      </c>
      <c r="C35" s="117"/>
      <c r="D35" s="117"/>
      <c r="E35" s="117"/>
      <c r="F35" s="118">
        <f t="shared" ref="F35:Z35" si="19">F33*F34</f>
        <v>6.6239500000015141</v>
      </c>
      <c r="G35" s="118">
        <f t="shared" si="19"/>
        <v>1271.5150407587864</v>
      </c>
      <c r="H35" s="118">
        <f t="shared" si="19"/>
        <v>1276.0722851449843</v>
      </c>
      <c r="I35" s="118">
        <f t="shared" si="19"/>
        <v>-406.3226617095994</v>
      </c>
      <c r="J35" s="118">
        <f t="shared" si="19"/>
        <v>-82.583372220820195</v>
      </c>
      <c r="K35" s="119">
        <f t="shared" si="19"/>
        <v>240.7791757979827</v>
      </c>
      <c r="L35" s="118">
        <f>L33*L34</f>
        <v>-90.893681523114054</v>
      </c>
      <c r="M35" s="118">
        <f t="shared" si="19"/>
        <v>331.34508023312026</v>
      </c>
      <c r="N35" s="118">
        <f t="shared" si="19"/>
        <v>350.89010862932042</v>
      </c>
      <c r="O35" s="118">
        <f t="shared" si="19"/>
        <v>366.21459139698464</v>
      </c>
      <c r="P35" s="118">
        <f t="shared" si="19"/>
        <v>377.68096802027867</v>
      </c>
      <c r="Q35" s="118">
        <f t="shared" si="19"/>
        <v>104.45143651659616</v>
      </c>
      <c r="R35" s="118">
        <f t="shared" si="19"/>
        <v>385.76476619160246</v>
      </c>
      <c r="S35" s="118">
        <f t="shared" si="19"/>
        <v>1206.1365412787936</v>
      </c>
      <c r="T35" s="118">
        <f t="shared" si="19"/>
        <v>1135.6585593589814</v>
      </c>
      <c r="U35" s="118">
        <f t="shared" si="19"/>
        <v>1069.2372965929605</v>
      </c>
      <c r="V35" s="118">
        <f t="shared" si="19"/>
        <v>808.51984432726942</v>
      </c>
      <c r="W35" s="118">
        <f t="shared" si="19"/>
        <v>947.65440766665108</v>
      </c>
      <c r="X35" s="118">
        <f t="shared" si="19"/>
        <v>892.06935961767965</v>
      </c>
      <c r="Y35" s="118">
        <f t="shared" si="19"/>
        <v>839.6927675105585</v>
      </c>
      <c r="Z35" s="118">
        <f t="shared" si="19"/>
        <v>790.34163416240335</v>
      </c>
      <c r="AA35" s="117"/>
      <c r="AB35" s="117"/>
      <c r="AD35" s="71"/>
    </row>
    <row r="36" spans="2:30" s="112" customFormat="1" ht="18" customHeight="1" x14ac:dyDescent="0.4">
      <c r="B36" s="117" t="s">
        <v>147</v>
      </c>
      <c r="C36" s="117"/>
      <c r="D36" s="117"/>
      <c r="E36" s="117"/>
      <c r="F36" s="117">
        <f>F37+Z36</f>
        <v>-8146.7999999999993</v>
      </c>
      <c r="G36" s="117"/>
      <c r="H36" s="117"/>
      <c r="I36" s="117"/>
      <c r="J36" s="117"/>
      <c r="K36" s="120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8"/>
      <c r="AA36" s="117"/>
      <c r="AB36" s="117"/>
      <c r="AD36" s="71"/>
    </row>
    <row r="37" spans="2:30" ht="18" customHeight="1" x14ac:dyDescent="0.4">
      <c r="B37" s="109"/>
      <c r="C37" s="109" t="s">
        <v>92</v>
      </c>
      <c r="D37" s="109"/>
      <c r="E37" s="109"/>
      <c r="F37" s="169">
        <f>-C45*0.3</f>
        <v>-8146.7999999999993</v>
      </c>
      <c r="G37" s="109"/>
      <c r="H37" s="109"/>
      <c r="I37" s="109"/>
      <c r="J37" s="109"/>
      <c r="K37" s="110"/>
      <c r="L37" s="109"/>
      <c r="M37" s="109"/>
      <c r="N37" s="109"/>
      <c r="O37" s="109"/>
      <c r="P37" s="109"/>
      <c r="Q37" s="115"/>
      <c r="R37" s="109"/>
      <c r="S37" s="109"/>
      <c r="T37" s="109"/>
      <c r="U37" s="109"/>
      <c r="V37" s="109"/>
      <c r="W37" s="109"/>
      <c r="X37" s="109"/>
      <c r="Y37" s="109"/>
      <c r="Z37" s="118"/>
      <c r="AA37" s="109"/>
      <c r="AB37" s="109"/>
    </row>
    <row r="38" spans="2:30" s="112" customFormat="1" ht="18" customHeight="1" x14ac:dyDescent="0.4">
      <c r="B38" s="117" t="s">
        <v>148</v>
      </c>
      <c r="C38" s="117"/>
      <c r="D38" s="117"/>
      <c r="E38" s="117"/>
      <c r="F38" s="118">
        <f t="shared" ref="F38:Z38" si="20">F33+F36</f>
        <v>-8140.1760499999982</v>
      </c>
      <c r="G38" s="118">
        <f t="shared" si="20"/>
        <v>1358.4866695466874</v>
      </c>
      <c r="H38" s="118">
        <f t="shared" si="20"/>
        <v>1456.6091545032061</v>
      </c>
      <c r="I38" s="118">
        <f t="shared" si="20"/>
        <v>-495.53311548764179</v>
      </c>
      <c r="J38" s="118">
        <f t="shared" si="20"/>
        <v>-107.60392927045859</v>
      </c>
      <c r="K38" s="119">
        <f t="shared" si="20"/>
        <v>335.18789048564145</v>
      </c>
      <c r="L38" s="118">
        <f t="shared" si="20"/>
        <v>-135.18763496849033</v>
      </c>
      <c r="M38" s="118">
        <f t="shared" si="20"/>
        <v>526.52340606803409</v>
      </c>
      <c r="N38" s="118">
        <f t="shared" si="20"/>
        <v>595.71997237608798</v>
      </c>
      <c r="O38" s="118">
        <f t="shared" si="20"/>
        <v>664.26375843463597</v>
      </c>
      <c r="P38" s="118">
        <f t="shared" si="20"/>
        <v>731.92047096882948</v>
      </c>
      <c r="Q38" s="118">
        <f t="shared" si="20"/>
        <v>216.26542350802379</v>
      </c>
      <c r="R38" s="118">
        <f t="shared" si="20"/>
        <v>853.35376913964706</v>
      </c>
      <c r="S38" s="118">
        <f t="shared" si="20"/>
        <v>2850.6041078961307</v>
      </c>
      <c r="T38" s="118">
        <f t="shared" si="20"/>
        <v>2867.6232268820763</v>
      </c>
      <c r="U38" s="118">
        <f t="shared" si="20"/>
        <v>2884.5780166090835</v>
      </c>
      <c r="V38" s="118">
        <f t="shared" si="20"/>
        <v>2330.4122433755815</v>
      </c>
      <c r="W38" s="118">
        <f t="shared" si="20"/>
        <v>2918.2731263348142</v>
      </c>
      <c r="X38" s="118">
        <f t="shared" si="20"/>
        <v>2935.0023341472092</v>
      </c>
      <c r="Y38" s="118">
        <f t="shared" si="20"/>
        <v>2951.644981561768</v>
      </c>
      <c r="Z38" s="118">
        <f t="shared" si="20"/>
        <v>2968.1951259249936</v>
      </c>
      <c r="AA38" s="117"/>
      <c r="AB38" s="117"/>
      <c r="AD38" s="71"/>
    </row>
    <row r="39" spans="2:30" ht="18" customHeight="1" x14ac:dyDescent="0.4">
      <c r="B39" s="121" t="s">
        <v>89</v>
      </c>
      <c r="C39" s="121"/>
      <c r="D39" s="121"/>
      <c r="E39" s="122"/>
      <c r="F39" s="121">
        <f>SUM(F35:Z35)+F36</f>
        <v>3674.0480977514217</v>
      </c>
      <c r="G39" s="109"/>
      <c r="H39" s="109"/>
      <c r="I39" s="109"/>
      <c r="J39" s="109"/>
      <c r="K39" s="110"/>
      <c r="L39" s="109"/>
      <c r="M39" s="115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</row>
    <row r="40" spans="2:30" ht="18" customHeight="1" x14ac:dyDescent="0.4">
      <c r="B40" s="121" t="s">
        <v>90</v>
      </c>
      <c r="C40" s="121"/>
      <c r="D40" s="121"/>
      <c r="E40" s="121"/>
      <c r="F40" s="121">
        <f>IRR(F38:Z38)</f>
        <v>0.10303073248462447</v>
      </c>
      <c r="G40" s="109"/>
      <c r="H40" s="109"/>
      <c r="I40" s="109"/>
      <c r="J40" s="109"/>
      <c r="K40" s="110"/>
      <c r="L40" s="109"/>
      <c r="M40" s="109"/>
      <c r="N40" s="109"/>
      <c r="O40" s="115"/>
      <c r="P40" s="115"/>
      <c r="Q40" s="115"/>
      <c r="R40" s="115"/>
      <c r="S40" s="115"/>
      <c r="T40" s="115"/>
      <c r="U40" s="115"/>
      <c r="V40" s="115"/>
      <c r="W40" s="115"/>
      <c r="X40" s="109"/>
      <c r="Y40" s="109"/>
      <c r="Z40" s="109"/>
      <c r="AA40" s="109"/>
      <c r="AB40" s="109"/>
    </row>
    <row r="41" spans="2:30" ht="18" customHeight="1" x14ac:dyDescent="0.4">
      <c r="B41" s="121" t="s">
        <v>97</v>
      </c>
      <c r="C41" s="121"/>
      <c r="D41" s="121"/>
      <c r="E41" s="121"/>
      <c r="F41" s="123" t="s">
        <v>149</v>
      </c>
      <c r="G41" s="109"/>
      <c r="H41" s="109"/>
      <c r="I41" s="109"/>
      <c r="J41" s="109"/>
      <c r="K41" s="110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</row>
    <row r="42" spans="2:30" s="97" customFormat="1" ht="18" customHeight="1" x14ac:dyDescent="0.4">
      <c r="B42" s="124"/>
      <c r="C42" s="124"/>
      <c r="D42" s="124"/>
      <c r="E42" s="124"/>
      <c r="F42" s="124"/>
      <c r="G42" s="124"/>
      <c r="H42" s="124"/>
      <c r="I42" s="124"/>
      <c r="J42" s="124"/>
      <c r="K42" s="125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D42" s="141"/>
    </row>
    <row r="43" spans="2:30" s="97" customFormat="1" ht="18" customHeight="1" x14ac:dyDescent="0.4">
      <c r="F43" s="126">
        <f>F36*0.8</f>
        <v>-6517.44</v>
      </c>
      <c r="K43" s="93"/>
      <c r="AD43" s="141"/>
    </row>
    <row r="44" spans="2:30" s="97" customFormat="1" ht="18" customHeight="1" x14ac:dyDescent="0.4">
      <c r="K44" s="93"/>
      <c r="AD44" s="141"/>
    </row>
    <row r="45" spans="2:30" s="112" customFormat="1" ht="18" customHeight="1" x14ac:dyDescent="0.4">
      <c r="B45" s="127" t="s">
        <v>76</v>
      </c>
      <c r="C45" s="167">
        <v>27156</v>
      </c>
      <c r="D45" s="127"/>
      <c r="E45" s="127"/>
      <c r="F45" s="127"/>
      <c r="G45" s="127"/>
      <c r="H45" s="127"/>
      <c r="I45" s="127"/>
      <c r="J45" s="127"/>
      <c r="K45" s="128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D45" s="71"/>
    </row>
    <row r="46" spans="2:30" ht="18" customHeight="1" x14ac:dyDescent="0.4">
      <c r="B46" s="109" t="s">
        <v>77</v>
      </c>
      <c r="C46" s="115">
        <f>C45*0.7</f>
        <v>19009.199999999997</v>
      </c>
      <c r="D46" s="109"/>
      <c r="E46" s="109"/>
      <c r="F46" s="109"/>
      <c r="G46" s="109"/>
      <c r="H46" s="109"/>
      <c r="I46" s="109"/>
      <c r="J46" s="109"/>
      <c r="K46" s="110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</row>
    <row r="47" spans="2:30" ht="18" customHeight="1" x14ac:dyDescent="0.4">
      <c r="B47" s="129" t="s">
        <v>78</v>
      </c>
      <c r="C47" s="164">
        <v>19850</v>
      </c>
      <c r="D47" s="131"/>
      <c r="E47" s="131"/>
      <c r="F47" s="129" t="s">
        <v>79</v>
      </c>
      <c r="G47" s="131"/>
      <c r="H47" s="131"/>
      <c r="I47" s="131">
        <f>C47/10</f>
        <v>1985</v>
      </c>
      <c r="J47" s="131">
        <f t="shared" ref="J47:R47" si="21">I47</f>
        <v>1985</v>
      </c>
      <c r="K47" s="132">
        <f t="shared" si="21"/>
        <v>1985</v>
      </c>
      <c r="L47" s="131">
        <f t="shared" si="21"/>
        <v>1985</v>
      </c>
      <c r="M47" s="131">
        <f t="shared" si="21"/>
        <v>1985</v>
      </c>
      <c r="N47" s="131">
        <f t="shared" si="21"/>
        <v>1985</v>
      </c>
      <c r="O47" s="131">
        <f t="shared" si="21"/>
        <v>1985</v>
      </c>
      <c r="P47" s="131">
        <f t="shared" si="21"/>
        <v>1985</v>
      </c>
      <c r="Q47" s="131">
        <f t="shared" si="21"/>
        <v>1985</v>
      </c>
      <c r="R47" s="131">
        <f t="shared" si="21"/>
        <v>1985</v>
      </c>
      <c r="S47" s="109"/>
      <c r="T47" s="109"/>
      <c r="U47" s="109"/>
      <c r="V47" s="109"/>
      <c r="W47" s="109"/>
      <c r="X47" s="109"/>
      <c r="Y47" s="109"/>
      <c r="Z47" s="109"/>
      <c r="AA47" s="109"/>
      <c r="AB47" s="109"/>
    </row>
    <row r="48" spans="2:30" ht="18" customHeight="1" x14ac:dyDescent="0.4">
      <c r="B48" s="131" t="s">
        <v>82</v>
      </c>
      <c r="C48" s="133"/>
      <c r="D48" s="131"/>
      <c r="E48" s="131"/>
      <c r="F48" s="129" t="s">
        <v>81</v>
      </c>
      <c r="G48" s="131"/>
      <c r="H48" s="131"/>
      <c r="I48" s="131">
        <f>C47-I47</f>
        <v>17865</v>
      </c>
      <c r="J48" s="131">
        <f t="shared" ref="J48:R48" si="22">I48-J47</f>
        <v>15880</v>
      </c>
      <c r="K48" s="132">
        <f t="shared" si="22"/>
        <v>13895</v>
      </c>
      <c r="L48" s="131">
        <f t="shared" si="22"/>
        <v>11910</v>
      </c>
      <c r="M48" s="131">
        <f t="shared" si="22"/>
        <v>9925</v>
      </c>
      <c r="N48" s="131">
        <f t="shared" si="22"/>
        <v>7940</v>
      </c>
      <c r="O48" s="131">
        <f t="shared" si="22"/>
        <v>5955</v>
      </c>
      <c r="P48" s="131">
        <f t="shared" si="22"/>
        <v>3970</v>
      </c>
      <c r="Q48" s="131">
        <f t="shared" si="22"/>
        <v>1985</v>
      </c>
      <c r="R48" s="131">
        <f t="shared" si="22"/>
        <v>0</v>
      </c>
      <c r="S48" s="109"/>
      <c r="T48" s="109"/>
      <c r="U48" s="109"/>
      <c r="V48" s="109"/>
      <c r="W48" s="109"/>
      <c r="X48" s="109"/>
      <c r="Y48" s="109"/>
      <c r="Z48" s="109"/>
      <c r="AA48" s="109"/>
      <c r="AB48" s="109"/>
    </row>
    <row r="49" spans="2:30" ht="18" customHeight="1" x14ac:dyDescent="0.4">
      <c r="B49" s="131" t="s">
        <v>96</v>
      </c>
      <c r="C49" s="133">
        <f>C47*D49</f>
        <v>833.7</v>
      </c>
      <c r="D49" s="66">
        <v>4.2000000000000003E-2</v>
      </c>
      <c r="E49" s="129"/>
      <c r="F49" s="129" t="s">
        <v>80</v>
      </c>
      <c r="G49" s="129"/>
      <c r="H49" s="129"/>
      <c r="I49" s="133">
        <f t="shared" ref="I49:Q49" si="23">I48*$D$49</f>
        <v>750.33</v>
      </c>
      <c r="J49" s="133">
        <f t="shared" si="23"/>
        <v>666.96</v>
      </c>
      <c r="K49" s="134">
        <f t="shared" si="23"/>
        <v>583.59</v>
      </c>
      <c r="L49" s="133">
        <f t="shared" si="23"/>
        <v>500.22</v>
      </c>
      <c r="M49" s="133">
        <f t="shared" si="23"/>
        <v>416.85</v>
      </c>
      <c r="N49" s="133">
        <f t="shared" si="23"/>
        <v>333.48</v>
      </c>
      <c r="O49" s="133">
        <f t="shared" si="23"/>
        <v>250.11</v>
      </c>
      <c r="P49" s="133">
        <f t="shared" si="23"/>
        <v>166.74</v>
      </c>
      <c r="Q49" s="133">
        <f t="shared" si="23"/>
        <v>83.37</v>
      </c>
      <c r="R49" s="131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</row>
    <row r="50" spans="2:30" ht="18" customHeight="1" x14ac:dyDescent="0.4">
      <c r="B50" s="124"/>
      <c r="C50" s="135"/>
      <c r="D50" s="124"/>
      <c r="E50" s="124"/>
      <c r="F50" s="124"/>
      <c r="G50" s="124"/>
      <c r="H50" s="124"/>
      <c r="I50" s="124"/>
      <c r="J50" s="124"/>
      <c r="K50" s="125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</row>
    <row r="51" spans="2:30" ht="18" customHeight="1" x14ac:dyDescent="0.4">
      <c r="B51" s="97"/>
      <c r="C51" s="97"/>
      <c r="D51" s="97" t="s">
        <v>70</v>
      </c>
      <c r="E51" s="97" t="s">
        <v>72</v>
      </c>
      <c r="F51" s="97"/>
      <c r="G51" s="97"/>
      <c r="H51" s="97"/>
      <c r="I51" s="97"/>
      <c r="J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 spans="2:30" ht="18" customHeight="1" x14ac:dyDescent="0.4">
      <c r="B52" s="136" t="s">
        <v>65</v>
      </c>
      <c r="C52" s="137">
        <v>10191.7485</v>
      </c>
      <c r="D52" s="136">
        <v>20</v>
      </c>
      <c r="E52" s="137">
        <f t="shared" ref="E52:E56" si="24">C52/D52</f>
        <v>509.587425</v>
      </c>
      <c r="F52" s="136"/>
      <c r="G52" s="136">
        <f t="shared" ref="G52:G56" si="25">E52</f>
        <v>509.587425</v>
      </c>
      <c r="H52" s="136">
        <f t="shared" ref="H52:Z52" si="26">G52</f>
        <v>509.587425</v>
      </c>
      <c r="I52" s="136">
        <f t="shared" si="26"/>
        <v>509.587425</v>
      </c>
      <c r="J52" s="136">
        <f t="shared" si="26"/>
        <v>509.587425</v>
      </c>
      <c r="K52" s="138">
        <f t="shared" si="26"/>
        <v>509.587425</v>
      </c>
      <c r="L52" s="136">
        <f t="shared" si="26"/>
        <v>509.587425</v>
      </c>
      <c r="M52" s="136">
        <f t="shared" si="26"/>
        <v>509.587425</v>
      </c>
      <c r="N52" s="136">
        <f t="shared" si="26"/>
        <v>509.587425</v>
      </c>
      <c r="O52" s="136">
        <f t="shared" si="26"/>
        <v>509.587425</v>
      </c>
      <c r="P52" s="136">
        <f t="shared" si="26"/>
        <v>509.587425</v>
      </c>
      <c r="Q52" s="136">
        <f t="shared" si="26"/>
        <v>509.587425</v>
      </c>
      <c r="R52" s="136">
        <f t="shared" si="26"/>
        <v>509.587425</v>
      </c>
      <c r="S52" s="136">
        <f t="shared" si="26"/>
        <v>509.587425</v>
      </c>
      <c r="T52" s="136">
        <f t="shared" si="26"/>
        <v>509.587425</v>
      </c>
      <c r="U52" s="136">
        <f t="shared" si="26"/>
        <v>509.587425</v>
      </c>
      <c r="V52" s="136">
        <f t="shared" si="26"/>
        <v>509.587425</v>
      </c>
      <c r="W52" s="136">
        <f t="shared" si="26"/>
        <v>509.587425</v>
      </c>
      <c r="X52" s="136">
        <f t="shared" si="26"/>
        <v>509.587425</v>
      </c>
      <c r="Y52" s="136">
        <f t="shared" si="26"/>
        <v>509.587425</v>
      </c>
      <c r="Z52" s="136">
        <f t="shared" si="26"/>
        <v>509.587425</v>
      </c>
      <c r="AA52" s="136"/>
      <c r="AB52" s="136"/>
    </row>
    <row r="53" spans="2:30" ht="18" customHeight="1" x14ac:dyDescent="0.4">
      <c r="B53" s="109" t="s">
        <v>141</v>
      </c>
      <c r="C53" s="115">
        <v>6351.8525</v>
      </c>
      <c r="D53" s="109">
        <v>20</v>
      </c>
      <c r="E53" s="115">
        <f t="shared" si="24"/>
        <v>317.592625</v>
      </c>
      <c r="F53" s="109"/>
      <c r="G53" s="109">
        <f t="shared" si="25"/>
        <v>317.592625</v>
      </c>
      <c r="H53" s="109">
        <f t="shared" ref="H53:Z53" si="27">G53</f>
        <v>317.592625</v>
      </c>
      <c r="I53" s="109">
        <f t="shared" si="27"/>
        <v>317.592625</v>
      </c>
      <c r="J53" s="109">
        <f t="shared" si="27"/>
        <v>317.592625</v>
      </c>
      <c r="K53" s="110">
        <f t="shared" si="27"/>
        <v>317.592625</v>
      </c>
      <c r="L53" s="109">
        <f t="shared" si="27"/>
        <v>317.592625</v>
      </c>
      <c r="M53" s="109">
        <f t="shared" si="27"/>
        <v>317.592625</v>
      </c>
      <c r="N53" s="109">
        <f t="shared" si="27"/>
        <v>317.592625</v>
      </c>
      <c r="O53" s="109">
        <f t="shared" si="27"/>
        <v>317.592625</v>
      </c>
      <c r="P53" s="109">
        <f t="shared" si="27"/>
        <v>317.592625</v>
      </c>
      <c r="Q53" s="109">
        <f t="shared" si="27"/>
        <v>317.592625</v>
      </c>
      <c r="R53" s="109">
        <f t="shared" si="27"/>
        <v>317.592625</v>
      </c>
      <c r="S53" s="109">
        <f t="shared" si="27"/>
        <v>317.592625</v>
      </c>
      <c r="T53" s="109">
        <f t="shared" si="27"/>
        <v>317.592625</v>
      </c>
      <c r="U53" s="109">
        <f t="shared" si="27"/>
        <v>317.592625</v>
      </c>
      <c r="V53" s="109">
        <f t="shared" si="27"/>
        <v>317.592625</v>
      </c>
      <c r="W53" s="109">
        <f t="shared" si="27"/>
        <v>317.592625</v>
      </c>
      <c r="X53" s="109">
        <f t="shared" si="27"/>
        <v>317.592625</v>
      </c>
      <c r="Y53" s="109">
        <f t="shared" si="27"/>
        <v>317.592625</v>
      </c>
      <c r="Z53" s="109">
        <f t="shared" si="27"/>
        <v>317.592625</v>
      </c>
      <c r="AA53" s="109"/>
      <c r="AB53" s="109"/>
    </row>
    <row r="54" spans="2:30" ht="18" customHeight="1" x14ac:dyDescent="0.4">
      <c r="B54" s="109" t="s">
        <v>142</v>
      </c>
      <c r="C54" s="115">
        <v>1344.1751999999999</v>
      </c>
      <c r="D54" s="109">
        <v>20</v>
      </c>
      <c r="E54" s="115">
        <f t="shared" si="24"/>
        <v>67.208759999999998</v>
      </c>
      <c r="F54" s="109"/>
      <c r="G54" s="109">
        <f t="shared" si="25"/>
        <v>67.208759999999998</v>
      </c>
      <c r="H54" s="109">
        <f t="shared" ref="H54:Z54" si="28">G54</f>
        <v>67.208759999999998</v>
      </c>
      <c r="I54" s="109">
        <f t="shared" si="28"/>
        <v>67.208759999999998</v>
      </c>
      <c r="J54" s="109">
        <f t="shared" si="28"/>
        <v>67.208759999999998</v>
      </c>
      <c r="K54" s="110">
        <f t="shared" si="28"/>
        <v>67.208759999999998</v>
      </c>
      <c r="L54" s="109">
        <f t="shared" si="28"/>
        <v>67.208759999999998</v>
      </c>
      <c r="M54" s="109">
        <f t="shared" si="28"/>
        <v>67.208759999999998</v>
      </c>
      <c r="N54" s="109">
        <f t="shared" si="28"/>
        <v>67.208759999999998</v>
      </c>
      <c r="O54" s="109">
        <f t="shared" si="28"/>
        <v>67.208759999999998</v>
      </c>
      <c r="P54" s="109">
        <f t="shared" si="28"/>
        <v>67.208759999999998</v>
      </c>
      <c r="Q54" s="109">
        <f t="shared" si="28"/>
        <v>67.208759999999998</v>
      </c>
      <c r="R54" s="109">
        <f t="shared" si="28"/>
        <v>67.208759999999998</v>
      </c>
      <c r="S54" s="109">
        <f t="shared" si="28"/>
        <v>67.208759999999998</v>
      </c>
      <c r="T54" s="109">
        <f t="shared" si="28"/>
        <v>67.208759999999998</v>
      </c>
      <c r="U54" s="109">
        <f t="shared" si="28"/>
        <v>67.208759999999998</v>
      </c>
      <c r="V54" s="109">
        <f t="shared" si="28"/>
        <v>67.208759999999998</v>
      </c>
      <c r="W54" s="109">
        <f t="shared" si="28"/>
        <v>67.208759999999998</v>
      </c>
      <c r="X54" s="109">
        <f t="shared" si="28"/>
        <v>67.208759999999998</v>
      </c>
      <c r="Y54" s="109">
        <f t="shared" si="28"/>
        <v>67.208759999999998</v>
      </c>
      <c r="Z54" s="109">
        <f t="shared" si="28"/>
        <v>67.208759999999998</v>
      </c>
      <c r="AA54" s="109"/>
      <c r="AB54" s="109"/>
    </row>
    <row r="55" spans="2:30" ht="18" customHeight="1" x14ac:dyDescent="0.4">
      <c r="B55" s="109" t="s">
        <v>143</v>
      </c>
      <c r="C55" s="115">
        <v>571.05090000000007</v>
      </c>
      <c r="D55" s="109">
        <v>5</v>
      </c>
      <c r="E55" s="115">
        <f t="shared" si="24"/>
        <v>114.21018000000001</v>
      </c>
      <c r="F55" s="109"/>
      <c r="G55" s="109">
        <f t="shared" si="25"/>
        <v>114.21018000000001</v>
      </c>
      <c r="H55" s="109">
        <f t="shared" ref="H55:Z55" si="29">G55</f>
        <v>114.21018000000001</v>
      </c>
      <c r="I55" s="109">
        <f t="shared" si="29"/>
        <v>114.21018000000001</v>
      </c>
      <c r="J55" s="109">
        <f t="shared" si="29"/>
        <v>114.21018000000001</v>
      </c>
      <c r="K55" s="110">
        <f t="shared" si="29"/>
        <v>114.21018000000001</v>
      </c>
      <c r="L55" s="109">
        <f t="shared" si="29"/>
        <v>114.21018000000001</v>
      </c>
      <c r="M55" s="109">
        <f t="shared" si="29"/>
        <v>114.21018000000001</v>
      </c>
      <c r="N55" s="109">
        <f t="shared" si="29"/>
        <v>114.21018000000001</v>
      </c>
      <c r="O55" s="109">
        <f t="shared" si="29"/>
        <v>114.21018000000001</v>
      </c>
      <c r="P55" s="109">
        <f t="shared" si="29"/>
        <v>114.21018000000001</v>
      </c>
      <c r="Q55" s="109">
        <f t="shared" si="29"/>
        <v>114.21018000000001</v>
      </c>
      <c r="R55" s="109">
        <f t="shared" si="29"/>
        <v>114.21018000000001</v>
      </c>
      <c r="S55" s="109">
        <f t="shared" si="29"/>
        <v>114.21018000000001</v>
      </c>
      <c r="T55" s="109">
        <f t="shared" si="29"/>
        <v>114.21018000000001</v>
      </c>
      <c r="U55" s="109">
        <f t="shared" si="29"/>
        <v>114.21018000000001</v>
      </c>
      <c r="V55" s="109">
        <f t="shared" si="29"/>
        <v>114.21018000000001</v>
      </c>
      <c r="W55" s="109">
        <f t="shared" si="29"/>
        <v>114.21018000000001</v>
      </c>
      <c r="X55" s="109">
        <f t="shared" si="29"/>
        <v>114.21018000000001</v>
      </c>
      <c r="Y55" s="109">
        <f t="shared" si="29"/>
        <v>114.21018000000001</v>
      </c>
      <c r="Z55" s="109">
        <f t="shared" si="29"/>
        <v>114.21018000000001</v>
      </c>
      <c r="AA55" s="109"/>
      <c r="AB55" s="109" t="s">
        <v>101</v>
      </c>
    </row>
    <row r="56" spans="2:30" s="112" customFormat="1" ht="18" customHeight="1" x14ac:dyDescent="0.4">
      <c r="B56" s="109" t="s">
        <v>144</v>
      </c>
      <c r="C56" s="115">
        <v>6883.21</v>
      </c>
      <c r="D56" s="109">
        <v>34</v>
      </c>
      <c r="E56" s="115">
        <f t="shared" si="24"/>
        <v>202.44735294117646</v>
      </c>
      <c r="F56" s="117"/>
      <c r="G56" s="109">
        <f t="shared" si="25"/>
        <v>202.44735294117646</v>
      </c>
      <c r="H56" s="109">
        <f t="shared" ref="H56:Z56" si="30">G56</f>
        <v>202.44735294117646</v>
      </c>
      <c r="I56" s="109">
        <f t="shared" si="30"/>
        <v>202.44735294117646</v>
      </c>
      <c r="J56" s="109">
        <f t="shared" si="30"/>
        <v>202.44735294117646</v>
      </c>
      <c r="K56" s="110">
        <f t="shared" si="30"/>
        <v>202.44735294117646</v>
      </c>
      <c r="L56" s="109">
        <f t="shared" si="30"/>
        <v>202.44735294117646</v>
      </c>
      <c r="M56" s="109">
        <f t="shared" si="30"/>
        <v>202.44735294117646</v>
      </c>
      <c r="N56" s="109">
        <f t="shared" si="30"/>
        <v>202.44735294117646</v>
      </c>
      <c r="O56" s="109">
        <f t="shared" si="30"/>
        <v>202.44735294117646</v>
      </c>
      <c r="P56" s="109">
        <f t="shared" si="30"/>
        <v>202.44735294117646</v>
      </c>
      <c r="Q56" s="109">
        <f t="shared" si="30"/>
        <v>202.44735294117646</v>
      </c>
      <c r="R56" s="109">
        <f t="shared" si="30"/>
        <v>202.44735294117646</v>
      </c>
      <c r="S56" s="109">
        <f t="shared" si="30"/>
        <v>202.44735294117646</v>
      </c>
      <c r="T56" s="109">
        <f t="shared" si="30"/>
        <v>202.44735294117646</v>
      </c>
      <c r="U56" s="109">
        <f t="shared" si="30"/>
        <v>202.44735294117646</v>
      </c>
      <c r="V56" s="109">
        <f t="shared" si="30"/>
        <v>202.44735294117646</v>
      </c>
      <c r="W56" s="109">
        <f t="shared" si="30"/>
        <v>202.44735294117646</v>
      </c>
      <c r="X56" s="109">
        <f t="shared" si="30"/>
        <v>202.44735294117646</v>
      </c>
      <c r="Y56" s="109">
        <f t="shared" si="30"/>
        <v>202.44735294117646</v>
      </c>
      <c r="Z56" s="109">
        <f t="shared" si="30"/>
        <v>202.44735294117646</v>
      </c>
      <c r="AA56" s="117"/>
      <c r="AB56" s="117"/>
      <c r="AD56" s="71"/>
    </row>
    <row r="57" spans="2:30" s="112" customFormat="1" ht="18" customHeight="1" x14ac:dyDescent="0.4">
      <c r="B57" s="117" t="s">
        <v>47</v>
      </c>
      <c r="C57" s="118">
        <f>SUM(C52:C56)</f>
        <v>25342.037099999998</v>
      </c>
      <c r="D57" s="117"/>
      <c r="E57" s="118">
        <f>SUM(E52:E56)</f>
        <v>1211.0463429411764</v>
      </c>
      <c r="F57" s="117"/>
      <c r="G57" s="117">
        <f t="shared" ref="G57:Z57" si="31">SUM(G52:G56)</f>
        <v>1211.0463429411764</v>
      </c>
      <c r="H57" s="117">
        <f t="shared" si="31"/>
        <v>1211.0463429411764</v>
      </c>
      <c r="I57" s="117">
        <f t="shared" si="31"/>
        <v>1211.0463429411764</v>
      </c>
      <c r="J57" s="117">
        <f t="shared" si="31"/>
        <v>1211.0463429411764</v>
      </c>
      <c r="K57" s="120">
        <f t="shared" si="31"/>
        <v>1211.0463429411764</v>
      </c>
      <c r="L57" s="117">
        <f t="shared" si="31"/>
        <v>1211.0463429411764</v>
      </c>
      <c r="M57" s="117">
        <f t="shared" si="31"/>
        <v>1211.0463429411764</v>
      </c>
      <c r="N57" s="117">
        <f t="shared" si="31"/>
        <v>1211.0463429411764</v>
      </c>
      <c r="O57" s="117">
        <f t="shared" si="31"/>
        <v>1211.0463429411764</v>
      </c>
      <c r="P57" s="117">
        <f t="shared" si="31"/>
        <v>1211.0463429411764</v>
      </c>
      <c r="Q57" s="117">
        <f t="shared" si="31"/>
        <v>1211.0463429411764</v>
      </c>
      <c r="R57" s="117">
        <f t="shared" si="31"/>
        <v>1211.0463429411764</v>
      </c>
      <c r="S57" s="117">
        <f t="shared" si="31"/>
        <v>1211.0463429411764</v>
      </c>
      <c r="T57" s="117">
        <f t="shared" si="31"/>
        <v>1211.0463429411764</v>
      </c>
      <c r="U57" s="117">
        <f t="shared" si="31"/>
        <v>1211.0463429411764</v>
      </c>
      <c r="V57" s="117">
        <f t="shared" si="31"/>
        <v>1211.0463429411764</v>
      </c>
      <c r="W57" s="117">
        <f t="shared" si="31"/>
        <v>1211.0463429411764</v>
      </c>
      <c r="X57" s="117">
        <f t="shared" si="31"/>
        <v>1211.0463429411764</v>
      </c>
      <c r="Y57" s="117">
        <f t="shared" si="31"/>
        <v>1211.0463429411764</v>
      </c>
      <c r="Z57" s="117">
        <f t="shared" si="31"/>
        <v>1211.0463429411764</v>
      </c>
      <c r="AA57" s="117"/>
      <c r="AB57" s="117"/>
      <c r="AD57" s="71"/>
    </row>
    <row r="58" spans="2:30" ht="18" customHeight="1" x14ac:dyDescent="0.4">
      <c r="B58" s="124"/>
      <c r="C58" s="124"/>
      <c r="D58" s="124"/>
      <c r="E58" s="124"/>
      <c r="F58" s="124"/>
      <c r="G58" s="124"/>
      <c r="H58" s="124"/>
      <c r="I58" s="124"/>
      <c r="J58" s="124"/>
      <c r="K58" s="125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</row>
    <row r="59" spans="2:30" ht="18" customHeight="1" x14ac:dyDescent="0.4">
      <c r="B59" s="97"/>
      <c r="C59" s="97"/>
      <c r="D59" s="97"/>
      <c r="E59" s="97"/>
      <c r="F59" s="97"/>
      <c r="G59" s="97"/>
      <c r="H59" s="97"/>
      <c r="I59" s="97"/>
      <c r="J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</sheetData>
  <phoneticPr fontId="2" type="noConversion"/>
  <pageMargins left="0.7" right="0.7" top="0.75" bottom="0.75" header="0.3" footer="0.3"/>
  <pageSetup paperSize="9" scale="2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72D8-8EC9-4EA8-83C9-58267F51F186}">
  <dimension ref="A1:AE70"/>
  <sheetViews>
    <sheetView showGridLines="0" tabSelected="1" zoomScaleNormal="100" workbookViewId="0">
      <selection activeCell="J13" sqref="J13"/>
    </sheetView>
    <sheetView showGridLines="0" topLeftCell="A22" workbookViewId="1">
      <selection activeCell="G45" sqref="G45"/>
    </sheetView>
  </sheetViews>
  <sheetFormatPr defaultColWidth="9" defaultRowHeight="18" customHeight="1" x14ac:dyDescent="0.4"/>
  <cols>
    <col min="1" max="2" width="2.59765625" style="92" customWidth="1"/>
    <col min="3" max="3" width="24.69921875" style="92" bestFit="1" customWidth="1"/>
    <col min="4" max="4" width="14.59765625" style="92" bestFit="1" customWidth="1"/>
    <col min="5" max="5" width="9" style="92"/>
    <col min="6" max="11" width="7.69921875" style="92" customWidth="1"/>
    <col min="12" max="12" width="7.69921875" style="93" customWidth="1"/>
    <col min="13" max="27" width="7.69921875" style="92" customWidth="1"/>
    <col min="28" max="28" width="7.69921875" style="78" customWidth="1"/>
    <col min="29" max="29" width="25" style="92" bestFit="1" customWidth="1"/>
    <col min="30" max="16384" width="9" style="92"/>
  </cols>
  <sheetData>
    <row r="1" spans="1:31" ht="18" customHeight="1" x14ac:dyDescent="0.4">
      <c r="A1" s="91" t="s">
        <v>153</v>
      </c>
      <c r="B1" s="91"/>
    </row>
    <row r="3" spans="1:31" ht="18" customHeight="1" x14ac:dyDescent="0.4">
      <c r="B3" s="94" t="s">
        <v>32</v>
      </c>
      <c r="C3" s="94"/>
      <c r="D3" s="95"/>
    </row>
    <row r="4" spans="1:31" ht="18" customHeight="1" x14ac:dyDescent="0.4">
      <c r="B4" s="96" t="s">
        <v>88</v>
      </c>
      <c r="C4" s="96"/>
      <c r="D4" s="96">
        <f>D5</f>
        <v>6.0999999999999999E-2</v>
      </c>
    </row>
    <row r="5" spans="1:31" ht="18" customHeight="1" x14ac:dyDescent="0.4">
      <c r="B5" s="97" t="s">
        <v>100</v>
      </c>
      <c r="C5" s="97"/>
      <c r="D5" s="97">
        <v>6.0999999999999999E-2</v>
      </c>
    </row>
    <row r="7" spans="1:31" s="101" customFormat="1" ht="18" customHeight="1" x14ac:dyDescent="0.4">
      <c r="A7" s="98"/>
      <c r="B7" s="98"/>
      <c r="C7" s="99"/>
      <c r="D7" s="99"/>
      <c r="E7" s="99"/>
      <c r="F7" s="99"/>
      <c r="G7" s="99">
        <v>0</v>
      </c>
      <c r="H7" s="99">
        <v>1</v>
      </c>
      <c r="I7" s="99">
        <v>2</v>
      </c>
      <c r="J7" s="99">
        <v>3</v>
      </c>
      <c r="K7" s="99">
        <v>4</v>
      </c>
      <c r="L7" s="100">
        <v>5</v>
      </c>
      <c r="M7" s="99">
        <v>6</v>
      </c>
      <c r="N7" s="99">
        <v>7</v>
      </c>
      <c r="O7" s="99">
        <v>8</v>
      </c>
      <c r="P7" s="99">
        <v>9</v>
      </c>
      <c r="Q7" s="99">
        <v>10</v>
      </c>
      <c r="R7" s="99">
        <v>11</v>
      </c>
      <c r="S7" s="99">
        <v>12</v>
      </c>
      <c r="T7" s="99">
        <v>13</v>
      </c>
      <c r="U7" s="99">
        <v>14</v>
      </c>
      <c r="V7" s="99">
        <v>15</v>
      </c>
      <c r="W7" s="99">
        <v>16</v>
      </c>
      <c r="X7" s="99">
        <v>17</v>
      </c>
      <c r="Y7" s="99">
        <v>18</v>
      </c>
      <c r="Z7" s="99">
        <v>19</v>
      </c>
      <c r="AA7" s="99">
        <v>20</v>
      </c>
      <c r="AB7" s="77"/>
      <c r="AC7" s="99"/>
    </row>
    <row r="8" spans="1:31" s="102" customFormat="1" ht="18" customHeight="1" thickBot="1" x14ac:dyDescent="0.45">
      <c r="B8" s="103" t="s">
        <v>60</v>
      </c>
      <c r="C8" s="103"/>
      <c r="D8" s="104"/>
      <c r="E8" s="104"/>
      <c r="F8" s="104"/>
      <c r="G8" s="104" t="s">
        <v>0</v>
      </c>
      <c r="H8" s="104" t="s">
        <v>1</v>
      </c>
      <c r="I8" s="104" t="s">
        <v>2</v>
      </c>
      <c r="J8" s="104" t="s">
        <v>3</v>
      </c>
      <c r="K8" s="104" t="s">
        <v>4</v>
      </c>
      <c r="L8" s="105" t="s">
        <v>5</v>
      </c>
      <c r="M8" s="104" t="s">
        <v>6</v>
      </c>
      <c r="N8" s="104" t="s">
        <v>7</v>
      </c>
      <c r="O8" s="104" t="s">
        <v>8</v>
      </c>
      <c r="P8" s="104" t="s">
        <v>9</v>
      </c>
      <c r="Q8" s="104" t="s">
        <v>10</v>
      </c>
      <c r="R8" s="104" t="s">
        <v>11</v>
      </c>
      <c r="S8" s="104" t="s">
        <v>12</v>
      </c>
      <c r="T8" s="104" t="s">
        <v>13</v>
      </c>
      <c r="U8" s="104" t="s">
        <v>14</v>
      </c>
      <c r="V8" s="104" t="s">
        <v>15</v>
      </c>
      <c r="W8" s="104" t="s">
        <v>16</v>
      </c>
      <c r="X8" s="104" t="s">
        <v>17</v>
      </c>
      <c r="Y8" s="104" t="s">
        <v>18</v>
      </c>
      <c r="Z8" s="104" t="s">
        <v>19</v>
      </c>
      <c r="AA8" s="104" t="s">
        <v>20</v>
      </c>
      <c r="AB8" s="79" t="s">
        <v>25</v>
      </c>
      <c r="AC8" s="104" t="s">
        <v>91</v>
      </c>
      <c r="AE8" s="102" t="s">
        <v>108</v>
      </c>
    </row>
    <row r="9" spans="1:31" ht="18" customHeight="1" x14ac:dyDescent="0.4">
      <c r="B9" s="146" t="s">
        <v>59</v>
      </c>
      <c r="C9" s="146"/>
      <c r="D9" s="146"/>
      <c r="E9" s="146"/>
      <c r="F9" s="146"/>
      <c r="G9" s="146">
        <f t="shared" ref="G9:AA9" si="0">SUM(G10:G19)</f>
        <v>0</v>
      </c>
      <c r="H9" s="146">
        <f t="shared" si="0"/>
        <v>4573.3808613838373</v>
      </c>
      <c r="I9" s="146">
        <f t="shared" si="0"/>
        <v>7950.5863023292432</v>
      </c>
      <c r="J9" s="146">
        <f t="shared" si="0"/>
        <v>11608.144960326601</v>
      </c>
      <c r="K9" s="146">
        <f t="shared" si="0"/>
        <v>13682.38436305371</v>
      </c>
      <c r="L9" s="147">
        <f t="shared" si="0"/>
        <v>15477.495771082185</v>
      </c>
      <c r="M9" s="146">
        <f t="shared" si="0"/>
        <v>16431.182157177551</v>
      </c>
      <c r="N9" s="146">
        <f t="shared" si="0"/>
        <v>16797.262672301287</v>
      </c>
      <c r="O9" s="146">
        <f t="shared" si="0"/>
        <v>18142.693542479305</v>
      </c>
      <c r="P9" s="146">
        <f t="shared" si="0"/>
        <v>18561.048193144052</v>
      </c>
      <c r="Q9" s="146">
        <f t="shared" si="0"/>
        <v>18772.872964100156</v>
      </c>
      <c r="R9" s="146">
        <f t="shared" si="0"/>
        <v>18896.32674899463</v>
      </c>
      <c r="S9" s="146">
        <f t="shared" si="0"/>
        <v>19113.421894883599</v>
      </c>
      <c r="T9" s="146">
        <f t="shared" si="0"/>
        <v>19316.424129218063</v>
      </c>
      <c r="U9" s="146">
        <f t="shared" si="0"/>
        <v>19521.74378840666</v>
      </c>
      <c r="V9" s="146">
        <f t="shared" si="0"/>
        <v>19729.409794748146</v>
      </c>
      <c r="W9" s="146">
        <f t="shared" si="0"/>
        <v>19939.451474725262</v>
      </c>
      <c r="X9" s="146">
        <f t="shared" si="0"/>
        <v>20151.898565345822</v>
      </c>
      <c r="Y9" s="146">
        <f t="shared" si="0"/>
        <v>20366.781220593119</v>
      </c>
      <c r="Z9" s="146">
        <f t="shared" si="0"/>
        <v>20584.130017987838</v>
      </c>
      <c r="AA9" s="146">
        <f t="shared" si="0"/>
        <v>20803.975965263351</v>
      </c>
      <c r="AB9" s="80">
        <f t="shared" ref="AB9:AB42" si="1">(AA9/H9)^(1/19)-1</f>
        <v>8.2995839136324578E-2</v>
      </c>
      <c r="AC9" s="146"/>
      <c r="AE9" s="148">
        <f t="shared" ref="AE9:AE36" si="2">(L9/H9)^(1/4)-1</f>
        <v>0.35633144659662075</v>
      </c>
    </row>
    <row r="10" spans="1:31" s="149" customFormat="1" ht="18" customHeight="1" x14ac:dyDescent="0.4">
      <c r="B10" s="131"/>
      <c r="C10" s="131" t="s">
        <v>112</v>
      </c>
      <c r="D10" s="131" t="s">
        <v>113</v>
      </c>
      <c r="E10" s="131" t="s">
        <v>37</v>
      </c>
      <c r="F10" s="129"/>
      <c r="G10" s="129"/>
      <c r="H10" s="133">
        <v>319.98186892169355</v>
      </c>
      <c r="I10" s="133">
        <v>421.93671119999993</v>
      </c>
      <c r="J10" s="133">
        <v>426.15607831200003</v>
      </c>
      <c r="K10" s="133">
        <v>430.41763909512002</v>
      </c>
      <c r="L10" s="134">
        <v>434.72181548607114</v>
      </c>
      <c r="M10" s="133">
        <v>439.06903364093182</v>
      </c>
      <c r="N10" s="133">
        <v>443.45972397734124</v>
      </c>
      <c r="O10" s="133">
        <v>447.89432121711457</v>
      </c>
      <c r="P10" s="133">
        <v>452.37326442928577</v>
      </c>
      <c r="Q10" s="133">
        <v>456.89699707357869</v>
      </c>
      <c r="R10" s="133">
        <v>461.46596704431437</v>
      </c>
      <c r="S10" s="133">
        <v>466.08062671475756</v>
      </c>
      <c r="T10" s="133">
        <v>470.74143298190501</v>
      </c>
      <c r="U10" s="133">
        <v>475.44884731172419</v>
      </c>
      <c r="V10" s="133">
        <v>480.20333578484144</v>
      </c>
      <c r="W10" s="133">
        <v>485.00536914268986</v>
      </c>
      <c r="X10" s="133">
        <v>489.85542283411672</v>
      </c>
      <c r="Y10" s="133">
        <v>494.75397706245786</v>
      </c>
      <c r="Z10" s="133">
        <v>499.70151683308251</v>
      </c>
      <c r="AA10" s="133">
        <v>504.69853200141335</v>
      </c>
      <c r="AB10" s="81">
        <f t="shared" si="1"/>
        <v>2.4273980596666744E-2</v>
      </c>
      <c r="AC10" s="129"/>
      <c r="AE10" s="150">
        <f t="shared" si="2"/>
        <v>7.9621478497484688E-2</v>
      </c>
    </row>
    <row r="11" spans="1:31" s="149" customFormat="1" ht="18" customHeight="1" x14ac:dyDescent="0.4">
      <c r="B11" s="131"/>
      <c r="C11" s="131"/>
      <c r="D11" s="131"/>
      <c r="E11" s="131" t="s">
        <v>31</v>
      </c>
      <c r="F11" s="129"/>
      <c r="G11" s="129"/>
      <c r="H11" s="133">
        <v>1465.1691584270818</v>
      </c>
      <c r="I11" s="133">
        <v>2622.5161889793953</v>
      </c>
      <c r="J11" s="133">
        <v>3952.5148863781733</v>
      </c>
      <c r="K11" s="133">
        <v>4574.6661638803062</v>
      </c>
      <c r="L11" s="134">
        <v>4828.2449134884264</v>
      </c>
      <c r="M11" s="133">
        <v>4876.5273626233111</v>
      </c>
      <c r="N11" s="133">
        <v>4925.2926362495446</v>
      </c>
      <c r="O11" s="133">
        <v>4974.5455626120383</v>
      </c>
      <c r="P11" s="133">
        <v>5024.2910182381593</v>
      </c>
      <c r="Q11" s="133">
        <v>5074.533928420542</v>
      </c>
      <c r="R11" s="133">
        <v>5125.2792677047464</v>
      </c>
      <c r="S11" s="133">
        <v>5176.5320603817936</v>
      </c>
      <c r="T11" s="133">
        <v>5228.2973809856112</v>
      </c>
      <c r="U11" s="133">
        <v>5280.5803547954683</v>
      </c>
      <c r="V11" s="133">
        <v>5333.3861583434227</v>
      </c>
      <c r="W11" s="133">
        <v>5386.7200199268573</v>
      </c>
      <c r="X11" s="133">
        <v>5440.5872201261263</v>
      </c>
      <c r="Y11" s="133">
        <v>5494.9930923273878</v>
      </c>
      <c r="Z11" s="133">
        <v>5549.9430232506611</v>
      </c>
      <c r="AA11" s="133">
        <v>5605.4424534831678</v>
      </c>
      <c r="AB11" s="81">
        <f t="shared" si="1"/>
        <v>7.3172624618714766E-2</v>
      </c>
      <c r="AC11" s="129"/>
      <c r="AE11" s="150">
        <f t="shared" si="2"/>
        <v>0.34733434589534884</v>
      </c>
    </row>
    <row r="12" spans="1:31" s="149" customFormat="1" ht="18" customHeight="1" x14ac:dyDescent="0.4">
      <c r="B12" s="131"/>
      <c r="C12" s="131"/>
      <c r="D12" s="131" t="s">
        <v>114</v>
      </c>
      <c r="E12" s="131" t="s">
        <v>122</v>
      </c>
      <c r="F12" s="129"/>
      <c r="G12" s="129"/>
      <c r="H12" s="133">
        <v>300.87139135331302</v>
      </c>
      <c r="I12" s="133">
        <v>538.599333834611</v>
      </c>
      <c r="J12" s="133">
        <v>835.74936651576081</v>
      </c>
      <c r="K12" s="133">
        <v>950.49115392450835</v>
      </c>
      <c r="L12" s="134">
        <v>1298.8625881214109</v>
      </c>
      <c r="M12" s="133">
        <v>1450.6830673880547</v>
      </c>
      <c r="N12" s="133">
        <v>1488.8911903697949</v>
      </c>
      <c r="O12" s="133">
        <v>1528.2382541147019</v>
      </c>
      <c r="P12" s="133">
        <v>1568.7156077994459</v>
      </c>
      <c r="Q12" s="133">
        <v>1610.6170529021008</v>
      </c>
      <c r="R12" s="133">
        <v>1642.6650404787922</v>
      </c>
      <c r="S12" s="133">
        <v>1687.2235692826023</v>
      </c>
      <c r="T12" s="133">
        <v>1715.96382036106</v>
      </c>
      <c r="U12" s="133">
        <v>1745.2788764610877</v>
      </c>
      <c r="V12" s="133">
        <v>1775.180233683114</v>
      </c>
      <c r="W12" s="133">
        <v>1805.679618049583</v>
      </c>
      <c r="X12" s="133">
        <v>1836.7889901033805</v>
      </c>
      <c r="Y12" s="133">
        <v>1868.5205495982534</v>
      </c>
      <c r="Z12" s="133">
        <v>1900.8867402830244</v>
      </c>
      <c r="AA12" s="133">
        <v>1933.9002547814905</v>
      </c>
      <c r="AB12" s="81">
        <f t="shared" si="1"/>
        <v>0.10288216715977461</v>
      </c>
      <c r="AC12" s="129"/>
      <c r="AE12" s="150">
        <f t="shared" si="2"/>
        <v>0.441436710055229</v>
      </c>
    </row>
    <row r="13" spans="1:31" s="149" customFormat="1" ht="18" customHeight="1" x14ac:dyDescent="0.4">
      <c r="B13" s="131"/>
      <c r="C13" s="131"/>
      <c r="D13" s="131"/>
      <c r="E13" s="131" t="s">
        <v>123</v>
      </c>
      <c r="F13" s="129"/>
      <c r="G13" s="129"/>
      <c r="H13" s="133">
        <v>0</v>
      </c>
      <c r="I13" s="133">
        <v>44.383818907413165</v>
      </c>
      <c r="J13" s="133">
        <v>222.9199351110216</v>
      </c>
      <c r="K13" s="133">
        <v>376.33561405745905</v>
      </c>
      <c r="L13" s="134">
        <v>561.17769244333749</v>
      </c>
      <c r="M13" s="133">
        <v>729.86442197464521</v>
      </c>
      <c r="N13" s="133">
        <v>764.80928989372626</v>
      </c>
      <c r="O13" s="133">
        <v>772.45738279266357</v>
      </c>
      <c r="P13" s="133">
        <v>780.18195662059009</v>
      </c>
      <c r="Q13" s="133">
        <v>787.98377618679592</v>
      </c>
      <c r="R13" s="133">
        <v>795.8636139486639</v>
      </c>
      <c r="S13" s="133">
        <v>803.82225008815067</v>
      </c>
      <c r="T13" s="133">
        <v>811.86047258903216</v>
      </c>
      <c r="U13" s="133">
        <v>819.97907731492251</v>
      </c>
      <c r="V13" s="133">
        <v>828.17886808807157</v>
      </c>
      <c r="W13" s="133">
        <v>836.46065676895239</v>
      </c>
      <c r="X13" s="133">
        <v>844.82526333664191</v>
      </c>
      <c r="Y13" s="133">
        <v>853.27351597000825</v>
      </c>
      <c r="Z13" s="133">
        <v>861.80625112970836</v>
      </c>
      <c r="AA13" s="133">
        <v>870.42431364100548</v>
      </c>
      <c r="AB13" s="81"/>
      <c r="AC13" s="129"/>
      <c r="AE13" s="150" t="e">
        <f t="shared" si="2"/>
        <v>#DIV/0!</v>
      </c>
    </row>
    <row r="14" spans="1:31" s="149" customFormat="1" ht="18" customHeight="1" x14ac:dyDescent="0.4">
      <c r="B14" s="131"/>
      <c r="C14" s="131" t="s">
        <v>107</v>
      </c>
      <c r="D14" s="131" t="s">
        <v>113</v>
      </c>
      <c r="E14" s="131" t="s">
        <v>121</v>
      </c>
      <c r="F14" s="129"/>
      <c r="G14" s="129"/>
      <c r="H14" s="133">
        <v>1417.6186275308194</v>
      </c>
      <c r="I14" s="133">
        <v>2274.4126895200002</v>
      </c>
      <c r="J14" s="133">
        <v>3062.0556696276003</v>
      </c>
      <c r="K14" s="133">
        <v>3434.4914494727645</v>
      </c>
      <c r="L14" s="134">
        <v>3590.7671949909509</v>
      </c>
      <c r="M14" s="133">
        <v>3626.6748669408607</v>
      </c>
      <c r="N14" s="133">
        <v>3662.9416156102689</v>
      </c>
      <c r="O14" s="133">
        <v>3699.5710317663716</v>
      </c>
      <c r="P14" s="133">
        <v>3736.5667420840355</v>
      </c>
      <c r="Q14" s="133">
        <v>3773.932409504876</v>
      </c>
      <c r="R14" s="133">
        <v>3811.6717335999251</v>
      </c>
      <c r="S14" s="133">
        <v>3849.7884509359237</v>
      </c>
      <c r="T14" s="133">
        <v>3888.2863354452829</v>
      </c>
      <c r="U14" s="133">
        <v>3927.1691987997356</v>
      </c>
      <c r="V14" s="133">
        <v>3966.4408907877332</v>
      </c>
      <c r="W14" s="133">
        <v>4006.1052996956105</v>
      </c>
      <c r="X14" s="133">
        <v>4046.1663526925672</v>
      </c>
      <c r="Y14" s="133">
        <v>4086.6280162194921</v>
      </c>
      <c r="Z14" s="133">
        <v>4127.4942963816884</v>
      </c>
      <c r="AA14" s="133">
        <v>4168.7692393455036</v>
      </c>
      <c r="AB14" s="81">
        <f t="shared" si="1"/>
        <v>5.8413038581345944E-2</v>
      </c>
      <c r="AC14" s="129"/>
      <c r="AE14" s="150">
        <f t="shared" si="2"/>
        <v>0.26155723733296621</v>
      </c>
    </row>
    <row r="15" spans="1:31" s="149" customFormat="1" ht="18" customHeight="1" x14ac:dyDescent="0.4">
      <c r="B15" s="131"/>
      <c r="C15" s="131"/>
      <c r="D15" s="131" t="s">
        <v>114</v>
      </c>
      <c r="E15" s="131" t="s">
        <v>121</v>
      </c>
      <c r="F15" s="129"/>
      <c r="G15" s="129"/>
      <c r="H15" s="133">
        <v>211.42451000000003</v>
      </c>
      <c r="I15" s="133">
        <v>400.39200124000001</v>
      </c>
      <c r="J15" s="133">
        <v>663.72204845020008</v>
      </c>
      <c r="K15" s="133">
        <v>873.94024533539198</v>
      </c>
      <c r="L15" s="134">
        <v>1113.1681518165831</v>
      </c>
      <c r="M15" s="133">
        <v>1349.1422115587125</v>
      </c>
      <c r="N15" s="133">
        <v>1410.7174881484179</v>
      </c>
      <c r="O15" s="133">
        <v>1424.8246630299022</v>
      </c>
      <c r="P15" s="133">
        <v>1439.0729096602013</v>
      </c>
      <c r="Q15" s="133">
        <v>1453.4636387568032</v>
      </c>
      <c r="R15" s="133">
        <v>1387.7815133501754</v>
      </c>
      <c r="S15" s="133">
        <v>1401.6593284836772</v>
      </c>
      <c r="T15" s="133">
        <v>1415.6759217685139</v>
      </c>
      <c r="U15" s="133">
        <v>1429.832680986199</v>
      </c>
      <c r="V15" s="133">
        <v>1444.1310077960609</v>
      </c>
      <c r="W15" s="133">
        <v>1458.5723178740218</v>
      </c>
      <c r="X15" s="133">
        <v>1473.1580410527617</v>
      </c>
      <c r="Y15" s="133">
        <v>1487.8896214632894</v>
      </c>
      <c r="Z15" s="133">
        <v>1502.7685176779225</v>
      </c>
      <c r="AA15" s="133">
        <v>1517.7962028547015</v>
      </c>
      <c r="AB15" s="81">
        <f t="shared" si="1"/>
        <v>0.10931705752651677</v>
      </c>
      <c r="AC15" s="129"/>
      <c r="AE15" s="150">
        <f t="shared" si="2"/>
        <v>0.51478626969633234</v>
      </c>
    </row>
    <row r="16" spans="1:31" s="149" customFormat="1" ht="18" customHeight="1" x14ac:dyDescent="0.4">
      <c r="B16" s="131"/>
      <c r="C16" s="131" t="s">
        <v>115</v>
      </c>
      <c r="D16" s="131" t="s">
        <v>113</v>
      </c>
      <c r="E16" s="131" t="s">
        <v>37</v>
      </c>
      <c r="F16" s="129"/>
      <c r="G16" s="129"/>
      <c r="H16" s="133">
        <v>244.46700000000001</v>
      </c>
      <c r="I16" s="133">
        <v>348.14859075000004</v>
      </c>
      <c r="J16" s="133">
        <v>351.63007665750001</v>
      </c>
      <c r="K16" s="133">
        <v>368.2999469583001</v>
      </c>
      <c r="L16" s="134">
        <v>385.2680516574502</v>
      </c>
      <c r="M16" s="133">
        <v>389.12073217402474</v>
      </c>
      <c r="N16" s="133">
        <v>401.14322100257397</v>
      </c>
      <c r="O16" s="133">
        <v>525.60603660012941</v>
      </c>
      <c r="P16" s="133">
        <v>552.98135100638615</v>
      </c>
      <c r="Q16" s="133">
        <v>558.51116451644998</v>
      </c>
      <c r="R16" s="133">
        <v>564.09627616161458</v>
      </c>
      <c r="S16" s="133">
        <v>569.73723892323062</v>
      </c>
      <c r="T16" s="133">
        <v>575.43461131246295</v>
      </c>
      <c r="U16" s="133">
        <v>581.18895742558755</v>
      </c>
      <c r="V16" s="133">
        <v>587.00084699984347</v>
      </c>
      <c r="W16" s="133">
        <v>592.87085546984179</v>
      </c>
      <c r="X16" s="133">
        <v>598.79956402454036</v>
      </c>
      <c r="Y16" s="133">
        <v>604.7875596647857</v>
      </c>
      <c r="Z16" s="133">
        <v>610.83543526143364</v>
      </c>
      <c r="AA16" s="133">
        <v>616.943789614048</v>
      </c>
      <c r="AB16" s="81">
        <f t="shared" si="1"/>
        <v>4.9927302026734788E-2</v>
      </c>
      <c r="AC16" s="129"/>
      <c r="AE16" s="150">
        <f t="shared" si="2"/>
        <v>0.12043247582540473</v>
      </c>
    </row>
    <row r="17" spans="2:31" s="149" customFormat="1" ht="18" customHeight="1" x14ac:dyDescent="0.4">
      <c r="B17" s="131"/>
      <c r="C17" s="131"/>
      <c r="D17" s="131"/>
      <c r="E17" s="131" t="s">
        <v>31</v>
      </c>
      <c r="F17" s="129"/>
      <c r="G17" s="129"/>
      <c r="H17" s="133">
        <v>502.09287499999999</v>
      </c>
      <c r="I17" s="133">
        <v>970.59493079999993</v>
      </c>
      <c r="J17" s="133">
        <v>1462.8305304990001</v>
      </c>
      <c r="K17" s="133">
        <v>1755.7969691312403</v>
      </c>
      <c r="L17" s="134">
        <v>1919.3057283524706</v>
      </c>
      <c r="M17" s="133">
        <v>1938.4987856359953</v>
      </c>
      <c r="N17" s="133">
        <v>1998.3917136335767</v>
      </c>
      <c r="O17" s="133">
        <v>2618.4332507285353</v>
      </c>
      <c r="P17" s="133">
        <v>2754.8099825373133</v>
      </c>
      <c r="Q17" s="133">
        <v>2782.3580823626862</v>
      </c>
      <c r="R17" s="133">
        <v>2810.181663186313</v>
      </c>
      <c r="S17" s="133">
        <v>2838.2834798181766</v>
      </c>
      <c r="T17" s="133">
        <v>2866.6663146163582</v>
      </c>
      <c r="U17" s="133">
        <v>2895.3329777625218</v>
      </c>
      <c r="V17" s="133">
        <v>2924.2863075401474</v>
      </c>
      <c r="W17" s="133">
        <v>2953.5291706155485</v>
      </c>
      <c r="X17" s="133">
        <v>2983.064462321704</v>
      </c>
      <c r="Y17" s="133">
        <v>3012.8951069449208</v>
      </c>
      <c r="Z17" s="133">
        <v>3043.0240580143704</v>
      </c>
      <c r="AA17" s="133">
        <v>3073.4542985945141</v>
      </c>
      <c r="AB17" s="81">
        <f t="shared" si="1"/>
        <v>0.10005088242453564</v>
      </c>
      <c r="AC17" s="129"/>
      <c r="AE17" s="150">
        <f t="shared" si="2"/>
        <v>0.39826673309578586</v>
      </c>
    </row>
    <row r="18" spans="2:31" s="149" customFormat="1" ht="18" customHeight="1" x14ac:dyDescent="0.4">
      <c r="B18" s="131"/>
      <c r="C18" s="131"/>
      <c r="D18" s="131" t="s">
        <v>114</v>
      </c>
      <c r="E18" s="131" t="s">
        <v>37</v>
      </c>
      <c r="F18" s="129"/>
      <c r="G18" s="129"/>
      <c r="H18" s="133">
        <v>81.058418437499995</v>
      </c>
      <c r="I18" s="133">
        <v>267.59407343669528</v>
      </c>
      <c r="J18" s="133">
        <v>505.31028217986653</v>
      </c>
      <c r="K18" s="133">
        <v>759.80937187182701</v>
      </c>
      <c r="L18" s="134">
        <v>1154.3190338214129</v>
      </c>
      <c r="M18" s="133">
        <v>1372.9121350934934</v>
      </c>
      <c r="N18" s="133">
        <v>1440.3393578670484</v>
      </c>
      <c r="O18" s="133">
        <v>1887.2338397133656</v>
      </c>
      <c r="P18" s="133">
        <v>1985.5272688651035</v>
      </c>
      <c r="Q18" s="133">
        <v>2005.3825415537544</v>
      </c>
      <c r="R18" s="133">
        <v>2025.4363669692918</v>
      </c>
      <c r="S18" s="133">
        <v>2045.6907306389849</v>
      </c>
      <c r="T18" s="133">
        <v>2066.1476379453743</v>
      </c>
      <c r="U18" s="133">
        <v>2086.809114324828</v>
      </c>
      <c r="V18" s="133">
        <v>2107.6772054680764</v>
      </c>
      <c r="W18" s="133">
        <v>2128.7539775227574</v>
      </c>
      <c r="X18" s="133">
        <v>2150.0415172979851</v>
      </c>
      <c r="Y18" s="133">
        <v>2171.5419324709651</v>
      </c>
      <c r="Z18" s="133">
        <v>2193.2573517956748</v>
      </c>
      <c r="AA18" s="133">
        <v>2215.1899253136316</v>
      </c>
      <c r="AB18" s="81">
        <f t="shared" si="1"/>
        <v>0.19017603772679958</v>
      </c>
      <c r="AC18" s="129"/>
      <c r="AE18" s="150">
        <f t="shared" si="2"/>
        <v>0.94259350688675547</v>
      </c>
    </row>
    <row r="19" spans="2:31" s="149" customFormat="1" ht="18" customHeight="1" x14ac:dyDescent="0.4">
      <c r="B19" s="131"/>
      <c r="C19" s="131" t="s">
        <v>116</v>
      </c>
      <c r="D19" s="131" t="s">
        <v>113</v>
      </c>
      <c r="E19" s="131" t="s">
        <v>31</v>
      </c>
      <c r="F19" s="129"/>
      <c r="G19" s="129"/>
      <c r="H19" s="133">
        <v>30.697011713429585</v>
      </c>
      <c r="I19" s="133">
        <v>62.007963661127768</v>
      </c>
      <c r="J19" s="133">
        <v>125.25608659547807</v>
      </c>
      <c r="K19" s="133">
        <v>158.13580932679105</v>
      </c>
      <c r="L19" s="134">
        <v>191.66060090407078</v>
      </c>
      <c r="M19" s="133">
        <v>258.68954014752165</v>
      </c>
      <c r="N19" s="133">
        <v>261.27643554899691</v>
      </c>
      <c r="O19" s="133">
        <v>263.88919990448687</v>
      </c>
      <c r="P19" s="133">
        <v>266.52809190353173</v>
      </c>
      <c r="Q19" s="133">
        <v>269.19337282256703</v>
      </c>
      <c r="R19" s="133">
        <v>271.88530655079268</v>
      </c>
      <c r="S19" s="133">
        <v>274.60415961630065</v>
      </c>
      <c r="T19" s="133">
        <v>277.35020121246367</v>
      </c>
      <c r="U19" s="133">
        <v>280.12370322458827</v>
      </c>
      <c r="V19" s="133">
        <v>282.92494025683413</v>
      </c>
      <c r="W19" s="133">
        <v>285.75418965940247</v>
      </c>
      <c r="X19" s="133">
        <v>288.61173155599653</v>
      </c>
      <c r="Y19" s="133">
        <v>291.49784887155653</v>
      </c>
      <c r="Z19" s="133">
        <v>294.4128273602721</v>
      </c>
      <c r="AA19" s="133">
        <v>297.35695563387486</v>
      </c>
      <c r="AB19" s="81">
        <f t="shared" si="1"/>
        <v>0.12694913847094957</v>
      </c>
      <c r="AC19" s="129"/>
      <c r="AE19" s="150">
        <f t="shared" si="2"/>
        <v>0.58073542587402027</v>
      </c>
    </row>
    <row r="20" spans="2:31" s="112" customFormat="1" ht="18" customHeight="1" x14ac:dyDescent="0.4">
      <c r="B20" s="106" t="s">
        <v>21</v>
      </c>
      <c r="C20" s="106"/>
      <c r="D20" s="106"/>
      <c r="E20" s="106"/>
      <c r="F20" s="106"/>
      <c r="G20" s="106">
        <f t="shared" ref="G20:AA20" si="3">SUM(G21:G30)</f>
        <v>621.53899470329179</v>
      </c>
      <c r="H20" s="106">
        <f t="shared" si="3"/>
        <v>4836.6731413244006</v>
      </c>
      <c r="I20" s="106">
        <f t="shared" si="3"/>
        <v>6659.2786768173073</v>
      </c>
      <c r="J20" s="106">
        <f t="shared" si="3"/>
        <v>9355.0380982832248</v>
      </c>
      <c r="K20" s="106">
        <f t="shared" si="3"/>
        <v>10931.834780990592</v>
      </c>
      <c r="L20" s="107">
        <f t="shared" si="3"/>
        <v>11954.061396520168</v>
      </c>
      <c r="M20" s="106">
        <f t="shared" si="3"/>
        <v>12618.118096569327</v>
      </c>
      <c r="N20" s="106">
        <f t="shared" si="3"/>
        <v>12952.289704114381</v>
      </c>
      <c r="O20" s="106">
        <f t="shared" si="3"/>
        <v>14240.907059535972</v>
      </c>
      <c r="P20" s="106">
        <f t="shared" si="3"/>
        <v>14671.890813792814</v>
      </c>
      <c r="Q20" s="106">
        <f t="shared" si="3"/>
        <v>14914.377613509036</v>
      </c>
      <c r="R20" s="106">
        <f t="shared" si="3"/>
        <v>15161.990805399366</v>
      </c>
      <c r="S20" s="106">
        <f t="shared" si="3"/>
        <v>15415.850569632737</v>
      </c>
      <c r="T20" s="106">
        <f t="shared" si="3"/>
        <v>15675.149685020857</v>
      </c>
      <c r="U20" s="106">
        <f t="shared" si="3"/>
        <v>15881.89204606663</v>
      </c>
      <c r="V20" s="106">
        <f t="shared" si="3"/>
        <v>16091.68279496307</v>
      </c>
      <c r="W20" s="106">
        <f t="shared" si="3"/>
        <v>16305.56114323608</v>
      </c>
      <c r="X20" s="106">
        <f t="shared" si="3"/>
        <v>16522.63606219232</v>
      </c>
      <c r="Y20" s="106">
        <f t="shared" si="3"/>
        <v>16743.950329558913</v>
      </c>
      <c r="Z20" s="106">
        <f t="shared" si="3"/>
        <v>16968.616577437573</v>
      </c>
      <c r="AA20" s="106">
        <f t="shared" si="3"/>
        <v>17197.681341611704</v>
      </c>
      <c r="AB20" s="12">
        <f t="shared" si="1"/>
        <v>6.9044923885858589E-2</v>
      </c>
      <c r="AC20" s="106"/>
      <c r="AE20" s="151">
        <f t="shared" si="2"/>
        <v>0.25384018811076592</v>
      </c>
    </row>
    <row r="21" spans="2:31" ht="18" customHeight="1" x14ac:dyDescent="0.4">
      <c r="B21" s="109"/>
      <c r="C21" s="131" t="s">
        <v>124</v>
      </c>
      <c r="D21" s="131" t="s">
        <v>115</v>
      </c>
      <c r="E21" s="131" t="s">
        <v>37</v>
      </c>
      <c r="F21" s="109"/>
      <c r="G21" s="115">
        <v>0</v>
      </c>
      <c r="H21" s="115">
        <v>298.39830023437497</v>
      </c>
      <c r="I21" s="115">
        <v>564.4307755044706</v>
      </c>
      <c r="J21" s="115">
        <v>785.52866226758613</v>
      </c>
      <c r="K21" s="115">
        <v>1034.1002089276164</v>
      </c>
      <c r="L21" s="116">
        <v>1411.2881616889579</v>
      </c>
      <c r="M21" s="115">
        <v>1615.196794995225</v>
      </c>
      <c r="N21" s="115">
        <v>1688.025697297154</v>
      </c>
      <c r="O21" s="115">
        <v>2211.7698866207038</v>
      </c>
      <c r="P21" s="115">
        <v>2326.9662348821994</v>
      </c>
      <c r="Q21" s="115">
        <v>2350.2358972310208</v>
      </c>
      <c r="R21" s="115">
        <v>2373.7382562033313</v>
      </c>
      <c r="S21" s="115">
        <v>2397.4756387653647</v>
      </c>
      <c r="T21" s="115">
        <v>2421.4503951530187</v>
      </c>
      <c r="U21" s="115">
        <v>2445.6648991045486</v>
      </c>
      <c r="V21" s="115">
        <v>2470.1215480955943</v>
      </c>
      <c r="W21" s="115">
        <v>2494.8227635765502</v>
      </c>
      <c r="X21" s="115">
        <v>2519.7709912123155</v>
      </c>
      <c r="Y21" s="115">
        <v>2544.9687011244387</v>
      </c>
      <c r="Z21" s="115">
        <v>2570.4183881356835</v>
      </c>
      <c r="AA21" s="115">
        <v>2596.1225720170396</v>
      </c>
      <c r="AB21" s="10">
        <f t="shared" si="1"/>
        <v>0.12059553256317201</v>
      </c>
      <c r="AC21" s="109"/>
      <c r="AE21" s="148">
        <f t="shared" si="2"/>
        <v>0.47470393266383448</v>
      </c>
    </row>
    <row r="22" spans="2:31" ht="18" customHeight="1" x14ac:dyDescent="0.4">
      <c r="B22" s="109"/>
      <c r="C22" s="131"/>
      <c r="D22" s="131"/>
      <c r="E22" s="131" t="s">
        <v>31</v>
      </c>
      <c r="F22" s="109"/>
      <c r="G22" s="115">
        <v>0</v>
      </c>
      <c r="H22" s="115">
        <v>470.71207031249997</v>
      </c>
      <c r="I22" s="115">
        <v>909.93274762499993</v>
      </c>
      <c r="J22" s="115">
        <v>1371.4036223428125</v>
      </c>
      <c r="K22" s="115">
        <v>1646.0596585605376</v>
      </c>
      <c r="L22" s="116">
        <v>1799.3491203304416</v>
      </c>
      <c r="M22" s="115">
        <v>1817.3426115337459</v>
      </c>
      <c r="N22" s="115">
        <v>1873.4922315314784</v>
      </c>
      <c r="O22" s="115">
        <v>2454.7811725580018</v>
      </c>
      <c r="P22" s="115">
        <v>2582.6343586287317</v>
      </c>
      <c r="Q22" s="115">
        <v>2608.4607022150194</v>
      </c>
      <c r="R22" s="115">
        <v>2634.5453092371686</v>
      </c>
      <c r="S22" s="115">
        <v>2660.8907623295408</v>
      </c>
      <c r="T22" s="115">
        <v>2687.499669952836</v>
      </c>
      <c r="U22" s="115">
        <v>2714.3746666523643</v>
      </c>
      <c r="V22" s="115">
        <v>2741.5184133188877</v>
      </c>
      <c r="W22" s="115">
        <v>2768.9335974520768</v>
      </c>
      <c r="X22" s="115">
        <v>2796.6229334265977</v>
      </c>
      <c r="Y22" s="115">
        <v>2824.5891627608635</v>
      </c>
      <c r="Z22" s="115">
        <v>2852.8350543884721</v>
      </c>
      <c r="AA22" s="115">
        <v>2881.3634049323573</v>
      </c>
      <c r="AB22" s="10">
        <f t="shared" si="1"/>
        <v>0.10005088242453586</v>
      </c>
      <c r="AC22" s="109"/>
      <c r="AE22" s="148">
        <f t="shared" si="2"/>
        <v>0.39826673309578609</v>
      </c>
    </row>
    <row r="23" spans="2:31" ht="18" customHeight="1" x14ac:dyDescent="0.4">
      <c r="B23" s="109"/>
      <c r="C23" s="131"/>
      <c r="D23" s="131" t="s">
        <v>128</v>
      </c>
      <c r="E23" s="131"/>
      <c r="F23" s="109"/>
      <c r="G23" s="115">
        <v>23.64048</v>
      </c>
      <c r="H23" s="115">
        <v>551.20143167999993</v>
      </c>
      <c r="I23" s="115">
        <v>1037.85224903424</v>
      </c>
      <c r="J23" s="115">
        <v>1758.5394019685684</v>
      </c>
      <c r="K23" s="115">
        <v>2528.2332813024309</v>
      </c>
      <c r="L23" s="116">
        <v>2700.1531444309962</v>
      </c>
      <c r="M23" s="115">
        <v>2883.7635582523044</v>
      </c>
      <c r="N23" s="115">
        <v>2976.0439921163779</v>
      </c>
      <c r="O23" s="115">
        <v>3071.2773998641023</v>
      </c>
      <c r="P23" s="115">
        <v>3169.5582766597536</v>
      </c>
      <c r="Q23" s="115">
        <v>3270.9841415128662</v>
      </c>
      <c r="R23" s="115">
        <v>3375.6556340412776</v>
      </c>
      <c r="S23" s="115">
        <v>3483.676614330599</v>
      </c>
      <c r="T23" s="115">
        <v>3595.1542659891784</v>
      </c>
      <c r="U23" s="115">
        <v>3667.0573513089626</v>
      </c>
      <c r="V23" s="115">
        <v>3740.3984983351411</v>
      </c>
      <c r="W23" s="115">
        <v>3815.206468301843</v>
      </c>
      <c r="X23" s="115">
        <v>3891.5105976678806</v>
      </c>
      <c r="Y23" s="115">
        <v>3969.3408096212388</v>
      </c>
      <c r="Z23" s="115">
        <v>4048.7276258136626</v>
      </c>
      <c r="AA23" s="115">
        <v>4129.7021783299351</v>
      </c>
      <c r="AB23" s="10">
        <f t="shared" si="1"/>
        <v>0.11181369905667005</v>
      </c>
      <c r="AC23" s="109"/>
      <c r="AE23" s="148">
        <f t="shared" si="2"/>
        <v>0.48771422275360532</v>
      </c>
    </row>
    <row r="24" spans="2:31" ht="18" customHeight="1" x14ac:dyDescent="0.4">
      <c r="B24" s="109"/>
      <c r="C24" s="131" t="s">
        <v>117</v>
      </c>
      <c r="D24" s="131" t="s">
        <v>125</v>
      </c>
      <c r="E24" s="131" t="s">
        <v>37</v>
      </c>
      <c r="F24" s="109"/>
      <c r="G24" s="115">
        <v>0</v>
      </c>
      <c r="H24" s="115">
        <v>206.10300000000001</v>
      </c>
      <c r="I24" s="115">
        <v>208.16403</v>
      </c>
      <c r="J24" s="115">
        <v>210.24567029999997</v>
      </c>
      <c r="K24" s="115">
        <v>212.34812700299997</v>
      </c>
      <c r="L24" s="116">
        <v>214.47160827302997</v>
      </c>
      <c r="M24" s="115">
        <v>216.61632435576033</v>
      </c>
      <c r="N24" s="115">
        <v>218.7824875993179</v>
      </c>
      <c r="O24" s="115">
        <v>220.97031247531109</v>
      </c>
      <c r="P24" s="115">
        <v>223.18001560006422</v>
      </c>
      <c r="Q24" s="115">
        <v>225.41181575606484</v>
      </c>
      <c r="R24" s="115">
        <v>227.66593391362551</v>
      </c>
      <c r="S24" s="115">
        <v>229.94259325276172</v>
      </c>
      <c r="T24" s="115">
        <v>232.24201918528939</v>
      </c>
      <c r="U24" s="115">
        <v>234.56443937714226</v>
      </c>
      <c r="V24" s="115">
        <v>236.91008377091367</v>
      </c>
      <c r="W24" s="115">
        <v>239.27918460862281</v>
      </c>
      <c r="X24" s="115">
        <v>241.67197645470901</v>
      </c>
      <c r="Y24" s="115">
        <v>244.08869621925615</v>
      </c>
      <c r="Z24" s="115">
        <v>246.52958318144869</v>
      </c>
      <c r="AA24" s="115">
        <v>248.99487901326322</v>
      </c>
      <c r="AB24" s="9">
        <f t="shared" si="1"/>
        <v>1.0000000000000009E-2</v>
      </c>
      <c r="AC24" s="109"/>
      <c r="AE24" s="148">
        <f t="shared" si="2"/>
        <v>1.0000000000000009E-2</v>
      </c>
    </row>
    <row r="25" spans="2:31" ht="18" customHeight="1" x14ac:dyDescent="0.4">
      <c r="B25" s="109"/>
      <c r="C25" s="131"/>
      <c r="D25" s="131"/>
      <c r="E25" s="131" t="s">
        <v>31</v>
      </c>
      <c r="F25" s="109"/>
      <c r="G25" s="115">
        <v>0</v>
      </c>
      <c r="H25" s="115">
        <v>2012.04</v>
      </c>
      <c r="I25" s="115">
        <v>2032.1604</v>
      </c>
      <c r="J25" s="115">
        <v>2052.482004</v>
      </c>
      <c r="K25" s="115">
        <v>2073.0068240400001</v>
      </c>
      <c r="L25" s="116">
        <v>2093.7368922803998</v>
      </c>
      <c r="M25" s="115">
        <v>2114.674261203204</v>
      </c>
      <c r="N25" s="115">
        <v>2135.8210038152356</v>
      </c>
      <c r="O25" s="115">
        <v>2157.1792138533883</v>
      </c>
      <c r="P25" s="115">
        <v>2178.7510059919223</v>
      </c>
      <c r="Q25" s="115">
        <v>2200.5385160518417</v>
      </c>
      <c r="R25" s="115">
        <v>2222.5439012123602</v>
      </c>
      <c r="S25" s="115">
        <v>2244.769340224484</v>
      </c>
      <c r="T25" s="115">
        <v>2267.2170336267291</v>
      </c>
      <c r="U25" s="115">
        <v>2289.8892039629964</v>
      </c>
      <c r="V25" s="115">
        <v>2312.7880960026264</v>
      </c>
      <c r="W25" s="115">
        <v>2335.9159769626531</v>
      </c>
      <c r="X25" s="115">
        <v>2359.2751367322794</v>
      </c>
      <c r="Y25" s="115">
        <v>2382.8678880996026</v>
      </c>
      <c r="Z25" s="115">
        <v>2406.6965669805982</v>
      </c>
      <c r="AA25" s="115">
        <v>2430.7635326504046</v>
      </c>
      <c r="AB25" s="9">
        <f t="shared" si="1"/>
        <v>1.0000000000000009E-2</v>
      </c>
      <c r="AC25" s="109"/>
      <c r="AE25" s="148">
        <f t="shared" si="2"/>
        <v>1.0000000000000009E-2</v>
      </c>
    </row>
    <row r="26" spans="2:31" ht="18" customHeight="1" x14ac:dyDescent="0.4">
      <c r="B26" s="109"/>
      <c r="C26" s="131"/>
      <c r="D26" s="131"/>
      <c r="E26" s="131" t="s">
        <v>126</v>
      </c>
      <c r="F26" s="109"/>
      <c r="G26" s="115">
        <v>0</v>
      </c>
      <c r="H26" s="115">
        <v>0</v>
      </c>
      <c r="I26" s="115">
        <v>42.164627962042509</v>
      </c>
      <c r="J26" s="115">
        <v>211.77393835547053</v>
      </c>
      <c r="K26" s="115">
        <v>357.51883335458609</v>
      </c>
      <c r="L26" s="116">
        <v>533.11880782117066</v>
      </c>
      <c r="M26" s="115">
        <v>693.3712008759129</v>
      </c>
      <c r="N26" s="115">
        <v>726.56882539903995</v>
      </c>
      <c r="O26" s="115">
        <v>733.8345136530304</v>
      </c>
      <c r="P26" s="115">
        <v>741.17285878956056</v>
      </c>
      <c r="Q26" s="115">
        <v>748.58458737745616</v>
      </c>
      <c r="R26" s="115">
        <v>756.07043325123072</v>
      </c>
      <c r="S26" s="115">
        <v>763.63113758374311</v>
      </c>
      <c r="T26" s="115">
        <v>771.26744895958052</v>
      </c>
      <c r="U26" s="115">
        <v>778.9801234491764</v>
      </c>
      <c r="V26" s="115">
        <v>786.76992468366802</v>
      </c>
      <c r="W26" s="115">
        <v>794.63762393050479</v>
      </c>
      <c r="X26" s="115">
        <v>802.58400016980977</v>
      </c>
      <c r="Y26" s="115">
        <v>810.60984017150781</v>
      </c>
      <c r="Z26" s="115">
        <v>818.71593857322296</v>
      </c>
      <c r="AA26" s="115">
        <v>826.90309795895519</v>
      </c>
      <c r="AB26" s="9"/>
      <c r="AC26" s="109"/>
      <c r="AE26" s="148" t="e">
        <f t="shared" si="2"/>
        <v>#DIV/0!</v>
      </c>
    </row>
    <row r="27" spans="2:31" ht="18" customHeight="1" x14ac:dyDescent="0.4">
      <c r="B27" s="109"/>
      <c r="C27" s="131"/>
      <c r="D27" s="131" t="s">
        <v>93</v>
      </c>
      <c r="E27" s="131"/>
      <c r="F27" s="109"/>
      <c r="G27" s="115">
        <v>270.14052810666664</v>
      </c>
      <c r="H27" s="115">
        <v>576.1378394656</v>
      </c>
      <c r="I27" s="115">
        <v>668.11833595216012</v>
      </c>
      <c r="J27" s="115">
        <v>1153.8180545315761</v>
      </c>
      <c r="K27" s="115">
        <v>1223.3092257218195</v>
      </c>
      <c r="L27" s="116">
        <v>1303.9873475379527</v>
      </c>
      <c r="M27" s="115">
        <v>1391.4836975130165</v>
      </c>
      <c r="N27" s="115">
        <v>1419.313371463277</v>
      </c>
      <c r="O27" s="115">
        <v>1447.6996388925425</v>
      </c>
      <c r="P27" s="115">
        <v>1476.6536316703937</v>
      </c>
      <c r="Q27" s="115">
        <v>1506.1867043038021</v>
      </c>
      <c r="R27" s="115">
        <v>1536.3104383898778</v>
      </c>
      <c r="S27" s="115">
        <v>1567.0366471576745</v>
      </c>
      <c r="T27" s="115">
        <v>1598.3773801008283</v>
      </c>
      <c r="U27" s="115">
        <v>1614.3611539018368</v>
      </c>
      <c r="V27" s="115">
        <v>1630.5047654408552</v>
      </c>
      <c r="W27" s="115">
        <v>1646.8098130952637</v>
      </c>
      <c r="X27" s="115">
        <v>1663.2779112262167</v>
      </c>
      <c r="Y27" s="115">
        <v>1679.9106903384786</v>
      </c>
      <c r="Z27" s="115">
        <v>1696.7097972418633</v>
      </c>
      <c r="AA27" s="115">
        <v>1713.6768952142822</v>
      </c>
      <c r="AB27" s="9">
        <f t="shared" si="1"/>
        <v>5.9048679988826125E-2</v>
      </c>
      <c r="AC27" s="109"/>
      <c r="AE27" s="148">
        <f t="shared" si="2"/>
        <v>0.22655420148077754</v>
      </c>
    </row>
    <row r="28" spans="2:31" ht="18" customHeight="1" x14ac:dyDescent="0.4">
      <c r="B28" s="109"/>
      <c r="C28" s="131"/>
      <c r="D28" s="131" t="s">
        <v>127</v>
      </c>
      <c r="E28" s="131"/>
      <c r="F28" s="109"/>
      <c r="G28" s="115">
        <v>13.100765999999997</v>
      </c>
      <c r="H28" s="115">
        <v>157.209192</v>
      </c>
      <c r="I28" s="115">
        <v>469.48752154799996</v>
      </c>
      <c r="J28" s="115">
        <v>791.60261847676179</v>
      </c>
      <c r="K28" s="115">
        <v>816.53810095877998</v>
      </c>
      <c r="L28" s="116">
        <v>842.25905113898159</v>
      </c>
      <c r="M28" s="115">
        <v>868.79021124985957</v>
      </c>
      <c r="N28" s="115">
        <v>896.15710290423021</v>
      </c>
      <c r="O28" s="115">
        <v>924.38605164571345</v>
      </c>
      <c r="P28" s="115">
        <v>953.50421227255367</v>
      </c>
      <c r="Q28" s="115">
        <v>983.53959495913921</v>
      </c>
      <c r="R28" s="115">
        <v>1014.5210922003521</v>
      </c>
      <c r="S28" s="115">
        <v>1046.4785066046632</v>
      </c>
      <c r="T28" s="115">
        <v>1079.4425795627103</v>
      </c>
      <c r="U28" s="115">
        <v>1113.4450208189357</v>
      </c>
      <c r="V28" s="115">
        <v>1148.5185389747323</v>
      </c>
      <c r="W28" s="115">
        <v>1184.6968729524365</v>
      </c>
      <c r="X28" s="115">
        <v>1222.0148244504383</v>
      </c>
      <c r="Y28" s="115">
        <v>1260.5082914206271</v>
      </c>
      <c r="Z28" s="115">
        <v>1300.2143026003769</v>
      </c>
      <c r="AA28" s="115">
        <v>1341.1710531322892</v>
      </c>
      <c r="AB28" s="9">
        <f t="shared" si="1"/>
        <v>0.11943872943265754</v>
      </c>
      <c r="AC28" s="109"/>
      <c r="AE28" s="148">
        <f t="shared" si="2"/>
        <v>0.52139483588922042</v>
      </c>
    </row>
    <row r="29" spans="2:31" ht="18" customHeight="1" x14ac:dyDescent="0.4">
      <c r="B29" s="109"/>
      <c r="C29" s="131"/>
      <c r="D29" s="131" t="s">
        <v>129</v>
      </c>
      <c r="E29" s="131"/>
      <c r="F29" s="109"/>
      <c r="G29" s="115">
        <v>314.65722059662505</v>
      </c>
      <c r="H29" s="115">
        <v>545.82194698295007</v>
      </c>
      <c r="I29" s="115">
        <v>707.3471477229499</v>
      </c>
      <c r="J29" s="115">
        <v>999.43465932795004</v>
      </c>
      <c r="K29" s="115">
        <v>1019.90477040795</v>
      </c>
      <c r="L29" s="116">
        <v>1034.25703978295</v>
      </c>
      <c r="M29" s="115">
        <v>994.79600665794999</v>
      </c>
      <c r="N29" s="115">
        <v>995.33905915795003</v>
      </c>
      <c r="O29" s="115">
        <v>995.58055915795001</v>
      </c>
      <c r="P29" s="115">
        <v>995.33905915795003</v>
      </c>
      <c r="Q29" s="115">
        <v>995.58055915795001</v>
      </c>
      <c r="R29" s="115">
        <v>995.33905915795003</v>
      </c>
      <c r="S29" s="115">
        <v>995.58055915795001</v>
      </c>
      <c r="T29" s="115">
        <v>995.33905915795003</v>
      </c>
      <c r="U29" s="115">
        <v>995.58055915795001</v>
      </c>
      <c r="V29" s="115">
        <v>995.33905915795003</v>
      </c>
      <c r="W29" s="115">
        <v>995.58055915795001</v>
      </c>
      <c r="X29" s="115">
        <v>995.33905915795003</v>
      </c>
      <c r="Y29" s="115">
        <v>995.58055915795001</v>
      </c>
      <c r="Z29" s="115">
        <v>995.33905915795003</v>
      </c>
      <c r="AA29" s="115">
        <v>995.58055915795001</v>
      </c>
      <c r="AB29" s="9">
        <f t="shared" si="1"/>
        <v>3.213897909000174E-2</v>
      </c>
      <c r="AC29" s="109"/>
      <c r="AE29" s="148">
        <f t="shared" si="2"/>
        <v>0.173260292694426</v>
      </c>
    </row>
    <row r="30" spans="2:31" ht="18" customHeight="1" x14ac:dyDescent="0.4">
      <c r="B30" s="109"/>
      <c r="C30" s="131"/>
      <c r="D30" s="131" t="s">
        <v>67</v>
      </c>
      <c r="E30" s="131"/>
      <c r="F30" s="109"/>
      <c r="G30" s="115">
        <v>0</v>
      </c>
      <c r="H30" s="115">
        <v>19.049360648975664</v>
      </c>
      <c r="I30" s="115">
        <v>19.620841468444937</v>
      </c>
      <c r="J30" s="115">
        <v>20.209466712498287</v>
      </c>
      <c r="K30" s="115">
        <v>20.815750713873236</v>
      </c>
      <c r="L30" s="116">
        <v>21.440223235289437</v>
      </c>
      <c r="M30" s="115">
        <v>22.083429932348121</v>
      </c>
      <c r="N30" s="115">
        <v>22.745932830318562</v>
      </c>
      <c r="O30" s="115">
        <v>23.428310815228123</v>
      </c>
      <c r="P30" s="115">
        <v>24.131160139684965</v>
      </c>
      <c r="Q30" s="115">
        <v>24.855094943875518</v>
      </c>
      <c r="R30" s="115">
        <v>25.600747792191783</v>
      </c>
      <c r="S30" s="115">
        <v>26.36877022595754</v>
      </c>
      <c r="T30" s="115">
        <v>27.159833332736266</v>
      </c>
      <c r="U30" s="115">
        <v>27.974628332718353</v>
      </c>
      <c r="V30" s="115">
        <v>28.813867182699905</v>
      </c>
      <c r="W30" s="115">
        <v>29.678283198180903</v>
      </c>
      <c r="X30" s="115">
        <v>30.568631694126331</v>
      </c>
      <c r="Y30" s="115">
        <v>31.485690644950122</v>
      </c>
      <c r="Z30" s="115">
        <v>32.43026136429863</v>
      </c>
      <c r="AA30" s="115">
        <v>33.403169205227584</v>
      </c>
      <c r="AB30" s="9">
        <f t="shared" si="1"/>
        <v>3.0000000000000027E-2</v>
      </c>
      <c r="AC30" s="109"/>
      <c r="AE30" s="148">
        <f t="shared" si="2"/>
        <v>3.0000000000000027E-2</v>
      </c>
    </row>
    <row r="31" spans="2:31" s="112" customFormat="1" ht="18" customHeight="1" x14ac:dyDescent="0.4">
      <c r="B31" s="106" t="s">
        <v>22</v>
      </c>
      <c r="C31" s="106"/>
      <c r="D31" s="106"/>
      <c r="E31" s="106"/>
      <c r="F31" s="106"/>
      <c r="G31" s="106">
        <f t="shared" ref="G31:AA31" si="4">G9-G20</f>
        <v>-621.53899470329179</v>
      </c>
      <c r="H31" s="106">
        <f t="shared" si="4"/>
        <v>-263.29227994056328</v>
      </c>
      <c r="I31" s="106">
        <f t="shared" si="4"/>
        <v>1291.3076255119358</v>
      </c>
      <c r="J31" s="106">
        <f t="shared" si="4"/>
        <v>2253.1068620433762</v>
      </c>
      <c r="K31" s="106">
        <f t="shared" si="4"/>
        <v>2750.5495820631186</v>
      </c>
      <c r="L31" s="107">
        <f t="shared" si="4"/>
        <v>3523.4343745620172</v>
      </c>
      <c r="M31" s="106">
        <f t="shared" si="4"/>
        <v>3813.0640606082234</v>
      </c>
      <c r="N31" s="106">
        <f t="shared" si="4"/>
        <v>3844.9729681869067</v>
      </c>
      <c r="O31" s="106">
        <f t="shared" si="4"/>
        <v>3901.7864829433329</v>
      </c>
      <c r="P31" s="106">
        <f t="shared" si="4"/>
        <v>3889.157379351238</v>
      </c>
      <c r="Q31" s="106">
        <f t="shared" si="4"/>
        <v>3858.4953505911199</v>
      </c>
      <c r="R31" s="106">
        <f t="shared" si="4"/>
        <v>3734.3359435952643</v>
      </c>
      <c r="S31" s="106">
        <f t="shared" si="4"/>
        <v>3697.5713252508613</v>
      </c>
      <c r="T31" s="106">
        <f t="shared" si="4"/>
        <v>3641.2744441972063</v>
      </c>
      <c r="U31" s="106">
        <f t="shared" si="4"/>
        <v>3639.8517423400299</v>
      </c>
      <c r="V31" s="106">
        <f t="shared" si="4"/>
        <v>3637.7269997850763</v>
      </c>
      <c r="W31" s="106">
        <f t="shared" si="4"/>
        <v>3633.8903314891813</v>
      </c>
      <c r="X31" s="106">
        <f t="shared" si="4"/>
        <v>3629.2625031535026</v>
      </c>
      <c r="Y31" s="106">
        <f t="shared" si="4"/>
        <v>3622.8308910342057</v>
      </c>
      <c r="Z31" s="106">
        <f t="shared" si="4"/>
        <v>3615.5134405502649</v>
      </c>
      <c r="AA31" s="106">
        <f t="shared" si="4"/>
        <v>3606.2946236516473</v>
      </c>
      <c r="AB31" s="12">
        <f t="shared" si="1"/>
        <v>-2.1476838419529809</v>
      </c>
      <c r="AC31" s="106"/>
      <c r="AE31" s="151" t="e">
        <f t="shared" si="2"/>
        <v>#NUM!</v>
      </c>
    </row>
    <row r="32" spans="2:31" s="70" customFormat="1" ht="18" customHeight="1" x14ac:dyDescent="0.4">
      <c r="B32" s="74"/>
      <c r="C32" s="74" t="s">
        <v>24</v>
      </c>
      <c r="D32" s="74"/>
      <c r="E32" s="74"/>
      <c r="F32" s="74"/>
      <c r="G32" s="74"/>
      <c r="H32" s="74">
        <f t="shared" ref="G32:AA32" si="5">H31/H9</f>
        <v>-5.7570599939252586E-2</v>
      </c>
      <c r="I32" s="74">
        <f t="shared" si="5"/>
        <v>0.16241665411941103</v>
      </c>
      <c r="J32" s="74">
        <f t="shared" si="5"/>
        <v>0.19409706458214179</v>
      </c>
      <c r="K32" s="74">
        <f t="shared" si="5"/>
        <v>0.20102852756354198</v>
      </c>
      <c r="L32" s="86">
        <f t="shared" si="5"/>
        <v>0.22764886688873306</v>
      </c>
      <c r="M32" s="74">
        <f t="shared" si="5"/>
        <v>0.23206267352727156</v>
      </c>
      <c r="N32" s="74">
        <f t="shared" si="5"/>
        <v>0.22890473544402407</v>
      </c>
      <c r="O32" s="74">
        <f t="shared" si="5"/>
        <v>0.21506103676434205</v>
      </c>
      <c r="P32" s="74">
        <f t="shared" si="5"/>
        <v>0.20953328383618913</v>
      </c>
      <c r="Q32" s="74">
        <f t="shared" si="5"/>
        <v>0.20553568747680864</v>
      </c>
      <c r="R32" s="74">
        <f t="shared" si="5"/>
        <v>0.19762232063403262</v>
      </c>
      <c r="S32" s="74">
        <f t="shared" si="5"/>
        <v>0.19345417819928154</v>
      </c>
      <c r="T32" s="74">
        <f t="shared" si="5"/>
        <v>0.18850665215459869</v>
      </c>
      <c r="U32" s="74">
        <f t="shared" si="5"/>
        <v>0.18645115834895967</v>
      </c>
      <c r="V32" s="74">
        <f t="shared" si="5"/>
        <v>0.1843809337243032</v>
      </c>
      <c r="W32" s="74">
        <f t="shared" si="5"/>
        <v>0.18224625366928512</v>
      </c>
      <c r="X32" s="74">
        <f t="shared" si="5"/>
        <v>0.18009531416531432</v>
      </c>
      <c r="Y32" s="74">
        <f t="shared" si="5"/>
        <v>0.17787940331833654</v>
      </c>
      <c r="Z32" s="74">
        <f t="shared" si="5"/>
        <v>0.17564567642114479</v>
      </c>
      <c r="AA32" s="74">
        <f t="shared" si="5"/>
        <v>0.17334641366982545</v>
      </c>
      <c r="AB32" s="74">
        <f t="shared" si="1"/>
        <v>-2.0597306106625899</v>
      </c>
      <c r="AC32" s="74"/>
      <c r="AE32" s="89" t="e">
        <f t="shared" si="2"/>
        <v>#NUM!</v>
      </c>
    </row>
    <row r="33" spans="2:31" s="149" customFormat="1" ht="18" customHeight="1" x14ac:dyDescent="0.4">
      <c r="B33" s="131" t="s">
        <v>27</v>
      </c>
      <c r="C33" s="131"/>
      <c r="D33" s="131" t="s">
        <v>130</v>
      </c>
      <c r="E33" s="131"/>
      <c r="F33" s="129"/>
      <c r="G33" s="130">
        <f t="shared" ref="G33:AA33" si="6">G9*0.64%</f>
        <v>0</v>
      </c>
      <c r="H33" s="133">
        <f t="shared" si="6"/>
        <v>29.269637512856562</v>
      </c>
      <c r="I33" s="133">
        <f t="shared" si="6"/>
        <v>50.883752334907157</v>
      </c>
      <c r="J33" s="133">
        <f t="shared" si="6"/>
        <v>74.292127746090245</v>
      </c>
      <c r="K33" s="133">
        <f t="shared" si="6"/>
        <v>87.567259923543745</v>
      </c>
      <c r="L33" s="134">
        <f t="shared" si="6"/>
        <v>99.05597293492599</v>
      </c>
      <c r="M33" s="133">
        <f t="shared" si="6"/>
        <v>105.15956580593632</v>
      </c>
      <c r="N33" s="133">
        <f t="shared" si="6"/>
        <v>107.50248110272824</v>
      </c>
      <c r="O33" s="133">
        <f t="shared" si="6"/>
        <v>116.11323867186755</v>
      </c>
      <c r="P33" s="133">
        <f t="shared" si="6"/>
        <v>118.79070843612193</v>
      </c>
      <c r="Q33" s="133">
        <f t="shared" si="6"/>
        <v>120.146386970241</v>
      </c>
      <c r="R33" s="133">
        <f t="shared" si="6"/>
        <v>120.93649119356564</v>
      </c>
      <c r="S33" s="133">
        <f t="shared" si="6"/>
        <v>122.32590012725504</v>
      </c>
      <c r="T33" s="133">
        <f t="shared" si="6"/>
        <v>123.62511442699561</v>
      </c>
      <c r="U33" s="133">
        <f t="shared" si="6"/>
        <v>124.93916024580263</v>
      </c>
      <c r="V33" s="133">
        <f t="shared" si="6"/>
        <v>126.26822268638814</v>
      </c>
      <c r="W33" s="133">
        <f t="shared" si="6"/>
        <v>127.61248943824168</v>
      </c>
      <c r="X33" s="133">
        <f t="shared" si="6"/>
        <v>128.97215081821327</v>
      </c>
      <c r="Y33" s="133">
        <f t="shared" si="6"/>
        <v>130.34739981179595</v>
      </c>
      <c r="Z33" s="133">
        <f t="shared" si="6"/>
        <v>131.73843211512218</v>
      </c>
      <c r="AA33" s="133">
        <f t="shared" si="6"/>
        <v>133.14544617768544</v>
      </c>
      <c r="AB33" s="81">
        <f t="shared" si="1"/>
        <v>8.2995839136324578E-2</v>
      </c>
      <c r="AC33" s="129"/>
      <c r="AE33" s="150">
        <f t="shared" si="2"/>
        <v>0.35633144659662075</v>
      </c>
    </row>
    <row r="34" spans="2:31" s="149" customFormat="1" ht="18" customHeight="1" x14ac:dyDescent="0.4">
      <c r="B34" s="106" t="s">
        <v>23</v>
      </c>
      <c r="C34" s="106"/>
      <c r="D34" s="106"/>
      <c r="E34" s="106"/>
      <c r="F34" s="106"/>
      <c r="G34" s="113">
        <f t="shared" ref="G34:AA34" si="7">G31-G33</f>
        <v>-621.53899470329179</v>
      </c>
      <c r="H34" s="113">
        <f t="shared" si="7"/>
        <v>-292.56191745341982</v>
      </c>
      <c r="I34" s="113">
        <f t="shared" si="7"/>
        <v>1240.4238731770288</v>
      </c>
      <c r="J34" s="113">
        <f t="shared" si="7"/>
        <v>2178.8147342972861</v>
      </c>
      <c r="K34" s="113">
        <f t="shared" si="7"/>
        <v>2662.982322139575</v>
      </c>
      <c r="L34" s="114">
        <f t="shared" si="7"/>
        <v>3424.3784016270911</v>
      </c>
      <c r="M34" s="113">
        <f t="shared" si="7"/>
        <v>3707.904494802287</v>
      </c>
      <c r="N34" s="113">
        <f t="shared" si="7"/>
        <v>3737.4704870841783</v>
      </c>
      <c r="O34" s="113">
        <f t="shared" si="7"/>
        <v>3785.6732442714651</v>
      </c>
      <c r="P34" s="113">
        <f t="shared" si="7"/>
        <v>3770.3666709151162</v>
      </c>
      <c r="Q34" s="113">
        <f t="shared" si="7"/>
        <v>3738.3489636208787</v>
      </c>
      <c r="R34" s="113">
        <f t="shared" si="7"/>
        <v>3613.3994524016989</v>
      </c>
      <c r="S34" s="113">
        <f t="shared" si="7"/>
        <v>3575.2454251236063</v>
      </c>
      <c r="T34" s="113">
        <f t="shared" si="7"/>
        <v>3517.6493297702109</v>
      </c>
      <c r="U34" s="113">
        <f t="shared" si="7"/>
        <v>3514.9125820942272</v>
      </c>
      <c r="V34" s="113">
        <f t="shared" si="7"/>
        <v>3511.4587770986882</v>
      </c>
      <c r="W34" s="113">
        <f t="shared" si="7"/>
        <v>3506.2778420509399</v>
      </c>
      <c r="X34" s="113">
        <f t="shared" si="7"/>
        <v>3500.2903523352893</v>
      </c>
      <c r="Y34" s="113">
        <f t="shared" si="7"/>
        <v>3492.4834912224096</v>
      </c>
      <c r="Z34" s="113">
        <f t="shared" si="7"/>
        <v>3483.7750084351428</v>
      </c>
      <c r="AA34" s="113">
        <f t="shared" si="7"/>
        <v>3473.149177473962</v>
      </c>
      <c r="AB34" s="12">
        <f t="shared" si="1"/>
        <v>-2.1390765956857258</v>
      </c>
      <c r="AC34" s="106"/>
      <c r="AE34" s="150" t="e">
        <f t="shared" si="2"/>
        <v>#NUM!</v>
      </c>
    </row>
    <row r="35" spans="2:31" s="73" customFormat="1" ht="18" customHeight="1" x14ac:dyDescent="0.4">
      <c r="B35" s="76"/>
      <c r="C35" s="76" t="s">
        <v>24</v>
      </c>
      <c r="D35" s="76"/>
      <c r="E35" s="76"/>
      <c r="F35" s="48"/>
      <c r="G35" s="48"/>
      <c r="H35" s="76">
        <f t="shared" ref="G35:AA35" si="8">H34/H9</f>
        <v>-6.3970599939252581E-2</v>
      </c>
      <c r="I35" s="76">
        <f t="shared" si="8"/>
        <v>0.15601665411941104</v>
      </c>
      <c r="J35" s="76">
        <f t="shared" si="8"/>
        <v>0.18769706458214183</v>
      </c>
      <c r="K35" s="76">
        <f t="shared" si="8"/>
        <v>0.19462852756354199</v>
      </c>
      <c r="L35" s="87">
        <f t="shared" si="8"/>
        <v>0.22124886688873305</v>
      </c>
      <c r="M35" s="76">
        <f t="shared" si="8"/>
        <v>0.22566267352727154</v>
      </c>
      <c r="N35" s="76">
        <f t="shared" si="8"/>
        <v>0.22250473544402405</v>
      </c>
      <c r="O35" s="76">
        <f t="shared" si="8"/>
        <v>0.20866103676434203</v>
      </c>
      <c r="P35" s="76">
        <f t="shared" si="8"/>
        <v>0.20313328383618914</v>
      </c>
      <c r="Q35" s="76">
        <f t="shared" si="8"/>
        <v>0.19913568747680863</v>
      </c>
      <c r="R35" s="76">
        <f t="shared" si="8"/>
        <v>0.19122232063403263</v>
      </c>
      <c r="S35" s="76">
        <f t="shared" si="8"/>
        <v>0.18705417819928155</v>
      </c>
      <c r="T35" s="76">
        <f t="shared" si="8"/>
        <v>0.1821066521545987</v>
      </c>
      <c r="U35" s="76">
        <f t="shared" si="8"/>
        <v>0.18005115834895966</v>
      </c>
      <c r="V35" s="76">
        <f t="shared" si="8"/>
        <v>0.17798093372430321</v>
      </c>
      <c r="W35" s="76">
        <f t="shared" si="8"/>
        <v>0.17584625366928514</v>
      </c>
      <c r="X35" s="76">
        <f t="shared" si="8"/>
        <v>0.17369531416531431</v>
      </c>
      <c r="Y35" s="76">
        <f t="shared" si="8"/>
        <v>0.17147940331833653</v>
      </c>
      <c r="Z35" s="76">
        <f t="shared" si="8"/>
        <v>0.1692456764211448</v>
      </c>
      <c r="AA35" s="76">
        <f t="shared" si="8"/>
        <v>0.16694641366982546</v>
      </c>
      <c r="AB35" s="74">
        <f t="shared" si="1"/>
        <v>-2.0517829843133333</v>
      </c>
      <c r="AC35" s="48"/>
      <c r="AE35" s="90" t="e">
        <f t="shared" si="2"/>
        <v>#NUM!</v>
      </c>
    </row>
    <row r="36" spans="2:31" s="149" customFormat="1" ht="18" customHeight="1" x14ac:dyDescent="0.4">
      <c r="B36" s="131" t="s">
        <v>73</v>
      </c>
      <c r="C36" s="131"/>
      <c r="D36" s="131"/>
      <c r="E36" s="131"/>
      <c r="F36" s="129"/>
      <c r="G36" s="129"/>
      <c r="H36" s="131">
        <f t="shared" ref="H36:AA36" si="9">H68</f>
        <v>46.314</v>
      </c>
      <c r="I36" s="131">
        <f t="shared" si="9"/>
        <v>46.314</v>
      </c>
      <c r="J36" s="131">
        <f t="shared" si="9"/>
        <v>46.314</v>
      </c>
      <c r="K36" s="131">
        <f t="shared" si="9"/>
        <v>46.314</v>
      </c>
      <c r="L36" s="132">
        <f t="shared" si="9"/>
        <v>46.314</v>
      </c>
      <c r="M36" s="131">
        <f t="shared" si="9"/>
        <v>46.314</v>
      </c>
      <c r="N36" s="131">
        <f t="shared" si="9"/>
        <v>46.314</v>
      </c>
      <c r="O36" s="131">
        <f t="shared" si="9"/>
        <v>46.314</v>
      </c>
      <c r="P36" s="131">
        <f t="shared" si="9"/>
        <v>46.314</v>
      </c>
      <c r="Q36" s="131">
        <f t="shared" si="9"/>
        <v>46.314</v>
      </c>
      <c r="R36" s="131">
        <f t="shared" si="9"/>
        <v>46.314</v>
      </c>
      <c r="S36" s="131">
        <f t="shared" si="9"/>
        <v>46.314</v>
      </c>
      <c r="T36" s="131">
        <f t="shared" si="9"/>
        <v>46.314</v>
      </c>
      <c r="U36" s="131">
        <f t="shared" si="9"/>
        <v>46.314</v>
      </c>
      <c r="V36" s="131">
        <f t="shared" si="9"/>
        <v>46.314</v>
      </c>
      <c r="W36" s="131">
        <f t="shared" si="9"/>
        <v>46.314</v>
      </c>
      <c r="X36" s="131">
        <f t="shared" si="9"/>
        <v>46.314</v>
      </c>
      <c r="Y36" s="131">
        <f t="shared" si="9"/>
        <v>46.314</v>
      </c>
      <c r="Z36" s="131">
        <f t="shared" si="9"/>
        <v>46.314</v>
      </c>
      <c r="AA36" s="131">
        <f t="shared" si="9"/>
        <v>46.314</v>
      </c>
      <c r="AB36" s="81">
        <f t="shared" si="1"/>
        <v>0</v>
      </c>
      <c r="AC36" s="129"/>
      <c r="AE36" s="150">
        <f t="shared" si="2"/>
        <v>0</v>
      </c>
    </row>
    <row r="37" spans="2:31" s="152" customFormat="1" ht="18" customHeight="1" x14ac:dyDescent="0.4">
      <c r="B37" s="106" t="s">
        <v>131</v>
      </c>
      <c r="C37" s="106"/>
      <c r="D37" s="106"/>
      <c r="E37" s="106"/>
      <c r="F37" s="106"/>
      <c r="G37" s="106">
        <f t="shared" ref="G37:AA37" si="10">G34+G36</f>
        <v>-621.53899470329179</v>
      </c>
      <c r="H37" s="106">
        <f t="shared" si="10"/>
        <v>-246.24791745341983</v>
      </c>
      <c r="I37" s="106">
        <f t="shared" si="10"/>
        <v>1286.7378731770289</v>
      </c>
      <c r="J37" s="106">
        <f t="shared" si="10"/>
        <v>2225.128734297286</v>
      </c>
      <c r="K37" s="106">
        <f t="shared" si="10"/>
        <v>2709.2963221395748</v>
      </c>
      <c r="L37" s="107">
        <f t="shared" si="10"/>
        <v>3470.6924016270909</v>
      </c>
      <c r="M37" s="106">
        <f t="shared" si="10"/>
        <v>3754.2184948022868</v>
      </c>
      <c r="N37" s="106">
        <f t="shared" si="10"/>
        <v>3783.7844870841782</v>
      </c>
      <c r="O37" s="106">
        <f t="shared" si="10"/>
        <v>3831.987244271465</v>
      </c>
      <c r="P37" s="106">
        <f t="shared" si="10"/>
        <v>3816.680670915116</v>
      </c>
      <c r="Q37" s="106">
        <f t="shared" si="10"/>
        <v>3784.6629636208786</v>
      </c>
      <c r="R37" s="106">
        <f t="shared" si="10"/>
        <v>3659.7134524016988</v>
      </c>
      <c r="S37" s="106">
        <f t="shared" si="10"/>
        <v>3621.5594251236062</v>
      </c>
      <c r="T37" s="106">
        <f t="shared" si="10"/>
        <v>3563.9633297702107</v>
      </c>
      <c r="U37" s="106">
        <f t="shared" si="10"/>
        <v>3561.2265820942271</v>
      </c>
      <c r="V37" s="106">
        <f t="shared" si="10"/>
        <v>3557.772777098688</v>
      </c>
      <c r="W37" s="106">
        <f t="shared" si="10"/>
        <v>3552.5918420509397</v>
      </c>
      <c r="X37" s="106">
        <f t="shared" si="10"/>
        <v>3546.6043523352891</v>
      </c>
      <c r="Y37" s="106">
        <f t="shared" si="10"/>
        <v>3538.7974912224095</v>
      </c>
      <c r="Z37" s="106">
        <f t="shared" si="10"/>
        <v>3530.0890084351427</v>
      </c>
      <c r="AA37" s="106">
        <f t="shared" si="10"/>
        <v>3519.4631774739619</v>
      </c>
      <c r="AB37" s="12">
        <f t="shared" si="1"/>
        <v>-2.1502571458941744</v>
      </c>
      <c r="AC37" s="106"/>
    </row>
    <row r="38" spans="2:31" s="73" customFormat="1" ht="18" customHeight="1" x14ac:dyDescent="0.4">
      <c r="B38" s="76"/>
      <c r="C38" s="76" t="s">
        <v>24</v>
      </c>
      <c r="D38" s="76"/>
      <c r="E38" s="76"/>
      <c r="F38" s="48"/>
      <c r="G38" s="48"/>
      <c r="H38" s="76">
        <f t="shared" ref="G38:AA38" si="11">H37/H9</f>
        <v>-5.3843737251943816E-2</v>
      </c>
      <c r="I38" s="76">
        <f t="shared" si="11"/>
        <v>0.16184188489345241</v>
      </c>
      <c r="J38" s="76">
        <f t="shared" si="11"/>
        <v>0.19168684935466906</v>
      </c>
      <c r="K38" s="76">
        <f t="shared" si="11"/>
        <v>0.19801346390000837</v>
      </c>
      <c r="L38" s="87">
        <f t="shared" si="11"/>
        <v>0.22424121143109318</v>
      </c>
      <c r="M38" s="76">
        <f t="shared" si="11"/>
        <v>0.22848133864564033</v>
      </c>
      <c r="N38" s="76">
        <f t="shared" si="11"/>
        <v>0.22526197041162219</v>
      </c>
      <c r="O38" s="76">
        <f t="shared" si="11"/>
        <v>0.2112137999409652</v>
      </c>
      <c r="P38" s="76">
        <f t="shared" si="11"/>
        <v>0.2056285092953368</v>
      </c>
      <c r="Q38" s="76">
        <f t="shared" si="11"/>
        <v>0.20160275791874724</v>
      </c>
      <c r="R38" s="76">
        <f t="shared" si="11"/>
        <v>0.19367327317180372</v>
      </c>
      <c r="S38" s="76">
        <f t="shared" si="11"/>
        <v>0.1894772921897909</v>
      </c>
      <c r="T38" s="76">
        <f t="shared" si="11"/>
        <v>0.18450430089590714</v>
      </c>
      <c r="U38" s="76">
        <f t="shared" si="11"/>
        <v>0.18242358985415666</v>
      </c>
      <c r="V38" s="76">
        <f t="shared" si="11"/>
        <v>0.18032839370824699</v>
      </c>
      <c r="W38" s="76">
        <f t="shared" si="11"/>
        <v>0.17816898556884145</v>
      </c>
      <c r="X38" s="76">
        <f t="shared" si="11"/>
        <v>0.17599355915944323</v>
      </c>
      <c r="Y38" s="76">
        <f t="shared" si="11"/>
        <v>0.17375340034802775</v>
      </c>
      <c r="Z38" s="76">
        <f t="shared" si="11"/>
        <v>0.17149566220920226</v>
      </c>
      <c r="AA38" s="76">
        <f t="shared" si="11"/>
        <v>0.16917262274050171</v>
      </c>
      <c r="AB38" s="74">
        <f t="shared" si="1"/>
        <v>-2.0621067083798676</v>
      </c>
      <c r="AC38" s="48"/>
    </row>
    <row r="39" spans="2:31" s="149" customFormat="1" ht="18" customHeight="1" x14ac:dyDescent="0.4">
      <c r="B39" s="131" t="s">
        <v>29</v>
      </c>
      <c r="C39" s="131"/>
      <c r="D39" s="131" t="s">
        <v>136</v>
      </c>
      <c r="E39" s="131"/>
      <c r="F39" s="129"/>
      <c r="G39" s="129"/>
      <c r="H39" s="131"/>
      <c r="I39" s="133">
        <f t="shared" ref="I39:AA39" si="12">I34*0.2</f>
        <v>248.08477463540578</v>
      </c>
      <c r="J39" s="133">
        <f t="shared" si="12"/>
        <v>435.76294685945726</v>
      </c>
      <c r="K39" s="133">
        <f t="shared" si="12"/>
        <v>532.59646442791507</v>
      </c>
      <c r="L39" s="134">
        <f t="shared" si="12"/>
        <v>684.87568032541822</v>
      </c>
      <c r="M39" s="133">
        <f t="shared" si="12"/>
        <v>741.58089896045749</v>
      </c>
      <c r="N39" s="133">
        <f t="shared" si="12"/>
        <v>747.49409741683576</v>
      </c>
      <c r="O39" s="133">
        <f t="shared" si="12"/>
        <v>757.13464885429312</v>
      </c>
      <c r="P39" s="133">
        <f t="shared" si="12"/>
        <v>754.07333418302323</v>
      </c>
      <c r="Q39" s="133">
        <f t="shared" si="12"/>
        <v>747.66979272417575</v>
      </c>
      <c r="R39" s="133">
        <f t="shared" si="12"/>
        <v>722.67989048033985</v>
      </c>
      <c r="S39" s="133">
        <f t="shared" si="12"/>
        <v>715.04908502472131</v>
      </c>
      <c r="T39" s="133">
        <f t="shared" si="12"/>
        <v>703.52986595404218</v>
      </c>
      <c r="U39" s="133">
        <f t="shared" si="12"/>
        <v>702.98251641884553</v>
      </c>
      <c r="V39" s="133">
        <f t="shared" si="12"/>
        <v>702.29175541973768</v>
      </c>
      <c r="W39" s="133">
        <f t="shared" si="12"/>
        <v>701.25556841018806</v>
      </c>
      <c r="X39" s="133">
        <f t="shared" si="12"/>
        <v>700.05807046705786</v>
      </c>
      <c r="Y39" s="133">
        <f t="shared" si="12"/>
        <v>698.49669824448199</v>
      </c>
      <c r="Z39" s="133">
        <f t="shared" si="12"/>
        <v>696.75500168702865</v>
      </c>
      <c r="AA39" s="133">
        <f t="shared" si="12"/>
        <v>694.62983549479247</v>
      </c>
      <c r="AB39" s="81" t="e">
        <f t="shared" si="1"/>
        <v>#DIV/0!</v>
      </c>
      <c r="AC39" s="129"/>
    </row>
    <row r="40" spans="2:31" s="149" customFormat="1" ht="18" customHeight="1" x14ac:dyDescent="0.4">
      <c r="B40" s="131" t="s">
        <v>137</v>
      </c>
      <c r="C40" s="131"/>
      <c r="D40" s="131"/>
      <c r="E40" s="131"/>
      <c r="F40" s="129"/>
      <c r="G40" s="129">
        <f t="shared" ref="G40:AA40" si="13">G34-G39</f>
        <v>-621.53899470329179</v>
      </c>
      <c r="H40" s="131">
        <f t="shared" si="13"/>
        <v>-292.56191745341982</v>
      </c>
      <c r="I40" s="131">
        <f t="shared" si="13"/>
        <v>992.339098541623</v>
      </c>
      <c r="J40" s="131">
        <f t="shared" si="13"/>
        <v>1743.0517874378288</v>
      </c>
      <c r="K40" s="131">
        <f t="shared" si="13"/>
        <v>2130.3858577116598</v>
      </c>
      <c r="L40" s="132">
        <f t="shared" si="13"/>
        <v>2739.5027213016729</v>
      </c>
      <c r="M40" s="131">
        <f t="shared" si="13"/>
        <v>2966.3235958418295</v>
      </c>
      <c r="N40" s="131">
        <f t="shared" si="13"/>
        <v>2989.9763896673426</v>
      </c>
      <c r="O40" s="131">
        <f t="shared" si="13"/>
        <v>3028.538595417172</v>
      </c>
      <c r="P40" s="131">
        <f t="shared" si="13"/>
        <v>3016.2933367320929</v>
      </c>
      <c r="Q40" s="131">
        <f t="shared" si="13"/>
        <v>2990.679170896703</v>
      </c>
      <c r="R40" s="131">
        <f t="shared" si="13"/>
        <v>2890.7195619213589</v>
      </c>
      <c r="S40" s="131">
        <f t="shared" si="13"/>
        <v>2860.1963400988852</v>
      </c>
      <c r="T40" s="131">
        <f t="shared" si="13"/>
        <v>2814.1194638161687</v>
      </c>
      <c r="U40" s="131">
        <f t="shared" si="13"/>
        <v>2811.9300656753817</v>
      </c>
      <c r="V40" s="131">
        <f t="shared" si="13"/>
        <v>2809.1670216789507</v>
      </c>
      <c r="W40" s="131">
        <f t="shared" si="13"/>
        <v>2805.0222736407518</v>
      </c>
      <c r="X40" s="131">
        <f t="shared" si="13"/>
        <v>2800.2322818682314</v>
      </c>
      <c r="Y40" s="131">
        <f t="shared" si="13"/>
        <v>2793.9867929779275</v>
      </c>
      <c r="Z40" s="131">
        <f t="shared" si="13"/>
        <v>2787.0200067481142</v>
      </c>
      <c r="AA40" s="131">
        <f t="shared" si="13"/>
        <v>2778.5193419791694</v>
      </c>
      <c r="AB40" s="81">
        <f t="shared" si="1"/>
        <v>-2.1257770777140204</v>
      </c>
      <c r="AC40" s="129"/>
    </row>
    <row r="41" spans="2:31" s="149" customFormat="1" ht="18" customHeight="1" x14ac:dyDescent="0.4">
      <c r="B41" s="131" t="s">
        <v>138</v>
      </c>
      <c r="C41" s="131"/>
      <c r="D41" s="131"/>
      <c r="E41" s="131"/>
      <c r="F41" s="129"/>
      <c r="G41" s="129">
        <f t="shared" ref="G41:AA41" si="14">SUM(G42:G44)</f>
        <v>0</v>
      </c>
      <c r="H41" s="131">
        <f>SUM(H42:H44)</f>
        <v>-185.256</v>
      </c>
      <c r="I41" s="131">
        <f t="shared" si="14"/>
        <v>46.314</v>
      </c>
      <c r="J41" s="131">
        <f t="shared" si="14"/>
        <v>46.314</v>
      </c>
      <c r="K41" s="131">
        <f t="shared" si="14"/>
        <v>46.314</v>
      </c>
      <c r="L41" s="132">
        <f t="shared" si="14"/>
        <v>46.314</v>
      </c>
      <c r="M41" s="131">
        <f t="shared" si="14"/>
        <v>-185.256</v>
      </c>
      <c r="N41" s="131">
        <f t="shared" si="14"/>
        <v>46.314</v>
      </c>
      <c r="O41" s="131">
        <f t="shared" si="14"/>
        <v>46.314</v>
      </c>
      <c r="P41" s="131">
        <f t="shared" si="14"/>
        <v>46.314</v>
      </c>
      <c r="Q41" s="131">
        <f t="shared" si="14"/>
        <v>46.314</v>
      </c>
      <c r="R41" s="131">
        <f t="shared" si="14"/>
        <v>-185.256</v>
      </c>
      <c r="S41" s="131">
        <f t="shared" si="14"/>
        <v>46.314</v>
      </c>
      <c r="T41" s="131">
        <f t="shared" si="14"/>
        <v>46.314</v>
      </c>
      <c r="U41" s="131">
        <f t="shared" si="14"/>
        <v>46.314</v>
      </c>
      <c r="V41" s="131">
        <f t="shared" si="14"/>
        <v>46.314</v>
      </c>
      <c r="W41" s="131">
        <f t="shared" si="14"/>
        <v>-185.256</v>
      </c>
      <c r="X41" s="131">
        <f t="shared" si="14"/>
        <v>46.314</v>
      </c>
      <c r="Y41" s="131">
        <f t="shared" si="14"/>
        <v>46.314</v>
      </c>
      <c r="Z41" s="131">
        <f t="shared" si="14"/>
        <v>46.314</v>
      </c>
      <c r="AA41" s="131">
        <f t="shared" si="14"/>
        <v>46.314</v>
      </c>
      <c r="AB41" s="81">
        <f t="shared" si="1"/>
        <v>-1.9296353550084064</v>
      </c>
      <c r="AC41" s="129"/>
    </row>
    <row r="42" spans="2:31" s="149" customFormat="1" ht="18" customHeight="1" x14ac:dyDescent="0.4">
      <c r="B42" s="131"/>
      <c r="C42" s="109" t="s">
        <v>84</v>
      </c>
      <c r="D42" s="131"/>
      <c r="E42" s="131"/>
      <c r="F42" s="129"/>
      <c r="G42" s="131"/>
      <c r="H42" s="131">
        <f>H68</f>
        <v>46.314</v>
      </c>
      <c r="I42" s="131">
        <f>I68</f>
        <v>46.314</v>
      </c>
      <c r="J42" s="131">
        <f>J68</f>
        <v>46.314</v>
      </c>
      <c r="K42" s="131">
        <f>K68</f>
        <v>46.314</v>
      </c>
      <c r="L42" s="132">
        <f t="shared" ref="L42:S42" si="15">L68</f>
        <v>46.314</v>
      </c>
      <c r="M42" s="131">
        <f t="shared" si="15"/>
        <v>46.314</v>
      </c>
      <c r="N42" s="131">
        <f t="shared" si="15"/>
        <v>46.314</v>
      </c>
      <c r="O42" s="131">
        <f t="shared" si="15"/>
        <v>46.314</v>
      </c>
      <c r="P42" s="131">
        <f t="shared" si="15"/>
        <v>46.314</v>
      </c>
      <c r="Q42" s="131">
        <f t="shared" si="15"/>
        <v>46.314</v>
      </c>
      <c r="R42" s="131">
        <f t="shared" si="15"/>
        <v>46.314</v>
      </c>
      <c r="S42" s="131">
        <f t="shared" si="15"/>
        <v>46.314</v>
      </c>
      <c r="T42" s="131">
        <f t="shared" ref="T42:AA42" si="16">T68</f>
        <v>46.314</v>
      </c>
      <c r="U42" s="131">
        <f t="shared" si="16"/>
        <v>46.314</v>
      </c>
      <c r="V42" s="131">
        <f t="shared" si="16"/>
        <v>46.314</v>
      </c>
      <c r="W42" s="131">
        <f t="shared" si="16"/>
        <v>46.314</v>
      </c>
      <c r="X42" s="131">
        <f t="shared" si="16"/>
        <v>46.314</v>
      </c>
      <c r="Y42" s="131">
        <f t="shared" si="16"/>
        <v>46.314</v>
      </c>
      <c r="Z42" s="131">
        <f t="shared" si="16"/>
        <v>46.314</v>
      </c>
      <c r="AA42" s="131">
        <f t="shared" si="16"/>
        <v>46.314</v>
      </c>
      <c r="AB42" s="81">
        <f t="shared" si="1"/>
        <v>0</v>
      </c>
      <c r="AC42" s="129"/>
    </row>
    <row r="43" spans="2:31" s="149" customFormat="1" ht="18" customHeight="1" x14ac:dyDescent="0.4">
      <c r="B43" s="131"/>
      <c r="C43" s="109" t="s">
        <v>85</v>
      </c>
      <c r="D43" s="131"/>
      <c r="E43" s="131"/>
      <c r="F43" s="129"/>
      <c r="G43" s="133"/>
      <c r="H43" s="133">
        <f>-$D$68/1000</f>
        <v>-231.57</v>
      </c>
      <c r="I43" s="131"/>
      <c r="J43" s="131"/>
      <c r="K43" s="131"/>
      <c r="L43" s="132"/>
      <c r="M43" s="133">
        <f>-$D$68/1000</f>
        <v>-231.57</v>
      </c>
      <c r="N43" s="131"/>
      <c r="O43" s="131"/>
      <c r="P43" s="131"/>
      <c r="Q43" s="131"/>
      <c r="R43" s="133">
        <f>-$D$68/1000</f>
        <v>-231.57</v>
      </c>
      <c r="S43" s="133"/>
      <c r="T43" s="131"/>
      <c r="U43" s="131"/>
      <c r="V43" s="131"/>
      <c r="W43" s="133">
        <f>-$D$68/1000</f>
        <v>-231.57</v>
      </c>
      <c r="X43" s="133"/>
      <c r="Y43" s="133"/>
      <c r="Z43" s="131"/>
      <c r="AA43" s="131"/>
      <c r="AB43" s="81"/>
      <c r="AC43" s="129"/>
    </row>
    <row r="44" spans="2:31" s="149" customFormat="1" ht="18" customHeight="1" x14ac:dyDescent="0.4">
      <c r="B44" s="131"/>
      <c r="C44" s="109" t="s">
        <v>86</v>
      </c>
      <c r="D44" s="131"/>
      <c r="E44" s="131"/>
      <c r="F44" s="129"/>
      <c r="G44" s="129"/>
      <c r="H44" s="131"/>
      <c r="I44" s="131"/>
      <c r="J44" s="131"/>
      <c r="K44" s="131"/>
      <c r="L44" s="132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81"/>
      <c r="AC44" s="129"/>
    </row>
    <row r="45" spans="2:31" ht="18" customHeight="1" x14ac:dyDescent="0.4">
      <c r="B45" s="106" t="s">
        <v>150</v>
      </c>
      <c r="C45" s="106"/>
      <c r="D45" s="106"/>
      <c r="E45" s="106"/>
      <c r="F45" s="106"/>
      <c r="G45" s="106">
        <f t="shared" ref="G45:AA45" si="17">G40+G41</f>
        <v>-621.53899470329179</v>
      </c>
      <c r="H45" s="106">
        <f t="shared" si="17"/>
        <v>-477.8179174534198</v>
      </c>
      <c r="I45" s="106">
        <f t="shared" si="17"/>
        <v>1038.653098541623</v>
      </c>
      <c r="J45" s="106">
        <f t="shared" si="17"/>
        <v>1789.3657874378289</v>
      </c>
      <c r="K45" s="106">
        <f t="shared" si="17"/>
        <v>2176.6998577116597</v>
      </c>
      <c r="L45" s="107">
        <f t="shared" si="17"/>
        <v>2785.8167213016727</v>
      </c>
      <c r="M45" s="106">
        <f t="shared" si="17"/>
        <v>2781.0675958418296</v>
      </c>
      <c r="N45" s="106">
        <f t="shared" si="17"/>
        <v>3036.2903896673424</v>
      </c>
      <c r="O45" s="106">
        <f t="shared" si="17"/>
        <v>3074.8525954171719</v>
      </c>
      <c r="P45" s="106">
        <f t="shared" si="17"/>
        <v>3062.6073367320928</v>
      </c>
      <c r="Q45" s="106">
        <f t="shared" si="17"/>
        <v>3036.9931708967028</v>
      </c>
      <c r="R45" s="106">
        <f t="shared" si="17"/>
        <v>2705.4635619213591</v>
      </c>
      <c r="S45" s="106">
        <f t="shared" si="17"/>
        <v>2906.5103400988851</v>
      </c>
      <c r="T45" s="106">
        <f t="shared" si="17"/>
        <v>2860.4334638161686</v>
      </c>
      <c r="U45" s="106">
        <f t="shared" si="17"/>
        <v>2858.2440656753815</v>
      </c>
      <c r="V45" s="106">
        <f t="shared" si="17"/>
        <v>2855.4810216789506</v>
      </c>
      <c r="W45" s="106">
        <f t="shared" si="17"/>
        <v>2619.7662736407519</v>
      </c>
      <c r="X45" s="106">
        <f t="shared" si="17"/>
        <v>2846.5462818682313</v>
      </c>
      <c r="Y45" s="106">
        <f t="shared" si="17"/>
        <v>2840.3007929779274</v>
      </c>
      <c r="Z45" s="106">
        <f t="shared" si="17"/>
        <v>2833.334006748114</v>
      </c>
      <c r="AA45" s="106">
        <f t="shared" si="17"/>
        <v>2824.8333419791693</v>
      </c>
      <c r="AB45" s="12"/>
      <c r="AC45" s="106"/>
    </row>
    <row r="46" spans="2:31" ht="18" customHeight="1" x14ac:dyDescent="0.4">
      <c r="B46" s="109" t="s">
        <v>99</v>
      </c>
      <c r="C46" s="109"/>
      <c r="D46" s="109"/>
      <c r="E46" s="109"/>
      <c r="F46" s="109"/>
      <c r="G46" s="115">
        <f t="shared" ref="G46:AA46" si="18">1/(1+$D$4)^G7</f>
        <v>1</v>
      </c>
      <c r="H46" s="115">
        <f t="shared" si="18"/>
        <v>0.94250706880301605</v>
      </c>
      <c r="I46" s="115">
        <f t="shared" si="18"/>
        <v>0.8883195747436532</v>
      </c>
      <c r="J46" s="115">
        <f t="shared" si="18"/>
        <v>0.83724747855198234</v>
      </c>
      <c r="K46" s="115">
        <f t="shared" si="18"/>
        <v>0.78911166687274492</v>
      </c>
      <c r="L46" s="116">
        <f t="shared" si="18"/>
        <v>0.74374332410249289</v>
      </c>
      <c r="M46" s="115">
        <f t="shared" si="18"/>
        <v>0.70098334034165199</v>
      </c>
      <c r="N46" s="115">
        <f t="shared" si="18"/>
        <v>0.66068175338515756</v>
      </c>
      <c r="O46" s="115">
        <f t="shared" si="18"/>
        <v>0.62269722279468198</v>
      </c>
      <c r="P46" s="115">
        <f t="shared" si="18"/>
        <v>0.58689653420799437</v>
      </c>
      <c r="Q46" s="115">
        <f t="shared" si="18"/>
        <v>0.55315413214702569</v>
      </c>
      <c r="R46" s="115">
        <f t="shared" si="18"/>
        <v>0.52135167968616947</v>
      </c>
      <c r="S46" s="115">
        <f t="shared" si="18"/>
        <v>0.49137764343654056</v>
      </c>
      <c r="T46" s="115">
        <f t="shared" si="18"/>
        <v>0.46312690239070731</v>
      </c>
      <c r="U46" s="115">
        <f t="shared" si="18"/>
        <v>0.43650037925608609</v>
      </c>
      <c r="V46" s="115">
        <f t="shared" si="18"/>
        <v>0.41140469298405857</v>
      </c>
      <c r="W46" s="115">
        <f t="shared" si="18"/>
        <v>0.38775183127620977</v>
      </c>
      <c r="X46" s="115">
        <f t="shared" si="18"/>
        <v>0.36545884191914213</v>
      </c>
      <c r="Y46" s="115">
        <f t="shared" si="18"/>
        <v>0.34444754186535548</v>
      </c>
      <c r="Z46" s="115">
        <f t="shared" si="18"/>
        <v>0.32464424303992034</v>
      </c>
      <c r="AA46" s="115">
        <f t="shared" si="18"/>
        <v>0.30597949391132928</v>
      </c>
      <c r="AB46" s="10"/>
      <c r="AC46" s="109"/>
    </row>
    <row r="47" spans="2:31" s="112" customFormat="1" ht="18" customHeight="1" x14ac:dyDescent="0.4">
      <c r="B47" s="117" t="s">
        <v>146</v>
      </c>
      <c r="C47" s="117"/>
      <c r="D47" s="117"/>
      <c r="E47" s="117"/>
      <c r="F47" s="117"/>
      <c r="G47" s="164">
        <f t="shared" ref="G47:AA47" si="19">G45*G46</f>
        <v>-621.53899470329179</v>
      </c>
      <c r="H47" s="164">
        <f t="shared" si="19"/>
        <v>-450.3467648005842</v>
      </c>
      <c r="I47" s="164">
        <f t="shared" si="19"/>
        <v>922.65587880267219</v>
      </c>
      <c r="J47" s="164">
        <f t="shared" si="19"/>
        <v>1498.1419937395046</v>
      </c>
      <c r="K47" s="164">
        <f t="shared" si="19"/>
        <v>1717.6592530005144</v>
      </c>
      <c r="L47" s="166">
        <f t="shared" si="19"/>
        <v>2071.9325886412139</v>
      </c>
      <c r="M47" s="164">
        <f t="shared" si="19"/>
        <v>1949.4820530491331</v>
      </c>
      <c r="N47" s="164">
        <f t="shared" si="19"/>
        <v>2006.021658431923</v>
      </c>
      <c r="O47" s="164">
        <f t="shared" si="19"/>
        <v>1914.7021716692927</v>
      </c>
      <c r="P47" s="164">
        <f t="shared" si="19"/>
        <v>1797.4336315680412</v>
      </c>
      <c r="Q47" s="164">
        <f t="shared" si="19"/>
        <v>1679.9253217838093</v>
      </c>
      <c r="R47" s="164">
        <f t="shared" si="19"/>
        <v>1410.4979723374274</v>
      </c>
      <c r="S47" s="164">
        <f t="shared" si="19"/>
        <v>1428.1942015417283</v>
      </c>
      <c r="T47" s="164">
        <f t="shared" si="19"/>
        <v>1324.7436895919036</v>
      </c>
      <c r="U47" s="164">
        <f t="shared" si="19"/>
        <v>1247.6246186737615</v>
      </c>
      <c r="V47" s="164">
        <f t="shared" si="19"/>
        <v>1174.7582930456347</v>
      </c>
      <c r="W47" s="164">
        <f t="shared" si="19"/>
        <v>1015.8191701198537</v>
      </c>
      <c r="X47" s="164">
        <f t="shared" si="19"/>
        <v>1040.2955076408036</v>
      </c>
      <c r="Y47" s="164">
        <f t="shared" si="19"/>
        <v>978.334626299467</v>
      </c>
      <c r="Z47" s="164">
        <f t="shared" si="19"/>
        <v>919.82557390000602</v>
      </c>
      <c r="AA47" s="164">
        <f t="shared" si="19"/>
        <v>864.34107636263514</v>
      </c>
      <c r="AB47" s="82"/>
      <c r="AC47" s="117"/>
    </row>
    <row r="48" spans="2:31" s="112" customFormat="1" ht="18" customHeight="1" x14ac:dyDescent="0.4">
      <c r="B48" s="117" t="s">
        <v>147</v>
      </c>
      <c r="C48" s="117"/>
      <c r="D48" s="117"/>
      <c r="E48" s="117"/>
      <c r="F48" s="117"/>
      <c r="G48" s="165">
        <f>-D58</f>
        <v>-1127</v>
      </c>
      <c r="H48" s="117"/>
      <c r="I48" s="117"/>
      <c r="J48" s="117"/>
      <c r="K48" s="117"/>
      <c r="L48" s="120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8"/>
      <c r="AB48" s="82"/>
      <c r="AC48" s="117"/>
    </row>
    <row r="49" spans="2:29" s="112" customFormat="1" ht="18" customHeight="1" x14ac:dyDescent="0.4">
      <c r="B49" s="117" t="s">
        <v>148</v>
      </c>
      <c r="C49" s="117"/>
      <c r="D49" s="117"/>
      <c r="E49" s="117"/>
      <c r="F49" s="117"/>
      <c r="G49" s="118">
        <f t="shared" ref="G49:AA49" si="20">G45+G48</f>
        <v>-1748.5389947032918</v>
      </c>
      <c r="H49" s="118">
        <f t="shared" si="20"/>
        <v>-477.8179174534198</v>
      </c>
      <c r="I49" s="118">
        <f t="shared" si="20"/>
        <v>1038.653098541623</v>
      </c>
      <c r="J49" s="118">
        <f t="shared" si="20"/>
        <v>1789.3657874378289</v>
      </c>
      <c r="K49" s="118">
        <f t="shared" si="20"/>
        <v>2176.6998577116597</v>
      </c>
      <c r="L49" s="119">
        <f t="shared" si="20"/>
        <v>2785.8167213016727</v>
      </c>
      <c r="M49" s="118">
        <f t="shared" si="20"/>
        <v>2781.0675958418296</v>
      </c>
      <c r="N49" s="118">
        <f t="shared" si="20"/>
        <v>3036.2903896673424</v>
      </c>
      <c r="O49" s="118">
        <f t="shared" si="20"/>
        <v>3074.8525954171719</v>
      </c>
      <c r="P49" s="118">
        <f t="shared" si="20"/>
        <v>3062.6073367320928</v>
      </c>
      <c r="Q49" s="118">
        <f t="shared" si="20"/>
        <v>3036.9931708967028</v>
      </c>
      <c r="R49" s="118">
        <f t="shared" si="20"/>
        <v>2705.4635619213591</v>
      </c>
      <c r="S49" s="118">
        <f t="shared" si="20"/>
        <v>2906.5103400988851</v>
      </c>
      <c r="T49" s="118">
        <f t="shared" si="20"/>
        <v>2860.4334638161686</v>
      </c>
      <c r="U49" s="118">
        <f t="shared" si="20"/>
        <v>2858.2440656753815</v>
      </c>
      <c r="V49" s="118">
        <f t="shared" si="20"/>
        <v>2855.4810216789506</v>
      </c>
      <c r="W49" s="118">
        <f t="shared" si="20"/>
        <v>2619.7662736407519</v>
      </c>
      <c r="X49" s="118">
        <f t="shared" si="20"/>
        <v>2846.5462818682313</v>
      </c>
      <c r="Y49" s="118">
        <f t="shared" si="20"/>
        <v>2840.3007929779274</v>
      </c>
      <c r="Z49" s="118">
        <f t="shared" si="20"/>
        <v>2833.334006748114</v>
      </c>
      <c r="AA49" s="118">
        <f t="shared" si="20"/>
        <v>2824.8333419791693</v>
      </c>
      <c r="AB49" s="82"/>
      <c r="AC49" s="117"/>
    </row>
    <row r="50" spans="2:29" ht="18" customHeight="1" x14ac:dyDescent="0.4">
      <c r="B50" s="121" t="s">
        <v>89</v>
      </c>
      <c r="C50" s="121"/>
      <c r="D50" s="121"/>
      <c r="E50" s="121"/>
      <c r="F50" s="122"/>
      <c r="G50" s="163">
        <f>SUM(G47:AA47)+G48</f>
        <v>24763.503520695449</v>
      </c>
      <c r="H50" s="109"/>
      <c r="I50" s="109"/>
      <c r="J50" s="109"/>
      <c r="K50" s="109"/>
      <c r="L50" s="110"/>
      <c r="M50" s="109"/>
      <c r="N50" s="115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"/>
      <c r="AC50" s="109"/>
    </row>
    <row r="51" spans="2:29" ht="18" customHeight="1" x14ac:dyDescent="0.4">
      <c r="B51" s="121" t="s">
        <v>90</v>
      </c>
      <c r="C51" s="121"/>
      <c r="D51" s="121"/>
      <c r="E51" s="121"/>
      <c r="F51" s="121"/>
      <c r="G51" s="65">
        <f>IRR(G49:AA49)</f>
        <v>0.57334248821606315</v>
      </c>
      <c r="H51" s="109"/>
      <c r="I51" s="109"/>
      <c r="J51" s="109"/>
      <c r="K51" s="109"/>
      <c r="L51" s="110"/>
      <c r="M51" s="109"/>
      <c r="N51" s="109"/>
      <c r="O51" s="109"/>
      <c r="P51" s="115"/>
      <c r="Q51" s="115"/>
      <c r="R51" s="115"/>
      <c r="S51" s="115"/>
      <c r="T51" s="115"/>
      <c r="U51" s="115"/>
      <c r="V51" s="115"/>
      <c r="W51" s="115"/>
      <c r="X51" s="115"/>
      <c r="Y51" s="109"/>
      <c r="Z51" s="109"/>
      <c r="AA51" s="109"/>
      <c r="AB51" s="10"/>
      <c r="AC51" s="109"/>
    </row>
    <row r="52" spans="2:29" ht="18" customHeight="1" x14ac:dyDescent="0.4">
      <c r="B52" s="121" t="s">
        <v>97</v>
      </c>
      <c r="C52" s="121"/>
      <c r="D52" s="121"/>
      <c r="E52" s="121"/>
      <c r="F52" s="121"/>
      <c r="G52" s="123" t="s">
        <v>151</v>
      </c>
      <c r="H52" s="109"/>
      <c r="I52" s="109"/>
      <c r="J52" s="109"/>
      <c r="K52" s="109"/>
      <c r="L52" s="110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"/>
      <c r="AC52" s="109"/>
    </row>
    <row r="53" spans="2:29" s="97" customFormat="1" ht="18" customHeight="1" x14ac:dyDescent="0.4"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10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"/>
      <c r="AC53" s="109"/>
    </row>
    <row r="54" spans="2:29" s="97" customFormat="1" ht="18" customHeight="1" x14ac:dyDescent="0.4"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10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"/>
      <c r="AC54" s="109"/>
    </row>
    <row r="55" spans="2:29" s="97" customFormat="1" ht="18" customHeight="1" x14ac:dyDescent="0.4"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10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"/>
      <c r="AC55" s="109"/>
    </row>
    <row r="56" spans="2:29" s="112" customFormat="1" ht="18" customHeight="1" x14ac:dyDescent="0.4">
      <c r="B56" s="117"/>
      <c r="C56" s="117" t="s">
        <v>118</v>
      </c>
      <c r="D56" s="118">
        <v>810</v>
      </c>
      <c r="E56" s="117"/>
      <c r="F56" s="117"/>
      <c r="G56" s="117"/>
      <c r="H56" s="117"/>
      <c r="I56" s="117"/>
      <c r="J56" s="117"/>
      <c r="K56" s="117"/>
      <c r="L56" s="120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82"/>
      <c r="AC56" s="117"/>
    </row>
    <row r="57" spans="2:29" ht="18" customHeight="1" x14ac:dyDescent="0.4">
      <c r="B57" s="109"/>
      <c r="C57" s="109" t="s">
        <v>119</v>
      </c>
      <c r="D57" s="115">
        <v>317</v>
      </c>
      <c r="E57" s="109"/>
      <c r="F57" s="109"/>
      <c r="G57" s="109"/>
      <c r="H57" s="109"/>
      <c r="I57" s="109"/>
      <c r="J57" s="109"/>
      <c r="K57" s="109"/>
      <c r="L57" s="110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"/>
      <c r="AC57" s="109"/>
    </row>
    <row r="58" spans="2:29" ht="18" customHeight="1" x14ac:dyDescent="0.4">
      <c r="B58" s="109"/>
      <c r="C58" s="129" t="s">
        <v>78</v>
      </c>
      <c r="D58" s="130">
        <f>D56+D57</f>
        <v>1127</v>
      </c>
      <c r="E58" s="131"/>
      <c r="F58" s="131"/>
      <c r="G58" s="129" t="s">
        <v>79</v>
      </c>
      <c r="H58" s="131"/>
      <c r="I58" s="131"/>
      <c r="J58" s="131">
        <f>D58</f>
        <v>1127</v>
      </c>
      <c r="K58" s="131"/>
      <c r="L58" s="132"/>
      <c r="M58" s="131"/>
      <c r="N58" s="131"/>
      <c r="O58" s="131"/>
      <c r="P58" s="131"/>
      <c r="Q58" s="131"/>
      <c r="R58" s="131"/>
      <c r="S58" s="131"/>
      <c r="T58" s="109"/>
      <c r="U58" s="109"/>
      <c r="V58" s="109"/>
      <c r="W58" s="109"/>
      <c r="X58" s="109"/>
      <c r="Y58" s="109"/>
      <c r="Z58" s="109"/>
      <c r="AA58" s="109"/>
      <c r="AB58" s="10"/>
      <c r="AC58" s="109"/>
    </row>
    <row r="59" spans="2:29" ht="18" customHeight="1" x14ac:dyDescent="0.4">
      <c r="B59" s="109"/>
      <c r="C59" s="131" t="s">
        <v>120</v>
      </c>
      <c r="D59" s="133"/>
      <c r="E59" s="131"/>
      <c r="F59" s="131"/>
      <c r="G59" s="129" t="s">
        <v>81</v>
      </c>
      <c r="H59" s="131"/>
      <c r="I59" s="131"/>
      <c r="J59" s="131"/>
      <c r="K59" s="131"/>
      <c r="L59" s="132"/>
      <c r="M59" s="131"/>
      <c r="N59" s="131"/>
      <c r="O59" s="131"/>
      <c r="P59" s="131"/>
      <c r="Q59" s="131"/>
      <c r="R59" s="131"/>
      <c r="S59" s="131"/>
      <c r="T59" s="109"/>
      <c r="U59" s="109"/>
      <c r="V59" s="109"/>
      <c r="W59" s="109"/>
      <c r="X59" s="109"/>
      <c r="Y59" s="109"/>
      <c r="Z59" s="109"/>
      <c r="AA59" s="109"/>
      <c r="AB59" s="10"/>
      <c r="AC59" s="109"/>
    </row>
    <row r="60" spans="2:29" ht="18" customHeight="1" x14ac:dyDescent="0.4">
      <c r="B60" s="109"/>
      <c r="C60" s="131" t="s">
        <v>96</v>
      </c>
      <c r="D60" s="133">
        <f>D58*E60</f>
        <v>47.334000000000003</v>
      </c>
      <c r="E60" s="66">
        <v>4.2000000000000003E-2</v>
      </c>
      <c r="F60" s="129"/>
      <c r="G60" s="129" t="s">
        <v>80</v>
      </c>
      <c r="H60" s="130">
        <f t="shared" ref="H60" si="21">D58*E60</f>
        <v>47.334000000000003</v>
      </c>
      <c r="I60" s="130">
        <f>H60</f>
        <v>47.334000000000003</v>
      </c>
      <c r="J60" s="133">
        <f>I60</f>
        <v>47.334000000000003</v>
      </c>
      <c r="K60" s="158">
        <f t="shared" ref="K60:R60" si="22">K59*$E$60</f>
        <v>0</v>
      </c>
      <c r="L60" s="159">
        <f t="shared" si="22"/>
        <v>0</v>
      </c>
      <c r="M60" s="158">
        <f t="shared" si="22"/>
        <v>0</v>
      </c>
      <c r="N60" s="158">
        <f t="shared" si="22"/>
        <v>0</v>
      </c>
      <c r="O60" s="158">
        <f t="shared" si="22"/>
        <v>0</v>
      </c>
      <c r="P60" s="158">
        <f t="shared" si="22"/>
        <v>0</v>
      </c>
      <c r="Q60" s="158">
        <f t="shared" si="22"/>
        <v>0</v>
      </c>
      <c r="R60" s="158">
        <f t="shared" si="22"/>
        <v>0</v>
      </c>
      <c r="S60" s="75"/>
      <c r="T60" s="129"/>
      <c r="U60" s="129"/>
      <c r="V60" s="129"/>
      <c r="W60" s="129"/>
      <c r="X60" s="129"/>
      <c r="Y60" s="129"/>
      <c r="Z60" s="129"/>
      <c r="AA60" s="129"/>
      <c r="AB60" s="13"/>
      <c r="AC60" s="129"/>
    </row>
    <row r="61" spans="2:29" ht="18" customHeight="1" x14ac:dyDescent="0.4">
      <c r="B61" s="124"/>
      <c r="C61" s="153"/>
      <c r="D61" s="154"/>
      <c r="E61" s="153"/>
      <c r="F61" s="155"/>
      <c r="G61" s="155" t="s">
        <v>109</v>
      </c>
      <c r="H61" s="155"/>
      <c r="I61" s="155"/>
      <c r="J61" s="156">
        <f t="shared" ref="J61:S61" si="23">J58+J60</f>
        <v>1174.3340000000001</v>
      </c>
      <c r="K61" s="160">
        <f t="shared" si="23"/>
        <v>0</v>
      </c>
      <c r="L61" s="161">
        <f t="shared" si="23"/>
        <v>0</v>
      </c>
      <c r="M61" s="160">
        <f t="shared" si="23"/>
        <v>0</v>
      </c>
      <c r="N61" s="160">
        <f t="shared" si="23"/>
        <v>0</v>
      </c>
      <c r="O61" s="160">
        <f t="shared" si="23"/>
        <v>0</v>
      </c>
      <c r="P61" s="160">
        <f t="shared" si="23"/>
        <v>0</v>
      </c>
      <c r="Q61" s="160">
        <f t="shared" si="23"/>
        <v>0</v>
      </c>
      <c r="R61" s="160">
        <f t="shared" si="23"/>
        <v>0</v>
      </c>
      <c r="S61" s="162">
        <f t="shared" si="23"/>
        <v>0</v>
      </c>
      <c r="T61" s="155"/>
      <c r="U61" s="155"/>
      <c r="V61" s="155"/>
      <c r="W61" s="155"/>
      <c r="X61" s="155"/>
      <c r="Y61" s="155"/>
      <c r="Z61" s="155"/>
      <c r="AA61" s="155"/>
      <c r="AB61" s="83"/>
      <c r="AC61" s="155"/>
    </row>
    <row r="62" spans="2:29" ht="18" customHeight="1" x14ac:dyDescent="0.4">
      <c r="C62" s="124"/>
      <c r="D62" s="135"/>
      <c r="E62" s="124"/>
      <c r="F62" s="124"/>
      <c r="G62" s="124"/>
      <c r="H62" s="124"/>
      <c r="I62" s="124"/>
      <c r="J62" s="124"/>
      <c r="K62" s="124"/>
      <c r="L62" s="125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6"/>
      <c r="AC62" s="124"/>
    </row>
    <row r="63" spans="2:29" ht="18" customHeight="1" x14ac:dyDescent="0.4">
      <c r="C63" s="97"/>
      <c r="D63" s="97"/>
      <c r="E63" s="97" t="s">
        <v>70</v>
      </c>
      <c r="F63" s="97" t="s">
        <v>72</v>
      </c>
      <c r="G63" s="97"/>
      <c r="H63" s="97"/>
      <c r="I63" s="97"/>
      <c r="J63" s="97"/>
      <c r="K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84"/>
      <c r="AC63" s="97"/>
    </row>
    <row r="64" spans="2:29" s="112" customFormat="1" ht="18" customHeight="1" x14ac:dyDescent="0.4">
      <c r="C64" s="136" t="s">
        <v>132</v>
      </c>
      <c r="D64" s="137">
        <v>29900</v>
      </c>
      <c r="E64" s="136">
        <v>5</v>
      </c>
      <c r="F64" s="136">
        <f>D64/E64</f>
        <v>5980</v>
      </c>
      <c r="G64" s="127"/>
      <c r="H64" s="137">
        <f t="shared" ref="H64" si="24">F64/1000</f>
        <v>5.98</v>
      </c>
      <c r="I64" s="137">
        <f>H64</f>
        <v>5.98</v>
      </c>
      <c r="J64" s="137">
        <f t="shared" ref="J64:AA64" si="25">I64</f>
        <v>5.98</v>
      </c>
      <c r="K64" s="137">
        <f t="shared" si="25"/>
        <v>5.98</v>
      </c>
      <c r="L64" s="157">
        <f t="shared" si="25"/>
        <v>5.98</v>
      </c>
      <c r="M64" s="137">
        <f t="shared" si="25"/>
        <v>5.98</v>
      </c>
      <c r="N64" s="137">
        <f t="shared" si="25"/>
        <v>5.98</v>
      </c>
      <c r="O64" s="137">
        <f t="shared" si="25"/>
        <v>5.98</v>
      </c>
      <c r="P64" s="137">
        <f t="shared" si="25"/>
        <v>5.98</v>
      </c>
      <c r="Q64" s="137">
        <f t="shared" si="25"/>
        <v>5.98</v>
      </c>
      <c r="R64" s="137">
        <f t="shared" si="25"/>
        <v>5.98</v>
      </c>
      <c r="S64" s="137">
        <f t="shared" si="25"/>
        <v>5.98</v>
      </c>
      <c r="T64" s="137">
        <f t="shared" si="25"/>
        <v>5.98</v>
      </c>
      <c r="U64" s="137">
        <f t="shared" si="25"/>
        <v>5.98</v>
      </c>
      <c r="V64" s="137">
        <f t="shared" si="25"/>
        <v>5.98</v>
      </c>
      <c r="W64" s="137">
        <f t="shared" si="25"/>
        <v>5.98</v>
      </c>
      <c r="X64" s="137">
        <f t="shared" si="25"/>
        <v>5.98</v>
      </c>
      <c r="Y64" s="137">
        <f t="shared" si="25"/>
        <v>5.98</v>
      </c>
      <c r="Z64" s="137">
        <f t="shared" si="25"/>
        <v>5.98</v>
      </c>
      <c r="AA64" s="137">
        <f t="shared" si="25"/>
        <v>5.98</v>
      </c>
      <c r="AB64" s="85"/>
      <c r="AC64" s="136" t="s">
        <v>101</v>
      </c>
    </row>
    <row r="65" spans="3:29" s="112" customFormat="1" ht="18" customHeight="1" x14ac:dyDescent="0.4">
      <c r="C65" s="136" t="s">
        <v>133</v>
      </c>
      <c r="D65" s="137">
        <v>195000</v>
      </c>
      <c r="E65" s="136">
        <v>5</v>
      </c>
      <c r="F65" s="115">
        <f>D65/E65</f>
        <v>39000</v>
      </c>
      <c r="G65" s="127"/>
      <c r="H65" s="137">
        <f t="shared" ref="H65:H67" si="26">F65/1000</f>
        <v>39</v>
      </c>
      <c r="I65" s="137">
        <f>H65</f>
        <v>39</v>
      </c>
      <c r="J65" s="137">
        <f t="shared" ref="J65:AA65" si="27">I65</f>
        <v>39</v>
      </c>
      <c r="K65" s="137">
        <f t="shared" si="27"/>
        <v>39</v>
      </c>
      <c r="L65" s="157">
        <f t="shared" si="27"/>
        <v>39</v>
      </c>
      <c r="M65" s="137">
        <f t="shared" si="27"/>
        <v>39</v>
      </c>
      <c r="N65" s="137">
        <f t="shared" si="27"/>
        <v>39</v>
      </c>
      <c r="O65" s="137">
        <f t="shared" si="27"/>
        <v>39</v>
      </c>
      <c r="P65" s="137">
        <f t="shared" si="27"/>
        <v>39</v>
      </c>
      <c r="Q65" s="137">
        <f t="shared" si="27"/>
        <v>39</v>
      </c>
      <c r="R65" s="137">
        <f t="shared" si="27"/>
        <v>39</v>
      </c>
      <c r="S65" s="137">
        <f t="shared" si="27"/>
        <v>39</v>
      </c>
      <c r="T65" s="137">
        <f t="shared" si="27"/>
        <v>39</v>
      </c>
      <c r="U65" s="137">
        <f t="shared" si="27"/>
        <v>39</v>
      </c>
      <c r="V65" s="137">
        <f t="shared" si="27"/>
        <v>39</v>
      </c>
      <c r="W65" s="137">
        <f t="shared" si="27"/>
        <v>39</v>
      </c>
      <c r="X65" s="137">
        <f t="shared" si="27"/>
        <v>39</v>
      </c>
      <c r="Y65" s="137">
        <f t="shared" si="27"/>
        <v>39</v>
      </c>
      <c r="Z65" s="137">
        <f t="shared" si="27"/>
        <v>39</v>
      </c>
      <c r="AA65" s="137">
        <f t="shared" si="27"/>
        <v>39</v>
      </c>
      <c r="AB65" s="85"/>
      <c r="AC65" s="136" t="s">
        <v>101</v>
      </c>
    </row>
    <row r="66" spans="3:29" ht="18" customHeight="1" x14ac:dyDescent="0.4">
      <c r="C66" s="109" t="s">
        <v>134</v>
      </c>
      <c r="D66" s="115">
        <v>5750</v>
      </c>
      <c r="E66" s="109">
        <v>5</v>
      </c>
      <c r="F66" s="115">
        <f>D66/E66</f>
        <v>1150</v>
      </c>
      <c r="G66" s="109"/>
      <c r="H66" s="115">
        <f t="shared" si="26"/>
        <v>1.1499999999999999</v>
      </c>
      <c r="I66" s="115">
        <f>H66</f>
        <v>1.1499999999999999</v>
      </c>
      <c r="J66" s="115">
        <f t="shared" ref="J66:AA66" si="28">I66</f>
        <v>1.1499999999999999</v>
      </c>
      <c r="K66" s="115">
        <f t="shared" si="28"/>
        <v>1.1499999999999999</v>
      </c>
      <c r="L66" s="116">
        <f t="shared" si="28"/>
        <v>1.1499999999999999</v>
      </c>
      <c r="M66" s="115">
        <f t="shared" si="28"/>
        <v>1.1499999999999999</v>
      </c>
      <c r="N66" s="115">
        <f t="shared" si="28"/>
        <v>1.1499999999999999</v>
      </c>
      <c r="O66" s="115">
        <f t="shared" si="28"/>
        <v>1.1499999999999999</v>
      </c>
      <c r="P66" s="115">
        <f t="shared" si="28"/>
        <v>1.1499999999999999</v>
      </c>
      <c r="Q66" s="115">
        <f t="shared" si="28"/>
        <v>1.1499999999999999</v>
      </c>
      <c r="R66" s="115">
        <f t="shared" si="28"/>
        <v>1.1499999999999999</v>
      </c>
      <c r="S66" s="115">
        <f t="shared" si="28"/>
        <v>1.1499999999999999</v>
      </c>
      <c r="T66" s="115">
        <f t="shared" si="28"/>
        <v>1.1499999999999999</v>
      </c>
      <c r="U66" s="115">
        <f t="shared" si="28"/>
        <v>1.1499999999999999</v>
      </c>
      <c r="V66" s="115">
        <f t="shared" si="28"/>
        <v>1.1499999999999999</v>
      </c>
      <c r="W66" s="115">
        <f t="shared" si="28"/>
        <v>1.1499999999999999</v>
      </c>
      <c r="X66" s="115">
        <f t="shared" si="28"/>
        <v>1.1499999999999999</v>
      </c>
      <c r="Y66" s="115">
        <f t="shared" si="28"/>
        <v>1.1499999999999999</v>
      </c>
      <c r="Z66" s="115">
        <f t="shared" si="28"/>
        <v>1.1499999999999999</v>
      </c>
      <c r="AA66" s="115">
        <f t="shared" si="28"/>
        <v>1.1499999999999999</v>
      </c>
      <c r="AB66" s="10"/>
      <c r="AC66" s="109" t="s">
        <v>101</v>
      </c>
    </row>
    <row r="67" spans="3:29" ht="18" customHeight="1" x14ac:dyDescent="0.4">
      <c r="C67" s="109" t="s">
        <v>135</v>
      </c>
      <c r="D67" s="115">
        <v>920</v>
      </c>
      <c r="E67" s="109">
        <v>5</v>
      </c>
      <c r="F67" s="115">
        <f>D67/E67</f>
        <v>184</v>
      </c>
      <c r="G67" s="109"/>
      <c r="H67" s="115">
        <f t="shared" si="26"/>
        <v>0.184</v>
      </c>
      <c r="I67" s="115">
        <f>H67</f>
        <v>0.184</v>
      </c>
      <c r="J67" s="115">
        <f t="shared" ref="J67:AA67" si="29">I67</f>
        <v>0.184</v>
      </c>
      <c r="K67" s="115">
        <f t="shared" si="29"/>
        <v>0.184</v>
      </c>
      <c r="L67" s="116">
        <f t="shared" si="29"/>
        <v>0.184</v>
      </c>
      <c r="M67" s="115">
        <f t="shared" si="29"/>
        <v>0.184</v>
      </c>
      <c r="N67" s="115">
        <f t="shared" si="29"/>
        <v>0.184</v>
      </c>
      <c r="O67" s="115">
        <f t="shared" si="29"/>
        <v>0.184</v>
      </c>
      <c r="P67" s="115">
        <f t="shared" si="29"/>
        <v>0.184</v>
      </c>
      <c r="Q67" s="115">
        <f t="shared" si="29"/>
        <v>0.184</v>
      </c>
      <c r="R67" s="115">
        <f t="shared" si="29"/>
        <v>0.184</v>
      </c>
      <c r="S67" s="115">
        <f t="shared" si="29"/>
        <v>0.184</v>
      </c>
      <c r="T67" s="115">
        <f t="shared" si="29"/>
        <v>0.184</v>
      </c>
      <c r="U67" s="115">
        <f t="shared" si="29"/>
        <v>0.184</v>
      </c>
      <c r="V67" s="115">
        <f t="shared" si="29"/>
        <v>0.184</v>
      </c>
      <c r="W67" s="115">
        <f t="shared" si="29"/>
        <v>0.184</v>
      </c>
      <c r="X67" s="115">
        <f t="shared" si="29"/>
        <v>0.184</v>
      </c>
      <c r="Y67" s="115">
        <f t="shared" si="29"/>
        <v>0.184</v>
      </c>
      <c r="Z67" s="115">
        <f t="shared" si="29"/>
        <v>0.184</v>
      </c>
      <c r="AA67" s="115">
        <f t="shared" si="29"/>
        <v>0.184</v>
      </c>
      <c r="AB67" s="10"/>
      <c r="AC67" s="109" t="s">
        <v>101</v>
      </c>
    </row>
    <row r="68" spans="3:29" ht="18" customHeight="1" x14ac:dyDescent="0.4">
      <c r="C68" s="117"/>
      <c r="D68" s="117">
        <f>SUM(D64:D67)</f>
        <v>231570</v>
      </c>
      <c r="E68" s="117"/>
      <c r="F68" s="117">
        <f>SUM(F64:F67)</f>
        <v>46314</v>
      </c>
      <c r="G68" s="117"/>
      <c r="H68" s="117">
        <f t="shared" ref="H68:AA68" si="30">SUM(H64:H67)</f>
        <v>46.314</v>
      </c>
      <c r="I68" s="117">
        <f t="shared" si="30"/>
        <v>46.314</v>
      </c>
      <c r="J68" s="117">
        <f t="shared" si="30"/>
        <v>46.314</v>
      </c>
      <c r="K68" s="117">
        <f t="shared" si="30"/>
        <v>46.314</v>
      </c>
      <c r="L68" s="120">
        <f t="shared" si="30"/>
        <v>46.314</v>
      </c>
      <c r="M68" s="117">
        <f t="shared" si="30"/>
        <v>46.314</v>
      </c>
      <c r="N68" s="117">
        <f t="shared" si="30"/>
        <v>46.314</v>
      </c>
      <c r="O68" s="117">
        <f t="shared" si="30"/>
        <v>46.314</v>
      </c>
      <c r="P68" s="117">
        <f t="shared" si="30"/>
        <v>46.314</v>
      </c>
      <c r="Q68" s="117">
        <f t="shared" si="30"/>
        <v>46.314</v>
      </c>
      <c r="R68" s="117">
        <f t="shared" si="30"/>
        <v>46.314</v>
      </c>
      <c r="S68" s="117">
        <f t="shared" si="30"/>
        <v>46.314</v>
      </c>
      <c r="T68" s="117">
        <f t="shared" si="30"/>
        <v>46.314</v>
      </c>
      <c r="U68" s="117">
        <f t="shared" si="30"/>
        <v>46.314</v>
      </c>
      <c r="V68" s="117">
        <f t="shared" si="30"/>
        <v>46.314</v>
      </c>
      <c r="W68" s="117">
        <f t="shared" si="30"/>
        <v>46.314</v>
      </c>
      <c r="X68" s="117">
        <f t="shared" si="30"/>
        <v>46.314</v>
      </c>
      <c r="Y68" s="117">
        <f t="shared" si="30"/>
        <v>46.314</v>
      </c>
      <c r="Z68" s="117">
        <f t="shared" si="30"/>
        <v>46.314</v>
      </c>
      <c r="AA68" s="117">
        <f t="shared" si="30"/>
        <v>46.314</v>
      </c>
      <c r="AB68" s="82"/>
      <c r="AC68" s="117"/>
    </row>
    <row r="69" spans="3:29" ht="18" customHeight="1" x14ac:dyDescent="0.4">
      <c r="C69" s="124"/>
      <c r="D69" s="124"/>
      <c r="E69" s="124"/>
      <c r="F69" s="124"/>
      <c r="G69" s="124"/>
      <c r="H69" s="124"/>
      <c r="I69" s="124"/>
      <c r="J69" s="124"/>
      <c r="K69" s="124"/>
      <c r="L69" s="125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6"/>
      <c r="AC69" s="124"/>
    </row>
    <row r="70" spans="3:29" ht="18" customHeight="1" x14ac:dyDescent="0.4">
      <c r="C70" s="97"/>
      <c r="D70" s="97"/>
      <c r="E70" s="97"/>
      <c r="F70" s="97"/>
      <c r="G70" s="97"/>
      <c r="H70" s="97"/>
      <c r="I70" s="97"/>
      <c r="J70" s="97"/>
      <c r="K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84"/>
      <c r="AC70" s="97"/>
    </row>
  </sheetData>
  <phoneticPr fontId="2" type="noConversion"/>
  <pageMargins left="0.7" right="0.7" top="0.75" bottom="0.75" header="0.3" footer="0.3"/>
  <pageSetup paperSize="9" scale="21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9B5D-4C80-4EB4-A508-65BF68B68025}">
  <dimension ref="C3:L60"/>
  <sheetViews>
    <sheetView showGridLines="0" zoomScaleNormal="100" workbookViewId="0">
      <selection activeCell="M11" sqref="M11"/>
    </sheetView>
    <sheetView workbookViewId="1">
      <selection activeCell="D19" sqref="D19"/>
    </sheetView>
  </sheetViews>
  <sheetFormatPr defaultColWidth="9" defaultRowHeight="18" customHeight="1" x14ac:dyDescent="0.4"/>
  <cols>
    <col min="1" max="2" width="9" style="1"/>
    <col min="3" max="3" width="2.59765625" style="1" customWidth="1"/>
    <col min="4" max="6" width="9" style="1"/>
    <col min="7" max="7" width="9.69921875" style="1" bestFit="1" customWidth="1"/>
    <col min="8" max="9" width="9" style="1"/>
    <col min="10" max="10" width="9" style="6"/>
    <col min="11" max="16384" width="9" style="1"/>
  </cols>
  <sheetData>
    <row r="3" spans="3:12" ht="18" customHeight="1" x14ac:dyDescent="0.4">
      <c r="C3" s="19" t="s">
        <v>53</v>
      </c>
    </row>
    <row r="5" spans="3:12" ht="18" customHeight="1" x14ac:dyDescent="0.4">
      <c r="D5" s="63"/>
      <c r="E5" s="63"/>
      <c r="F5" s="63"/>
      <c r="G5" s="38" t="s">
        <v>52</v>
      </c>
      <c r="H5" s="38"/>
      <c r="I5" s="38" t="s">
        <v>44</v>
      </c>
      <c r="J5" s="37"/>
    </row>
    <row r="6" spans="3:12" ht="18" customHeight="1" thickBot="1" x14ac:dyDescent="0.45">
      <c r="D6" s="61" t="s">
        <v>55</v>
      </c>
      <c r="E6" s="5"/>
      <c r="F6" s="62"/>
      <c r="G6" s="39" t="s">
        <v>41</v>
      </c>
      <c r="H6" s="39" t="s">
        <v>34</v>
      </c>
      <c r="I6" s="39" t="s">
        <v>41</v>
      </c>
      <c r="J6" s="40" t="s">
        <v>34</v>
      </c>
    </row>
    <row r="7" spans="3:12" ht="18" customHeight="1" x14ac:dyDescent="0.4">
      <c r="D7" s="2" t="s">
        <v>35</v>
      </c>
      <c r="E7" s="3"/>
      <c r="F7" s="20">
        <v>30000</v>
      </c>
      <c r="G7" s="21"/>
      <c r="H7" s="21"/>
      <c r="I7" s="21"/>
      <c r="J7" s="52"/>
      <c r="K7" s="22"/>
      <c r="L7" s="22"/>
    </row>
    <row r="8" spans="3:12" ht="18" customHeight="1" x14ac:dyDescent="0.4">
      <c r="D8" s="4" t="s">
        <v>40</v>
      </c>
      <c r="E8" s="32"/>
      <c r="F8" s="30">
        <f>F9+F12+F13</f>
        <v>25400</v>
      </c>
      <c r="G8" s="31"/>
      <c r="H8" s="31"/>
      <c r="I8" s="31"/>
      <c r="J8" s="53"/>
      <c r="K8" s="22"/>
      <c r="L8" s="22"/>
    </row>
    <row r="9" spans="3:12" ht="18" customHeight="1" x14ac:dyDescent="0.4">
      <c r="D9" s="33" t="s">
        <v>36</v>
      </c>
      <c r="E9" s="34"/>
      <c r="F9" s="35">
        <v>21350</v>
      </c>
      <c r="G9" s="36"/>
      <c r="H9" s="36"/>
      <c r="I9" s="36"/>
      <c r="J9" s="54"/>
      <c r="K9" s="22"/>
      <c r="L9" s="22"/>
    </row>
    <row r="10" spans="3:12" ht="18" customHeight="1" x14ac:dyDescent="0.4">
      <c r="D10" s="8"/>
      <c r="E10" s="15" t="s">
        <v>31</v>
      </c>
      <c r="F10" s="25">
        <v>8100</v>
      </c>
      <c r="G10" s="23">
        <f>F10</f>
        <v>8100</v>
      </c>
      <c r="H10" s="23">
        <f>F10-G10</f>
        <v>0</v>
      </c>
      <c r="I10" s="23">
        <f t="shared" ref="I10:J11" si="0">G10*0.6</f>
        <v>4860</v>
      </c>
      <c r="J10" s="55">
        <f t="shared" si="0"/>
        <v>0</v>
      </c>
      <c r="K10" s="22"/>
      <c r="L10" s="22"/>
    </row>
    <row r="11" spans="3:12" ht="18" customHeight="1" x14ac:dyDescent="0.4">
      <c r="D11" s="26"/>
      <c r="E11" s="27" t="s">
        <v>37</v>
      </c>
      <c r="F11" s="28">
        <f>F9-F10</f>
        <v>13250</v>
      </c>
      <c r="G11" s="29">
        <f>F11-(F9*0.5)</f>
        <v>2575</v>
      </c>
      <c r="H11" s="29">
        <f>F11-G11</f>
        <v>10675</v>
      </c>
      <c r="I11" s="29">
        <f t="shared" si="0"/>
        <v>1545</v>
      </c>
      <c r="J11" s="56">
        <f t="shared" si="0"/>
        <v>6405</v>
      </c>
      <c r="K11" s="22"/>
      <c r="L11" s="22"/>
    </row>
    <row r="12" spans="3:12" ht="18" customHeight="1" x14ac:dyDescent="0.4">
      <c r="D12" s="2" t="s">
        <v>38</v>
      </c>
      <c r="E12" s="2"/>
      <c r="F12" s="20">
        <v>2850</v>
      </c>
      <c r="G12" s="21"/>
      <c r="H12" s="21"/>
      <c r="I12" s="21"/>
      <c r="J12" s="52"/>
      <c r="K12" s="22"/>
      <c r="L12" s="22"/>
    </row>
    <row r="13" spans="3:12" ht="18" customHeight="1" x14ac:dyDescent="0.4">
      <c r="D13" s="4" t="s">
        <v>39</v>
      </c>
      <c r="E13" s="4"/>
      <c r="F13" s="30">
        <v>1200</v>
      </c>
      <c r="G13" s="31"/>
      <c r="H13" s="31"/>
      <c r="I13" s="31"/>
      <c r="J13" s="53"/>
      <c r="K13" s="22"/>
      <c r="L13" s="22"/>
    </row>
    <row r="16" spans="3:12" ht="18" customHeight="1" x14ac:dyDescent="0.4">
      <c r="C16" s="19" t="s">
        <v>54</v>
      </c>
    </row>
    <row r="18" spans="3:11" ht="18" customHeight="1" thickBot="1" x14ac:dyDescent="0.45">
      <c r="D18" s="43" t="s">
        <v>33</v>
      </c>
      <c r="E18" s="5"/>
      <c r="F18" s="5" t="s">
        <v>31</v>
      </c>
      <c r="G18" s="5" t="s">
        <v>30</v>
      </c>
      <c r="H18" s="5" t="s">
        <v>47</v>
      </c>
    </row>
    <row r="19" spans="3:11" ht="18" customHeight="1" x14ac:dyDescent="0.4">
      <c r="D19" s="2" t="s">
        <v>42</v>
      </c>
      <c r="E19" s="2"/>
      <c r="F19" s="3">
        <v>11025</v>
      </c>
      <c r="G19" s="3">
        <v>2803</v>
      </c>
      <c r="H19" s="3">
        <f t="shared" ref="H19:H21" si="1">F19+G19</f>
        <v>13828</v>
      </c>
      <c r="J19" s="72">
        <f>H19*48%</f>
        <v>6637.44</v>
      </c>
    </row>
    <row r="20" spans="3:11" ht="18" customHeight="1" x14ac:dyDescent="0.4">
      <c r="D20" s="8" t="s">
        <v>43</v>
      </c>
      <c r="E20" s="8" t="s">
        <v>45</v>
      </c>
      <c r="F20" s="7">
        <v>0</v>
      </c>
      <c r="G20" s="7">
        <v>5811</v>
      </c>
      <c r="H20" s="7">
        <f t="shared" si="1"/>
        <v>5811</v>
      </c>
    </row>
    <row r="21" spans="3:11" ht="18" customHeight="1" x14ac:dyDescent="0.4">
      <c r="D21" s="8"/>
      <c r="E21" s="8" t="s">
        <v>46</v>
      </c>
      <c r="F21" s="7">
        <v>0</v>
      </c>
      <c r="G21" s="7">
        <v>5811</v>
      </c>
      <c r="H21" s="7">
        <f t="shared" si="1"/>
        <v>5811</v>
      </c>
    </row>
    <row r="22" spans="3:11" ht="18" customHeight="1" x14ac:dyDescent="0.4">
      <c r="D22" s="14" t="s">
        <v>47</v>
      </c>
      <c r="E22" s="14"/>
      <c r="F22" s="42">
        <f t="shared" ref="F22:G22" si="2">F19+F20+F21</f>
        <v>11025</v>
      </c>
      <c r="G22" s="42">
        <f t="shared" si="2"/>
        <v>14425</v>
      </c>
      <c r="H22" s="42">
        <f>F22+G22</f>
        <v>25450</v>
      </c>
    </row>
    <row r="26" spans="3:11" ht="18" customHeight="1" x14ac:dyDescent="0.4">
      <c r="C26" s="19" t="s">
        <v>56</v>
      </c>
    </row>
    <row r="28" spans="3:11" ht="18" customHeight="1" thickBot="1" x14ac:dyDescent="0.45">
      <c r="D28" s="43" t="s">
        <v>33</v>
      </c>
      <c r="E28" s="5" t="s">
        <v>48</v>
      </c>
      <c r="F28" s="5"/>
      <c r="G28" s="5"/>
      <c r="H28" s="5" t="s">
        <v>57</v>
      </c>
      <c r="I28" s="5" t="s">
        <v>58</v>
      </c>
      <c r="J28" s="5" t="s">
        <v>50</v>
      </c>
    </row>
    <row r="29" spans="3:11" ht="18" customHeight="1" x14ac:dyDescent="0.4">
      <c r="D29" s="45" t="s">
        <v>30</v>
      </c>
      <c r="E29" s="45" t="s">
        <v>51</v>
      </c>
      <c r="F29" s="45"/>
      <c r="G29" s="45"/>
      <c r="H29" s="46">
        <f>G22</f>
        <v>14425</v>
      </c>
      <c r="I29" s="45"/>
      <c r="J29" s="57"/>
    </row>
    <row r="30" spans="3:11" ht="18" customHeight="1" x14ac:dyDescent="0.4">
      <c r="D30" s="8"/>
      <c r="E30" s="8" t="s">
        <v>49</v>
      </c>
      <c r="F30" s="8"/>
      <c r="G30" s="8"/>
      <c r="H30" s="7">
        <v>4200</v>
      </c>
      <c r="I30" s="44">
        <f t="shared" ref="I30:I34" si="3">H30/$H$35</f>
        <v>0.23995886419470946</v>
      </c>
      <c r="J30" s="58"/>
      <c r="K30" s="1" t="s">
        <v>154</v>
      </c>
    </row>
    <row r="31" spans="3:11" ht="18" customHeight="1" x14ac:dyDescent="0.4">
      <c r="D31" s="8"/>
      <c r="E31" s="8" t="s">
        <v>155</v>
      </c>
      <c r="F31" s="8"/>
      <c r="G31" s="8"/>
      <c r="H31" s="7">
        <v>80</v>
      </c>
      <c r="I31" s="44">
        <f t="shared" si="3"/>
        <v>4.5706450322801802E-3</v>
      </c>
      <c r="J31" s="58"/>
    </row>
    <row r="32" spans="3:11" ht="18" customHeight="1" x14ac:dyDescent="0.4">
      <c r="D32" s="8"/>
      <c r="E32" s="8" t="s">
        <v>156</v>
      </c>
      <c r="F32" s="8"/>
      <c r="G32" s="8"/>
      <c r="H32" s="7">
        <v>1227</v>
      </c>
      <c r="I32" s="44">
        <f t="shared" si="3"/>
        <v>7.0102268182597266E-2</v>
      </c>
      <c r="J32" s="58"/>
    </row>
    <row r="33" spans="3:11" ht="18" customHeight="1" x14ac:dyDescent="0.4">
      <c r="D33" s="8"/>
      <c r="E33" s="8" t="s">
        <v>157</v>
      </c>
      <c r="F33" s="8"/>
      <c r="G33" s="8"/>
      <c r="H33" s="7">
        <v>2300</v>
      </c>
      <c r="I33" s="44">
        <f t="shared" si="3"/>
        <v>0.13140604467805519</v>
      </c>
      <c r="J33" s="58"/>
    </row>
    <row r="34" spans="3:11" ht="18" customHeight="1" x14ac:dyDescent="0.4">
      <c r="D34" s="8"/>
      <c r="E34" s="8" t="s">
        <v>158</v>
      </c>
      <c r="F34" s="8"/>
      <c r="G34" s="8"/>
      <c r="H34" s="7">
        <v>9696</v>
      </c>
      <c r="I34" s="44">
        <f t="shared" si="3"/>
        <v>0.55396217791235791</v>
      </c>
      <c r="J34" s="58" t="s">
        <v>34</v>
      </c>
      <c r="K34" s="1" t="s">
        <v>102</v>
      </c>
    </row>
    <row r="35" spans="3:11" ht="18" customHeight="1" x14ac:dyDescent="0.4">
      <c r="D35" s="15"/>
      <c r="E35" s="11" t="s">
        <v>47</v>
      </c>
      <c r="F35" s="11"/>
      <c r="G35" s="11"/>
      <c r="H35" s="24">
        <f>SUM(H30:H34)</f>
        <v>17503</v>
      </c>
      <c r="I35" s="48">
        <f>SUM(I30:I34)</f>
        <v>1</v>
      </c>
      <c r="J35" s="17"/>
    </row>
    <row r="36" spans="3:11" ht="18" customHeight="1" x14ac:dyDescent="0.4">
      <c r="D36" s="49"/>
      <c r="E36" s="49"/>
      <c r="F36" s="49"/>
      <c r="G36" s="49"/>
      <c r="H36" s="49"/>
      <c r="I36" s="49"/>
      <c r="J36" s="59"/>
    </row>
    <row r="37" spans="3:11" ht="18" customHeight="1" x14ac:dyDescent="0.4">
      <c r="D37" s="50" t="s">
        <v>31</v>
      </c>
      <c r="E37" s="50" t="s">
        <v>51</v>
      </c>
      <c r="F37" s="50"/>
      <c r="G37" s="50"/>
      <c r="H37" s="51">
        <f>F22</f>
        <v>11025</v>
      </c>
      <c r="I37" s="50"/>
      <c r="J37" s="60"/>
    </row>
    <row r="38" spans="3:11" ht="18" customHeight="1" x14ac:dyDescent="0.4">
      <c r="D38" s="8"/>
      <c r="E38" s="8" t="s">
        <v>157</v>
      </c>
      <c r="F38" s="8"/>
      <c r="G38" s="8"/>
      <c r="H38" s="7">
        <v>11280</v>
      </c>
      <c r="I38" s="44">
        <f t="shared" ref="I38:I40" si="4">H38/$H$41</f>
        <v>0.87577639751552794</v>
      </c>
      <c r="J38" s="58"/>
    </row>
    <row r="39" spans="3:11" ht="18" customHeight="1" x14ac:dyDescent="0.4">
      <c r="D39" s="8"/>
      <c r="E39" s="8" t="s">
        <v>156</v>
      </c>
      <c r="F39" s="8"/>
      <c r="G39" s="8"/>
      <c r="H39" s="7">
        <v>900</v>
      </c>
      <c r="I39" s="44">
        <f t="shared" si="4"/>
        <v>6.9875776397515521E-2</v>
      </c>
      <c r="J39" s="58"/>
    </row>
    <row r="40" spans="3:11" ht="18" customHeight="1" x14ac:dyDescent="0.4">
      <c r="D40" s="8"/>
      <c r="E40" s="8" t="s">
        <v>159</v>
      </c>
      <c r="F40" s="8"/>
      <c r="G40" s="8"/>
      <c r="H40" s="7">
        <v>700</v>
      </c>
      <c r="I40" s="44">
        <f t="shared" si="4"/>
        <v>5.434782608695652E-2</v>
      </c>
      <c r="J40" s="58" t="s">
        <v>34</v>
      </c>
      <c r="K40" s="1" t="s">
        <v>102</v>
      </c>
    </row>
    <row r="41" spans="3:11" ht="18" customHeight="1" x14ac:dyDescent="0.4">
      <c r="D41" s="41"/>
      <c r="E41" s="14" t="s">
        <v>47</v>
      </c>
      <c r="F41" s="14"/>
      <c r="G41" s="14"/>
      <c r="H41" s="42">
        <f>SUM(H38:H40)</f>
        <v>12880</v>
      </c>
      <c r="I41" s="47">
        <f>SUM(I38:I40)</f>
        <v>1</v>
      </c>
      <c r="J41" s="18"/>
    </row>
    <row r="45" spans="3:11" ht="18" customHeight="1" x14ac:dyDescent="0.4">
      <c r="C45" s="1" t="s">
        <v>62</v>
      </c>
    </row>
    <row r="47" spans="3:11" ht="18" customHeight="1" x14ac:dyDescent="0.4">
      <c r="D47" s="6" t="s">
        <v>63</v>
      </c>
      <c r="E47" s="6" t="s">
        <v>68</v>
      </c>
      <c r="F47" s="6" t="s">
        <v>71</v>
      </c>
      <c r="G47" s="6" t="s">
        <v>73</v>
      </c>
    </row>
    <row r="48" spans="3:11" ht="18" customHeight="1" x14ac:dyDescent="0.4">
      <c r="D48" s="1" t="s">
        <v>64</v>
      </c>
      <c r="E48" s="1">
        <v>68.8</v>
      </c>
    </row>
    <row r="49" spans="4:7" ht="18" customHeight="1" x14ac:dyDescent="0.4">
      <c r="D49" s="1" t="s">
        <v>66</v>
      </c>
      <c r="E49" s="1">
        <v>101.9</v>
      </c>
      <c r="F49" s="1">
        <v>20</v>
      </c>
      <c r="G49" s="64">
        <f>E49/F49</f>
        <v>5.0950000000000006</v>
      </c>
    </row>
    <row r="50" spans="4:7" ht="18" customHeight="1" x14ac:dyDescent="0.4">
      <c r="D50" s="1" t="s">
        <v>74</v>
      </c>
      <c r="E50" s="1">
        <v>63.5</v>
      </c>
      <c r="F50" s="1">
        <v>10</v>
      </c>
      <c r="G50" s="64">
        <f>E50/F50</f>
        <v>6.35</v>
      </c>
    </row>
    <row r="51" spans="4:7" ht="18" customHeight="1" x14ac:dyDescent="0.4">
      <c r="D51" s="1" t="s">
        <v>67</v>
      </c>
      <c r="E51" s="1">
        <v>37.299999999999997</v>
      </c>
      <c r="G51" s="64"/>
    </row>
    <row r="52" spans="4:7" ht="18" customHeight="1" x14ac:dyDescent="0.4">
      <c r="D52" s="1" t="s">
        <v>47</v>
      </c>
      <c r="E52" s="1">
        <f>SUM(E48:E51)</f>
        <v>271.5</v>
      </c>
      <c r="G52" s="64"/>
    </row>
    <row r="53" spans="4:7" ht="18" customHeight="1" x14ac:dyDescent="0.4">
      <c r="G53" s="64"/>
    </row>
    <row r="54" spans="4:7" ht="18" customHeight="1" x14ac:dyDescent="0.4">
      <c r="D54" s="1" t="s">
        <v>69</v>
      </c>
      <c r="E54" s="1">
        <v>7</v>
      </c>
      <c r="F54" s="1">
        <v>5</v>
      </c>
      <c r="G54" s="64">
        <f>E54/F54</f>
        <v>1.4</v>
      </c>
    </row>
    <row r="57" spans="4:7" ht="18" customHeight="1" x14ac:dyDescent="0.4">
      <c r="E57" s="1" t="s">
        <v>104</v>
      </c>
      <c r="F57" s="1" t="s">
        <v>105</v>
      </c>
    </row>
    <row r="58" spans="4:7" ht="18" customHeight="1" x14ac:dyDescent="0.4">
      <c r="D58" s="1" t="s">
        <v>103</v>
      </c>
      <c r="E58" s="22">
        <v>48</v>
      </c>
      <c r="F58" s="22">
        <v>600234</v>
      </c>
      <c r="G58" s="22">
        <f>F58/E58</f>
        <v>12504.875</v>
      </c>
    </row>
    <row r="59" spans="4:7" ht="18" customHeight="1" x14ac:dyDescent="0.4">
      <c r="D59" s="1" t="s">
        <v>106</v>
      </c>
      <c r="E59" s="22">
        <v>1</v>
      </c>
      <c r="F59" s="22">
        <v>11025</v>
      </c>
      <c r="G59" s="22"/>
    </row>
    <row r="60" spans="4:7" ht="18" customHeight="1" x14ac:dyDescent="0.4">
      <c r="E60" s="22"/>
      <c r="F60" s="68">
        <f>F59/F58</f>
        <v>1.8367836543747938E-2</v>
      </c>
      <c r="G60" s="22"/>
    </row>
  </sheetData>
  <phoneticPr fontId="2" type="noConversion"/>
  <pageMargins left="0.7" right="0.7" top="0.75" bottom="0.75" header="0.3" footer="0.3"/>
  <pageSetup paperSize="9" scale="7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JV NPV (제시)</vt:lpstr>
      <vt:lpstr>GLVN NPV (제시)</vt:lpstr>
      <vt:lpstr>주요 지표</vt:lpstr>
      <vt:lpstr>'GLVN NPV (제시)'!Print_Area</vt:lpstr>
      <vt:lpstr>'JV NPV (제시)'!Print_Area</vt:lpstr>
      <vt:lpstr>'주요 지표'!Print_Area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glovis-laptop</dc:creator>
  <cp:lastModifiedBy>Seoho Kim</cp:lastModifiedBy>
  <dcterms:created xsi:type="dcterms:W3CDTF">2021-11-08T04:21:58Z</dcterms:created>
  <dcterms:modified xsi:type="dcterms:W3CDTF">2021-12-22T19:08:23Z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2021-11-15T00:09:21Z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882b9f40-daf5-49af-ab6d-60ca7e76f7ff</vt:lpwstr>
  </property>
  <property fmtid="{D5CDD505-2E9C-101B-9397-08002B2CF9AE}" pid="8" name="MSIP_Label_33fda7ce-6156-4e79-840a-31239bced759_ContentBits">
    <vt:lpwstr>0</vt:lpwstr>
  </property>
</Properties>
</file>