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chae23\QuantifyPro\workplace\부동산 강의\[강의자료]사업-성패를-예측하는-타당성-분석-실무와-모델링-online---실습용-엑셀---진도순\"/>
    </mc:Choice>
  </mc:AlternateContent>
  <bookViews>
    <workbookView xWindow="12150" yWindow="3915" windowWidth="13740" windowHeight="10005"/>
    <workbookView xWindow="12510" yWindow="4275" windowWidth="13740" windowHeight="10005"/>
  </bookViews>
  <sheets>
    <sheet name="Modeling" sheetId="1" r:id="rId1"/>
  </sheets>
  <definedNames>
    <definedName name="_xlnm.Print_Area" localSheetId="0">Modeling!$A$1:$L$232</definedName>
  </definedNames>
  <calcPr calcId="162913" iterate="1" iterateCount="300" iterateDelta="9.9999999999999995E-7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2" i="1" l="1"/>
  <c r="C64" i="1" l="1"/>
  <c r="C63" i="1"/>
  <c r="C62" i="1"/>
  <c r="I249" i="1" l="1"/>
  <c r="H30" i="1"/>
  <c r="H29" i="1" s="1"/>
  <c r="H237" i="1"/>
  <c r="I5" i="1"/>
  <c r="I242" i="1" s="1"/>
  <c r="L6" i="1"/>
  <c r="K33" i="1"/>
  <c r="J33" i="1"/>
  <c r="I33" i="1"/>
  <c r="H33" i="1"/>
  <c r="J5" i="1" l="1"/>
  <c r="H35" i="1"/>
  <c r="I237" i="1"/>
  <c r="J242" i="1" l="1"/>
  <c r="K5" i="1"/>
  <c r="J237" i="1"/>
  <c r="K242" i="1" l="1"/>
  <c r="K237" i="1"/>
  <c r="L5" i="1"/>
  <c r="L242" i="1" l="1"/>
  <c r="L237" i="1"/>
  <c r="L7" i="1"/>
  <c r="L178" i="1" s="1"/>
  <c r="L28" i="1"/>
  <c r="C283" i="1"/>
  <c r="L283" i="1"/>
  <c r="L243" i="1" s="1"/>
  <c r="C275" i="1"/>
  <c r="C267" i="1"/>
  <c r="C251" i="1"/>
  <c r="C259" i="1"/>
  <c r="L249" i="1"/>
  <c r="K249" i="1"/>
  <c r="L257" i="1" s="1"/>
  <c r="J249" i="1"/>
  <c r="K257" i="1" s="1"/>
  <c r="L265" i="1" s="1"/>
  <c r="L190" i="1"/>
  <c r="L185" i="1"/>
  <c r="K185" i="1"/>
  <c r="J185" i="1"/>
  <c r="I185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76" i="1"/>
  <c r="K176" i="1"/>
  <c r="L220" i="1" s="1"/>
  <c r="L219" i="1" s="1"/>
  <c r="J176" i="1"/>
  <c r="K220" i="1" s="1"/>
  <c r="K219" i="1" s="1"/>
  <c r="I176" i="1"/>
  <c r="J220" i="1" s="1"/>
  <c r="J219" i="1" s="1"/>
  <c r="L133" i="1"/>
  <c r="L128" i="1"/>
  <c r="K128" i="1"/>
  <c r="J128" i="1"/>
  <c r="I128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19" i="1"/>
  <c r="K119" i="1"/>
  <c r="J119" i="1"/>
  <c r="I119" i="1"/>
  <c r="L76" i="1"/>
  <c r="L71" i="1"/>
  <c r="K71" i="1"/>
  <c r="J71" i="1"/>
  <c r="I71" i="1"/>
  <c r="L69" i="1"/>
  <c r="K69" i="1"/>
  <c r="J69" i="1"/>
  <c r="I69" i="1"/>
  <c r="L68" i="1"/>
  <c r="K68" i="1"/>
  <c r="J68" i="1"/>
  <c r="I68" i="1"/>
  <c r="L67" i="1"/>
  <c r="K67" i="1"/>
  <c r="J67" i="1"/>
  <c r="I67" i="1"/>
  <c r="L62" i="1"/>
  <c r="K62" i="1"/>
  <c r="J62" i="1"/>
  <c r="I62" i="1"/>
  <c r="I99" i="1"/>
  <c r="L26" i="1"/>
  <c r="K26" i="1"/>
  <c r="J26" i="1"/>
  <c r="I26" i="1"/>
  <c r="L13" i="1"/>
  <c r="K13" i="1"/>
  <c r="J13" i="1"/>
  <c r="I13" i="1"/>
  <c r="L227" i="1"/>
  <c r="K227" i="1"/>
  <c r="J227" i="1"/>
  <c r="I227" i="1"/>
  <c r="H226" i="1"/>
  <c r="H228" i="1" s="1"/>
  <c r="H208" i="1"/>
  <c r="H210" i="1" s="1"/>
  <c r="I209" i="1"/>
  <c r="J209" i="1"/>
  <c r="K209" i="1"/>
  <c r="L209" i="1"/>
  <c r="I162" i="1"/>
  <c r="J162" i="1"/>
  <c r="K162" i="1"/>
  <c r="L162" i="1"/>
  <c r="H161" i="1"/>
  <c r="H163" i="1" s="1"/>
  <c r="L149" i="1"/>
  <c r="K149" i="1"/>
  <c r="J149" i="1"/>
  <c r="I149" i="1"/>
  <c r="H148" i="1"/>
  <c r="H150" i="1" s="1"/>
  <c r="H98" i="1"/>
  <c r="L92" i="1"/>
  <c r="K92" i="1"/>
  <c r="J92" i="1"/>
  <c r="I92" i="1"/>
  <c r="L64" i="1" l="1"/>
  <c r="L121" i="1"/>
  <c r="L239" i="1"/>
  <c r="K15" i="1"/>
  <c r="K217" i="1" s="1"/>
  <c r="L34" i="1"/>
  <c r="I15" i="1"/>
  <c r="I217" i="1" s="1"/>
  <c r="I184" i="1"/>
  <c r="K184" i="1"/>
  <c r="J184" i="1"/>
  <c r="L184" i="1"/>
  <c r="I70" i="1"/>
  <c r="K70" i="1"/>
  <c r="I127" i="1"/>
  <c r="K127" i="1"/>
  <c r="J70" i="1"/>
  <c r="L70" i="1"/>
  <c r="J127" i="1"/>
  <c r="L127" i="1"/>
  <c r="J15" i="1"/>
  <c r="J217" i="1" s="1"/>
  <c r="L15" i="1"/>
  <c r="L217" i="1" s="1"/>
  <c r="L99" i="1"/>
  <c r="K99" i="1"/>
  <c r="J99" i="1"/>
  <c r="K72" i="1" l="1"/>
  <c r="K129" i="1"/>
  <c r="I72" i="1"/>
  <c r="I186" i="1"/>
  <c r="L33" i="1"/>
  <c r="I90" i="1"/>
  <c r="I91" i="1" s="1"/>
  <c r="J186" i="1"/>
  <c r="I129" i="1"/>
  <c r="L186" i="1"/>
  <c r="K90" i="1"/>
  <c r="K91" i="1" s="1"/>
  <c r="K186" i="1"/>
  <c r="L129" i="1"/>
  <c r="L72" i="1"/>
  <c r="L90" i="1"/>
  <c r="J129" i="1"/>
  <c r="J72" i="1"/>
  <c r="J90" i="1"/>
  <c r="H100" i="1"/>
  <c r="L218" i="1" l="1"/>
  <c r="L216" i="1" s="1"/>
  <c r="K218" i="1"/>
  <c r="K216" i="1" s="1"/>
  <c r="K223" i="1" s="1"/>
  <c r="K226" i="1" s="1"/>
  <c r="K228" i="1" s="1"/>
  <c r="I218" i="1"/>
  <c r="I216" i="1" s="1"/>
  <c r="J218" i="1"/>
  <c r="J216" i="1" s="1"/>
  <c r="I89" i="1"/>
  <c r="K89" i="1"/>
  <c r="J91" i="1"/>
  <c r="L91" i="1"/>
  <c r="L223" i="1" l="1"/>
  <c r="L226" i="1" s="1"/>
  <c r="L228" i="1" s="1"/>
  <c r="J223" i="1"/>
  <c r="J226" i="1" s="1"/>
  <c r="J228" i="1" s="1"/>
  <c r="L89" i="1"/>
  <c r="J89" i="1"/>
  <c r="K95" i="1"/>
  <c r="K248" i="1" s="1"/>
  <c r="I95" i="1"/>
  <c r="I248" i="1" s="1"/>
  <c r="K256" i="1" l="1"/>
  <c r="K98" i="1"/>
  <c r="K100" i="1" s="1"/>
  <c r="K142" i="1"/>
  <c r="J95" i="1"/>
  <c r="J248" i="1" s="1"/>
  <c r="J256" i="1" s="1"/>
  <c r="L95" i="1"/>
  <c r="L248" i="1" s="1"/>
  <c r="I98" i="1"/>
  <c r="I100" i="1" s="1"/>
  <c r="I142" i="1"/>
  <c r="K258" i="1" l="1"/>
  <c r="K264" i="1"/>
  <c r="L98" i="1"/>
  <c r="L100" i="1" s="1"/>
  <c r="L142" i="1"/>
  <c r="J98" i="1"/>
  <c r="J100" i="1" s="1"/>
  <c r="J142" i="1"/>
  <c r="H103" i="1" l="1"/>
  <c r="K250" i="1" l="1"/>
  <c r="J250" i="1"/>
  <c r="L120" i="1" l="1"/>
  <c r="L177" i="1"/>
  <c r="L63" i="1"/>
  <c r="H62" i="1" l="1"/>
  <c r="H119" i="1"/>
  <c r="H176" i="1"/>
  <c r="I220" i="1" s="1"/>
  <c r="I219" i="1" s="1"/>
  <c r="I223" i="1" s="1"/>
  <c r="I226" i="1" s="1"/>
  <c r="I228" i="1" s="1"/>
  <c r="G230" i="1" s="1"/>
  <c r="K231" i="1" l="1"/>
  <c r="I250" i="1"/>
  <c r="J257" i="1"/>
  <c r="J258" i="1" s="1"/>
  <c r="K265" i="1" l="1"/>
  <c r="K266" i="1" s="1"/>
  <c r="L273" i="1" l="1"/>
  <c r="L250" i="1" l="1"/>
  <c r="H251" i="1" s="1"/>
  <c r="L256" i="1"/>
  <c r="H243" i="1" l="1"/>
  <c r="H8" i="1" s="1"/>
  <c r="H238" i="1"/>
  <c r="H6" i="1" s="1"/>
  <c r="L258" i="1"/>
  <c r="I259" i="1" s="1"/>
  <c r="L264" i="1"/>
  <c r="I238" i="1" l="1"/>
  <c r="I6" i="1" s="1"/>
  <c r="I243" i="1"/>
  <c r="I8" i="1" s="1"/>
  <c r="H63" i="1"/>
  <c r="I16" i="1"/>
  <c r="H120" i="1"/>
  <c r="H177" i="1"/>
  <c r="H7" i="1"/>
  <c r="L272" i="1"/>
  <c r="L274" i="1" s="1"/>
  <c r="K275" i="1" s="1"/>
  <c r="L266" i="1"/>
  <c r="J267" i="1" s="1"/>
  <c r="J243" i="1" l="1"/>
  <c r="J8" i="1" s="1"/>
  <c r="J238" i="1"/>
  <c r="J6" i="1" s="1"/>
  <c r="K243" i="1"/>
  <c r="K8" i="1" s="1"/>
  <c r="K238" i="1"/>
  <c r="K6" i="1" s="1"/>
  <c r="L16" i="1" s="1"/>
  <c r="H178" i="1"/>
  <c r="I203" i="1" s="1"/>
  <c r="I202" i="1" s="1"/>
  <c r="H239" i="1"/>
  <c r="H64" i="1"/>
  <c r="H121" i="1"/>
  <c r="I17" i="1"/>
  <c r="I187" i="1"/>
  <c r="I130" i="1"/>
  <c r="I73" i="1"/>
  <c r="I63" i="1"/>
  <c r="I144" i="1"/>
  <c r="I31" i="1"/>
  <c r="I120" i="1"/>
  <c r="I7" i="1"/>
  <c r="I177" i="1"/>
  <c r="I156" i="1"/>
  <c r="J16" i="1"/>
  <c r="I18" i="1" l="1"/>
  <c r="I21" i="1" s="1"/>
  <c r="I74" i="1"/>
  <c r="I188" i="1"/>
  <c r="I131" i="1"/>
  <c r="I157" i="1"/>
  <c r="I158" i="1" s="1"/>
  <c r="I161" i="1" s="1"/>
  <c r="I163" i="1" s="1"/>
  <c r="I143" i="1"/>
  <c r="I145" i="1" s="1"/>
  <c r="L144" i="1"/>
  <c r="K177" i="1"/>
  <c r="K120" i="1"/>
  <c r="L31" i="1"/>
  <c r="K156" i="1"/>
  <c r="L156" i="1"/>
  <c r="K7" i="1"/>
  <c r="K63" i="1"/>
  <c r="K31" i="1"/>
  <c r="K144" i="1"/>
  <c r="J7" i="1"/>
  <c r="J156" i="1"/>
  <c r="J120" i="1"/>
  <c r="K16" i="1"/>
  <c r="J177" i="1"/>
  <c r="J144" i="1"/>
  <c r="J63" i="1"/>
  <c r="J31" i="1"/>
  <c r="I121" i="1"/>
  <c r="I239" i="1"/>
  <c r="I178" i="1"/>
  <c r="J203" i="1" s="1"/>
  <c r="J202" i="1" s="1"/>
  <c r="I64" i="1"/>
  <c r="J73" i="1"/>
  <c r="J130" i="1"/>
  <c r="J17" i="1"/>
  <c r="J187" i="1"/>
  <c r="I75" i="1" l="1"/>
  <c r="I132" i="1"/>
  <c r="I189" i="1"/>
  <c r="J18" i="1"/>
  <c r="J75" i="1" s="1"/>
  <c r="J143" i="1"/>
  <c r="J145" i="1" s="1"/>
  <c r="J157" i="1"/>
  <c r="J158" i="1" s="1"/>
  <c r="J161" i="1" s="1"/>
  <c r="J163" i="1" s="1"/>
  <c r="J121" i="1"/>
  <c r="J178" i="1"/>
  <c r="K203" i="1" s="1"/>
  <c r="K202" i="1" s="1"/>
  <c r="J64" i="1"/>
  <c r="J239" i="1"/>
  <c r="K187" i="1"/>
  <c r="K130" i="1"/>
  <c r="K73" i="1"/>
  <c r="K17" i="1"/>
  <c r="I135" i="1"/>
  <c r="I25" i="1"/>
  <c r="I192" i="1"/>
  <c r="I201" i="1" s="1"/>
  <c r="I205" i="1" s="1"/>
  <c r="I208" i="1" s="1"/>
  <c r="I210" i="1" s="1"/>
  <c r="I78" i="1"/>
  <c r="N32" i="1"/>
  <c r="L130" i="1"/>
  <c r="L73" i="1"/>
  <c r="L187" i="1"/>
  <c r="L17" i="1"/>
  <c r="J131" i="1"/>
  <c r="J188" i="1"/>
  <c r="J74" i="1"/>
  <c r="K64" i="1"/>
  <c r="K239" i="1"/>
  <c r="K178" i="1"/>
  <c r="L203" i="1" s="1"/>
  <c r="L202" i="1" s="1"/>
  <c r="K121" i="1"/>
  <c r="I32" i="1"/>
  <c r="I148" i="1"/>
  <c r="I150" i="1" s="1"/>
  <c r="J21" i="1" l="1"/>
  <c r="J25" i="1" s="1"/>
  <c r="J132" i="1"/>
  <c r="J189" i="1"/>
  <c r="L18" i="1"/>
  <c r="L132" i="1" s="1"/>
  <c r="K188" i="1"/>
  <c r="K131" i="1"/>
  <c r="K74" i="1"/>
  <c r="L157" i="1"/>
  <c r="L158" i="1" s="1"/>
  <c r="L161" i="1" s="1"/>
  <c r="L163" i="1" s="1"/>
  <c r="L143" i="1"/>
  <c r="L145" i="1" s="1"/>
  <c r="K18" i="1"/>
  <c r="L74" i="1"/>
  <c r="L131" i="1"/>
  <c r="L188" i="1"/>
  <c r="J148" i="1"/>
  <c r="J150" i="1" s="1"/>
  <c r="J32" i="1"/>
  <c r="I24" i="1"/>
  <c r="I29" i="1"/>
  <c r="K157" i="1"/>
  <c r="K158" i="1" s="1"/>
  <c r="K161" i="1" s="1"/>
  <c r="K163" i="1" s="1"/>
  <c r="K143" i="1"/>
  <c r="K145" i="1" s="1"/>
  <c r="L21" i="1" l="1"/>
  <c r="L135" i="1" s="1"/>
  <c r="J135" i="1"/>
  <c r="J78" i="1"/>
  <c r="J192" i="1"/>
  <c r="J201" i="1" s="1"/>
  <c r="J205" i="1" s="1"/>
  <c r="J208" i="1" s="1"/>
  <c r="J210" i="1" s="1"/>
  <c r="L75" i="1"/>
  <c r="L189" i="1"/>
  <c r="H165" i="1"/>
  <c r="K148" i="1"/>
  <c r="K150" i="1" s="1"/>
  <c r="K32" i="1"/>
  <c r="J29" i="1"/>
  <c r="L32" i="1"/>
  <c r="L148" i="1"/>
  <c r="L150" i="1" s="1"/>
  <c r="K189" i="1"/>
  <c r="K75" i="1"/>
  <c r="K21" i="1"/>
  <c r="K132" i="1"/>
  <c r="I35" i="1"/>
  <c r="J24" i="1"/>
  <c r="L78" i="1" l="1"/>
  <c r="L25" i="1"/>
  <c r="L24" i="1" s="1"/>
  <c r="L192" i="1"/>
  <c r="L201" i="1" s="1"/>
  <c r="L205" i="1" s="1"/>
  <c r="L208" i="1" s="1"/>
  <c r="L210" i="1" s="1"/>
  <c r="H152" i="1"/>
  <c r="I167" i="1" s="1"/>
  <c r="L29" i="1"/>
  <c r="J35" i="1"/>
  <c r="K25" i="1"/>
  <c r="K192" i="1"/>
  <c r="K201" i="1" s="1"/>
  <c r="K205" i="1" s="1"/>
  <c r="K208" i="1" s="1"/>
  <c r="K210" i="1" s="1"/>
  <c r="K135" i="1"/>
  <c r="K78" i="1"/>
  <c r="K29" i="1"/>
  <c r="K212" i="1" l="1"/>
  <c r="K213" i="1" s="1"/>
  <c r="K24" i="1"/>
  <c r="L35" i="1"/>
  <c r="K35" i="1" l="1"/>
</calcChain>
</file>

<file path=xl/comments1.xml><?xml version="1.0" encoding="utf-8"?>
<comments xmlns="http://schemas.openxmlformats.org/spreadsheetml/2006/main">
  <authors>
    <author>다.채동우</author>
  </authors>
  <commentList>
    <comment ref="H8" authorId="0" shapeId="0">
      <text>
        <r>
          <rPr>
            <b/>
            <sz val="8"/>
            <color indexed="81"/>
            <rFont val="돋움"/>
            <family val="3"/>
            <charset val="129"/>
          </rPr>
          <t>다</t>
        </r>
        <r>
          <rPr>
            <b/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돋움"/>
            <family val="3"/>
            <charset val="129"/>
          </rPr>
          <t>채동우</t>
        </r>
        <r>
          <rPr>
            <b/>
            <sz val="8"/>
            <color indexed="81"/>
            <rFont val="Tahoma"/>
            <family val="2"/>
          </rPr>
          <t>:</t>
        </r>
        <r>
          <rPr>
            <sz val="8"/>
            <color indexed="81"/>
            <rFont val="Tahoma"/>
            <family val="2"/>
          </rPr>
          <t xml:space="preserve">
Firm Value</t>
        </r>
      </text>
    </comment>
    <comment ref="L19" authorId="0" shapeId="0">
      <text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채동우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세후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유형자산처분이익</t>
        </r>
      </text>
    </comment>
    <comment ref="L28" authorId="0" shapeId="0">
      <text>
        <r>
          <rPr>
            <b/>
            <sz val="8"/>
            <color indexed="81"/>
            <rFont val="돋움"/>
            <family val="3"/>
            <charset val="129"/>
          </rPr>
          <t>다</t>
        </r>
        <r>
          <rPr>
            <b/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돋움"/>
            <family val="3"/>
            <charset val="129"/>
          </rPr>
          <t>채동우</t>
        </r>
        <r>
          <rPr>
            <b/>
            <sz val="8"/>
            <color indexed="81"/>
            <rFont val="Tahoma"/>
            <family val="2"/>
          </rPr>
          <t>:</t>
        </r>
        <r>
          <rPr>
            <sz val="8"/>
            <color indexed="81"/>
            <rFont val="Tahoma"/>
            <family val="2"/>
          </rPr>
          <t xml:space="preserve">
NI</t>
        </r>
        <r>
          <rPr>
            <sz val="8"/>
            <color indexed="81"/>
            <rFont val="돋움"/>
            <family val="3"/>
            <charset val="129"/>
          </rPr>
          <t>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반영된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유형자산처분이익은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영업활동을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통해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얻은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이익이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아니므로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제외해야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함</t>
        </r>
      </text>
    </comment>
    <comment ref="L34" authorId="0" shapeId="0">
      <text>
        <r>
          <rPr>
            <b/>
            <sz val="8"/>
            <color indexed="81"/>
            <rFont val="돋움"/>
            <family val="3"/>
            <charset val="129"/>
          </rPr>
          <t>다</t>
        </r>
        <r>
          <rPr>
            <b/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돋움"/>
            <family val="3"/>
            <charset val="129"/>
          </rPr>
          <t>채동우</t>
        </r>
        <r>
          <rPr>
            <b/>
            <sz val="8"/>
            <color indexed="81"/>
            <rFont val="Tahoma"/>
            <family val="2"/>
          </rPr>
          <t>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돋움"/>
            <family val="3"/>
            <charset val="129"/>
          </rPr>
          <t>유형자산처분으로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인한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현금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유입은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투자활동에서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발생한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것이므로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옮겨줘야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함</t>
        </r>
      </text>
    </comment>
    <comment ref="E143" authorId="0" shapeId="0">
      <text>
        <r>
          <rPr>
            <b/>
            <sz val="8"/>
            <color indexed="81"/>
            <rFont val="돋움"/>
            <family val="3"/>
            <charset val="129"/>
          </rPr>
          <t>다</t>
        </r>
        <r>
          <rPr>
            <b/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돋움"/>
            <family val="3"/>
            <charset val="129"/>
          </rPr>
          <t>채동우</t>
        </r>
        <r>
          <rPr>
            <b/>
            <sz val="8"/>
            <color indexed="81"/>
            <rFont val="Tahoma"/>
            <family val="2"/>
          </rPr>
          <t>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돋움"/>
            <family val="3"/>
            <charset val="129"/>
          </rPr>
          <t>채권자에게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지급한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금액</t>
        </r>
        <r>
          <rPr>
            <sz val="8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돋움"/>
            <family val="3"/>
            <charset val="129"/>
          </rPr>
          <t>다만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이자비용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절세효과가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있으므로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반영</t>
        </r>
      </text>
    </comment>
    <comment ref="D144" authorId="0" shapeId="0">
      <text>
        <r>
          <rPr>
            <b/>
            <sz val="8"/>
            <color indexed="81"/>
            <rFont val="돋움"/>
            <family val="3"/>
            <charset val="129"/>
          </rPr>
          <t>다</t>
        </r>
        <r>
          <rPr>
            <b/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돋움"/>
            <family val="3"/>
            <charset val="129"/>
          </rPr>
          <t>채동우</t>
        </r>
        <r>
          <rPr>
            <b/>
            <sz val="8"/>
            <color indexed="81"/>
            <rFont val="Tahoma"/>
            <family val="2"/>
          </rPr>
          <t>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돋움"/>
            <family val="3"/>
            <charset val="129"/>
          </rPr>
          <t>차입자로부터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조달한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금액이므로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주주에게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지급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가능
순차입금이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감소하는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걸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보니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채권자에게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원금을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계속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상환하고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<sst xmlns="http://schemas.openxmlformats.org/spreadsheetml/2006/main" count="299" uniqueCount="164">
  <si>
    <t>Year</t>
    <phoneticPr fontId="1" type="noConversion"/>
  </si>
  <si>
    <t>Net Income</t>
    <phoneticPr fontId="1" type="noConversion"/>
  </si>
  <si>
    <t>EBIT (Operating income)</t>
    <phoneticPr fontId="1" type="noConversion"/>
  </si>
  <si>
    <t>EBITDA</t>
    <phoneticPr fontId="1" type="noConversion"/>
  </si>
  <si>
    <t>Assets</t>
    <phoneticPr fontId="1" type="noConversion"/>
  </si>
  <si>
    <t>Liabilities</t>
    <phoneticPr fontId="1" type="noConversion"/>
  </si>
  <si>
    <t>Equity</t>
    <phoneticPr fontId="1" type="noConversion"/>
  </si>
  <si>
    <t>Sales</t>
    <phoneticPr fontId="1" type="noConversion"/>
  </si>
  <si>
    <t>Variable cash expenses</t>
    <phoneticPr fontId="1" type="noConversion"/>
  </si>
  <si>
    <t>Fixed cash expenses</t>
    <phoneticPr fontId="1" type="noConversion"/>
  </si>
  <si>
    <t>Depreciation</t>
    <phoneticPr fontId="1" type="noConversion"/>
  </si>
  <si>
    <t>Discontinued operations (net of tax)</t>
    <phoneticPr fontId="1" type="noConversion"/>
  </si>
  <si>
    <t>Extraordinary items (net of tax)</t>
    <phoneticPr fontId="1" type="noConversion"/>
  </si>
  <si>
    <t>±Working Capital Adjustments</t>
    <phoneticPr fontId="1" type="noConversion"/>
  </si>
  <si>
    <t>Debt repayment (Principal payments)</t>
    <phoneticPr fontId="1" type="noConversion"/>
  </si>
  <si>
    <t>Year 1</t>
    <phoneticPr fontId="1" type="noConversion"/>
  </si>
  <si>
    <t>Year 2</t>
    <phoneticPr fontId="1" type="noConversion"/>
  </si>
  <si>
    <t>Year 3</t>
    <phoneticPr fontId="1" type="noConversion"/>
  </si>
  <si>
    <t>Year 4</t>
    <phoneticPr fontId="1" type="noConversion"/>
  </si>
  <si>
    <t>Year 0</t>
    <phoneticPr fontId="1" type="noConversion"/>
  </si>
  <si>
    <t>After-tax Operating CFs</t>
    <phoneticPr fontId="1" type="noConversion"/>
  </si>
  <si>
    <t>Discount factor (WACC = 12%)</t>
    <phoneticPr fontId="1" type="noConversion"/>
  </si>
  <si>
    <t>Cash Flows</t>
    <phoneticPr fontId="1" type="noConversion"/>
  </si>
  <si>
    <t>PV of CFs</t>
    <phoneticPr fontId="1" type="noConversion"/>
  </si>
  <si>
    <t>*FCFE = FCFF - Interest(1-T/R) + Net Borrowing</t>
    <phoneticPr fontId="1" type="noConversion"/>
  </si>
  <si>
    <t>Equity/Debt Issue</t>
    <phoneticPr fontId="1" type="noConversion"/>
  </si>
  <si>
    <t>Fixed Capital Investments</t>
    <phoneticPr fontId="1" type="noConversion"/>
  </si>
  <si>
    <t>Free Cash Flow to Firm (FCFF)</t>
    <phoneticPr fontId="1" type="noConversion"/>
  </si>
  <si>
    <t>- Interest*(1-T/R)</t>
    <phoneticPr fontId="1" type="noConversion"/>
  </si>
  <si>
    <t>+Net Borrowing</t>
    <phoneticPr fontId="1" type="noConversion"/>
  </si>
  <si>
    <t>Free Cash Flow to Equity (FCFE)</t>
    <phoneticPr fontId="1" type="noConversion"/>
  </si>
  <si>
    <t>Discount factor (Cost of Equity = 19.8%)</t>
    <phoneticPr fontId="1" type="noConversion"/>
  </si>
  <si>
    <t>NPV = Equity Value</t>
    <phoneticPr fontId="1" type="noConversion"/>
  </si>
  <si>
    <t>NPV = Firm Value</t>
    <phoneticPr fontId="1" type="noConversion"/>
  </si>
  <si>
    <t>+Interests</t>
    <phoneticPr fontId="1" type="noConversion"/>
  </si>
  <si>
    <t>NPV = Liability Value</t>
    <phoneticPr fontId="1" type="noConversion"/>
  </si>
  <si>
    <t>Discount factor (Cost of Debt = 6%)</t>
    <phoneticPr fontId="1" type="noConversion"/>
  </si>
  <si>
    <t>Residual Income</t>
    <phoneticPr fontId="1" type="noConversion"/>
  </si>
  <si>
    <t>Income</t>
    <phoneticPr fontId="1" type="noConversion"/>
  </si>
  <si>
    <t>NPV = MVA (Market Value Added)</t>
    <phoneticPr fontId="1" type="noConversion"/>
  </si>
  <si>
    <t>EVA or Economic Profit</t>
    <phoneticPr fontId="1" type="noConversion"/>
  </si>
  <si>
    <t>Discount factor (Cost of Capital = 12.0%)</t>
    <phoneticPr fontId="1" type="noConversion"/>
  </si>
  <si>
    <t xml:space="preserve">*Market Value Added(MVA) = </t>
    <phoneticPr fontId="1" type="noConversion"/>
  </si>
  <si>
    <t>= NI + Int*(1-T/R)</t>
    <phoneticPr fontId="1" type="noConversion"/>
  </si>
  <si>
    <t>+Principal payments</t>
    <phoneticPr fontId="1" type="noConversion"/>
  </si>
  <si>
    <t>MV at t=0</t>
    <phoneticPr fontId="1" type="noConversion"/>
  </si>
  <si>
    <t>PV of CFs</t>
    <phoneticPr fontId="1" type="noConversion"/>
  </si>
  <si>
    <t>Market Value vs. Book Value</t>
    <phoneticPr fontId="1" type="noConversion"/>
  </si>
  <si>
    <t>Book Value</t>
    <phoneticPr fontId="1" type="noConversion"/>
  </si>
  <si>
    <t>Market Value</t>
    <phoneticPr fontId="1" type="noConversion"/>
  </si>
  <si>
    <t>MV at t=1</t>
    <phoneticPr fontId="1" type="noConversion"/>
  </si>
  <si>
    <t>MV at t=2</t>
    <phoneticPr fontId="1" type="noConversion"/>
  </si>
  <si>
    <t>MV at t=3</t>
    <phoneticPr fontId="1" type="noConversion"/>
  </si>
  <si>
    <t>MV at t=4</t>
    <phoneticPr fontId="1" type="noConversion"/>
  </si>
  <si>
    <t xml:space="preserve">*Firm Value = PV of all future FCFF = </t>
    <phoneticPr fontId="1" type="noConversion"/>
  </si>
  <si>
    <t xml:space="preserve">*Equity Value = PV of all future FCFE = </t>
    <phoneticPr fontId="1" type="noConversion"/>
  </si>
  <si>
    <t xml:space="preserve">*Liability Value = PV of all future FCFB = </t>
    <phoneticPr fontId="1" type="noConversion"/>
  </si>
  <si>
    <t xml:space="preserve">*Firm Value = Value of Equity + Value of Liability = </t>
    <phoneticPr fontId="1" type="noConversion"/>
  </si>
  <si>
    <t>Year 0</t>
    <phoneticPr fontId="1" type="noConversion"/>
  </si>
  <si>
    <t>Year 1</t>
    <phoneticPr fontId="1" type="noConversion"/>
  </si>
  <si>
    <t>Year 2</t>
    <phoneticPr fontId="1" type="noConversion"/>
  </si>
  <si>
    <t>Year 3</t>
    <phoneticPr fontId="1" type="noConversion"/>
  </si>
  <si>
    <t xml:space="preserve"> Year 4</t>
    <phoneticPr fontId="1" type="noConversion"/>
  </si>
  <si>
    <t>Income from continuing operation</t>
    <phoneticPr fontId="1" type="noConversion"/>
  </si>
  <si>
    <t>Statement of Financial Position</t>
    <phoneticPr fontId="1" type="noConversion"/>
  </si>
  <si>
    <t>Profit and Loss Statement</t>
    <phoneticPr fontId="1" type="noConversion"/>
  </si>
  <si>
    <t>+Non-cash Items (such as Depreciation)</t>
    <phoneticPr fontId="1" type="noConversion"/>
  </si>
  <si>
    <t>±Financing/Investing Adjustments</t>
    <phoneticPr fontId="1" type="noConversion"/>
  </si>
  <si>
    <t xml:space="preserve">- Cost of Capital (WACC) = 12% </t>
    <phoneticPr fontId="1" type="noConversion"/>
  </si>
  <si>
    <t>+EBIT (Operating income)</t>
    <phoneticPr fontId="1" type="noConversion"/>
  </si>
  <si>
    <t>- Taxes (T/R=30%)</t>
    <phoneticPr fontId="1" type="noConversion"/>
  </si>
  <si>
    <t xml:space="preserve">(cf) NOPAT = EBIT*(1-T/R)     </t>
    <phoneticPr fontId="1" type="noConversion"/>
  </si>
  <si>
    <t>PV of FCFE</t>
    <phoneticPr fontId="1" type="noConversion"/>
  </si>
  <si>
    <t>PV of FCFB</t>
    <phoneticPr fontId="1" type="noConversion"/>
  </si>
  <si>
    <t>1. Residual Income (RI)</t>
    <phoneticPr fontId="1" type="noConversion"/>
  </si>
  <si>
    <t>1. Free Cash Flow to Equity (FCFE)</t>
    <phoneticPr fontId="1" type="noConversion"/>
  </si>
  <si>
    <t>2. Free Cash Flow to Bondholders (FCFB)</t>
    <phoneticPr fontId="1" type="noConversion"/>
  </si>
  <si>
    <t>2. EVA (=Economic Profit)</t>
    <phoneticPr fontId="1" type="noConversion"/>
  </si>
  <si>
    <t>+Net Income</t>
    <phoneticPr fontId="1" type="noConversion"/>
  </si>
  <si>
    <t>- Cost of Equity ($)</t>
    <phoneticPr fontId="1" type="noConversion"/>
  </si>
  <si>
    <t>PV of RI</t>
    <phoneticPr fontId="1" type="noConversion"/>
  </si>
  <si>
    <t>NPV = Surplus value of Equity</t>
    <phoneticPr fontId="1" type="noConversion"/>
  </si>
  <si>
    <t>- Cost of Capital ($WACC)</t>
    <phoneticPr fontId="1" type="noConversion"/>
  </si>
  <si>
    <t>PV of EVA = MVA</t>
    <phoneticPr fontId="1" type="noConversion"/>
  </si>
  <si>
    <t>Equity (net of worth)</t>
  </si>
  <si>
    <t>Equity (net of worth)</t>
    <phoneticPr fontId="1" type="noConversion"/>
  </si>
  <si>
    <t xml:space="preserve">Interest expense </t>
    <phoneticPr fontId="1" type="noConversion"/>
  </si>
  <si>
    <t xml:space="preserve">Taxes </t>
    <phoneticPr fontId="1" type="noConversion"/>
  </si>
  <si>
    <t>Operating Cash Flows (CFO)</t>
    <phoneticPr fontId="1" type="noConversion"/>
  </si>
  <si>
    <t>Financing Cash Flows (CFF)</t>
    <phoneticPr fontId="1" type="noConversion"/>
  </si>
  <si>
    <t>Investing Cash Flows (CFI)</t>
    <phoneticPr fontId="1" type="noConversion"/>
  </si>
  <si>
    <t>Net increase in Cash</t>
    <phoneticPr fontId="1" type="noConversion"/>
  </si>
  <si>
    <t>Assets</t>
  </si>
  <si>
    <t>Liabilities</t>
  </si>
  <si>
    <t>x Cost of Capital (%WACC)</t>
    <phoneticPr fontId="1" type="noConversion"/>
  </si>
  <si>
    <t xml:space="preserve"> x Cost of Equity (%)</t>
    <phoneticPr fontId="1" type="noConversion"/>
  </si>
  <si>
    <t>1. Free Cash Flow to Firm (FCFF)</t>
    <phoneticPr fontId="1" type="noConversion"/>
  </si>
  <si>
    <t>Statement of Cash Flow</t>
    <phoneticPr fontId="1" type="noConversion"/>
  </si>
  <si>
    <t>*EVA = NOPAT - Cost of Capital($WACC) = EBIT*(1-T/R) - Invested Capital*WACC(%)</t>
    <phoneticPr fontId="1" type="noConversion"/>
  </si>
  <si>
    <t>+Depreciation + Amortization</t>
    <phoneticPr fontId="1" type="noConversion"/>
  </si>
  <si>
    <t>+FCFF</t>
    <phoneticPr fontId="1" type="noConversion"/>
  </si>
  <si>
    <t>Free Cash Flow to Bondholders (FCFB)</t>
    <phoneticPr fontId="1" type="noConversion"/>
  </si>
  <si>
    <t xml:space="preserve">*Firm Value = Invested Capital + Market Value Added = 400,000 + 168,467 = </t>
    <phoneticPr fontId="1" type="noConversion"/>
  </si>
  <si>
    <t>±Other Income &amp; Exp.</t>
    <phoneticPr fontId="1" type="noConversion"/>
  </si>
  <si>
    <t>**FCFE = dividends &amp; stock repurchases</t>
    <phoneticPr fontId="1" type="noConversion"/>
  </si>
  <si>
    <t>Valuation Modeling (FCFF, FCFE, FCFB, RI, EVA)</t>
    <phoneticPr fontId="1" type="noConversion"/>
  </si>
  <si>
    <t>&lt;주요 가정사항&gt;</t>
    <phoneticPr fontId="1" type="noConversion"/>
  </si>
  <si>
    <t>회사는 $400,000을 부채 50%, 자본 50%의 비율로 투자받아 설립(WACC계산시 활용)</t>
    <phoneticPr fontId="1" type="noConversion"/>
  </si>
  <si>
    <t>회사의 한계 세율은 30%</t>
  </si>
  <si>
    <t>이자율은 6%(cost of debt), 주주의 요구수익률은 19.8%(cost of equtiy)</t>
  </si>
  <si>
    <t>4년 후 해당장비의 잔존가액(장부가)은 0이며, 처분가액(시가)은 $10,000</t>
    <phoneticPr fontId="1" type="noConversion"/>
  </si>
  <si>
    <t xml:space="preserve">회사(프로젝트)가 4년동안 지속된다고 가정하며, </t>
    <phoneticPr fontId="1" type="noConversion"/>
  </si>
  <si>
    <t>발생하는 모든 이익은 채권자(이자+원금)와 주주(배당+유상감자)에게 배분</t>
  </si>
  <si>
    <t xml:space="preserve">*회사는 최초에는 부채 50%, 자본 50%의 비율로 투자를 받아 설립되었지만, </t>
    <phoneticPr fontId="1" type="noConversion"/>
  </si>
  <si>
    <t>바로 사업성평가를 통해 향후 회사 전체가치의 50%를 부채로 유지하고, 나머지 지분은 모두 유상감자로 배분</t>
    <phoneticPr fontId="1" type="noConversion"/>
  </si>
  <si>
    <t>회사의 가치를 계산하시오.</t>
    <phoneticPr fontId="1" type="noConversion"/>
  </si>
  <si>
    <r>
      <t>- Fixed capital investments = $400,000 (useful life = 4 years, BV</t>
    </r>
    <r>
      <rPr>
        <vertAlign val="subscript"/>
        <sz val="9"/>
        <color theme="1"/>
        <rFont val="맑은 고딕"/>
        <family val="3"/>
        <charset val="129"/>
        <scheme val="major"/>
      </rPr>
      <t>(year=4)</t>
    </r>
    <r>
      <rPr>
        <sz val="9"/>
        <color theme="1"/>
        <rFont val="맑은 고딕"/>
        <family val="3"/>
        <charset val="129"/>
        <scheme val="major"/>
      </rPr>
      <t xml:space="preserve"> = 0, MV</t>
    </r>
    <r>
      <rPr>
        <vertAlign val="subscript"/>
        <sz val="9"/>
        <color theme="1"/>
        <rFont val="맑은 고딕"/>
        <family val="3"/>
        <charset val="129"/>
        <scheme val="major"/>
      </rPr>
      <t>(year=4)</t>
    </r>
    <r>
      <rPr>
        <sz val="9"/>
        <color theme="1"/>
        <rFont val="맑은 고딕"/>
        <family val="3"/>
        <charset val="129"/>
        <scheme val="major"/>
      </rPr>
      <t xml:space="preserve"> = 10,000)</t>
    </r>
    <phoneticPr fontId="1" type="noConversion"/>
  </si>
  <si>
    <t>1) FCFF, 2) FCFE, FCFB model, 3) EVA(economic profit), RIM model</t>
    <phoneticPr fontId="1" type="noConversion"/>
  </si>
  <si>
    <t>Comment</t>
    <phoneticPr fontId="1" type="noConversion"/>
  </si>
  <si>
    <t>이것에 대한 현금흐름은 CFI에 포함되어 반영</t>
    <phoneticPr fontId="1" type="noConversion"/>
  </si>
  <si>
    <t>50% of MV →</t>
    <phoneticPr fontId="1" type="noConversion"/>
  </si>
  <si>
    <t>← Int/r=6%</t>
    <phoneticPr fontId="1" type="noConversion"/>
  </si>
  <si>
    <t>← T/R=30%</t>
    <phoneticPr fontId="1" type="noConversion"/>
  </si>
  <si>
    <r>
      <t>Dividends/repurchases</t>
    </r>
    <r>
      <rPr>
        <vertAlign val="subscript"/>
        <sz val="9"/>
        <color theme="1"/>
        <rFont val="맑은 고딕"/>
        <family val="3"/>
        <charset val="129"/>
        <scheme val="major"/>
      </rPr>
      <t xml:space="preserve"> (= FCFE)</t>
    </r>
    <phoneticPr fontId="1" type="noConversion"/>
  </si>
  <si>
    <r>
      <t>- Tax Rate = 30%, Debt</t>
    </r>
    <r>
      <rPr>
        <vertAlign val="subscript"/>
        <sz val="9"/>
        <color theme="1"/>
        <rFont val="맑은 고딕"/>
        <family val="3"/>
        <charset val="129"/>
        <scheme val="major"/>
      </rPr>
      <t>(t=n)</t>
    </r>
    <r>
      <rPr>
        <sz val="9"/>
        <color theme="1"/>
        <rFont val="맑은 고딕"/>
        <family val="3"/>
        <charset val="129"/>
        <scheme val="major"/>
      </rPr>
      <t xml:space="preserve"> = 50% * Market Value</t>
    </r>
    <r>
      <rPr>
        <vertAlign val="subscript"/>
        <sz val="9"/>
        <color theme="1"/>
        <rFont val="맑은 고딕"/>
        <family val="3"/>
        <charset val="129"/>
        <scheme val="major"/>
      </rPr>
      <t>(t=n-1)</t>
    </r>
    <phoneticPr fontId="1" type="noConversion"/>
  </si>
  <si>
    <r>
      <t>- Cost of Debt (k</t>
    </r>
    <r>
      <rPr>
        <vertAlign val="subscript"/>
        <sz val="9"/>
        <color theme="1"/>
        <rFont val="맑은 고딕"/>
        <family val="3"/>
        <charset val="129"/>
        <scheme val="major"/>
      </rPr>
      <t>d</t>
    </r>
    <r>
      <rPr>
        <sz val="9"/>
        <color theme="1"/>
        <rFont val="맑은 고딕"/>
        <family val="3"/>
        <charset val="129"/>
        <scheme val="major"/>
      </rPr>
      <t>) = 6%</t>
    </r>
    <phoneticPr fontId="1" type="noConversion"/>
  </si>
  <si>
    <t>← interest rate</t>
    <phoneticPr fontId="1" type="noConversion"/>
  </si>
  <si>
    <r>
      <t>- Cost of Equity (k</t>
    </r>
    <r>
      <rPr>
        <vertAlign val="subscript"/>
        <sz val="9"/>
        <color theme="1"/>
        <rFont val="맑은 고딕"/>
        <family val="3"/>
        <charset val="129"/>
        <scheme val="major"/>
      </rPr>
      <t>e</t>
    </r>
    <r>
      <rPr>
        <sz val="9"/>
        <color theme="1"/>
        <rFont val="맑은 고딕"/>
        <family val="3"/>
        <charset val="129"/>
        <scheme val="major"/>
      </rPr>
      <t>)</t>
    </r>
    <r>
      <rPr>
        <vertAlign val="subscript"/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ajor"/>
      </rPr>
      <t>= 19.8%</t>
    </r>
    <phoneticPr fontId="1" type="noConversion"/>
  </si>
  <si>
    <r>
      <t>← required rate of return on CAPM (k</t>
    </r>
    <r>
      <rPr>
        <i/>
        <vertAlign val="subscript"/>
        <sz val="9"/>
        <color rgb="FF0070C0"/>
        <rFont val="맑은 고딕"/>
        <family val="3"/>
        <charset val="129"/>
        <scheme val="major"/>
      </rPr>
      <t>e</t>
    </r>
    <r>
      <rPr>
        <i/>
        <sz val="9"/>
        <color rgb="FF0070C0"/>
        <rFont val="맑은 고딕"/>
        <family val="3"/>
        <charset val="129"/>
        <scheme val="major"/>
      </rPr>
      <t>=R</t>
    </r>
    <r>
      <rPr>
        <i/>
        <vertAlign val="subscript"/>
        <sz val="9"/>
        <color rgb="FF0070C0"/>
        <rFont val="맑은 고딕"/>
        <family val="3"/>
        <charset val="129"/>
        <scheme val="major"/>
      </rPr>
      <t>f</t>
    </r>
    <r>
      <rPr>
        <i/>
        <sz val="9"/>
        <color rgb="FF0070C0"/>
        <rFont val="맑은 고딕"/>
        <family val="3"/>
        <charset val="129"/>
        <scheme val="major"/>
      </rPr>
      <t>+β*(R</t>
    </r>
    <r>
      <rPr>
        <i/>
        <vertAlign val="subscript"/>
        <sz val="9"/>
        <color rgb="FF0070C0"/>
        <rFont val="맑은 고딕"/>
        <family val="3"/>
        <charset val="129"/>
        <scheme val="major"/>
      </rPr>
      <t>m</t>
    </r>
    <r>
      <rPr>
        <i/>
        <sz val="9"/>
        <color rgb="FF0070C0"/>
        <rFont val="맑은 고딕"/>
        <family val="3"/>
        <charset val="129"/>
        <scheme val="major"/>
      </rPr>
      <t>-R</t>
    </r>
    <r>
      <rPr>
        <i/>
        <vertAlign val="subscript"/>
        <sz val="9"/>
        <color rgb="FF0070C0"/>
        <rFont val="맑은 고딕"/>
        <family val="3"/>
        <charset val="129"/>
        <scheme val="major"/>
      </rPr>
      <t>f</t>
    </r>
    <r>
      <rPr>
        <i/>
        <sz val="9"/>
        <color rgb="FF0070C0"/>
        <rFont val="맑은 고딕"/>
        <family val="3"/>
        <charset val="129"/>
        <scheme val="major"/>
      </rPr>
      <t>))</t>
    </r>
    <phoneticPr fontId="1" type="noConversion"/>
  </si>
  <si>
    <r>
      <t>← (D/A)*k</t>
    </r>
    <r>
      <rPr>
        <i/>
        <vertAlign val="subscript"/>
        <sz val="9"/>
        <color rgb="FF0070C0"/>
        <rFont val="맑은 고딕"/>
        <family val="3"/>
        <charset val="129"/>
        <scheme val="major"/>
      </rPr>
      <t>d</t>
    </r>
    <r>
      <rPr>
        <i/>
        <sz val="9"/>
        <color rgb="FF0070C0"/>
        <rFont val="맑은 고딕"/>
        <family val="3"/>
        <charset val="129"/>
        <scheme val="major"/>
      </rPr>
      <t>*(1-T/R)+(E/A)*k</t>
    </r>
    <r>
      <rPr>
        <i/>
        <vertAlign val="subscript"/>
        <sz val="9"/>
        <color rgb="FF0070C0"/>
        <rFont val="맑은 고딕"/>
        <family val="3"/>
        <charset val="129"/>
        <scheme val="major"/>
      </rPr>
      <t>e</t>
    </r>
    <r>
      <rPr>
        <i/>
        <sz val="9"/>
        <color rgb="FF0070C0"/>
        <rFont val="맑은 고딕"/>
        <family val="3"/>
        <charset val="129"/>
        <scheme val="major"/>
      </rPr>
      <t xml:space="preserve"> = 50%*6%*(1-30%) + 50%*19.8%</t>
    </r>
    <phoneticPr fontId="1" type="noConversion"/>
  </si>
  <si>
    <t>*FCFF = EBIT*(1-T/R) + Dep. &amp; Amort. - △Working Capital Invst. - △Fixed Capital Invst.</t>
    <phoneticPr fontId="1" type="noConversion"/>
  </si>
  <si>
    <t>*FCFF = EBITDA*(1-T/R) + D&amp;A*T/R - △W.C Inv. - △F.C Inv.</t>
    <phoneticPr fontId="1" type="noConversion"/>
  </si>
  <si>
    <t>*FCFF = Net Operating Profit After-tax + D&amp;A - △W.C Inv. - △F.C Inv.</t>
    <phoneticPr fontId="1" type="noConversion"/>
  </si>
  <si>
    <t>*FCFF = NI + Non-cash Charge + Interest*(1-T/R) - △W.C Inv. - △F.C Inv.</t>
    <phoneticPr fontId="1" type="noConversion"/>
  </si>
  <si>
    <t>*FCFF = Cash Flow from Operating + Interest*(1-T/R) - △F.C Inv.</t>
    <phoneticPr fontId="1" type="noConversion"/>
  </si>
  <si>
    <t>(cf) CFO = EBIT*(1-T/R) + D&amp;A - △W.C</t>
    <phoneticPr fontId="1" type="noConversion"/>
  </si>
  <si>
    <r>
      <t>(cf) CFO = NI + NCC - △W.C</t>
    </r>
    <r>
      <rPr>
        <sz val="9"/>
        <color theme="0"/>
        <rFont val="맑은 고딕"/>
        <family val="3"/>
        <charset val="129"/>
        <scheme val="major"/>
      </rPr>
      <t>11111111</t>
    </r>
    <phoneticPr fontId="1" type="noConversion"/>
  </si>
  <si>
    <t>△Fixed Capital Investment</t>
    <phoneticPr fontId="1" type="noConversion"/>
  </si>
  <si>
    <t>△Working Capital Investment</t>
    <phoneticPr fontId="1" type="noConversion"/>
  </si>
  <si>
    <t>*FCFE = NI + NCC - △W.C. Inv. - △F.C. Inv. + N.B</t>
    <phoneticPr fontId="1" type="noConversion"/>
  </si>
  <si>
    <t>*FCFE = CFO - △F.C. Inv. + N.B</t>
    <phoneticPr fontId="1" type="noConversion"/>
  </si>
  <si>
    <t>3. Residual Income (RI) / Economic Profit (EVA) → MVA</t>
    <phoneticPr fontId="1" type="noConversion"/>
  </si>
  <si>
    <r>
      <t>*Residual Income(RI) = NI - Cost of Equity($) = NI - BV of Equity</t>
    </r>
    <r>
      <rPr>
        <vertAlign val="subscript"/>
        <sz val="9"/>
        <color theme="1"/>
        <rFont val="맑은 고딕"/>
        <family val="3"/>
        <charset val="129"/>
        <scheme val="major"/>
      </rPr>
      <t>(t-1)</t>
    </r>
    <r>
      <rPr>
        <sz val="9"/>
        <color theme="1"/>
        <rFont val="맑은 고딕"/>
        <family val="3"/>
        <charset val="129"/>
        <scheme val="major"/>
      </rPr>
      <t>*k</t>
    </r>
    <r>
      <rPr>
        <vertAlign val="subscript"/>
        <sz val="9"/>
        <color theme="1"/>
        <rFont val="맑은 고딕"/>
        <family val="3"/>
        <charset val="129"/>
        <scheme val="major"/>
      </rPr>
      <t>e</t>
    </r>
    <r>
      <rPr>
        <sz val="9"/>
        <color theme="1"/>
        <rFont val="맑은 고딕"/>
        <family val="3"/>
        <charset val="129"/>
        <scheme val="major"/>
      </rPr>
      <t xml:space="preserve"> = (ROE-k</t>
    </r>
    <r>
      <rPr>
        <vertAlign val="subscript"/>
        <sz val="9"/>
        <color theme="1"/>
        <rFont val="맑은 고딕"/>
        <family val="3"/>
        <charset val="129"/>
        <scheme val="major"/>
      </rPr>
      <t>e</t>
    </r>
    <r>
      <rPr>
        <sz val="9"/>
        <color theme="1"/>
        <rFont val="맑은 고딕"/>
        <family val="3"/>
        <charset val="129"/>
        <scheme val="major"/>
      </rPr>
      <t>)*BV of Equity</t>
    </r>
    <r>
      <rPr>
        <vertAlign val="subscript"/>
        <sz val="9"/>
        <color theme="1"/>
        <rFont val="맑은 고딕"/>
        <family val="3"/>
        <charset val="129"/>
        <scheme val="major"/>
      </rPr>
      <t>(t-1)</t>
    </r>
    <phoneticPr fontId="1" type="noConversion"/>
  </si>
  <si>
    <t>→ Equity Value = BV of Equity + ∑ PV of RI</t>
    <phoneticPr fontId="1" type="noConversion"/>
  </si>
  <si>
    <t>→ Firm Value = MV of Liability + Equity Value = MV of Liab + BV of Equity + ∑ PV of RI</t>
    <phoneticPr fontId="1" type="noConversion"/>
  </si>
  <si>
    <t>→ Firm Value = Invested Capital + ∑ PV of EVA = Invested Capital + MVA</t>
    <phoneticPr fontId="1" type="noConversion"/>
  </si>
  <si>
    <r>
      <t>BV of Equity</t>
    </r>
    <r>
      <rPr>
        <vertAlign val="subscript"/>
        <sz val="9"/>
        <color theme="1"/>
        <rFont val="맑은 고딕"/>
        <family val="3"/>
        <charset val="129"/>
        <scheme val="major"/>
      </rPr>
      <t>(t-1)</t>
    </r>
    <r>
      <rPr>
        <sz val="9"/>
        <color theme="1"/>
        <rFont val="맑은 고딕"/>
        <family val="3"/>
        <charset val="129"/>
        <scheme val="major"/>
      </rPr>
      <t xml:space="preserve"> (beginning equity value)</t>
    </r>
    <phoneticPr fontId="1" type="noConversion"/>
  </si>
  <si>
    <r>
      <t>*Equity Value = BV of Equity + NPV from RI model =</t>
    </r>
    <r>
      <rPr>
        <sz val="9"/>
        <color theme="1"/>
        <rFont val="맑은 고딕"/>
        <family val="3"/>
        <charset val="129"/>
        <scheme val="major"/>
      </rPr>
      <t xml:space="preserve"> 115,767 + 168,466</t>
    </r>
    <r>
      <rPr>
        <b/>
        <sz val="9"/>
        <color theme="1"/>
        <rFont val="맑은 고딕"/>
        <family val="3"/>
        <charset val="129"/>
        <scheme val="major"/>
      </rPr>
      <t xml:space="preserve"> =</t>
    </r>
    <phoneticPr fontId="1" type="noConversion"/>
  </si>
  <si>
    <r>
      <t>*Firm Value = MV of Liability + Equity Value =</t>
    </r>
    <r>
      <rPr>
        <sz val="9"/>
        <color theme="1"/>
        <rFont val="맑은 고딕"/>
        <family val="3"/>
        <charset val="129"/>
        <scheme val="major"/>
      </rPr>
      <t xml:space="preserve"> 284,233 + 284,233 </t>
    </r>
    <r>
      <rPr>
        <b/>
        <sz val="9"/>
        <color theme="1"/>
        <rFont val="맑은 고딕"/>
        <family val="3"/>
        <charset val="129"/>
        <scheme val="major"/>
      </rPr>
      <t>=</t>
    </r>
    <phoneticPr fontId="1" type="noConversion"/>
  </si>
  <si>
    <r>
      <t xml:space="preserve">+Net Operating Profit After-Tax </t>
    </r>
    <r>
      <rPr>
        <b/>
        <vertAlign val="subscript"/>
        <sz val="9"/>
        <color theme="1"/>
        <rFont val="맑은 고딕"/>
        <family val="3"/>
        <charset val="129"/>
        <scheme val="major"/>
      </rPr>
      <t>(NOPAT=EBIT*(1-T/R))</t>
    </r>
    <phoneticPr fontId="1" type="noConversion"/>
  </si>
  <si>
    <t>+EBIT (≈Operating income)</t>
    <phoneticPr fontId="1" type="noConversion"/>
  </si>
  <si>
    <r>
      <t>Invested Capital</t>
    </r>
    <r>
      <rPr>
        <vertAlign val="subscript"/>
        <sz val="9"/>
        <color theme="1"/>
        <rFont val="맑은 고딕"/>
        <family val="3"/>
        <charset val="129"/>
        <scheme val="major"/>
      </rPr>
      <t>(t-1)</t>
    </r>
    <phoneticPr fontId="1" type="noConversion"/>
  </si>
  <si>
    <t>매년 가치평가하여 전체 가치의 50%만 부채로 유지</t>
    <phoneticPr fontId="1" type="noConversion"/>
  </si>
  <si>
    <t xml:space="preserve">할인율에 Tax고려안함. </t>
    <phoneticPr fontId="1" type="noConversion"/>
  </si>
  <si>
    <t>EBIT전체에 T/R을 때리는 이유는 이자는 할인율에서 고려</t>
    <phoneticPr fontId="1" type="noConversion"/>
  </si>
  <si>
    <t>현금동반한 이득/비용 계산해 줌</t>
    <phoneticPr fontId="1" type="noConversion"/>
  </si>
  <si>
    <t>참고. Market Value vs. Book Value</t>
    <phoneticPr fontId="1" type="noConversion"/>
  </si>
  <si>
    <t>1. Free Cash Flow Model (FCFF)</t>
    <phoneticPr fontId="1" type="noConversion"/>
  </si>
  <si>
    <t>2. Claims Valuation apporoach (FCFE / FCFB)</t>
    <phoneticPr fontId="1" type="noConversion"/>
  </si>
  <si>
    <t>회사는 사업시작 직후 장비구입에 $400,000 투자하였으며, 내용년수는 4년(정액법 상각)</t>
    <phoneticPr fontId="1" type="noConversion"/>
  </si>
  <si>
    <t>채권자에게 발생하는 현금흐름은 before tax basis이기 때문</t>
    <phoneticPr fontId="1" type="noConversion"/>
  </si>
  <si>
    <t>NOPAT이후 NOPAT에 빠져 있었던</t>
    <phoneticPr fontId="1" type="noConversion"/>
  </si>
  <si>
    <t>세금효과를 할인율에서 고려하는지? 현금흐름에서 고려하는지?</t>
    <phoneticPr fontId="1" type="noConversion"/>
  </si>
  <si>
    <t>168,467 : PPT 자료에서 본 +a를 의미함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</si>
</sst>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&quot;Year&quot;\ #,##0_);[Red]\(#,##0\)"/>
    <numFmt numFmtId="178" formatCode="#,##0.00_);[Red]\(#,##0.00\)"/>
    <numFmt numFmtId="179" formatCode="0.0%"/>
    <numFmt numFmtId="180" formatCode="#,##0_);[Red]\(#,##0\);\-_)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vertAlign val="subscript"/>
      <sz val="9"/>
      <color theme="1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b/>
      <i/>
      <sz val="9"/>
      <color theme="1"/>
      <name val="맑은 고딕"/>
      <family val="3"/>
      <charset val="129"/>
      <scheme val="major"/>
    </font>
    <font>
      <i/>
      <sz val="9"/>
      <color rgb="FF0070C0"/>
      <name val="맑은 고딕"/>
      <family val="3"/>
      <charset val="129"/>
      <scheme val="major"/>
    </font>
    <font>
      <i/>
      <vertAlign val="subscript"/>
      <sz val="9"/>
      <color rgb="FF0070C0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vertAlign val="subscript"/>
      <sz val="9"/>
      <color theme="1"/>
      <name val="맑은 고딕"/>
      <family val="3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돋움"/>
      <family val="3"/>
      <charset val="129"/>
    </font>
    <font>
      <sz val="8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0" borderId="0" xfId="0" quotePrefix="1" applyFont="1">
      <alignment vertical="center"/>
    </xf>
    <xf numFmtId="176" fontId="2" fillId="0" borderId="0" xfId="0" applyNumberFormat="1" applyFont="1" applyAlignment="1">
      <alignment horizontal="right" vertical="center"/>
    </xf>
    <xf numFmtId="176" fontId="5" fillId="3" borderId="0" xfId="0" applyNumberFormat="1" applyFont="1" applyFill="1" applyAlignment="1">
      <alignment horizontal="center" vertical="center"/>
    </xf>
    <xf numFmtId="176" fontId="2" fillId="2" borderId="0" xfId="0" applyNumberFormat="1" applyFont="1" applyFill="1">
      <alignment vertical="center"/>
    </xf>
    <xf numFmtId="180" fontId="2" fillId="0" borderId="0" xfId="0" applyNumberFormat="1" applyFont="1">
      <alignment vertical="center"/>
    </xf>
    <xf numFmtId="180" fontId="2" fillId="0" borderId="3" xfId="0" applyNumberFormat="1" applyFont="1" applyBorder="1">
      <alignment vertical="center"/>
    </xf>
    <xf numFmtId="180" fontId="2" fillId="2" borderId="0" xfId="0" applyNumberFormat="1" applyFont="1" applyFill="1">
      <alignment vertical="center"/>
    </xf>
    <xf numFmtId="180" fontId="3" fillId="0" borderId="0" xfId="0" applyNumberFormat="1" applyFont="1">
      <alignment vertical="center"/>
    </xf>
    <xf numFmtId="180" fontId="2" fillId="0" borderId="1" xfId="0" applyNumberFormat="1" applyFont="1" applyBorder="1">
      <alignment vertical="center"/>
    </xf>
    <xf numFmtId="180" fontId="3" fillId="0" borderId="2" xfId="0" applyNumberFormat="1" applyFont="1" applyBorder="1">
      <alignment vertical="center"/>
    </xf>
    <xf numFmtId="180" fontId="3" fillId="0" borderId="0" xfId="0" applyNumberFormat="1" applyFont="1" applyBorder="1">
      <alignment vertical="center"/>
    </xf>
    <xf numFmtId="180" fontId="2" fillId="0" borderId="0" xfId="0" applyNumberFormat="1" applyFont="1" applyBorder="1">
      <alignment vertical="center"/>
    </xf>
    <xf numFmtId="180" fontId="3" fillId="0" borderId="4" xfId="0" applyNumberFormat="1" applyFont="1" applyBorder="1">
      <alignment vertical="center"/>
    </xf>
    <xf numFmtId="18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176" fontId="3" fillId="2" borderId="0" xfId="0" applyNumberFormat="1" applyFont="1" applyFill="1" applyAlignment="1">
      <alignment horizontal="center" vertical="center"/>
    </xf>
    <xf numFmtId="176" fontId="2" fillId="0" borderId="3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176" fontId="2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176" fontId="2" fillId="0" borderId="0" xfId="0" quotePrefix="1" applyNumberFormat="1" applyFont="1" applyAlignment="1">
      <alignment horizontal="right" vertical="center"/>
    </xf>
    <xf numFmtId="176" fontId="2" fillId="0" borderId="0" xfId="0" applyNumberFormat="1" applyFont="1" applyBorder="1">
      <alignment vertical="center"/>
    </xf>
    <xf numFmtId="177" fontId="3" fillId="2" borderId="0" xfId="0" applyNumberFormat="1" applyFont="1" applyFill="1" applyAlignment="1">
      <alignment horizontal="center"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3" fillId="0" borderId="4" xfId="0" applyNumberFormat="1" applyFont="1" applyBorder="1">
      <alignment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quotePrefix="1" applyFont="1" applyBorder="1">
      <alignment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quotePrefix="1" applyFont="1">
      <alignment vertical="center"/>
    </xf>
    <xf numFmtId="0" fontId="3" fillId="0" borderId="0" xfId="0" quotePrefix="1" applyFont="1" applyBorder="1">
      <alignment vertical="center"/>
    </xf>
    <xf numFmtId="176" fontId="3" fillId="0" borderId="0" xfId="0" applyNumberFormat="1" applyFont="1" applyAlignment="1">
      <alignment horizontal="right" vertical="center"/>
    </xf>
    <xf numFmtId="9" fontId="2" fillId="0" borderId="0" xfId="0" applyNumberFormat="1" applyFont="1" applyAlignment="1">
      <alignment vertical="center" wrapText="1"/>
    </xf>
    <xf numFmtId="0" fontId="2" fillId="0" borderId="1" xfId="0" applyFont="1" applyFill="1" applyBorder="1">
      <alignment vertical="center"/>
    </xf>
    <xf numFmtId="0" fontId="3" fillId="0" borderId="3" xfId="0" applyFont="1" applyBorder="1">
      <alignment vertical="center"/>
    </xf>
    <xf numFmtId="0" fontId="2" fillId="0" borderId="3" xfId="0" applyFont="1" applyFill="1" applyBorder="1">
      <alignment vertical="center"/>
    </xf>
    <xf numFmtId="0" fontId="7" fillId="0" borderId="0" xfId="0" applyFont="1">
      <alignment vertical="center"/>
    </xf>
    <xf numFmtId="180" fontId="7" fillId="0" borderId="0" xfId="0" applyNumberFormat="1" applyFont="1">
      <alignment vertical="center"/>
    </xf>
    <xf numFmtId="176" fontId="2" fillId="0" borderId="2" xfId="0" applyNumberFormat="1" applyFont="1" applyBorder="1">
      <alignment vertical="center"/>
    </xf>
    <xf numFmtId="0" fontId="5" fillId="4" borderId="0" xfId="0" applyFont="1" applyFill="1">
      <alignment vertical="center"/>
    </xf>
    <xf numFmtId="0" fontId="9" fillId="4" borderId="0" xfId="0" applyFont="1" applyFill="1">
      <alignment vertical="center"/>
    </xf>
    <xf numFmtId="176" fontId="9" fillId="4" borderId="0" xfId="0" applyNumberFormat="1" applyFont="1" applyFill="1">
      <alignment vertical="center"/>
    </xf>
    <xf numFmtId="176" fontId="5" fillId="4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  <xf numFmtId="0" fontId="2" fillId="5" borderId="0" xfId="0" applyFont="1" applyFill="1">
      <alignment vertical="center"/>
    </xf>
    <xf numFmtId="178" fontId="2" fillId="5" borderId="0" xfId="0" applyNumberFormat="1" applyFont="1" applyFill="1">
      <alignment vertical="center"/>
    </xf>
    <xf numFmtId="0" fontId="3" fillId="5" borderId="2" xfId="0" applyFont="1" applyFill="1" applyBorder="1">
      <alignment vertical="center"/>
    </xf>
    <xf numFmtId="176" fontId="3" fillId="5" borderId="2" xfId="0" applyNumberFormat="1" applyFont="1" applyFill="1" applyBorder="1">
      <alignment vertical="center"/>
    </xf>
    <xf numFmtId="176" fontId="2" fillId="5" borderId="2" xfId="0" applyNumberFormat="1" applyFont="1" applyFill="1" applyBorder="1">
      <alignment vertical="center"/>
    </xf>
    <xf numFmtId="0" fontId="1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98</xdr:row>
      <xdr:rowOff>142875</xdr:rowOff>
    </xdr:from>
    <xdr:to>
      <xdr:col>11</xdr:col>
      <xdr:colOff>676275</xdr:colOff>
      <xdr:row>100</xdr:row>
      <xdr:rowOff>19050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333750" y="14601825"/>
          <a:ext cx="2705100" cy="190500"/>
        </a:xfrm>
        <a:prstGeom prst="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133350</xdr:colOff>
      <xdr:row>102</xdr:row>
      <xdr:rowOff>0</xdr:rowOff>
    </xdr:from>
    <xdr:to>
      <xdr:col>7</xdr:col>
      <xdr:colOff>666750</xdr:colOff>
      <xdr:row>103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714625" y="24412575"/>
          <a:ext cx="533400" cy="161925"/>
        </a:xfrm>
        <a:prstGeom prst="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57150</xdr:colOff>
      <xdr:row>148</xdr:row>
      <xdr:rowOff>142875</xdr:rowOff>
    </xdr:from>
    <xdr:to>
      <xdr:col>11</xdr:col>
      <xdr:colOff>676275</xdr:colOff>
      <xdr:row>150</xdr:row>
      <xdr:rowOff>19050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333750" y="24088725"/>
          <a:ext cx="2705100" cy="19050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133350</xdr:colOff>
      <xdr:row>151</xdr:row>
      <xdr:rowOff>0</xdr:rowOff>
    </xdr:from>
    <xdr:to>
      <xdr:col>7</xdr:col>
      <xdr:colOff>666750</xdr:colOff>
      <xdr:row>152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14625" y="24412575"/>
          <a:ext cx="533400" cy="161925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57150</xdr:colOff>
      <xdr:row>161</xdr:row>
      <xdr:rowOff>142875</xdr:rowOff>
    </xdr:from>
    <xdr:to>
      <xdr:col>11</xdr:col>
      <xdr:colOff>676275</xdr:colOff>
      <xdr:row>163</xdr:row>
      <xdr:rowOff>19050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333750" y="31289625"/>
          <a:ext cx="2705100" cy="19050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133350</xdr:colOff>
      <xdr:row>164</xdr:row>
      <xdr:rowOff>0</xdr:rowOff>
    </xdr:from>
    <xdr:to>
      <xdr:col>7</xdr:col>
      <xdr:colOff>666750</xdr:colOff>
      <xdr:row>165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714625" y="31613475"/>
          <a:ext cx="533400" cy="161925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647700</xdr:colOff>
      <xdr:row>166</xdr:row>
      <xdr:rowOff>0</xdr:rowOff>
    </xdr:from>
    <xdr:to>
      <xdr:col>8</xdr:col>
      <xdr:colOff>485775</xdr:colOff>
      <xdr:row>167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228975" y="34680525"/>
          <a:ext cx="533400" cy="152400"/>
        </a:xfrm>
        <a:prstGeom prst="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130096</xdr:colOff>
      <xdr:row>208</xdr:row>
      <xdr:rowOff>142875</xdr:rowOff>
    </xdr:from>
    <xdr:to>
      <xdr:col>11</xdr:col>
      <xdr:colOff>676274</xdr:colOff>
      <xdr:row>210</xdr:row>
      <xdr:rowOff>19050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419706" y="51996046"/>
          <a:ext cx="2637031" cy="192126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142875</xdr:colOff>
      <xdr:row>212</xdr:row>
      <xdr:rowOff>0</xdr:rowOff>
    </xdr:from>
    <xdr:to>
      <xdr:col>10</xdr:col>
      <xdr:colOff>676275</xdr:colOff>
      <xdr:row>213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810125" y="42052875"/>
          <a:ext cx="533400" cy="152400"/>
        </a:xfrm>
        <a:prstGeom prst="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57150</xdr:colOff>
      <xdr:row>226</xdr:row>
      <xdr:rowOff>142875</xdr:rowOff>
    </xdr:from>
    <xdr:to>
      <xdr:col>11</xdr:col>
      <xdr:colOff>676275</xdr:colOff>
      <xdr:row>228</xdr:row>
      <xdr:rowOff>19050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3333750" y="41414700"/>
          <a:ext cx="2705100" cy="19050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152400</xdr:colOff>
      <xdr:row>230</xdr:row>
      <xdr:rowOff>0</xdr:rowOff>
    </xdr:from>
    <xdr:to>
      <xdr:col>10</xdr:col>
      <xdr:colOff>685800</xdr:colOff>
      <xdr:row>231</xdr:row>
      <xdr:rowOff>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429000" y="44653200"/>
          <a:ext cx="533400" cy="152400"/>
        </a:xfrm>
        <a:prstGeom prst="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57150</xdr:colOff>
      <xdr:row>248</xdr:row>
      <xdr:rowOff>142875</xdr:rowOff>
    </xdr:from>
    <xdr:to>
      <xdr:col>11</xdr:col>
      <xdr:colOff>676275</xdr:colOff>
      <xdr:row>250</xdr:row>
      <xdr:rowOff>19050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3333750" y="24564975"/>
          <a:ext cx="2705100" cy="19050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133350</xdr:colOff>
      <xdr:row>250</xdr:row>
      <xdr:rowOff>19878</xdr:rowOff>
    </xdr:from>
    <xdr:to>
      <xdr:col>7</xdr:col>
      <xdr:colOff>666750</xdr:colOff>
      <xdr:row>251</xdr:row>
      <xdr:rowOff>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697646" y="41452800"/>
          <a:ext cx="533400" cy="15240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161925</xdr:colOff>
      <xdr:row>256</xdr:row>
      <xdr:rowOff>142875</xdr:rowOff>
    </xdr:from>
    <xdr:to>
      <xdr:col>11</xdr:col>
      <xdr:colOff>676275</xdr:colOff>
      <xdr:row>258</xdr:row>
      <xdr:rowOff>19050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133850" y="52463700"/>
          <a:ext cx="1905000" cy="180975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142875</xdr:colOff>
      <xdr:row>258</xdr:row>
      <xdr:rowOff>19878</xdr:rowOff>
    </xdr:from>
    <xdr:to>
      <xdr:col>8</xdr:col>
      <xdr:colOff>676275</xdr:colOff>
      <xdr:row>258</xdr:row>
      <xdr:rowOff>172278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402910" y="42347321"/>
          <a:ext cx="533400" cy="15240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171450</xdr:colOff>
      <xdr:row>264</xdr:row>
      <xdr:rowOff>142876</xdr:rowOff>
    </xdr:from>
    <xdr:to>
      <xdr:col>11</xdr:col>
      <xdr:colOff>676275</xdr:colOff>
      <xdr:row>266</xdr:row>
      <xdr:rowOff>9526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838700" y="53387626"/>
          <a:ext cx="1200150" cy="17145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142875</xdr:colOff>
      <xdr:row>266</xdr:row>
      <xdr:rowOff>19878</xdr:rowOff>
    </xdr:from>
    <xdr:to>
      <xdr:col>9</xdr:col>
      <xdr:colOff>676275</xdr:colOff>
      <xdr:row>266</xdr:row>
      <xdr:rowOff>172278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098649" y="43248469"/>
          <a:ext cx="533400" cy="15240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11</xdr:col>
      <xdr:colOff>161925</xdr:colOff>
      <xdr:row>272</xdr:row>
      <xdr:rowOff>142876</xdr:rowOff>
    </xdr:from>
    <xdr:to>
      <xdr:col>11</xdr:col>
      <xdr:colOff>676275</xdr:colOff>
      <xdr:row>274</xdr:row>
      <xdr:rowOff>9525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524500" y="54311551"/>
          <a:ext cx="514350" cy="171449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142875</xdr:colOff>
      <xdr:row>274</xdr:row>
      <xdr:rowOff>19878</xdr:rowOff>
    </xdr:from>
    <xdr:to>
      <xdr:col>10</xdr:col>
      <xdr:colOff>676275</xdr:colOff>
      <xdr:row>275</xdr:row>
      <xdr:rowOff>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794388" y="44149617"/>
          <a:ext cx="533400" cy="15240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11</xdr:col>
      <xdr:colOff>142875</xdr:colOff>
      <xdr:row>282</xdr:row>
      <xdr:rowOff>19878</xdr:rowOff>
    </xdr:from>
    <xdr:to>
      <xdr:col>11</xdr:col>
      <xdr:colOff>676275</xdr:colOff>
      <xdr:row>283</xdr:row>
      <xdr:rowOff>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5490127" y="45050765"/>
          <a:ext cx="533400" cy="15240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139211</xdr:colOff>
      <xdr:row>242</xdr:row>
      <xdr:rowOff>2</xdr:rowOff>
    </xdr:from>
    <xdr:to>
      <xdr:col>11</xdr:col>
      <xdr:colOff>676275</xdr:colOff>
      <xdr:row>243</xdr:row>
      <xdr:rowOff>7328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725615" y="50416560"/>
          <a:ext cx="3321295" cy="168518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583406</xdr:colOff>
      <xdr:row>4</xdr:row>
      <xdr:rowOff>82826</xdr:rowOff>
    </xdr:from>
    <xdr:to>
      <xdr:col>11</xdr:col>
      <xdr:colOff>318902</xdr:colOff>
      <xdr:row>33</xdr:row>
      <xdr:rowOff>132495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4BD64690-0014-4BD5-963B-9B04515EBBC1}"/>
            </a:ext>
          </a:extLst>
        </xdr:cNvPr>
        <xdr:cNvGrpSpPr/>
      </xdr:nvGrpSpPr>
      <xdr:grpSpPr>
        <a:xfrm>
          <a:off x="3169810" y="698288"/>
          <a:ext cx="2519727" cy="4541072"/>
          <a:chOff x="3151346" y="11063246"/>
          <a:chExt cx="2509176" cy="4941709"/>
        </a:xfrm>
      </xdr:grpSpPr>
      <xdr:cxnSp macro="">
        <xdr:nvCxnSpPr>
          <xdr:cNvPr id="26" name="연결선: 꺾임 25">
            <a:extLst>
              <a:ext uri="{FF2B5EF4-FFF2-40B4-BE49-F238E27FC236}">
                <a16:creationId xmlns:a16="http://schemas.microsoft.com/office/drawing/2014/main" id="{796E5090-8FE7-45F5-8A6F-1D4A7D312221}"/>
              </a:ext>
            </a:extLst>
          </xdr:cNvPr>
          <xdr:cNvCxnSpPr/>
        </xdr:nvCxnSpPr>
        <xdr:spPr>
          <a:xfrm rot="16200000" flipH="1">
            <a:off x="2622234" y="11762424"/>
            <a:ext cx="1528288" cy="130967"/>
          </a:xfrm>
          <a:prstGeom prst="bentConnector3">
            <a:avLst>
              <a:gd name="adj1" fmla="val 100022"/>
            </a:avLst>
          </a:prstGeom>
          <a:ln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직선 화살표 연결선 28">
            <a:extLst>
              <a:ext uri="{FF2B5EF4-FFF2-40B4-BE49-F238E27FC236}">
                <a16:creationId xmlns:a16="http://schemas.microsoft.com/office/drawing/2014/main" id="{92CE332C-891F-4DFE-A411-B7E4897DE847}"/>
              </a:ext>
            </a:extLst>
          </xdr:cNvPr>
          <xdr:cNvCxnSpPr/>
        </xdr:nvCxnSpPr>
        <xdr:spPr>
          <a:xfrm>
            <a:off x="3248408" y="11063246"/>
            <a:ext cx="213029" cy="0"/>
          </a:xfrm>
          <a:prstGeom prst="straightConnector1">
            <a:avLst/>
          </a:prstGeom>
          <a:ln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2105ECCC-2BEE-42DB-A21C-56049F2978C0}"/>
              </a:ext>
            </a:extLst>
          </xdr:cNvPr>
          <xdr:cNvSpPr/>
        </xdr:nvSpPr>
        <xdr:spPr>
          <a:xfrm>
            <a:off x="3151346" y="11682983"/>
            <a:ext cx="360000" cy="125227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>
            <a:spAutoFit/>
          </a:bodyPr>
          <a:lstStyle/>
          <a:p>
            <a:pPr algn="ctr"/>
            <a:r>
              <a:rPr lang="en-US" altLang="ko-KR" sz="800"/>
              <a:t>Dep.</a:t>
            </a:r>
            <a:r>
              <a:rPr lang="en-US" altLang="ko-KR" sz="800" baseline="0"/>
              <a:t> </a:t>
            </a:r>
            <a:endParaRPr lang="ko-KR" altLang="en-US" sz="800"/>
          </a:p>
        </xdr:txBody>
      </xdr:sp>
      <xdr:cxnSp macro="">
        <xdr:nvCxnSpPr>
          <xdr:cNvPr id="53" name="연결선: 꺾임 52">
            <a:extLst>
              <a:ext uri="{FF2B5EF4-FFF2-40B4-BE49-F238E27FC236}">
                <a16:creationId xmlns:a16="http://schemas.microsoft.com/office/drawing/2014/main" id="{A600EB74-6321-4835-AF97-A75DDC5E4761}"/>
              </a:ext>
            </a:extLst>
          </xdr:cNvPr>
          <xdr:cNvCxnSpPr/>
        </xdr:nvCxnSpPr>
        <xdr:spPr>
          <a:xfrm rot="16200000" flipH="1">
            <a:off x="2388634" y="13530264"/>
            <a:ext cx="2013349" cy="148828"/>
          </a:xfrm>
          <a:prstGeom prst="bentConnector3">
            <a:avLst>
              <a:gd name="adj1" fmla="val 100000"/>
            </a:avLst>
          </a:prstGeom>
          <a:ln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직선 화살표 연결선 58">
            <a:extLst>
              <a:ext uri="{FF2B5EF4-FFF2-40B4-BE49-F238E27FC236}">
                <a16:creationId xmlns:a16="http://schemas.microsoft.com/office/drawing/2014/main" id="{FFD51708-663C-4974-9173-E2F3254EE849}"/>
              </a:ext>
            </a:extLst>
          </xdr:cNvPr>
          <xdr:cNvCxnSpPr/>
        </xdr:nvCxnSpPr>
        <xdr:spPr>
          <a:xfrm>
            <a:off x="3941827" y="11236839"/>
            <a:ext cx="213029" cy="0"/>
          </a:xfrm>
          <a:prstGeom prst="straightConnector1">
            <a:avLst/>
          </a:prstGeom>
          <a:ln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연결선: 꺾임 59">
            <a:extLst>
              <a:ext uri="{FF2B5EF4-FFF2-40B4-BE49-F238E27FC236}">
                <a16:creationId xmlns:a16="http://schemas.microsoft.com/office/drawing/2014/main" id="{93FD5348-D420-48EB-81F9-0640AC613C5F}"/>
              </a:ext>
            </a:extLst>
          </xdr:cNvPr>
          <xdr:cNvCxnSpPr/>
        </xdr:nvCxnSpPr>
        <xdr:spPr>
          <a:xfrm rot="16200000" flipH="1">
            <a:off x="1998305" y="13260551"/>
            <a:ext cx="4206590" cy="160199"/>
          </a:xfrm>
          <a:prstGeom prst="bentConnector3">
            <a:avLst>
              <a:gd name="adj1" fmla="val 99995"/>
            </a:avLst>
          </a:prstGeom>
          <a:ln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CDB64DA5-9CDB-4B0E-A3D7-72773B038667}"/>
              </a:ext>
            </a:extLst>
          </xdr:cNvPr>
          <xdr:cNvSpPr/>
        </xdr:nvSpPr>
        <xdr:spPr>
          <a:xfrm>
            <a:off x="3825240" y="13400487"/>
            <a:ext cx="403860" cy="125227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>
            <a:spAutoFit/>
          </a:bodyPr>
          <a:lstStyle/>
          <a:p>
            <a:pPr algn="ctr"/>
            <a:r>
              <a:rPr lang="en-US" altLang="ko-KR" sz="800"/>
              <a:t>INT+PRN</a:t>
            </a:r>
            <a:endParaRPr lang="ko-KR" altLang="en-US" sz="800"/>
          </a:p>
        </xdr:txBody>
      </xdr:sp>
      <xdr:cxnSp macro="">
        <xdr:nvCxnSpPr>
          <xdr:cNvPr id="95" name="직선 화살표 연결선 94">
            <a:extLst>
              <a:ext uri="{FF2B5EF4-FFF2-40B4-BE49-F238E27FC236}">
                <a16:creationId xmlns:a16="http://schemas.microsoft.com/office/drawing/2014/main" id="{CA48CA49-E92F-4EAD-BE40-DE3F0A5B5D72}"/>
              </a:ext>
            </a:extLst>
          </xdr:cNvPr>
          <xdr:cNvCxnSpPr/>
        </xdr:nvCxnSpPr>
        <xdr:spPr>
          <a:xfrm>
            <a:off x="4649493" y="11404479"/>
            <a:ext cx="215348" cy="0"/>
          </a:xfrm>
          <a:prstGeom prst="straightConnector1">
            <a:avLst/>
          </a:prstGeom>
          <a:ln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연결선: 꺾임 95">
            <a:extLst>
              <a:ext uri="{FF2B5EF4-FFF2-40B4-BE49-F238E27FC236}">
                <a16:creationId xmlns:a16="http://schemas.microsoft.com/office/drawing/2014/main" id="{9A4AB193-5DF2-48CD-821A-3F3541B15543}"/>
              </a:ext>
            </a:extLst>
          </xdr:cNvPr>
          <xdr:cNvCxnSpPr/>
        </xdr:nvCxnSpPr>
        <xdr:spPr>
          <a:xfrm rot="16200000" flipH="1">
            <a:off x="2700523" y="13438896"/>
            <a:ext cx="4201987" cy="134195"/>
          </a:xfrm>
          <a:prstGeom prst="bentConnector3">
            <a:avLst>
              <a:gd name="adj1" fmla="val 99949"/>
            </a:avLst>
          </a:prstGeom>
          <a:ln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직선 화살표 연결선 96">
            <a:extLst>
              <a:ext uri="{FF2B5EF4-FFF2-40B4-BE49-F238E27FC236}">
                <a16:creationId xmlns:a16="http://schemas.microsoft.com/office/drawing/2014/main" id="{6B57A86B-5C2D-4FC0-8945-A2D0ACC8A92D}"/>
              </a:ext>
            </a:extLst>
          </xdr:cNvPr>
          <xdr:cNvCxnSpPr/>
        </xdr:nvCxnSpPr>
        <xdr:spPr>
          <a:xfrm>
            <a:off x="4580195" y="13755422"/>
            <a:ext cx="156286" cy="0"/>
          </a:xfrm>
          <a:prstGeom prst="straightConnector1">
            <a:avLst/>
          </a:prstGeom>
          <a:ln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AAB814A8-A442-4F61-94C1-656538793E44}"/>
              </a:ext>
            </a:extLst>
          </xdr:cNvPr>
          <xdr:cNvSpPr/>
        </xdr:nvSpPr>
        <xdr:spPr>
          <a:xfrm>
            <a:off x="4189699" y="11680349"/>
            <a:ext cx="1107281" cy="125227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>
            <a:spAutoFit/>
          </a:bodyPr>
          <a:lstStyle/>
          <a:p>
            <a:pPr algn="ctr"/>
            <a:r>
              <a:rPr lang="en-US" altLang="ko-KR" sz="800"/>
              <a:t>Beg</a:t>
            </a:r>
            <a:r>
              <a:rPr lang="en-US" altLang="ko-KR" sz="800" baseline="0"/>
              <a:t> R.E+NI-Div=End R.E</a:t>
            </a:r>
            <a:endParaRPr lang="ko-KR" altLang="en-US" sz="800"/>
          </a:p>
        </xdr:txBody>
      </xdr:sp>
      <xdr:cxnSp macro="">
        <xdr:nvCxnSpPr>
          <xdr:cNvPr id="124" name="직선 화살표 연결선 123">
            <a:extLst>
              <a:ext uri="{FF2B5EF4-FFF2-40B4-BE49-F238E27FC236}">
                <a16:creationId xmlns:a16="http://schemas.microsoft.com/office/drawing/2014/main" id="{83B0554B-8555-472A-B2D7-503E4F61E565}"/>
              </a:ext>
            </a:extLst>
          </xdr:cNvPr>
          <xdr:cNvCxnSpPr/>
        </xdr:nvCxnSpPr>
        <xdr:spPr>
          <a:xfrm>
            <a:off x="4023742" y="12913715"/>
            <a:ext cx="164876" cy="0"/>
          </a:xfrm>
          <a:prstGeom prst="straightConnector1">
            <a:avLst/>
          </a:prstGeom>
          <a:ln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E10F419F-74AC-4C93-876F-2A9033BF1A1F}"/>
              </a:ext>
            </a:extLst>
          </xdr:cNvPr>
          <xdr:cNvSpPr/>
        </xdr:nvSpPr>
        <xdr:spPr>
          <a:xfrm>
            <a:off x="4807482" y="15879728"/>
            <a:ext cx="853040" cy="125227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>
            <a:spAutoFit/>
          </a:bodyPr>
          <a:lstStyle/>
          <a:p>
            <a:pPr algn="ctr"/>
            <a:r>
              <a:rPr lang="en-US" altLang="ko-KR" sz="800"/>
              <a:t>S.V-(S.V-BV)*T/R(%)</a:t>
            </a:r>
            <a:endParaRPr lang="ko-KR" altLang="en-US" sz="800"/>
          </a:p>
        </xdr:txBody>
      </xdr:sp>
    </xdr:grpSp>
    <xdr:clientData/>
  </xdr:twoCellAnchor>
  <xdr:twoCellAnchor>
    <xdr:from>
      <xdr:col>7</xdr:col>
      <xdr:colOff>666751</xdr:colOff>
      <xdr:row>150</xdr:row>
      <xdr:rowOff>14653</xdr:rowOff>
    </xdr:from>
    <xdr:to>
      <xdr:col>8</xdr:col>
      <xdr:colOff>146539</xdr:colOff>
      <xdr:row>151</xdr:row>
      <xdr:rowOff>76932</xdr:rowOff>
    </xdr:to>
    <xdr:cxnSp macro="">
      <xdr:nvCxnSpPr>
        <xdr:cNvPr id="150" name="연결선: 구부러짐 149">
          <a:extLst>
            <a:ext uri="{FF2B5EF4-FFF2-40B4-BE49-F238E27FC236}">
              <a16:creationId xmlns:a16="http://schemas.microsoft.com/office/drawing/2014/main" id="{6B16F2BC-F2CB-4CAB-9E95-7EFF95177CDC}"/>
            </a:ext>
          </a:extLst>
        </xdr:cNvPr>
        <xdr:cNvCxnSpPr>
          <a:endCxn id="11" idx="3"/>
        </xdr:cNvCxnSpPr>
      </xdr:nvCxnSpPr>
      <xdr:spPr>
        <a:xfrm rot="5400000">
          <a:off x="3233005" y="42399072"/>
          <a:ext cx="216145" cy="175846"/>
        </a:xfrm>
        <a:prstGeom prst="curvedConnector2">
          <a:avLst/>
        </a:prstGeom>
        <a:ln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163</xdr:row>
      <xdr:rowOff>29309</xdr:rowOff>
    </xdr:from>
    <xdr:to>
      <xdr:col>8</xdr:col>
      <xdr:colOff>146539</xdr:colOff>
      <xdr:row>164</xdr:row>
      <xdr:rowOff>76934</xdr:rowOff>
    </xdr:to>
    <xdr:cxnSp macro="">
      <xdr:nvCxnSpPr>
        <xdr:cNvPr id="151" name="연결선: 구부러짐 150">
          <a:extLst>
            <a:ext uri="{FF2B5EF4-FFF2-40B4-BE49-F238E27FC236}">
              <a16:creationId xmlns:a16="http://schemas.microsoft.com/office/drawing/2014/main" id="{71DA7311-3105-4AFE-8B35-8A0D7DDC904B}"/>
            </a:ext>
          </a:extLst>
        </xdr:cNvPr>
        <xdr:cNvCxnSpPr>
          <a:endCxn id="13" idx="3"/>
        </xdr:cNvCxnSpPr>
      </xdr:nvCxnSpPr>
      <xdr:spPr>
        <a:xfrm rot="5400000">
          <a:off x="3240333" y="44421303"/>
          <a:ext cx="201490" cy="175847"/>
        </a:xfrm>
        <a:prstGeom prst="curvedConnector2">
          <a:avLst/>
        </a:prstGeom>
        <a:ln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100</xdr:row>
      <xdr:rowOff>21984</xdr:rowOff>
    </xdr:from>
    <xdr:to>
      <xdr:col>8</xdr:col>
      <xdr:colOff>256442</xdr:colOff>
      <xdr:row>102</xdr:row>
      <xdr:rowOff>76933</xdr:rowOff>
    </xdr:to>
    <xdr:cxnSp macro="">
      <xdr:nvCxnSpPr>
        <xdr:cNvPr id="153" name="연결선: 구부러짐 152">
          <a:extLst>
            <a:ext uri="{FF2B5EF4-FFF2-40B4-BE49-F238E27FC236}">
              <a16:creationId xmlns:a16="http://schemas.microsoft.com/office/drawing/2014/main" id="{EC244A8A-A696-42B5-9526-A9AD99D3039D}"/>
            </a:ext>
          </a:extLst>
        </xdr:cNvPr>
        <xdr:cNvCxnSpPr>
          <a:endCxn id="6" idx="3"/>
        </xdr:cNvCxnSpPr>
      </xdr:nvCxnSpPr>
      <xdr:spPr>
        <a:xfrm rot="5400000">
          <a:off x="3214689" y="34240545"/>
          <a:ext cx="362680" cy="285750"/>
        </a:xfrm>
        <a:prstGeom prst="curvedConnector2">
          <a:avLst/>
        </a:prstGeom>
        <a:ln>
          <a:solidFill>
            <a:srgbClr val="C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462064</xdr:colOff>
      <xdr:row>210</xdr:row>
      <xdr:rowOff>20265</xdr:rowOff>
    </xdr:from>
    <xdr:to>
      <xdr:col>8</xdr:col>
      <xdr:colOff>526916</xdr:colOff>
      <xdr:row>211</xdr:row>
      <xdr:rowOff>36482</xdr:rowOff>
    </xdr:to>
    <xdr:cxnSp macro="">
      <xdr:nvCxnSpPr>
        <xdr:cNvPr id="171" name="연결선: 구부러짐 170">
          <a:extLst>
            <a:ext uri="{FF2B5EF4-FFF2-40B4-BE49-F238E27FC236}">
              <a16:creationId xmlns:a16="http://schemas.microsoft.com/office/drawing/2014/main" id="{AECB2B00-403F-44C9-ABBA-8C6F035B777F}"/>
            </a:ext>
          </a:extLst>
        </xdr:cNvPr>
        <xdr:cNvCxnSpPr/>
      </xdr:nvCxnSpPr>
      <xdr:spPr>
        <a:xfrm rot="5400000">
          <a:off x="3700562" y="52294277"/>
          <a:ext cx="170238" cy="64852"/>
        </a:xfrm>
        <a:prstGeom prst="curvedConnector3">
          <a:avLst>
            <a:gd name="adj1" fmla="val 50000"/>
          </a:avLst>
        </a:prstGeom>
        <a:ln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652097</xdr:colOff>
      <xdr:row>228</xdr:row>
      <xdr:rowOff>29308</xdr:rowOff>
    </xdr:from>
    <xdr:to>
      <xdr:col>8</xdr:col>
      <xdr:colOff>520214</xdr:colOff>
      <xdr:row>229</xdr:row>
      <xdr:rowOff>80597</xdr:rowOff>
    </xdr:to>
    <xdr:cxnSp macro="">
      <xdr:nvCxnSpPr>
        <xdr:cNvPr id="204" name="연결선: 구부러짐 203">
          <a:extLst>
            <a:ext uri="{FF2B5EF4-FFF2-40B4-BE49-F238E27FC236}">
              <a16:creationId xmlns:a16="http://schemas.microsoft.com/office/drawing/2014/main" id="{590AFEA9-954B-490D-ACC2-CD4CBF76EB39}"/>
            </a:ext>
          </a:extLst>
        </xdr:cNvPr>
        <xdr:cNvCxnSpPr/>
      </xdr:nvCxnSpPr>
      <xdr:spPr>
        <a:xfrm rot="10800000" flipV="1">
          <a:off x="2542443" y="54790731"/>
          <a:ext cx="1260233" cy="205154"/>
        </a:xfrm>
        <a:prstGeom prst="curvedConnector3">
          <a:avLst>
            <a:gd name="adj1" fmla="val 50000"/>
          </a:avLst>
        </a:prstGeom>
        <a:ln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325506</xdr:colOff>
      <xdr:row>210</xdr:row>
      <xdr:rowOff>146626</xdr:rowOff>
    </xdr:from>
    <xdr:to>
      <xdr:col>9</xdr:col>
      <xdr:colOff>100674</xdr:colOff>
      <xdr:row>212</xdr:row>
      <xdr:rowOff>1</xdr:rowOff>
    </xdr:to>
    <xdr:sp macro="" textlink="">
      <xdr:nvSpPr>
        <xdr:cNvPr id="207" name="직사각형 206">
          <a:extLst>
            <a:ext uri="{FF2B5EF4-FFF2-40B4-BE49-F238E27FC236}">
              <a16:creationId xmlns:a16="http://schemas.microsoft.com/office/drawing/2014/main" id="{8FB0968D-684E-42E8-A4E0-38CFA8F7D624}"/>
            </a:ext>
          </a:extLst>
        </xdr:cNvPr>
        <xdr:cNvSpPr/>
      </xdr:nvSpPr>
      <xdr:spPr>
        <a:xfrm>
          <a:off x="3585541" y="35185374"/>
          <a:ext cx="470907" cy="184679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142875</xdr:colOff>
      <xdr:row>228</xdr:row>
      <xdr:rowOff>153865</xdr:rowOff>
    </xdr:from>
    <xdr:to>
      <xdr:col>6</xdr:col>
      <xdr:colOff>676275</xdr:colOff>
      <xdr:row>230</xdr:row>
      <xdr:rowOff>0</xdr:rowOff>
    </xdr:to>
    <xdr:sp macro="" textlink="">
      <xdr:nvSpPr>
        <xdr:cNvPr id="208" name="직사각형 207">
          <a:extLst>
            <a:ext uri="{FF2B5EF4-FFF2-40B4-BE49-F238E27FC236}">
              <a16:creationId xmlns:a16="http://schemas.microsoft.com/office/drawing/2014/main" id="{9189B430-E521-4714-85BF-A7C273B9762C}"/>
            </a:ext>
          </a:extLst>
        </xdr:cNvPr>
        <xdr:cNvSpPr/>
      </xdr:nvSpPr>
      <xdr:spPr>
        <a:xfrm>
          <a:off x="2033221" y="54915288"/>
          <a:ext cx="533400" cy="153866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666751</xdr:colOff>
      <xdr:row>249</xdr:row>
      <xdr:rowOff>80962</xdr:rowOff>
    </xdr:from>
    <xdr:to>
      <xdr:col>8</xdr:col>
      <xdr:colOff>57151</xdr:colOff>
      <xdr:row>250</xdr:row>
      <xdr:rowOff>96078</xdr:rowOff>
    </xdr:to>
    <xdr:cxnSp macro="">
      <xdr:nvCxnSpPr>
        <xdr:cNvPr id="209" name="연결선: 구부러짐 208">
          <a:extLst>
            <a:ext uri="{FF2B5EF4-FFF2-40B4-BE49-F238E27FC236}">
              <a16:creationId xmlns:a16="http://schemas.microsoft.com/office/drawing/2014/main" id="{250DE0D6-8DD5-411A-9D33-5CF919132CAC}"/>
            </a:ext>
          </a:extLst>
        </xdr:cNvPr>
        <xdr:cNvCxnSpPr>
          <a:stCxn id="25" idx="1"/>
          <a:endCxn id="27" idx="3"/>
        </xdr:cNvCxnSpPr>
      </xdr:nvCxnSpPr>
      <xdr:spPr>
        <a:xfrm rot="10800000" flipV="1">
          <a:off x="3231047" y="41348232"/>
          <a:ext cx="86139" cy="180768"/>
        </a:xfrm>
        <a:prstGeom prst="curvedConnector3">
          <a:avLst>
            <a:gd name="adj1" fmla="val 50000"/>
          </a:avLst>
        </a:prstGeom>
        <a:ln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676276</xdr:colOff>
      <xdr:row>257</xdr:row>
      <xdr:rowOff>80962</xdr:rowOff>
    </xdr:from>
    <xdr:to>
      <xdr:col>9</xdr:col>
      <xdr:colOff>161926</xdr:colOff>
      <xdr:row>258</xdr:row>
      <xdr:rowOff>96077</xdr:rowOff>
    </xdr:to>
    <xdr:cxnSp macro="">
      <xdr:nvCxnSpPr>
        <xdr:cNvPr id="212" name="연결선: 구부러짐 211">
          <a:extLst>
            <a:ext uri="{FF2B5EF4-FFF2-40B4-BE49-F238E27FC236}">
              <a16:creationId xmlns:a16="http://schemas.microsoft.com/office/drawing/2014/main" id="{E9AAE1EC-FBD2-4F1D-B906-AB997264D4C4}"/>
            </a:ext>
          </a:extLst>
        </xdr:cNvPr>
        <xdr:cNvCxnSpPr>
          <a:stCxn id="30" idx="1"/>
          <a:endCxn id="31" idx="3"/>
        </xdr:cNvCxnSpPr>
      </xdr:nvCxnSpPr>
      <xdr:spPr>
        <a:xfrm rot="10800000" flipV="1">
          <a:off x="3936311" y="42242753"/>
          <a:ext cx="181389" cy="180767"/>
        </a:xfrm>
        <a:prstGeom prst="curvedConnector3">
          <a:avLst>
            <a:gd name="adj1" fmla="val 50000"/>
          </a:avLst>
        </a:prstGeom>
        <a:ln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676275</xdr:colOff>
      <xdr:row>265</xdr:row>
      <xdr:rowOff>76200</xdr:rowOff>
    </xdr:from>
    <xdr:to>
      <xdr:col>10</xdr:col>
      <xdr:colOff>171450</xdr:colOff>
      <xdr:row>266</xdr:row>
      <xdr:rowOff>96077</xdr:rowOff>
    </xdr:to>
    <xdr:cxnSp macro="">
      <xdr:nvCxnSpPr>
        <xdr:cNvPr id="217" name="연결선: 구부러짐 216">
          <a:extLst>
            <a:ext uri="{FF2B5EF4-FFF2-40B4-BE49-F238E27FC236}">
              <a16:creationId xmlns:a16="http://schemas.microsoft.com/office/drawing/2014/main" id="{43E912F6-9C6A-44F8-B53B-B6C78AE358F2}"/>
            </a:ext>
          </a:extLst>
        </xdr:cNvPr>
        <xdr:cNvCxnSpPr>
          <a:stCxn id="32" idx="1"/>
          <a:endCxn id="33" idx="3"/>
        </xdr:cNvCxnSpPr>
      </xdr:nvCxnSpPr>
      <xdr:spPr>
        <a:xfrm rot="10800000" flipV="1">
          <a:off x="4632049" y="43139139"/>
          <a:ext cx="190914" cy="185529"/>
        </a:xfrm>
        <a:prstGeom prst="curvedConnector3">
          <a:avLst>
            <a:gd name="adj1" fmla="val 50000"/>
          </a:avLst>
        </a:prstGeom>
        <a:ln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676276</xdr:colOff>
      <xdr:row>273</xdr:row>
      <xdr:rowOff>76200</xdr:rowOff>
    </xdr:from>
    <xdr:to>
      <xdr:col>11</xdr:col>
      <xdr:colOff>161926</xdr:colOff>
      <xdr:row>274</xdr:row>
      <xdr:rowOff>96077</xdr:rowOff>
    </xdr:to>
    <xdr:cxnSp macro="">
      <xdr:nvCxnSpPr>
        <xdr:cNvPr id="222" name="연결선: 구부러짐 221">
          <a:extLst>
            <a:ext uri="{FF2B5EF4-FFF2-40B4-BE49-F238E27FC236}">
              <a16:creationId xmlns:a16="http://schemas.microsoft.com/office/drawing/2014/main" id="{70273DFC-2C9D-4D05-9610-14E96E2622F0}"/>
            </a:ext>
          </a:extLst>
        </xdr:cNvPr>
        <xdr:cNvCxnSpPr>
          <a:stCxn id="35" idx="1"/>
          <a:endCxn id="36" idx="3"/>
        </xdr:cNvCxnSpPr>
      </xdr:nvCxnSpPr>
      <xdr:spPr>
        <a:xfrm rot="10800000" flipV="1">
          <a:off x="5327789" y="44040287"/>
          <a:ext cx="181389" cy="185529"/>
        </a:xfrm>
        <a:prstGeom prst="curvedConnector3">
          <a:avLst>
            <a:gd name="adj1" fmla="val 50000"/>
          </a:avLst>
        </a:prstGeom>
        <a:ln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133349</xdr:colOff>
      <xdr:row>242</xdr:row>
      <xdr:rowOff>89804</xdr:rowOff>
    </xdr:from>
    <xdr:to>
      <xdr:col>7</xdr:col>
      <xdr:colOff>139210</xdr:colOff>
      <xdr:row>250</xdr:row>
      <xdr:rowOff>96078</xdr:rowOff>
    </xdr:to>
    <xdr:cxnSp macro="">
      <xdr:nvCxnSpPr>
        <xdr:cNvPr id="225" name="연결선: 구부러짐 224">
          <a:extLst>
            <a:ext uri="{FF2B5EF4-FFF2-40B4-BE49-F238E27FC236}">
              <a16:creationId xmlns:a16="http://schemas.microsoft.com/office/drawing/2014/main" id="{78A6695E-B9DB-42A5-9CAE-B82E3DF1624E}"/>
            </a:ext>
          </a:extLst>
        </xdr:cNvPr>
        <xdr:cNvCxnSpPr>
          <a:stCxn id="27" idx="1"/>
          <a:endCxn id="39" idx="1"/>
        </xdr:cNvCxnSpPr>
      </xdr:nvCxnSpPr>
      <xdr:spPr>
        <a:xfrm rot="10800000" flipH="1">
          <a:off x="2697645" y="40628204"/>
          <a:ext cx="5861" cy="900796"/>
        </a:xfrm>
        <a:prstGeom prst="curvedConnector3">
          <a:avLst>
            <a:gd name="adj1" fmla="val -3900358"/>
          </a:avLst>
        </a:prstGeom>
        <a:ln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161</xdr:row>
      <xdr:rowOff>0</xdr:rowOff>
    </xdr:from>
    <xdr:to>
      <xdr:col>6</xdr:col>
      <xdr:colOff>297657</xdr:colOff>
      <xdr:row>162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893095" y="25086469"/>
          <a:ext cx="297656" cy="154781"/>
        </a:xfrm>
        <a:prstGeom prst="rect">
          <a:avLst/>
        </a:prstGeom>
        <a:noFill/>
        <a:ln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4"/>
  <sheetViews>
    <sheetView showGridLines="0" tabSelected="1" zoomScale="130" zoomScaleNormal="130" zoomScaleSheetLayoutView="115" workbookViewId="0">
      <selection activeCell="L35" sqref="L35"/>
    </sheetView>
    <sheetView showGridLines="0" tabSelected="1" topLeftCell="A208" zoomScale="115" zoomScaleNormal="115" workbookViewId="1">
      <selection activeCell="D223" sqref="D223"/>
    </sheetView>
  </sheetViews>
  <sheetFormatPr defaultColWidth="9" defaultRowHeight="12" x14ac:dyDescent="0.3"/>
  <cols>
    <col min="1" max="4" width="1.625" style="5" customWidth="1"/>
    <col min="5" max="7" width="9.125" style="5" customWidth="1"/>
    <col min="8" max="12" width="9.125" style="6" customWidth="1"/>
    <col min="13" max="13" width="0.875" style="5" customWidth="1"/>
    <col min="14" max="14" width="41.75" style="6" bestFit="1" customWidth="1"/>
    <col min="15" max="16384" width="9" style="5"/>
  </cols>
  <sheetData>
    <row r="1" spans="1:14" x14ac:dyDescent="0.3">
      <c r="A1" s="67" t="s">
        <v>105</v>
      </c>
      <c r="B1" s="68"/>
      <c r="C1" s="68"/>
      <c r="D1" s="68"/>
      <c r="E1" s="68"/>
      <c r="F1" s="68"/>
      <c r="G1" s="68"/>
      <c r="H1" s="69"/>
      <c r="I1" s="69"/>
      <c r="J1" s="69"/>
      <c r="K1" s="69"/>
      <c r="L1" s="69"/>
      <c r="M1" s="68"/>
      <c r="N1" s="69"/>
    </row>
    <row r="2" spans="1:14" x14ac:dyDescent="0.3">
      <c r="C2" s="7"/>
      <c r="L2" s="9"/>
      <c r="N2" s="9"/>
    </row>
    <row r="3" spans="1:14" x14ac:dyDescent="0.3">
      <c r="B3" s="39" t="s">
        <v>0</v>
      </c>
      <c r="C3" s="40"/>
      <c r="D3" s="40"/>
      <c r="E3" s="40"/>
      <c r="F3" s="40"/>
      <c r="G3" s="40"/>
      <c r="H3" s="10" t="s">
        <v>58</v>
      </c>
      <c r="I3" s="10" t="s">
        <v>59</v>
      </c>
      <c r="J3" s="10" t="s">
        <v>60</v>
      </c>
      <c r="K3" s="10" t="s">
        <v>61</v>
      </c>
      <c r="L3" s="10" t="s">
        <v>62</v>
      </c>
      <c r="N3" s="10" t="s">
        <v>118</v>
      </c>
    </row>
    <row r="4" spans="1:14" x14ac:dyDescent="0.3">
      <c r="B4" s="41" t="s">
        <v>64</v>
      </c>
      <c r="C4" s="42"/>
      <c r="D4" s="42"/>
      <c r="E4" s="42"/>
      <c r="F4" s="42"/>
      <c r="G4" s="42"/>
      <c r="H4" s="11"/>
      <c r="I4" s="11"/>
      <c r="J4" s="11"/>
      <c r="K4" s="11"/>
      <c r="L4" s="11"/>
      <c r="N4" s="11"/>
    </row>
    <row r="5" spans="1:14" x14ac:dyDescent="0.3">
      <c r="C5" s="5" t="s">
        <v>4</v>
      </c>
      <c r="H5" s="12">
        <v>400000</v>
      </c>
      <c r="I5" s="12">
        <f>H5+I14</f>
        <v>300000</v>
      </c>
      <c r="J5" s="12">
        <f>I5+J14</f>
        <v>200000</v>
      </c>
      <c r="K5" s="12">
        <f>J5+K14</f>
        <v>100000</v>
      </c>
      <c r="L5" s="12">
        <f>K5+L14</f>
        <v>0</v>
      </c>
      <c r="N5" s="12"/>
    </row>
    <row r="6" spans="1:14" x14ac:dyDescent="0.3">
      <c r="C6" s="5" t="s">
        <v>5</v>
      </c>
      <c r="G6" s="43" t="s">
        <v>120</v>
      </c>
      <c r="H6" s="12">
        <f>H238</f>
        <v>284233.25404779252</v>
      </c>
      <c r="I6" s="12">
        <f t="shared" ref="I6:L6" si="0">I238</f>
        <v>229841.24453352764</v>
      </c>
      <c r="J6" s="12">
        <f t="shared" si="0"/>
        <v>160172.19387755101</v>
      </c>
      <c r="K6" s="12">
        <f t="shared" si="0"/>
        <v>82142.85714285713</v>
      </c>
      <c r="L6" s="12">
        <f t="shared" si="0"/>
        <v>0</v>
      </c>
      <c r="N6" s="12" t="s">
        <v>152</v>
      </c>
    </row>
    <row r="7" spans="1:14" ht="12.75" thickBot="1" x14ac:dyDescent="0.35">
      <c r="B7" s="44"/>
      <c r="C7" s="45" t="s">
        <v>85</v>
      </c>
      <c r="D7" s="45"/>
      <c r="E7" s="45"/>
      <c r="F7" s="45"/>
      <c r="G7" s="45"/>
      <c r="H7" s="13">
        <f>H5-H6</f>
        <v>115766.74595220748</v>
      </c>
      <c r="I7" s="13">
        <f>I5-I6</f>
        <v>70158.755466472358</v>
      </c>
      <c r="J7" s="13">
        <f>J5-J6</f>
        <v>39827.806122448994</v>
      </c>
      <c r="K7" s="13">
        <f>K5-K6</f>
        <v>17857.14285714287</v>
      </c>
      <c r="L7" s="13">
        <f>L5-L6</f>
        <v>0</v>
      </c>
      <c r="N7" s="13"/>
    </row>
    <row r="8" spans="1:14" s="64" customFormat="1" x14ac:dyDescent="0.3">
      <c r="C8" s="64" t="s">
        <v>49</v>
      </c>
      <c r="H8" s="65">
        <f>H243</f>
        <v>568466.50809558504</v>
      </c>
      <c r="I8" s="65">
        <f>I243</f>
        <v>459682.48906705528</v>
      </c>
      <c r="J8" s="65">
        <f>J243</f>
        <v>320344.38775510201</v>
      </c>
      <c r="K8" s="65">
        <f>K243</f>
        <v>164285.71428571426</v>
      </c>
      <c r="L8" s="65"/>
      <c r="N8" s="65"/>
    </row>
    <row r="9" spans="1:14" x14ac:dyDescent="0.3">
      <c r="B9" s="41" t="s">
        <v>65</v>
      </c>
      <c r="C9" s="42"/>
      <c r="D9" s="42"/>
      <c r="E9" s="42"/>
      <c r="F9" s="42"/>
      <c r="G9" s="42"/>
      <c r="H9" s="14"/>
      <c r="I9" s="14"/>
      <c r="J9" s="14"/>
      <c r="K9" s="14"/>
      <c r="L9" s="14"/>
      <c r="N9" s="14"/>
    </row>
    <row r="10" spans="1:14" s="7" customFormat="1" x14ac:dyDescent="0.3">
      <c r="C10" s="7" t="s">
        <v>7</v>
      </c>
      <c r="H10" s="15"/>
      <c r="I10" s="15">
        <v>400000</v>
      </c>
      <c r="J10" s="15">
        <v>450000</v>
      </c>
      <c r="K10" s="15">
        <v>450000</v>
      </c>
      <c r="L10" s="15">
        <v>400000</v>
      </c>
      <c r="N10" s="15"/>
    </row>
    <row r="11" spans="1:14" x14ac:dyDescent="0.3">
      <c r="C11" s="8" t="s">
        <v>8</v>
      </c>
      <c r="H11" s="12"/>
      <c r="I11" s="12">
        <v>-150000</v>
      </c>
      <c r="J11" s="12">
        <v>-175000</v>
      </c>
      <c r="K11" s="12">
        <v>-175000</v>
      </c>
      <c r="L11" s="12">
        <v>-150000</v>
      </c>
      <c r="N11" s="12"/>
    </row>
    <row r="12" spans="1:14" x14ac:dyDescent="0.3">
      <c r="C12" s="46" t="s">
        <v>9</v>
      </c>
      <c r="D12" s="46"/>
      <c r="E12" s="46"/>
      <c r="F12" s="46"/>
      <c r="G12" s="46"/>
      <c r="H12" s="16"/>
      <c r="I12" s="16">
        <v>-40000</v>
      </c>
      <c r="J12" s="16">
        <v>-40000</v>
      </c>
      <c r="K12" s="16">
        <v>-40000</v>
      </c>
      <c r="L12" s="16">
        <v>-40000</v>
      </c>
      <c r="N12" s="16"/>
    </row>
    <row r="13" spans="1:14" x14ac:dyDescent="0.3">
      <c r="C13" s="7" t="s">
        <v>3</v>
      </c>
      <c r="D13" s="7"/>
      <c r="E13" s="7"/>
      <c r="F13" s="7"/>
      <c r="G13" s="7"/>
      <c r="H13" s="15"/>
      <c r="I13" s="15">
        <f>I10+I11+I12</f>
        <v>210000</v>
      </c>
      <c r="J13" s="15">
        <f>J10+J11+J12</f>
        <v>235000</v>
      </c>
      <c r="K13" s="15">
        <f>K10+K11+K12</f>
        <v>235000</v>
      </c>
      <c r="L13" s="15">
        <f>L10+L11+L12</f>
        <v>210000</v>
      </c>
      <c r="N13" s="15"/>
    </row>
    <row r="14" spans="1:14" x14ac:dyDescent="0.3">
      <c r="C14" s="46" t="s">
        <v>10</v>
      </c>
      <c r="D14" s="46"/>
      <c r="E14" s="46"/>
      <c r="F14" s="46"/>
      <c r="G14" s="46"/>
      <c r="H14" s="16"/>
      <c r="I14" s="16">
        <v>-100000</v>
      </c>
      <c r="J14" s="16">
        <v>-100000</v>
      </c>
      <c r="K14" s="16">
        <v>-100000</v>
      </c>
      <c r="L14" s="16">
        <v>-100000</v>
      </c>
      <c r="N14" s="16"/>
    </row>
    <row r="15" spans="1:14" x14ac:dyDescent="0.3">
      <c r="C15" s="7" t="s">
        <v>2</v>
      </c>
      <c r="D15" s="7"/>
      <c r="E15" s="7"/>
      <c r="F15" s="7"/>
      <c r="G15" s="7"/>
      <c r="H15" s="15"/>
      <c r="I15" s="15">
        <f>I13+I14</f>
        <v>110000</v>
      </c>
      <c r="J15" s="15">
        <f>J13+J14</f>
        <v>135000</v>
      </c>
      <c r="K15" s="15">
        <f>K13+K14</f>
        <v>135000</v>
      </c>
      <c r="L15" s="15">
        <f>L13+L14</f>
        <v>110000</v>
      </c>
      <c r="N15" s="15"/>
    </row>
    <row r="16" spans="1:14" x14ac:dyDescent="0.3">
      <c r="C16" s="5" t="s">
        <v>86</v>
      </c>
      <c r="F16" s="47" t="s">
        <v>121</v>
      </c>
      <c r="H16" s="12"/>
      <c r="I16" s="12">
        <f>H6*-0.06</f>
        <v>-17053.99524286755</v>
      </c>
      <c r="J16" s="12">
        <f>I6*-0.06</f>
        <v>-13790.474672011658</v>
      </c>
      <c r="K16" s="12">
        <f>J6*-0.06</f>
        <v>-9610.3316326530603</v>
      </c>
      <c r="L16" s="12">
        <f>K6*-0.06</f>
        <v>-4928.5714285714275</v>
      </c>
      <c r="N16" s="12"/>
    </row>
    <row r="17" spans="2:14" x14ac:dyDescent="0.3">
      <c r="C17" s="46" t="s">
        <v>87</v>
      </c>
      <c r="D17" s="46"/>
      <c r="E17" s="46"/>
      <c r="F17" s="48" t="s">
        <v>122</v>
      </c>
      <c r="G17" s="46"/>
      <c r="H17" s="16"/>
      <c r="I17" s="16">
        <f>-(I15+I16)*0.3</f>
        <v>-27883.801427139737</v>
      </c>
      <c r="J17" s="16">
        <f>-(J15+J16)*0.3</f>
        <v>-36362.857598396506</v>
      </c>
      <c r="K17" s="16">
        <f>-(K15+K16)*0.3</f>
        <v>-37616.900510204083</v>
      </c>
      <c r="L17" s="16">
        <f>-(L15+L16)*0.3</f>
        <v>-31521.428571428572</v>
      </c>
      <c r="N17" s="16"/>
    </row>
    <row r="18" spans="2:14" x14ac:dyDescent="0.3">
      <c r="C18" s="5" t="s">
        <v>63</v>
      </c>
      <c r="H18" s="12"/>
      <c r="I18" s="12">
        <f>I15+I16+I17</f>
        <v>65062.203329992713</v>
      </c>
      <c r="J18" s="12">
        <f>J15+J16+J17</f>
        <v>84846.667729591834</v>
      </c>
      <c r="K18" s="12">
        <f>K15+K16+K17</f>
        <v>87772.767857142855</v>
      </c>
      <c r="L18" s="12">
        <f>L15+L16+L17</f>
        <v>73550</v>
      </c>
      <c r="N18" s="12"/>
    </row>
    <row r="19" spans="2:14" x14ac:dyDescent="0.3">
      <c r="C19" s="5" t="s">
        <v>11</v>
      </c>
      <c r="H19" s="12"/>
      <c r="I19" s="12">
        <v>0</v>
      </c>
      <c r="J19" s="12">
        <v>0</v>
      </c>
      <c r="K19" s="12">
        <v>0</v>
      </c>
      <c r="L19" s="12">
        <v>7000</v>
      </c>
      <c r="N19" s="12" t="s">
        <v>119</v>
      </c>
    </row>
    <row r="20" spans="2:14" x14ac:dyDescent="0.3">
      <c r="C20" s="46" t="s">
        <v>12</v>
      </c>
      <c r="D20" s="46"/>
      <c r="E20" s="46"/>
      <c r="F20" s="46"/>
      <c r="G20" s="46"/>
      <c r="H20" s="16"/>
      <c r="I20" s="16">
        <v>0</v>
      </c>
      <c r="J20" s="16">
        <v>0</v>
      </c>
      <c r="K20" s="16">
        <v>0</v>
      </c>
      <c r="L20" s="16">
        <v>0</v>
      </c>
      <c r="N20" s="16"/>
    </row>
    <row r="21" spans="2:14" ht="12.75" thickBot="1" x14ac:dyDescent="0.35">
      <c r="C21" s="49" t="s">
        <v>1</v>
      </c>
      <c r="D21" s="49"/>
      <c r="E21" s="49"/>
      <c r="F21" s="49"/>
      <c r="G21" s="49"/>
      <c r="H21" s="17"/>
      <c r="I21" s="17">
        <f>SUM(I18:I20)</f>
        <v>65062.203329992713</v>
      </c>
      <c r="J21" s="17">
        <f>SUM(J18:J20)</f>
        <v>84846.667729591834</v>
      </c>
      <c r="K21" s="17">
        <f>SUM(K18:K20)</f>
        <v>87772.767857142855</v>
      </c>
      <c r="L21" s="17">
        <f>SUM(L18:L20)</f>
        <v>80550</v>
      </c>
      <c r="N21" s="17"/>
    </row>
    <row r="22" spans="2:14" x14ac:dyDescent="0.3">
      <c r="H22" s="12"/>
      <c r="I22" s="12"/>
      <c r="J22" s="12"/>
      <c r="K22" s="12"/>
      <c r="L22" s="12"/>
      <c r="N22" s="12"/>
    </row>
    <row r="23" spans="2:14" x14ac:dyDescent="0.3">
      <c r="B23" s="41" t="s">
        <v>97</v>
      </c>
      <c r="C23" s="42"/>
      <c r="D23" s="42"/>
      <c r="E23" s="42"/>
      <c r="F23" s="42"/>
      <c r="G23" s="42"/>
      <c r="H23" s="14"/>
      <c r="I23" s="14"/>
      <c r="J23" s="14"/>
      <c r="K23" s="14"/>
      <c r="L23" s="14"/>
      <c r="N23" s="14"/>
    </row>
    <row r="24" spans="2:14" s="7" customFormat="1" x14ac:dyDescent="0.3">
      <c r="C24" s="50" t="s">
        <v>88</v>
      </c>
      <c r="D24" s="50"/>
      <c r="E24" s="50"/>
      <c r="F24" s="50"/>
      <c r="G24" s="50"/>
      <c r="H24" s="18">
        <v>0</v>
      </c>
      <c r="I24" s="18">
        <f>SUM(I25:I28)</f>
        <v>165062.20332999271</v>
      </c>
      <c r="J24" s="18">
        <f t="shared" ref="J24:L24" si="1">SUM(J25:J28)</f>
        <v>184846.66772959183</v>
      </c>
      <c r="K24" s="18">
        <f t="shared" si="1"/>
        <v>187772.76785714284</v>
      </c>
      <c r="L24" s="18">
        <f t="shared" si="1"/>
        <v>173550</v>
      </c>
      <c r="N24" s="18"/>
    </row>
    <row r="25" spans="2:14" x14ac:dyDescent="0.3">
      <c r="D25" s="5" t="s">
        <v>1</v>
      </c>
      <c r="H25" s="12">
        <v>0</v>
      </c>
      <c r="I25" s="12">
        <f>I21</f>
        <v>65062.203329992713</v>
      </c>
      <c r="J25" s="12">
        <f>J21</f>
        <v>84846.667729591834</v>
      </c>
      <c r="K25" s="12">
        <f>K21</f>
        <v>87772.767857142855</v>
      </c>
      <c r="L25" s="12">
        <f>L21</f>
        <v>80550</v>
      </c>
      <c r="N25" s="12"/>
    </row>
    <row r="26" spans="2:14" x14ac:dyDescent="0.3">
      <c r="D26" s="8" t="s">
        <v>66</v>
      </c>
      <c r="H26" s="12">
        <v>0</v>
      </c>
      <c r="I26" s="12">
        <f>-I14</f>
        <v>100000</v>
      </c>
      <c r="J26" s="12">
        <f>-J14</f>
        <v>100000</v>
      </c>
      <c r="K26" s="12">
        <f>-K14</f>
        <v>100000</v>
      </c>
      <c r="L26" s="12">
        <f>-L14</f>
        <v>100000</v>
      </c>
      <c r="N26" s="12"/>
    </row>
    <row r="27" spans="2:14" x14ac:dyDescent="0.3">
      <c r="D27" s="5" t="s">
        <v>13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N27" s="12"/>
    </row>
    <row r="28" spans="2:14" x14ac:dyDescent="0.3">
      <c r="C28" s="44"/>
      <c r="D28" s="44" t="s">
        <v>67</v>
      </c>
      <c r="E28" s="44"/>
      <c r="F28" s="44"/>
      <c r="G28" s="44"/>
      <c r="H28" s="19">
        <v>0</v>
      </c>
      <c r="I28" s="19">
        <v>0</v>
      </c>
      <c r="J28" s="19">
        <v>0</v>
      </c>
      <c r="K28" s="19">
        <v>0</v>
      </c>
      <c r="L28" s="19">
        <f>-L19</f>
        <v>-7000</v>
      </c>
      <c r="N28" s="19"/>
    </row>
    <row r="29" spans="2:14" x14ac:dyDescent="0.3">
      <c r="C29" s="51" t="s">
        <v>89</v>
      </c>
      <c r="D29" s="52"/>
      <c r="E29" s="52"/>
      <c r="F29" s="52"/>
      <c r="G29" s="52"/>
      <c r="H29" s="20">
        <f>SUM(H30:H32)</f>
        <v>400000</v>
      </c>
      <c r="I29" s="20">
        <f t="shared" ref="I29:L29" si="2">SUM(I30:I32)</f>
        <v>-165062.20332999271</v>
      </c>
      <c r="J29" s="20">
        <f t="shared" si="2"/>
        <v>-184846.66772959183</v>
      </c>
      <c r="K29" s="20">
        <f t="shared" si="2"/>
        <v>-187772.76785714287</v>
      </c>
      <c r="L29" s="20">
        <f t="shared" si="2"/>
        <v>-180550</v>
      </c>
      <c r="N29" s="20"/>
    </row>
    <row r="30" spans="2:14" x14ac:dyDescent="0.3">
      <c r="C30" s="7"/>
      <c r="D30" s="5" t="s">
        <v>25</v>
      </c>
      <c r="H30" s="12">
        <f>H5</f>
        <v>400000</v>
      </c>
      <c r="I30" s="12">
        <v>0</v>
      </c>
      <c r="J30" s="12">
        <v>0</v>
      </c>
      <c r="K30" s="12">
        <v>0</v>
      </c>
      <c r="L30" s="12">
        <v>0</v>
      </c>
      <c r="N30" s="12"/>
    </row>
    <row r="31" spans="2:14" x14ac:dyDescent="0.3">
      <c r="D31" s="5" t="s">
        <v>14</v>
      </c>
      <c r="H31" s="12">
        <v>0</v>
      </c>
      <c r="I31" s="12">
        <f>I6-H6</f>
        <v>-54392.009514264879</v>
      </c>
      <c r="J31" s="12">
        <f>J6-I6</f>
        <v>-69669.050655976636</v>
      </c>
      <c r="K31" s="12">
        <f>K6-J6</f>
        <v>-78029.336734693876</v>
      </c>
      <c r="L31" s="12">
        <f>L6-K6</f>
        <v>-82142.85714285713</v>
      </c>
      <c r="N31" s="12"/>
    </row>
    <row r="32" spans="2:14" ht="13.5" x14ac:dyDescent="0.3">
      <c r="D32" s="5" t="s">
        <v>123</v>
      </c>
      <c r="H32" s="12">
        <v>0</v>
      </c>
      <c r="I32" s="12">
        <f>-I145</f>
        <v>-110670.19381572783</v>
      </c>
      <c r="J32" s="12">
        <f>-J145</f>
        <v>-115177.6170736152</v>
      </c>
      <c r="K32" s="12">
        <f>-K145</f>
        <v>-109743.43112244899</v>
      </c>
      <c r="L32" s="12">
        <f>-L145</f>
        <v>-98407.14285714287</v>
      </c>
      <c r="N32" s="21">
        <f>H7+I21-I7</f>
        <v>110670.19381572783</v>
      </c>
    </row>
    <row r="33" spans="3:14" s="7" customFormat="1" x14ac:dyDescent="0.3">
      <c r="C33" s="51" t="s">
        <v>90</v>
      </c>
      <c r="D33" s="51"/>
      <c r="E33" s="51"/>
      <c r="F33" s="51"/>
      <c r="G33" s="51"/>
      <c r="H33" s="20">
        <f>SUM(H34)</f>
        <v>-400000</v>
      </c>
      <c r="I33" s="20">
        <f t="shared" ref="I33:L33" si="3">SUM(I34)</f>
        <v>0</v>
      </c>
      <c r="J33" s="20">
        <f t="shared" si="3"/>
        <v>0</v>
      </c>
      <c r="K33" s="20">
        <f t="shared" si="3"/>
        <v>0</v>
      </c>
      <c r="L33" s="20">
        <f t="shared" si="3"/>
        <v>7000</v>
      </c>
      <c r="N33" s="20"/>
    </row>
    <row r="34" spans="3:14" x14ac:dyDescent="0.3">
      <c r="C34" s="7"/>
      <c r="D34" s="5" t="s">
        <v>26</v>
      </c>
      <c r="H34" s="12">
        <v>-400000</v>
      </c>
      <c r="I34" s="12">
        <v>0</v>
      </c>
      <c r="J34" s="12">
        <v>0</v>
      </c>
      <c r="K34" s="12">
        <v>0</v>
      </c>
      <c r="L34" s="12">
        <f>-L28</f>
        <v>7000</v>
      </c>
      <c r="N34" s="12"/>
    </row>
    <row r="35" spans="3:14" s="7" customFormat="1" ht="12.75" thickBot="1" x14ac:dyDescent="0.35">
      <c r="C35" s="49" t="s">
        <v>91</v>
      </c>
      <c r="D35" s="49"/>
      <c r="E35" s="49"/>
      <c r="F35" s="49"/>
      <c r="G35" s="49"/>
      <c r="H35" s="17">
        <f>ROUND(H24+H29+H33, 0)</f>
        <v>0</v>
      </c>
      <c r="I35" s="17">
        <f t="shared" ref="I35:L35" si="4">ROUND(I24+I29+I33, 0)</f>
        <v>0</v>
      </c>
      <c r="J35" s="17">
        <f t="shared" si="4"/>
        <v>0</v>
      </c>
      <c r="K35" s="17">
        <f t="shared" si="4"/>
        <v>0</v>
      </c>
      <c r="L35" s="17">
        <f t="shared" si="4"/>
        <v>0</v>
      </c>
      <c r="N35" s="17"/>
    </row>
    <row r="37" spans="3:14" ht="11.45" customHeight="1" x14ac:dyDescent="0.3">
      <c r="C37" s="2" t="s">
        <v>106</v>
      </c>
      <c r="D37" s="22"/>
      <c r="E37" s="22"/>
      <c r="F37" s="22"/>
      <c r="G37" s="22"/>
      <c r="H37" s="22"/>
      <c r="I37" s="22"/>
      <c r="J37" s="22"/>
      <c r="K37" s="22"/>
      <c r="L37" s="22"/>
      <c r="N37" s="22"/>
    </row>
    <row r="38" spans="3:14" x14ac:dyDescent="0.3">
      <c r="C38" s="1" t="s">
        <v>107</v>
      </c>
      <c r="D38" s="3"/>
      <c r="E38" s="3"/>
      <c r="F38" s="3"/>
      <c r="G38" s="3"/>
      <c r="H38" s="4"/>
      <c r="I38" s="4"/>
      <c r="J38" s="4"/>
      <c r="K38" s="4"/>
      <c r="L38" s="4"/>
      <c r="N38" s="4"/>
    </row>
    <row r="39" spans="3:14" x14ac:dyDescent="0.3">
      <c r="C39" s="1" t="s">
        <v>159</v>
      </c>
      <c r="D39" s="3"/>
      <c r="E39" s="3"/>
      <c r="F39" s="3"/>
      <c r="G39" s="3"/>
      <c r="H39" s="4"/>
      <c r="I39" s="4"/>
      <c r="J39" s="4"/>
      <c r="K39" s="4"/>
      <c r="L39" s="4"/>
      <c r="N39" s="4"/>
    </row>
    <row r="40" spans="3:14" x14ac:dyDescent="0.3">
      <c r="C40" s="1" t="s">
        <v>110</v>
      </c>
      <c r="D40" s="3"/>
      <c r="E40" s="3"/>
      <c r="F40" s="3"/>
      <c r="G40" s="3"/>
      <c r="H40" s="4"/>
      <c r="I40" s="4"/>
      <c r="J40" s="4"/>
      <c r="K40" s="4"/>
      <c r="L40" s="4"/>
      <c r="N40" s="4"/>
    </row>
    <row r="41" spans="3:14" x14ac:dyDescent="0.3">
      <c r="C41" s="1" t="s">
        <v>108</v>
      </c>
      <c r="D41" s="3"/>
      <c r="E41" s="3"/>
      <c r="F41" s="3"/>
      <c r="G41" s="3"/>
      <c r="H41" s="4"/>
      <c r="I41" s="4"/>
      <c r="J41" s="4"/>
      <c r="K41" s="4"/>
      <c r="L41" s="4"/>
      <c r="N41" s="4"/>
    </row>
    <row r="42" spans="3:14" x14ac:dyDescent="0.3">
      <c r="C42" s="1" t="s">
        <v>109</v>
      </c>
      <c r="D42" s="3"/>
      <c r="E42" s="3"/>
      <c r="F42" s="3"/>
      <c r="G42" s="3"/>
      <c r="H42" s="4"/>
      <c r="I42" s="4"/>
      <c r="J42" s="4"/>
      <c r="K42" s="4"/>
      <c r="L42" s="4"/>
      <c r="N42" s="4"/>
    </row>
    <row r="43" spans="3:14" x14ac:dyDescent="0.3">
      <c r="C43" s="1" t="s">
        <v>111</v>
      </c>
      <c r="D43" s="3"/>
      <c r="E43" s="3"/>
      <c r="F43" s="3"/>
      <c r="G43" s="3"/>
      <c r="H43" s="4"/>
      <c r="I43" s="4"/>
      <c r="J43" s="4"/>
      <c r="K43" s="4"/>
      <c r="L43" s="4"/>
      <c r="N43" s="4"/>
    </row>
    <row r="44" spans="3:14" x14ac:dyDescent="0.3">
      <c r="C44" s="1" t="s">
        <v>112</v>
      </c>
      <c r="D44" s="3"/>
      <c r="E44" s="3"/>
      <c r="F44" s="3"/>
      <c r="G44" s="3"/>
      <c r="H44" s="4"/>
      <c r="I44" s="4"/>
      <c r="J44" s="4"/>
      <c r="K44" s="4"/>
      <c r="L44" s="4"/>
      <c r="N44" s="4"/>
    </row>
    <row r="45" spans="3:14" x14ac:dyDescent="0.3">
      <c r="C45" s="1" t="s">
        <v>113</v>
      </c>
      <c r="D45" s="3"/>
      <c r="E45" s="3"/>
      <c r="F45" s="3"/>
      <c r="G45" s="3"/>
      <c r="H45" s="4"/>
      <c r="I45" s="4"/>
      <c r="J45" s="4"/>
      <c r="K45" s="4"/>
      <c r="L45" s="4"/>
      <c r="N45" s="4"/>
    </row>
    <row r="46" spans="3:14" x14ac:dyDescent="0.3">
      <c r="C46" s="1" t="s">
        <v>114</v>
      </c>
      <c r="D46" s="3"/>
      <c r="E46" s="3"/>
      <c r="F46" s="3"/>
      <c r="G46" s="3"/>
      <c r="H46" s="4"/>
      <c r="I46" s="4"/>
      <c r="J46" s="4"/>
      <c r="K46" s="4"/>
      <c r="L46" s="4"/>
      <c r="N46" s="4"/>
    </row>
    <row r="47" spans="3:14" x14ac:dyDescent="0.3">
      <c r="C47" s="1"/>
    </row>
    <row r="48" spans="3:14" x14ac:dyDescent="0.3">
      <c r="C48" s="71" t="s">
        <v>115</v>
      </c>
      <c r="D48" s="71"/>
      <c r="E48" s="71"/>
      <c r="F48" s="71"/>
      <c r="G48" s="71"/>
      <c r="H48" s="71"/>
      <c r="I48" s="71"/>
      <c r="J48" s="71"/>
      <c r="K48" s="71"/>
      <c r="L48" s="71"/>
      <c r="N48" s="5"/>
    </row>
    <row r="49" spans="1:14" x14ac:dyDescent="0.3">
      <c r="C49" s="7" t="s">
        <v>117</v>
      </c>
    </row>
    <row r="51" spans="1:14" ht="13.5" x14ac:dyDescent="0.3">
      <c r="C51" s="8" t="s">
        <v>116</v>
      </c>
    </row>
    <row r="52" spans="1:14" ht="13.5" x14ac:dyDescent="0.3">
      <c r="C52" s="8" t="s">
        <v>124</v>
      </c>
    </row>
    <row r="53" spans="1:14" ht="13.5" x14ac:dyDescent="0.3">
      <c r="C53" s="8" t="s">
        <v>125</v>
      </c>
      <c r="H53" s="47" t="s">
        <v>126</v>
      </c>
    </row>
    <row r="54" spans="1:14" ht="13.5" x14ac:dyDescent="0.3">
      <c r="C54" s="8" t="s">
        <v>127</v>
      </c>
      <c r="G54" s="53"/>
      <c r="H54" s="47" t="s">
        <v>128</v>
      </c>
      <c r="I54" s="5"/>
    </row>
    <row r="55" spans="1:14" ht="13.5" x14ac:dyDescent="0.3">
      <c r="C55" s="8" t="s">
        <v>68</v>
      </c>
      <c r="H55" s="47" t="s">
        <v>129</v>
      </c>
    </row>
    <row r="56" spans="1:14" x14ac:dyDescent="0.3">
      <c r="L56" s="23"/>
      <c r="N56" s="23"/>
    </row>
    <row r="57" spans="1:14" x14ac:dyDescent="0.3">
      <c r="L57" s="23"/>
      <c r="N57" s="23"/>
    </row>
    <row r="58" spans="1:14" x14ac:dyDescent="0.3">
      <c r="L58" s="23"/>
      <c r="N58" s="23"/>
    </row>
    <row r="59" spans="1:14" s="7" customFormat="1" x14ac:dyDescent="0.3">
      <c r="A59" s="67" t="s">
        <v>157</v>
      </c>
      <c r="B59" s="67"/>
      <c r="C59" s="67"/>
      <c r="D59" s="67"/>
      <c r="E59" s="67"/>
      <c r="F59" s="67"/>
      <c r="G59" s="67"/>
      <c r="H59" s="70"/>
      <c r="I59" s="70"/>
      <c r="J59" s="70"/>
      <c r="K59" s="70"/>
      <c r="L59" s="70"/>
      <c r="M59" s="67"/>
      <c r="N59" s="70"/>
    </row>
    <row r="60" spans="1:14" x14ac:dyDescent="0.3">
      <c r="B60" s="7"/>
    </row>
    <row r="61" spans="1:14" x14ac:dyDescent="0.3">
      <c r="B61" s="41" t="s">
        <v>64</v>
      </c>
      <c r="C61" s="42"/>
      <c r="D61" s="42"/>
      <c r="E61" s="42"/>
      <c r="F61" s="42"/>
      <c r="G61" s="42"/>
      <c r="H61" s="24" t="s">
        <v>19</v>
      </c>
      <c r="I61" s="24" t="s">
        <v>15</v>
      </c>
      <c r="J61" s="24" t="s">
        <v>16</v>
      </c>
      <c r="K61" s="24" t="s">
        <v>17</v>
      </c>
      <c r="L61" s="24" t="s">
        <v>18</v>
      </c>
      <c r="N61" s="24"/>
    </row>
    <row r="62" spans="1:14" x14ac:dyDescent="0.3">
      <c r="C62" s="5" t="str">
        <f>C5</f>
        <v>Assets</v>
      </c>
      <c r="H62" s="6">
        <f t="shared" ref="H62:L64" si="5">H5</f>
        <v>400000</v>
      </c>
      <c r="I62" s="6">
        <f t="shared" si="5"/>
        <v>300000</v>
      </c>
      <c r="J62" s="6">
        <f t="shared" si="5"/>
        <v>200000</v>
      </c>
      <c r="K62" s="6">
        <f t="shared" si="5"/>
        <v>100000</v>
      </c>
      <c r="L62" s="6">
        <f t="shared" si="5"/>
        <v>0</v>
      </c>
    </row>
    <row r="63" spans="1:14" x14ac:dyDescent="0.3">
      <c r="C63" s="5" t="str">
        <f>C6</f>
        <v>Liabilities</v>
      </c>
      <c r="H63" s="6">
        <f t="shared" si="5"/>
        <v>284233.25404779252</v>
      </c>
      <c r="I63" s="6">
        <f t="shared" si="5"/>
        <v>229841.24453352764</v>
      </c>
      <c r="J63" s="6">
        <f t="shared" si="5"/>
        <v>160172.19387755101</v>
      </c>
      <c r="K63" s="6">
        <f t="shared" si="5"/>
        <v>82142.85714285713</v>
      </c>
      <c r="L63" s="6">
        <f t="shared" si="5"/>
        <v>0</v>
      </c>
    </row>
    <row r="64" spans="1:14" ht="12.75" thickBot="1" x14ac:dyDescent="0.35">
      <c r="B64" s="44"/>
      <c r="C64" s="45" t="str">
        <f>C7</f>
        <v>Equity (net of worth)</v>
      </c>
      <c r="D64" s="45"/>
      <c r="E64" s="45"/>
      <c r="F64" s="45"/>
      <c r="G64" s="45"/>
      <c r="H64" s="25">
        <f t="shared" si="5"/>
        <v>115766.74595220748</v>
      </c>
      <c r="I64" s="25">
        <f t="shared" si="5"/>
        <v>70158.755466472358</v>
      </c>
      <c r="J64" s="25">
        <f t="shared" si="5"/>
        <v>39827.806122448994</v>
      </c>
      <c r="K64" s="25">
        <f t="shared" si="5"/>
        <v>17857.14285714287</v>
      </c>
      <c r="L64" s="25">
        <f t="shared" si="5"/>
        <v>0</v>
      </c>
      <c r="N64" s="25"/>
    </row>
    <row r="66" spans="2:14" x14ac:dyDescent="0.3">
      <c r="B66" s="41" t="s">
        <v>65</v>
      </c>
      <c r="C66" s="42"/>
      <c r="D66" s="42"/>
      <c r="E66" s="42"/>
      <c r="F66" s="42"/>
      <c r="G66" s="42"/>
      <c r="H66" s="24" t="s">
        <v>19</v>
      </c>
      <c r="I66" s="24" t="s">
        <v>15</v>
      </c>
      <c r="J66" s="24" t="s">
        <v>16</v>
      </c>
      <c r="K66" s="24" t="s">
        <v>17</v>
      </c>
      <c r="L66" s="24" t="s">
        <v>18</v>
      </c>
      <c r="N66" s="24"/>
    </row>
    <row r="67" spans="2:14" s="7" customFormat="1" x14ac:dyDescent="0.3">
      <c r="C67" s="7" t="s">
        <v>7</v>
      </c>
      <c r="H67" s="26"/>
      <c r="I67" s="26">
        <f t="shared" ref="I67:L75" si="6">I10</f>
        <v>400000</v>
      </c>
      <c r="J67" s="26">
        <f t="shared" si="6"/>
        <v>450000</v>
      </c>
      <c r="K67" s="26">
        <f t="shared" si="6"/>
        <v>450000</v>
      </c>
      <c r="L67" s="26">
        <f t="shared" si="6"/>
        <v>400000</v>
      </c>
      <c r="N67" s="26"/>
    </row>
    <row r="68" spans="2:14" x14ac:dyDescent="0.3">
      <c r="C68" s="8" t="s">
        <v>8</v>
      </c>
      <c r="I68" s="6">
        <f t="shared" si="6"/>
        <v>-150000</v>
      </c>
      <c r="J68" s="6">
        <f t="shared" si="6"/>
        <v>-175000</v>
      </c>
      <c r="K68" s="6">
        <f t="shared" si="6"/>
        <v>-175000</v>
      </c>
      <c r="L68" s="6">
        <f t="shared" si="6"/>
        <v>-150000</v>
      </c>
    </row>
    <row r="69" spans="2:14" x14ac:dyDescent="0.3">
      <c r="C69" s="46" t="s">
        <v>9</v>
      </c>
      <c r="D69" s="46"/>
      <c r="E69" s="46"/>
      <c r="F69" s="46"/>
      <c r="G69" s="46"/>
      <c r="H69" s="27"/>
      <c r="I69" s="27">
        <f t="shared" si="6"/>
        <v>-40000</v>
      </c>
      <c r="J69" s="27">
        <f t="shared" si="6"/>
        <v>-40000</v>
      </c>
      <c r="K69" s="27">
        <f t="shared" si="6"/>
        <v>-40000</v>
      </c>
      <c r="L69" s="27">
        <f t="shared" si="6"/>
        <v>-40000</v>
      </c>
      <c r="N69" s="27"/>
    </row>
    <row r="70" spans="2:14" x14ac:dyDescent="0.3">
      <c r="C70" s="7" t="s">
        <v>3</v>
      </c>
      <c r="D70" s="7"/>
      <c r="E70" s="7"/>
      <c r="F70" s="7"/>
      <c r="G70" s="7"/>
      <c r="H70" s="26"/>
      <c r="I70" s="26">
        <f t="shared" si="6"/>
        <v>210000</v>
      </c>
      <c r="J70" s="26">
        <f t="shared" si="6"/>
        <v>235000</v>
      </c>
      <c r="K70" s="26">
        <f t="shared" si="6"/>
        <v>235000</v>
      </c>
      <c r="L70" s="26">
        <f t="shared" si="6"/>
        <v>210000</v>
      </c>
      <c r="N70" s="26"/>
    </row>
    <row r="71" spans="2:14" x14ac:dyDescent="0.3">
      <c r="C71" s="46" t="s">
        <v>10</v>
      </c>
      <c r="D71" s="46"/>
      <c r="E71" s="46"/>
      <c r="F71" s="46"/>
      <c r="G71" s="46"/>
      <c r="H71" s="27"/>
      <c r="I71" s="27">
        <f t="shared" si="6"/>
        <v>-100000</v>
      </c>
      <c r="J71" s="27">
        <f t="shared" si="6"/>
        <v>-100000</v>
      </c>
      <c r="K71" s="27">
        <f t="shared" si="6"/>
        <v>-100000</v>
      </c>
      <c r="L71" s="27">
        <f t="shared" si="6"/>
        <v>-100000</v>
      </c>
      <c r="N71" s="27"/>
    </row>
    <row r="72" spans="2:14" x14ac:dyDescent="0.3">
      <c r="C72" s="7" t="s">
        <v>2</v>
      </c>
      <c r="D72" s="7"/>
      <c r="E72" s="7"/>
      <c r="F72" s="7"/>
      <c r="G72" s="7"/>
      <c r="H72" s="26"/>
      <c r="I72" s="26">
        <f t="shared" si="6"/>
        <v>110000</v>
      </c>
      <c r="J72" s="26">
        <f t="shared" si="6"/>
        <v>135000</v>
      </c>
      <c r="K72" s="26">
        <f t="shared" si="6"/>
        <v>135000</v>
      </c>
      <c r="L72" s="26">
        <f t="shared" si="6"/>
        <v>110000</v>
      </c>
      <c r="N72" s="26"/>
    </row>
    <row r="73" spans="2:14" x14ac:dyDescent="0.3">
      <c r="C73" s="5" t="s">
        <v>86</v>
      </c>
      <c r="F73" s="47" t="s">
        <v>121</v>
      </c>
      <c r="I73" s="6">
        <f t="shared" si="6"/>
        <v>-17053.99524286755</v>
      </c>
      <c r="J73" s="6">
        <f t="shared" si="6"/>
        <v>-13790.474672011658</v>
      </c>
      <c r="K73" s="6">
        <f t="shared" si="6"/>
        <v>-9610.3316326530603</v>
      </c>
      <c r="L73" s="6">
        <f t="shared" si="6"/>
        <v>-4928.5714285714275</v>
      </c>
    </row>
    <row r="74" spans="2:14" x14ac:dyDescent="0.3">
      <c r="C74" s="46" t="s">
        <v>87</v>
      </c>
      <c r="D74" s="46"/>
      <c r="E74" s="46"/>
      <c r="F74" s="48" t="s">
        <v>122</v>
      </c>
      <c r="G74" s="46"/>
      <c r="H74" s="27"/>
      <c r="I74" s="27">
        <f t="shared" si="6"/>
        <v>-27883.801427139737</v>
      </c>
      <c r="J74" s="27">
        <f t="shared" si="6"/>
        <v>-36362.857598396506</v>
      </c>
      <c r="K74" s="27">
        <f t="shared" si="6"/>
        <v>-37616.900510204083</v>
      </c>
      <c r="L74" s="27">
        <f t="shared" si="6"/>
        <v>-31521.428571428572</v>
      </c>
      <c r="N74" s="27"/>
    </row>
    <row r="75" spans="2:14" x14ac:dyDescent="0.3">
      <c r="C75" s="5" t="s">
        <v>63</v>
      </c>
      <c r="I75" s="6">
        <f t="shared" si="6"/>
        <v>65062.203329992713</v>
      </c>
      <c r="J75" s="6">
        <f t="shared" si="6"/>
        <v>84846.667729591834</v>
      </c>
      <c r="K75" s="6">
        <f t="shared" si="6"/>
        <v>87772.767857142855</v>
      </c>
      <c r="L75" s="6">
        <f t="shared" si="6"/>
        <v>73550</v>
      </c>
    </row>
    <row r="76" spans="2:14" x14ac:dyDescent="0.3">
      <c r="C76" s="5" t="s">
        <v>11</v>
      </c>
      <c r="L76" s="6">
        <f>L19</f>
        <v>7000</v>
      </c>
    </row>
    <row r="77" spans="2:14" x14ac:dyDescent="0.3">
      <c r="C77" s="46" t="s">
        <v>12</v>
      </c>
      <c r="D77" s="46"/>
      <c r="E77" s="46"/>
      <c r="F77" s="46"/>
      <c r="G77" s="46"/>
      <c r="H77" s="27"/>
      <c r="I77" s="27"/>
      <c r="J77" s="27"/>
      <c r="K77" s="27"/>
      <c r="L77" s="27"/>
      <c r="N77" s="27"/>
    </row>
    <row r="78" spans="2:14" ht="12.75" thickBot="1" x14ac:dyDescent="0.35">
      <c r="C78" s="49" t="s">
        <v>1</v>
      </c>
      <c r="D78" s="49"/>
      <c r="E78" s="49"/>
      <c r="F78" s="49"/>
      <c r="G78" s="49"/>
      <c r="H78" s="28"/>
      <c r="I78" s="28">
        <f>I21</f>
        <v>65062.203329992713</v>
      </c>
      <c r="J78" s="28">
        <f>J21</f>
        <v>84846.667729591834</v>
      </c>
      <c r="K78" s="28">
        <f>K21</f>
        <v>87772.767857142855</v>
      </c>
      <c r="L78" s="28">
        <f>L21</f>
        <v>80550</v>
      </c>
      <c r="N78" s="28"/>
    </row>
    <row r="79" spans="2:14" x14ac:dyDescent="0.3">
      <c r="C79" s="50"/>
      <c r="D79" s="50"/>
      <c r="E79" s="50"/>
      <c r="F79" s="50"/>
      <c r="G79" s="50"/>
      <c r="H79" s="29"/>
      <c r="I79" s="29"/>
      <c r="J79" s="29"/>
      <c r="K79" s="29"/>
      <c r="L79" s="29"/>
      <c r="N79" s="29"/>
    </row>
    <row r="80" spans="2:14" x14ac:dyDescent="0.3">
      <c r="C80" s="50"/>
      <c r="D80" s="50"/>
      <c r="E80" s="50"/>
      <c r="F80" s="50"/>
      <c r="G80" s="50"/>
      <c r="H80" s="29"/>
      <c r="I80" s="29"/>
      <c r="J80" s="29"/>
      <c r="K80" s="29"/>
      <c r="L80" s="29"/>
      <c r="N80" s="29"/>
    </row>
    <row r="81" spans="2:14" x14ac:dyDescent="0.3">
      <c r="B81" s="5" t="s">
        <v>130</v>
      </c>
    </row>
    <row r="82" spans="2:14" x14ac:dyDescent="0.3">
      <c r="B82" s="5" t="s">
        <v>131</v>
      </c>
      <c r="L82" s="9" t="s">
        <v>71</v>
      </c>
      <c r="N82" s="9"/>
    </row>
    <row r="83" spans="2:14" x14ac:dyDescent="0.3">
      <c r="B83" s="5" t="s">
        <v>132</v>
      </c>
      <c r="L83" s="30" t="s">
        <v>43</v>
      </c>
      <c r="N83" s="30"/>
    </row>
    <row r="84" spans="2:14" x14ac:dyDescent="0.3">
      <c r="B84" s="5" t="s">
        <v>133</v>
      </c>
    </row>
    <row r="85" spans="2:14" x14ac:dyDescent="0.3">
      <c r="B85" s="5" t="s">
        <v>134</v>
      </c>
      <c r="L85" s="9" t="s">
        <v>135</v>
      </c>
      <c r="N85" s="9"/>
    </row>
    <row r="86" spans="2:14" x14ac:dyDescent="0.3">
      <c r="L86" s="9" t="s">
        <v>136</v>
      </c>
      <c r="N86" s="9"/>
    </row>
    <row r="88" spans="2:14" x14ac:dyDescent="0.3">
      <c r="B88" s="54" t="s">
        <v>96</v>
      </c>
      <c r="C88" s="42"/>
      <c r="D88" s="42"/>
      <c r="E88" s="42"/>
      <c r="F88" s="42"/>
      <c r="G88" s="42"/>
      <c r="H88" s="24" t="s">
        <v>19</v>
      </c>
      <c r="I88" s="24" t="s">
        <v>15</v>
      </c>
      <c r="J88" s="24" t="s">
        <v>16</v>
      </c>
      <c r="K88" s="24" t="s">
        <v>17</v>
      </c>
      <c r="L88" s="24" t="s">
        <v>18</v>
      </c>
      <c r="N88" s="24"/>
    </row>
    <row r="89" spans="2:14" x14ac:dyDescent="0.3">
      <c r="C89" s="7"/>
      <c r="D89" s="7" t="s">
        <v>20</v>
      </c>
      <c r="H89" s="26"/>
      <c r="I89" s="26">
        <f>SUM(I90:I92)</f>
        <v>177000</v>
      </c>
      <c r="J89" s="26">
        <f>SUM(J90:J92)</f>
        <v>194500</v>
      </c>
      <c r="K89" s="26">
        <f>SUM(K90:K92)</f>
        <v>194500</v>
      </c>
      <c r="L89" s="26">
        <f>SUM(L90:L92)</f>
        <v>177000</v>
      </c>
      <c r="N89" s="26"/>
    </row>
    <row r="90" spans="2:14" x14ac:dyDescent="0.3">
      <c r="C90" s="7"/>
      <c r="E90" s="8" t="s">
        <v>69</v>
      </c>
      <c r="I90" s="6">
        <f>I15</f>
        <v>110000</v>
      </c>
      <c r="J90" s="6">
        <f>J15</f>
        <v>135000</v>
      </c>
      <c r="K90" s="6">
        <f>K15</f>
        <v>135000</v>
      </c>
      <c r="L90" s="6">
        <f>L15</f>
        <v>110000</v>
      </c>
    </row>
    <row r="91" spans="2:14" x14ac:dyDescent="0.3">
      <c r="C91" s="7"/>
      <c r="E91" s="55" t="s">
        <v>70</v>
      </c>
      <c r="F91" s="7"/>
      <c r="G91" s="7"/>
      <c r="H91" s="26"/>
      <c r="I91" s="31">
        <f>-I90*0.3</f>
        <v>-33000</v>
      </c>
      <c r="J91" s="31">
        <f>-J90*0.3</f>
        <v>-40500</v>
      </c>
      <c r="K91" s="31">
        <f>-K90*0.3</f>
        <v>-40500</v>
      </c>
      <c r="L91" s="31">
        <f>-L90*0.3</f>
        <v>-33000</v>
      </c>
      <c r="N91" s="31"/>
    </row>
    <row r="92" spans="2:14" x14ac:dyDescent="0.3">
      <c r="C92" s="7"/>
      <c r="D92" s="44"/>
      <c r="E92" s="55" t="s">
        <v>99</v>
      </c>
      <c r="F92" s="44"/>
      <c r="G92" s="44"/>
      <c r="H92" s="31"/>
      <c r="I92" s="31">
        <f>-I14</f>
        <v>100000</v>
      </c>
      <c r="J92" s="31">
        <f>-J14</f>
        <v>100000</v>
      </c>
      <c r="K92" s="31">
        <f>-K14</f>
        <v>100000</v>
      </c>
      <c r="L92" s="31">
        <f>-L14</f>
        <v>100000</v>
      </c>
      <c r="N92" s="31"/>
    </row>
    <row r="93" spans="2:14" x14ac:dyDescent="0.3">
      <c r="C93" s="7"/>
      <c r="D93" s="7" t="s">
        <v>137</v>
      </c>
      <c r="H93" s="26"/>
      <c r="L93" s="26">
        <v>7000</v>
      </c>
      <c r="N93" s="26"/>
    </row>
    <row r="94" spans="2:14" x14ac:dyDescent="0.3">
      <c r="C94" s="7"/>
      <c r="D94" s="7" t="s">
        <v>138</v>
      </c>
    </row>
    <row r="95" spans="2:14" ht="12.75" thickBot="1" x14ac:dyDescent="0.35">
      <c r="C95" s="49" t="s">
        <v>27</v>
      </c>
      <c r="D95" s="49"/>
      <c r="E95" s="49"/>
      <c r="F95" s="49"/>
      <c r="G95" s="49"/>
      <c r="H95" s="28"/>
      <c r="I95" s="28">
        <f>SUM(I89,I93,I94)</f>
        <v>177000</v>
      </c>
      <c r="J95" s="28">
        <f>SUM(J89,J93,J94)</f>
        <v>194500</v>
      </c>
      <c r="K95" s="28">
        <f>SUM(K89,K93,K94)</f>
        <v>194500</v>
      </c>
      <c r="L95" s="28">
        <f>SUM(L89,L93,L94)</f>
        <v>184000</v>
      </c>
      <c r="N95" s="28"/>
    </row>
    <row r="97" spans="2:14" x14ac:dyDescent="0.3">
      <c r="B97" s="54" t="s">
        <v>33</v>
      </c>
      <c r="C97" s="42"/>
      <c r="D97" s="42"/>
      <c r="E97" s="42"/>
      <c r="F97" s="42"/>
      <c r="G97" s="42"/>
      <c r="H97" s="32">
        <v>0</v>
      </c>
      <c r="I97" s="32">
        <v>1</v>
      </c>
      <c r="J97" s="32">
        <v>2</v>
      </c>
      <c r="K97" s="32">
        <v>3</v>
      </c>
      <c r="L97" s="32">
        <v>4</v>
      </c>
      <c r="N97" s="32"/>
    </row>
    <row r="98" spans="2:14" x14ac:dyDescent="0.3">
      <c r="C98" s="5" t="s">
        <v>22</v>
      </c>
      <c r="H98" s="6">
        <f>H95</f>
        <v>0</v>
      </c>
      <c r="I98" s="6">
        <f>I95</f>
        <v>177000</v>
      </c>
      <c r="J98" s="6">
        <f>J95</f>
        <v>194500</v>
      </c>
      <c r="K98" s="6">
        <f>K95</f>
        <v>194500</v>
      </c>
      <c r="L98" s="6">
        <f>L95</f>
        <v>184000</v>
      </c>
    </row>
    <row r="99" spans="2:14" x14ac:dyDescent="0.3">
      <c r="C99" s="5" t="s">
        <v>21</v>
      </c>
      <c r="H99" s="33">
        <v>1</v>
      </c>
      <c r="I99" s="33">
        <f>(1+12%)^I97</f>
        <v>1.1200000000000001</v>
      </c>
      <c r="J99" s="33">
        <f>(1+12%)^J97</f>
        <v>1.2544000000000002</v>
      </c>
      <c r="K99" s="33">
        <f>(1+12%)^K97</f>
        <v>1.4049280000000004</v>
      </c>
      <c r="L99" s="33">
        <f>(1+12%)^L97</f>
        <v>1.5735193600000004</v>
      </c>
      <c r="N99" s="33"/>
    </row>
    <row r="100" spans="2:14" ht="12.75" thickBot="1" x14ac:dyDescent="0.35">
      <c r="B100" s="49" t="s">
        <v>23</v>
      </c>
      <c r="C100" s="49"/>
      <c r="D100" s="49"/>
      <c r="E100" s="49"/>
      <c r="F100" s="49"/>
      <c r="G100" s="49"/>
      <c r="H100" s="28">
        <f>H98/H99</f>
        <v>0</v>
      </c>
      <c r="I100" s="28">
        <f>I98/I99</f>
        <v>158035.71428571426</v>
      </c>
      <c r="J100" s="28">
        <f>J98/J99</f>
        <v>155054.20918367343</v>
      </c>
      <c r="K100" s="28">
        <f>K98/K99</f>
        <v>138441.25819970842</v>
      </c>
      <c r="L100" s="28">
        <f>L98/L99</f>
        <v>116935.32642648893</v>
      </c>
      <c r="N100" s="28"/>
    </row>
    <row r="103" spans="2:14" x14ac:dyDescent="0.3">
      <c r="B103" s="50" t="s">
        <v>54</v>
      </c>
      <c r="C103" s="44"/>
      <c r="D103" s="44"/>
      <c r="E103" s="44"/>
      <c r="F103" s="44"/>
      <c r="G103" s="44"/>
      <c r="H103" s="29">
        <f>SUM(H100:L100)</f>
        <v>568466.50809558504</v>
      </c>
    </row>
    <row r="116" spans="1:14" s="7" customFormat="1" x14ac:dyDescent="0.3">
      <c r="A116" s="67" t="s">
        <v>158</v>
      </c>
      <c r="B116" s="67"/>
      <c r="C116" s="67"/>
      <c r="D116" s="67"/>
      <c r="E116" s="67"/>
      <c r="F116" s="67"/>
      <c r="G116" s="67"/>
      <c r="H116" s="70"/>
      <c r="I116" s="70"/>
      <c r="J116" s="70"/>
      <c r="K116" s="70"/>
      <c r="L116" s="70"/>
      <c r="M116" s="67"/>
      <c r="N116" s="70"/>
    </row>
    <row r="117" spans="1:14" x14ac:dyDescent="0.3">
      <c r="B117" s="7"/>
    </row>
    <row r="118" spans="1:14" x14ac:dyDescent="0.3">
      <c r="B118" s="41" t="s">
        <v>64</v>
      </c>
      <c r="C118" s="42"/>
      <c r="D118" s="42"/>
      <c r="E118" s="42"/>
      <c r="F118" s="42"/>
      <c r="G118" s="42"/>
      <c r="H118" s="24" t="s">
        <v>19</v>
      </c>
      <c r="I118" s="24" t="s">
        <v>15</v>
      </c>
      <c r="J118" s="24" t="s">
        <v>16</v>
      </c>
      <c r="K118" s="24" t="s">
        <v>17</v>
      </c>
      <c r="L118" s="24" t="s">
        <v>18</v>
      </c>
      <c r="N118" s="24"/>
    </row>
    <row r="119" spans="1:14" x14ac:dyDescent="0.3">
      <c r="C119" s="5" t="s">
        <v>4</v>
      </c>
      <c r="H119" s="6">
        <f t="shared" ref="H119:L121" si="7">H5</f>
        <v>400000</v>
      </c>
      <c r="I119" s="6">
        <f t="shared" si="7"/>
        <v>300000</v>
      </c>
      <c r="J119" s="6">
        <f t="shared" si="7"/>
        <v>200000</v>
      </c>
      <c r="K119" s="6">
        <f t="shared" si="7"/>
        <v>100000</v>
      </c>
      <c r="L119" s="6">
        <f t="shared" si="7"/>
        <v>0</v>
      </c>
    </row>
    <row r="120" spans="1:14" x14ac:dyDescent="0.3">
      <c r="C120" s="5" t="s">
        <v>5</v>
      </c>
      <c r="H120" s="6">
        <f t="shared" si="7"/>
        <v>284233.25404779252</v>
      </c>
      <c r="I120" s="6">
        <f t="shared" si="7"/>
        <v>229841.24453352764</v>
      </c>
      <c r="J120" s="6">
        <f t="shared" si="7"/>
        <v>160172.19387755101</v>
      </c>
      <c r="K120" s="6">
        <f t="shared" si="7"/>
        <v>82142.85714285713</v>
      </c>
      <c r="L120" s="6">
        <f t="shared" si="7"/>
        <v>0</v>
      </c>
    </row>
    <row r="121" spans="1:14" ht="12.75" thickBot="1" x14ac:dyDescent="0.35">
      <c r="B121" s="44"/>
      <c r="C121" s="45" t="s">
        <v>6</v>
      </c>
      <c r="D121" s="45"/>
      <c r="E121" s="45"/>
      <c r="F121" s="45"/>
      <c r="G121" s="45"/>
      <c r="H121" s="25">
        <f t="shared" si="7"/>
        <v>115766.74595220748</v>
      </c>
      <c r="I121" s="25">
        <f t="shared" si="7"/>
        <v>70158.755466472358</v>
      </c>
      <c r="J121" s="25">
        <f t="shared" si="7"/>
        <v>39827.806122448994</v>
      </c>
      <c r="K121" s="25">
        <f t="shared" si="7"/>
        <v>17857.14285714287</v>
      </c>
      <c r="L121" s="25">
        <f t="shared" si="7"/>
        <v>0</v>
      </c>
      <c r="N121" s="25"/>
    </row>
    <row r="123" spans="1:14" x14ac:dyDescent="0.3">
      <c r="B123" s="41" t="s">
        <v>65</v>
      </c>
      <c r="C123" s="42"/>
      <c r="D123" s="42"/>
      <c r="E123" s="42"/>
      <c r="F123" s="42"/>
      <c r="G123" s="42"/>
      <c r="H123" s="24" t="s">
        <v>19</v>
      </c>
      <c r="I123" s="24" t="s">
        <v>15</v>
      </c>
      <c r="J123" s="24" t="s">
        <v>16</v>
      </c>
      <c r="K123" s="24" t="s">
        <v>17</v>
      </c>
      <c r="L123" s="24" t="s">
        <v>18</v>
      </c>
      <c r="N123" s="24"/>
    </row>
    <row r="124" spans="1:14" s="7" customFormat="1" x14ac:dyDescent="0.3">
      <c r="C124" s="7" t="s">
        <v>7</v>
      </c>
      <c r="H124" s="26"/>
      <c r="I124" s="26">
        <f t="shared" ref="I124:L132" si="8">I10</f>
        <v>400000</v>
      </c>
      <c r="J124" s="26">
        <f t="shared" si="8"/>
        <v>450000</v>
      </c>
      <c r="K124" s="26">
        <f t="shared" si="8"/>
        <v>450000</v>
      </c>
      <c r="L124" s="26">
        <f t="shared" si="8"/>
        <v>400000</v>
      </c>
      <c r="N124" s="26"/>
    </row>
    <row r="125" spans="1:14" x14ac:dyDescent="0.3">
      <c r="C125" s="8" t="s">
        <v>8</v>
      </c>
      <c r="I125" s="6">
        <f t="shared" si="8"/>
        <v>-150000</v>
      </c>
      <c r="J125" s="6">
        <f t="shared" si="8"/>
        <v>-175000</v>
      </c>
      <c r="K125" s="6">
        <f t="shared" si="8"/>
        <v>-175000</v>
      </c>
      <c r="L125" s="6">
        <f t="shared" si="8"/>
        <v>-150000</v>
      </c>
    </row>
    <row r="126" spans="1:14" x14ac:dyDescent="0.3">
      <c r="C126" s="46" t="s">
        <v>9</v>
      </c>
      <c r="D126" s="46"/>
      <c r="E126" s="46"/>
      <c r="F126" s="46"/>
      <c r="G126" s="46"/>
      <c r="H126" s="27"/>
      <c r="I126" s="27">
        <f t="shared" si="8"/>
        <v>-40000</v>
      </c>
      <c r="J126" s="27">
        <f t="shared" si="8"/>
        <v>-40000</v>
      </c>
      <c r="K126" s="27">
        <f t="shared" si="8"/>
        <v>-40000</v>
      </c>
      <c r="L126" s="27">
        <f t="shared" si="8"/>
        <v>-40000</v>
      </c>
      <c r="N126" s="27"/>
    </row>
    <row r="127" spans="1:14" x14ac:dyDescent="0.3">
      <c r="C127" s="7" t="s">
        <v>3</v>
      </c>
      <c r="D127" s="7"/>
      <c r="E127" s="7"/>
      <c r="F127" s="7"/>
      <c r="G127" s="7"/>
      <c r="H127" s="26"/>
      <c r="I127" s="26">
        <f t="shared" si="8"/>
        <v>210000</v>
      </c>
      <c r="J127" s="26">
        <f t="shared" si="8"/>
        <v>235000</v>
      </c>
      <c r="K127" s="26">
        <f t="shared" si="8"/>
        <v>235000</v>
      </c>
      <c r="L127" s="26">
        <f t="shared" si="8"/>
        <v>210000</v>
      </c>
      <c r="N127" s="26"/>
    </row>
    <row r="128" spans="1:14" x14ac:dyDescent="0.3">
      <c r="C128" s="46" t="s">
        <v>10</v>
      </c>
      <c r="D128" s="46"/>
      <c r="E128" s="46"/>
      <c r="F128" s="46"/>
      <c r="G128" s="46"/>
      <c r="H128" s="27"/>
      <c r="I128" s="27">
        <f t="shared" si="8"/>
        <v>-100000</v>
      </c>
      <c r="J128" s="27">
        <f t="shared" si="8"/>
        <v>-100000</v>
      </c>
      <c r="K128" s="27">
        <f t="shared" si="8"/>
        <v>-100000</v>
      </c>
      <c r="L128" s="27">
        <f t="shared" si="8"/>
        <v>-100000</v>
      </c>
      <c r="N128" s="27"/>
    </row>
    <row r="129" spans="2:14" x14ac:dyDescent="0.3">
      <c r="C129" s="7" t="s">
        <v>2</v>
      </c>
      <c r="D129" s="7"/>
      <c r="E129" s="7"/>
      <c r="F129" s="7"/>
      <c r="G129" s="7"/>
      <c r="H129" s="26"/>
      <c r="I129" s="26">
        <f t="shared" si="8"/>
        <v>110000</v>
      </c>
      <c r="J129" s="26">
        <f t="shared" si="8"/>
        <v>135000</v>
      </c>
      <c r="K129" s="26">
        <f t="shared" si="8"/>
        <v>135000</v>
      </c>
      <c r="L129" s="26">
        <f t="shared" si="8"/>
        <v>110000</v>
      </c>
      <c r="N129" s="26"/>
    </row>
    <row r="130" spans="2:14" x14ac:dyDescent="0.3">
      <c r="C130" s="5" t="s">
        <v>86</v>
      </c>
      <c r="F130" s="47" t="s">
        <v>121</v>
      </c>
      <c r="I130" s="6">
        <f t="shared" si="8"/>
        <v>-17053.99524286755</v>
      </c>
      <c r="J130" s="6">
        <f t="shared" si="8"/>
        <v>-13790.474672011658</v>
      </c>
      <c r="K130" s="6">
        <f t="shared" si="8"/>
        <v>-9610.3316326530603</v>
      </c>
      <c r="L130" s="6">
        <f t="shared" si="8"/>
        <v>-4928.5714285714275</v>
      </c>
    </row>
    <row r="131" spans="2:14" x14ac:dyDescent="0.3">
      <c r="C131" s="46" t="s">
        <v>87</v>
      </c>
      <c r="D131" s="46"/>
      <c r="E131" s="46"/>
      <c r="F131" s="48" t="s">
        <v>122</v>
      </c>
      <c r="G131" s="46"/>
      <c r="H131" s="27"/>
      <c r="I131" s="27">
        <f t="shared" si="8"/>
        <v>-27883.801427139737</v>
      </c>
      <c r="J131" s="27">
        <f t="shared" si="8"/>
        <v>-36362.857598396506</v>
      </c>
      <c r="K131" s="27">
        <f t="shared" si="8"/>
        <v>-37616.900510204083</v>
      </c>
      <c r="L131" s="27">
        <f t="shared" si="8"/>
        <v>-31521.428571428572</v>
      </c>
      <c r="N131" s="27"/>
    </row>
    <row r="132" spans="2:14" x14ac:dyDescent="0.3">
      <c r="C132" s="5" t="s">
        <v>63</v>
      </c>
      <c r="I132" s="6">
        <f t="shared" si="8"/>
        <v>65062.203329992713</v>
      </c>
      <c r="J132" s="6">
        <f t="shared" si="8"/>
        <v>84846.667729591834</v>
      </c>
      <c r="K132" s="6">
        <f t="shared" si="8"/>
        <v>87772.767857142855</v>
      </c>
      <c r="L132" s="6">
        <f t="shared" si="8"/>
        <v>73550</v>
      </c>
    </row>
    <row r="133" spans="2:14" x14ac:dyDescent="0.3">
      <c r="C133" s="5" t="s">
        <v>11</v>
      </c>
      <c r="L133" s="6">
        <f>L19</f>
        <v>7000</v>
      </c>
    </row>
    <row r="134" spans="2:14" x14ac:dyDescent="0.3">
      <c r="C134" s="46" t="s">
        <v>12</v>
      </c>
      <c r="D134" s="46"/>
      <c r="E134" s="46"/>
      <c r="F134" s="46"/>
      <c r="G134" s="46"/>
      <c r="H134" s="27"/>
      <c r="I134" s="27"/>
      <c r="J134" s="27"/>
      <c r="K134" s="27"/>
      <c r="L134" s="27"/>
      <c r="N134" s="27"/>
    </row>
    <row r="135" spans="2:14" ht="12.75" thickBot="1" x14ac:dyDescent="0.35">
      <c r="C135" s="49" t="s">
        <v>1</v>
      </c>
      <c r="D135" s="49"/>
      <c r="E135" s="49"/>
      <c r="F135" s="49"/>
      <c r="G135" s="49"/>
      <c r="H135" s="28"/>
      <c r="I135" s="28">
        <f>I21</f>
        <v>65062.203329992713</v>
      </c>
      <c r="J135" s="28">
        <f>J21</f>
        <v>84846.667729591834</v>
      </c>
      <c r="K135" s="28">
        <f>K21</f>
        <v>87772.767857142855</v>
      </c>
      <c r="L135" s="28">
        <f>L21</f>
        <v>80550</v>
      </c>
      <c r="N135" s="28"/>
    </row>
    <row r="137" spans="2:14" x14ac:dyDescent="0.3">
      <c r="B137" s="5" t="s">
        <v>24</v>
      </c>
      <c r="I137" s="5" t="s">
        <v>104</v>
      </c>
    </row>
    <row r="138" spans="2:14" x14ac:dyDescent="0.3">
      <c r="B138" s="5" t="s">
        <v>139</v>
      </c>
    </row>
    <row r="139" spans="2:14" x14ac:dyDescent="0.3">
      <c r="B139" s="5" t="s">
        <v>140</v>
      </c>
    </row>
    <row r="141" spans="2:14" x14ac:dyDescent="0.3">
      <c r="B141" s="54" t="s">
        <v>75</v>
      </c>
      <c r="C141" s="42"/>
      <c r="D141" s="42"/>
      <c r="E141" s="42"/>
      <c r="F141" s="42"/>
      <c r="G141" s="42"/>
      <c r="H141" s="24" t="s">
        <v>19</v>
      </c>
      <c r="I141" s="24" t="s">
        <v>15</v>
      </c>
      <c r="J141" s="24" t="s">
        <v>16</v>
      </c>
      <c r="K141" s="24" t="s">
        <v>17</v>
      </c>
      <c r="L141" s="24" t="s">
        <v>18</v>
      </c>
      <c r="N141" s="24"/>
    </row>
    <row r="142" spans="2:14" x14ac:dyDescent="0.3">
      <c r="C142" s="7"/>
      <c r="D142" s="8" t="s">
        <v>100</v>
      </c>
      <c r="H142" s="26"/>
      <c r="I142" s="26">
        <f>I95</f>
        <v>177000</v>
      </c>
      <c r="J142" s="26">
        <f>J95</f>
        <v>194500</v>
      </c>
      <c r="K142" s="26">
        <f>K95</f>
        <v>194500</v>
      </c>
      <c r="L142" s="26">
        <f>L95</f>
        <v>184000</v>
      </c>
      <c r="N142" s="26"/>
    </row>
    <row r="143" spans="2:14" x14ac:dyDescent="0.3">
      <c r="C143" s="7"/>
      <c r="D143" s="8" t="s">
        <v>28</v>
      </c>
      <c r="I143" s="6">
        <f>I130*(1-0.3)</f>
        <v>-11937.796670007285</v>
      </c>
      <c r="J143" s="6">
        <f>J130*(1-0.3)</f>
        <v>-9653.3322704081602</v>
      </c>
      <c r="K143" s="6">
        <f>K130*(1-0.3)</f>
        <v>-6727.2321428571422</v>
      </c>
      <c r="L143" s="6">
        <f>L130*(1-0.3)</f>
        <v>-3449.9999999999991</v>
      </c>
    </row>
    <row r="144" spans="2:14" x14ac:dyDescent="0.3">
      <c r="C144" s="7"/>
      <c r="D144" s="55" t="s">
        <v>29</v>
      </c>
      <c r="F144" s="7"/>
      <c r="G144" s="7"/>
      <c r="H144" s="26"/>
      <c r="I144" s="31">
        <f>I6-H6</f>
        <v>-54392.009514264879</v>
      </c>
      <c r="J144" s="31">
        <f>J6-I6</f>
        <v>-69669.050655976636</v>
      </c>
      <c r="K144" s="31">
        <f>K6-J6</f>
        <v>-78029.336734693876</v>
      </c>
      <c r="L144" s="31">
        <f>L6-K6</f>
        <v>-82142.85714285713</v>
      </c>
      <c r="N144" s="31"/>
    </row>
    <row r="145" spans="2:14" ht="12.75" thickBot="1" x14ac:dyDescent="0.35">
      <c r="C145" s="49" t="s">
        <v>30</v>
      </c>
      <c r="D145" s="49"/>
      <c r="E145" s="49"/>
      <c r="F145" s="49"/>
      <c r="G145" s="49"/>
      <c r="H145" s="28"/>
      <c r="I145" s="28">
        <f>SUM(I142:I144)</f>
        <v>110670.19381572783</v>
      </c>
      <c r="J145" s="28">
        <f>SUM(J142:J144)</f>
        <v>115177.6170736152</v>
      </c>
      <c r="K145" s="28">
        <f>SUM(K142:K144)</f>
        <v>109743.43112244899</v>
      </c>
      <c r="L145" s="28">
        <f>SUM(L142:L144)</f>
        <v>98407.14285714287</v>
      </c>
      <c r="N145" s="28"/>
    </row>
    <row r="147" spans="2:14" x14ac:dyDescent="0.3">
      <c r="B147" s="54" t="s">
        <v>32</v>
      </c>
      <c r="C147" s="42"/>
      <c r="D147" s="42"/>
      <c r="E147" s="42"/>
      <c r="F147" s="42"/>
      <c r="G147" s="42"/>
      <c r="H147" s="32">
        <v>0</v>
      </c>
      <c r="I147" s="32">
        <v>1</v>
      </c>
      <c r="J147" s="32">
        <v>2</v>
      </c>
      <c r="K147" s="32">
        <v>3</v>
      </c>
      <c r="L147" s="32">
        <v>4</v>
      </c>
      <c r="N147" s="32"/>
    </row>
    <row r="148" spans="2:14" x14ac:dyDescent="0.3">
      <c r="D148" s="5" t="s">
        <v>22</v>
      </c>
      <c r="H148" s="6">
        <f>H145</f>
        <v>0</v>
      </c>
      <c r="I148" s="6">
        <f>I145</f>
        <v>110670.19381572783</v>
      </c>
      <c r="J148" s="6">
        <f>J145</f>
        <v>115177.6170736152</v>
      </c>
      <c r="K148" s="6">
        <f>K145</f>
        <v>109743.43112244899</v>
      </c>
      <c r="L148" s="6">
        <f>L145</f>
        <v>98407.14285714287</v>
      </c>
    </row>
    <row r="149" spans="2:14" x14ac:dyDescent="0.3">
      <c r="D149" s="5" t="s">
        <v>31</v>
      </c>
      <c r="H149" s="33">
        <v>1</v>
      </c>
      <c r="I149" s="33">
        <f>(1+19.8%)^I147</f>
        <v>1.198</v>
      </c>
      <c r="J149" s="33">
        <f>(1+19.8%)^J147</f>
        <v>1.4352039999999999</v>
      </c>
      <c r="K149" s="33">
        <f>(1+19.8%)^K147</f>
        <v>1.7193743919999998</v>
      </c>
      <c r="L149" s="33">
        <f>(1+19.8%)^L147</f>
        <v>2.0598105216159999</v>
      </c>
      <c r="N149" s="33"/>
    </row>
    <row r="150" spans="2:14" ht="12.75" thickBot="1" x14ac:dyDescent="0.35">
      <c r="C150" s="49" t="s">
        <v>72</v>
      </c>
      <c r="D150" s="49"/>
      <c r="E150" s="49"/>
      <c r="F150" s="49"/>
      <c r="G150" s="49"/>
      <c r="H150" s="28">
        <f>H148/H149</f>
        <v>0</v>
      </c>
      <c r="I150" s="28">
        <f>I148/I149</f>
        <v>92379.126724313726</v>
      </c>
      <c r="J150" s="28">
        <f>J148/J149</f>
        <v>80251.739176880219</v>
      </c>
      <c r="K150" s="28">
        <f>K148/K149</f>
        <v>63827.536127715583</v>
      </c>
      <c r="L150" s="28">
        <f>L148/L149</f>
        <v>47774.852018883132</v>
      </c>
      <c r="N150" s="28"/>
    </row>
    <row r="152" spans="2:14" x14ac:dyDescent="0.3">
      <c r="B152" s="50" t="s">
        <v>55</v>
      </c>
      <c r="C152" s="44"/>
      <c r="D152" s="44"/>
      <c r="E152" s="44"/>
      <c r="F152" s="44"/>
      <c r="G152" s="44"/>
      <c r="H152" s="29">
        <f>SUM(H150:L150)</f>
        <v>284233.25404779264</v>
      </c>
    </row>
    <row r="153" spans="2:14" x14ac:dyDescent="0.3">
      <c r="B153" s="50"/>
      <c r="C153" s="44"/>
      <c r="D153" s="44"/>
      <c r="E153" s="44"/>
      <c r="F153" s="44"/>
      <c r="G153" s="44"/>
      <c r="H153" s="29"/>
    </row>
    <row r="155" spans="2:14" x14ac:dyDescent="0.3">
      <c r="B155" s="54" t="s">
        <v>76</v>
      </c>
      <c r="C155" s="42"/>
      <c r="D155" s="42"/>
      <c r="E155" s="42"/>
      <c r="F155" s="42"/>
      <c r="G155" s="42"/>
      <c r="H155" s="24" t="s">
        <v>19</v>
      </c>
      <c r="I155" s="24" t="s">
        <v>15</v>
      </c>
      <c r="J155" s="24" t="s">
        <v>16</v>
      </c>
      <c r="K155" s="24" t="s">
        <v>17</v>
      </c>
      <c r="L155" s="24" t="s">
        <v>18</v>
      </c>
      <c r="N155" s="24"/>
    </row>
    <row r="156" spans="2:14" x14ac:dyDescent="0.3">
      <c r="C156" s="7"/>
      <c r="D156" s="8" t="s">
        <v>44</v>
      </c>
      <c r="I156" s="6">
        <f>-(I6-H6)</f>
        <v>54392.009514264879</v>
      </c>
      <c r="J156" s="6">
        <f>-(J6-I6)</f>
        <v>69669.050655976636</v>
      </c>
      <c r="K156" s="6">
        <f>-(K6-J6)</f>
        <v>78029.336734693876</v>
      </c>
      <c r="L156" s="6">
        <f>-(L6-K6)</f>
        <v>82142.85714285713</v>
      </c>
    </row>
    <row r="157" spans="2:14" x14ac:dyDescent="0.3">
      <c r="C157" s="7"/>
      <c r="D157" s="55" t="s">
        <v>34</v>
      </c>
      <c r="F157" s="7"/>
      <c r="G157" s="7"/>
      <c r="H157" s="26"/>
      <c r="I157" s="31">
        <f>-I130</f>
        <v>17053.99524286755</v>
      </c>
      <c r="J157" s="31">
        <f>-J130</f>
        <v>13790.474672011658</v>
      </c>
      <c r="K157" s="31">
        <f>-K130</f>
        <v>9610.3316326530603</v>
      </c>
      <c r="L157" s="31">
        <f>-L130</f>
        <v>4928.5714285714275</v>
      </c>
      <c r="N157" s="31"/>
    </row>
    <row r="158" spans="2:14" ht="12.75" thickBot="1" x14ac:dyDescent="0.35">
      <c r="C158" s="49" t="s">
        <v>101</v>
      </c>
      <c r="D158" s="49"/>
      <c r="E158" s="49"/>
      <c r="F158" s="49"/>
      <c r="G158" s="49"/>
      <c r="H158" s="28"/>
      <c r="I158" s="28">
        <f>SUM(I156:I157)</f>
        <v>71446.004757132425</v>
      </c>
      <c r="J158" s="28">
        <f>SUM(J156:J157)</f>
        <v>83459.525327988289</v>
      </c>
      <c r="K158" s="28">
        <f>SUM(K156:K157)</f>
        <v>87639.668367346938</v>
      </c>
      <c r="L158" s="28">
        <f>SUM(L156:L157)</f>
        <v>87071.428571428551</v>
      </c>
      <c r="N158" s="28"/>
    </row>
    <row r="160" spans="2:14" x14ac:dyDescent="0.3">
      <c r="B160" s="54" t="s">
        <v>35</v>
      </c>
      <c r="C160" s="42"/>
      <c r="D160" s="42"/>
      <c r="E160" s="42"/>
      <c r="F160" s="42"/>
      <c r="G160" s="42"/>
      <c r="H160" s="32">
        <v>0</v>
      </c>
      <c r="I160" s="32">
        <v>1</v>
      </c>
      <c r="J160" s="32">
        <v>2</v>
      </c>
      <c r="K160" s="32">
        <v>3</v>
      </c>
      <c r="L160" s="32">
        <v>4</v>
      </c>
      <c r="N160" s="32"/>
    </row>
    <row r="161" spans="1:14" x14ac:dyDescent="0.3">
      <c r="C161" s="5" t="s">
        <v>22</v>
      </c>
      <c r="H161" s="6">
        <f>H158</f>
        <v>0</v>
      </c>
      <c r="I161" s="6">
        <f>I158</f>
        <v>71446.004757132425</v>
      </c>
      <c r="J161" s="6">
        <f>J158</f>
        <v>83459.525327988289</v>
      </c>
      <c r="K161" s="6">
        <f>K158</f>
        <v>87639.668367346938</v>
      </c>
      <c r="L161" s="6">
        <f>L158</f>
        <v>87071.428571428551</v>
      </c>
    </row>
    <row r="162" spans="1:14" x14ac:dyDescent="0.3">
      <c r="C162" s="72" t="s">
        <v>36</v>
      </c>
      <c r="D162" s="72"/>
      <c r="E162" s="72"/>
      <c r="F162" s="72"/>
      <c r="G162" s="72"/>
      <c r="H162" s="73">
        <v>1</v>
      </c>
      <c r="I162" s="73">
        <f>(1+6%)^I160</f>
        <v>1.06</v>
      </c>
      <c r="J162" s="73">
        <f>(1+6%)^J160</f>
        <v>1.1236000000000002</v>
      </c>
      <c r="K162" s="73">
        <f>(1+6%)^K160</f>
        <v>1.1910160000000003</v>
      </c>
      <c r="L162" s="73">
        <f>(1+6%)^L160</f>
        <v>1.2624769600000003</v>
      </c>
      <c r="M162" s="72"/>
      <c r="N162" s="73" t="s">
        <v>153</v>
      </c>
    </row>
    <row r="163" spans="1:14" ht="12.75" thickBot="1" x14ac:dyDescent="0.35">
      <c r="C163" s="74" t="s">
        <v>73</v>
      </c>
      <c r="D163" s="74"/>
      <c r="E163" s="74"/>
      <c r="F163" s="74"/>
      <c r="G163" s="74"/>
      <c r="H163" s="75">
        <f>H161/H162</f>
        <v>0</v>
      </c>
      <c r="I163" s="75">
        <f>I161/I162</f>
        <v>67401.891280313605</v>
      </c>
      <c r="J163" s="75">
        <f>J161/J162</f>
        <v>74278.680427187865</v>
      </c>
      <c r="K163" s="75">
        <f>K161/K162</f>
        <v>73583.955519780517</v>
      </c>
      <c r="L163" s="75">
        <f>L161/L162</f>
        <v>68968.726820510477</v>
      </c>
      <c r="M163" s="72"/>
      <c r="N163" s="76" t="s">
        <v>160</v>
      </c>
    </row>
    <row r="165" spans="1:14" x14ac:dyDescent="0.3">
      <c r="B165" s="50" t="s">
        <v>56</v>
      </c>
      <c r="C165" s="44"/>
      <c r="D165" s="44"/>
      <c r="E165" s="44"/>
      <c r="F165" s="44"/>
      <c r="G165" s="44"/>
      <c r="H165" s="29">
        <f>SUM(H163:L163)</f>
        <v>284233.25404779246</v>
      </c>
    </row>
    <row r="167" spans="1:14" x14ac:dyDescent="0.3">
      <c r="B167" s="50" t="s">
        <v>57</v>
      </c>
      <c r="I167" s="56">
        <f>H165+H152</f>
        <v>568466.50809558504</v>
      </c>
    </row>
    <row r="168" spans="1:14" x14ac:dyDescent="0.3">
      <c r="H168" s="5"/>
      <c r="I168" s="5"/>
      <c r="J168" s="5"/>
      <c r="K168" s="5"/>
    </row>
    <row r="173" spans="1:14" s="7" customFormat="1" x14ac:dyDescent="0.3">
      <c r="A173" s="67" t="s">
        <v>141</v>
      </c>
      <c r="B173" s="67"/>
      <c r="C173" s="67"/>
      <c r="D173" s="67"/>
      <c r="E173" s="67"/>
      <c r="F173" s="67"/>
      <c r="G173" s="67"/>
      <c r="H173" s="70"/>
      <c r="I173" s="70"/>
      <c r="J173" s="70"/>
      <c r="K173" s="70"/>
      <c r="L173" s="70"/>
      <c r="M173" s="67"/>
      <c r="N173" s="70"/>
    </row>
    <row r="174" spans="1:14" x14ac:dyDescent="0.3">
      <c r="B174" s="7"/>
    </row>
    <row r="175" spans="1:14" x14ac:dyDescent="0.3">
      <c r="B175" s="41" t="s">
        <v>64</v>
      </c>
      <c r="C175" s="42"/>
      <c r="D175" s="42"/>
      <c r="E175" s="42"/>
      <c r="F175" s="42"/>
      <c r="G175" s="42"/>
      <c r="H175" s="24" t="s">
        <v>19</v>
      </c>
      <c r="I175" s="24" t="s">
        <v>15</v>
      </c>
      <c r="J175" s="24" t="s">
        <v>16</v>
      </c>
      <c r="K175" s="24" t="s">
        <v>17</v>
      </c>
      <c r="L175" s="24" t="s">
        <v>18</v>
      </c>
      <c r="N175" s="24"/>
    </row>
    <row r="176" spans="1:14" x14ac:dyDescent="0.3">
      <c r="C176" s="5" t="s">
        <v>4</v>
      </c>
      <c r="H176" s="6">
        <f t="shared" ref="H176:L178" si="9">H5</f>
        <v>400000</v>
      </c>
      <c r="I176" s="6">
        <f t="shared" si="9"/>
        <v>300000</v>
      </c>
      <c r="J176" s="6">
        <f t="shared" si="9"/>
        <v>200000</v>
      </c>
      <c r="K176" s="6">
        <f t="shared" si="9"/>
        <v>100000</v>
      </c>
      <c r="L176" s="6">
        <f t="shared" si="9"/>
        <v>0</v>
      </c>
    </row>
    <row r="177" spans="2:14" x14ac:dyDescent="0.3">
      <c r="C177" s="5" t="s">
        <v>5</v>
      </c>
      <c r="H177" s="6">
        <f t="shared" si="9"/>
        <v>284233.25404779252</v>
      </c>
      <c r="I177" s="6">
        <f t="shared" si="9"/>
        <v>229841.24453352764</v>
      </c>
      <c r="J177" s="6">
        <f t="shared" si="9"/>
        <v>160172.19387755101</v>
      </c>
      <c r="K177" s="6">
        <f t="shared" si="9"/>
        <v>82142.85714285713</v>
      </c>
      <c r="L177" s="6">
        <f t="shared" si="9"/>
        <v>0</v>
      </c>
    </row>
    <row r="178" spans="2:14" ht="12.75" thickBot="1" x14ac:dyDescent="0.35">
      <c r="B178" s="44"/>
      <c r="C178" s="45" t="s">
        <v>6</v>
      </c>
      <c r="D178" s="45"/>
      <c r="E178" s="45"/>
      <c r="F178" s="45"/>
      <c r="G178" s="45"/>
      <c r="H178" s="25">
        <f t="shared" si="9"/>
        <v>115766.74595220748</v>
      </c>
      <c r="I178" s="25">
        <f t="shared" si="9"/>
        <v>70158.755466472358</v>
      </c>
      <c r="J178" s="25">
        <f t="shared" si="9"/>
        <v>39827.806122448994</v>
      </c>
      <c r="K178" s="25">
        <f t="shared" si="9"/>
        <v>17857.14285714287</v>
      </c>
      <c r="L178" s="25">
        <f t="shared" si="9"/>
        <v>0</v>
      </c>
      <c r="N178" s="25"/>
    </row>
    <row r="180" spans="2:14" x14ac:dyDescent="0.3">
      <c r="B180" s="41" t="s">
        <v>65</v>
      </c>
      <c r="C180" s="42"/>
      <c r="D180" s="42"/>
      <c r="E180" s="42"/>
      <c r="F180" s="42"/>
      <c r="G180" s="42"/>
      <c r="H180" s="24" t="s">
        <v>19</v>
      </c>
      <c r="I180" s="24" t="s">
        <v>15</v>
      </c>
      <c r="J180" s="24" t="s">
        <v>16</v>
      </c>
      <c r="K180" s="24" t="s">
        <v>17</v>
      </c>
      <c r="L180" s="24" t="s">
        <v>18</v>
      </c>
      <c r="N180" s="24"/>
    </row>
    <row r="181" spans="2:14" s="7" customFormat="1" x14ac:dyDescent="0.3">
      <c r="C181" s="7" t="s">
        <v>7</v>
      </c>
      <c r="H181" s="26"/>
      <c r="I181" s="26">
        <f t="shared" ref="I181:L189" si="10">I10</f>
        <v>400000</v>
      </c>
      <c r="J181" s="26">
        <f t="shared" si="10"/>
        <v>450000</v>
      </c>
      <c r="K181" s="26">
        <f t="shared" si="10"/>
        <v>450000</v>
      </c>
      <c r="L181" s="26">
        <f t="shared" si="10"/>
        <v>400000</v>
      </c>
      <c r="N181" s="26"/>
    </row>
    <row r="182" spans="2:14" x14ac:dyDescent="0.3">
      <c r="C182" s="8" t="s">
        <v>8</v>
      </c>
      <c r="I182" s="6">
        <f t="shared" si="10"/>
        <v>-150000</v>
      </c>
      <c r="J182" s="6">
        <f t="shared" si="10"/>
        <v>-175000</v>
      </c>
      <c r="K182" s="6">
        <f t="shared" si="10"/>
        <v>-175000</v>
      </c>
      <c r="L182" s="6">
        <f t="shared" si="10"/>
        <v>-150000</v>
      </c>
    </row>
    <row r="183" spans="2:14" x14ac:dyDescent="0.3">
      <c r="C183" s="46" t="s">
        <v>9</v>
      </c>
      <c r="D183" s="46"/>
      <c r="E183" s="46"/>
      <c r="F183" s="46"/>
      <c r="G183" s="46"/>
      <c r="H183" s="27"/>
      <c r="I183" s="27">
        <f t="shared" si="10"/>
        <v>-40000</v>
      </c>
      <c r="J183" s="27">
        <f t="shared" si="10"/>
        <v>-40000</v>
      </c>
      <c r="K183" s="27">
        <f t="shared" si="10"/>
        <v>-40000</v>
      </c>
      <c r="L183" s="27">
        <f t="shared" si="10"/>
        <v>-40000</v>
      </c>
      <c r="N183" s="27"/>
    </row>
    <row r="184" spans="2:14" x14ac:dyDescent="0.3">
      <c r="C184" s="7" t="s">
        <v>3</v>
      </c>
      <c r="D184" s="7"/>
      <c r="E184" s="7"/>
      <c r="F184" s="7"/>
      <c r="G184" s="7"/>
      <c r="H184" s="26"/>
      <c r="I184" s="26">
        <f t="shared" si="10"/>
        <v>210000</v>
      </c>
      <c r="J184" s="26">
        <f t="shared" si="10"/>
        <v>235000</v>
      </c>
      <c r="K184" s="26">
        <f t="shared" si="10"/>
        <v>235000</v>
      </c>
      <c r="L184" s="26">
        <f t="shared" si="10"/>
        <v>210000</v>
      </c>
      <c r="N184" s="26"/>
    </row>
    <row r="185" spans="2:14" x14ac:dyDescent="0.3">
      <c r="C185" s="46" t="s">
        <v>10</v>
      </c>
      <c r="D185" s="46"/>
      <c r="E185" s="46"/>
      <c r="F185" s="46"/>
      <c r="G185" s="46"/>
      <c r="H185" s="27"/>
      <c r="I185" s="27">
        <f t="shared" si="10"/>
        <v>-100000</v>
      </c>
      <c r="J185" s="27">
        <f t="shared" si="10"/>
        <v>-100000</v>
      </c>
      <c r="K185" s="27">
        <f t="shared" si="10"/>
        <v>-100000</v>
      </c>
      <c r="L185" s="27">
        <f t="shared" si="10"/>
        <v>-100000</v>
      </c>
      <c r="N185" s="27"/>
    </row>
    <row r="186" spans="2:14" x14ac:dyDescent="0.3">
      <c r="C186" s="7" t="s">
        <v>2</v>
      </c>
      <c r="D186" s="7"/>
      <c r="E186" s="7"/>
      <c r="F186" s="7"/>
      <c r="G186" s="7"/>
      <c r="H186" s="26"/>
      <c r="I186" s="26">
        <f t="shared" si="10"/>
        <v>110000</v>
      </c>
      <c r="J186" s="26">
        <f t="shared" si="10"/>
        <v>135000</v>
      </c>
      <c r="K186" s="26">
        <f t="shared" si="10"/>
        <v>135000</v>
      </c>
      <c r="L186" s="26">
        <f t="shared" si="10"/>
        <v>110000</v>
      </c>
      <c r="N186" s="26"/>
    </row>
    <row r="187" spans="2:14" x14ac:dyDescent="0.3">
      <c r="C187" s="5" t="s">
        <v>86</v>
      </c>
      <c r="F187" s="47" t="s">
        <v>121</v>
      </c>
      <c r="I187" s="6">
        <f t="shared" si="10"/>
        <v>-17053.99524286755</v>
      </c>
      <c r="J187" s="6">
        <f t="shared" si="10"/>
        <v>-13790.474672011658</v>
      </c>
      <c r="K187" s="6">
        <f t="shared" si="10"/>
        <v>-9610.3316326530603</v>
      </c>
      <c r="L187" s="6">
        <f t="shared" si="10"/>
        <v>-4928.5714285714275</v>
      </c>
    </row>
    <row r="188" spans="2:14" x14ac:dyDescent="0.3">
      <c r="C188" s="46" t="s">
        <v>87</v>
      </c>
      <c r="D188" s="46"/>
      <c r="E188" s="46"/>
      <c r="F188" s="48" t="s">
        <v>122</v>
      </c>
      <c r="G188" s="46"/>
      <c r="H188" s="27"/>
      <c r="I188" s="27">
        <f t="shared" si="10"/>
        <v>-27883.801427139737</v>
      </c>
      <c r="J188" s="27">
        <f t="shared" si="10"/>
        <v>-36362.857598396506</v>
      </c>
      <c r="K188" s="27">
        <f t="shared" si="10"/>
        <v>-37616.900510204083</v>
      </c>
      <c r="L188" s="27">
        <f t="shared" si="10"/>
        <v>-31521.428571428572</v>
      </c>
      <c r="N188" s="27"/>
    </row>
    <row r="189" spans="2:14" x14ac:dyDescent="0.3">
      <c r="C189" s="5" t="s">
        <v>63</v>
      </c>
      <c r="I189" s="6">
        <f t="shared" si="10"/>
        <v>65062.203329992713</v>
      </c>
      <c r="J189" s="6">
        <f t="shared" si="10"/>
        <v>84846.667729591834</v>
      </c>
      <c r="K189" s="6">
        <f t="shared" si="10"/>
        <v>87772.767857142855</v>
      </c>
      <c r="L189" s="6">
        <f t="shared" si="10"/>
        <v>73550</v>
      </c>
    </row>
    <row r="190" spans="2:14" x14ac:dyDescent="0.3">
      <c r="C190" s="5" t="s">
        <v>11</v>
      </c>
      <c r="L190" s="6">
        <f>L19</f>
        <v>7000</v>
      </c>
    </row>
    <row r="191" spans="2:14" x14ac:dyDescent="0.3">
      <c r="C191" s="46" t="s">
        <v>12</v>
      </c>
      <c r="D191" s="46"/>
      <c r="E191" s="46"/>
      <c r="F191" s="46"/>
      <c r="G191" s="46"/>
      <c r="H191" s="27"/>
      <c r="I191" s="27"/>
      <c r="J191" s="27"/>
      <c r="K191" s="27"/>
      <c r="L191" s="27"/>
      <c r="N191" s="27"/>
    </row>
    <row r="192" spans="2:14" ht="12.75" thickBot="1" x14ac:dyDescent="0.35">
      <c r="C192" s="49" t="s">
        <v>1</v>
      </c>
      <c r="D192" s="49"/>
      <c r="E192" s="49"/>
      <c r="F192" s="49"/>
      <c r="G192" s="49"/>
      <c r="H192" s="28"/>
      <c r="I192" s="28">
        <f>I21</f>
        <v>65062.203329992713</v>
      </c>
      <c r="J192" s="28">
        <f>J21</f>
        <v>84846.667729591834</v>
      </c>
      <c r="K192" s="28">
        <f>K21</f>
        <v>87772.767857142855</v>
      </c>
      <c r="L192" s="28">
        <f>L21</f>
        <v>80550</v>
      </c>
      <c r="N192" s="28"/>
    </row>
    <row r="194" spans="2:14" ht="13.5" x14ac:dyDescent="0.3">
      <c r="B194" s="44" t="s">
        <v>142</v>
      </c>
    </row>
    <row r="195" spans="2:14" x14ac:dyDescent="0.3">
      <c r="B195" s="44"/>
      <c r="C195" s="5" t="s">
        <v>143</v>
      </c>
    </row>
    <row r="196" spans="2:14" x14ac:dyDescent="0.3">
      <c r="C196" s="44" t="s">
        <v>144</v>
      </c>
    </row>
    <row r="197" spans="2:14" x14ac:dyDescent="0.3">
      <c r="B197" s="44" t="s">
        <v>98</v>
      </c>
    </row>
    <row r="198" spans="2:14" x14ac:dyDescent="0.3">
      <c r="C198" s="5" t="s">
        <v>145</v>
      </c>
    </row>
    <row r="200" spans="2:14" x14ac:dyDescent="0.3">
      <c r="B200" s="54" t="s">
        <v>74</v>
      </c>
      <c r="C200" s="42"/>
      <c r="D200" s="42"/>
      <c r="E200" s="42"/>
      <c r="F200" s="42"/>
      <c r="G200" s="42"/>
      <c r="H200" s="24" t="s">
        <v>19</v>
      </c>
      <c r="I200" s="24" t="s">
        <v>15</v>
      </c>
      <c r="J200" s="24" t="s">
        <v>16</v>
      </c>
      <c r="K200" s="24" t="s">
        <v>17</v>
      </c>
      <c r="L200" s="24" t="s">
        <v>18</v>
      </c>
      <c r="N200" s="24"/>
    </row>
    <row r="201" spans="2:14" x14ac:dyDescent="0.3">
      <c r="C201" s="7"/>
      <c r="D201" s="57" t="s">
        <v>78</v>
      </c>
      <c r="I201" s="26">
        <f>I192</f>
        <v>65062.203329992713</v>
      </c>
      <c r="J201" s="26">
        <f>J192</f>
        <v>84846.667729591834</v>
      </c>
      <c r="K201" s="26">
        <f>K192</f>
        <v>87772.767857142855</v>
      </c>
      <c r="L201" s="26">
        <f>L192</f>
        <v>80550</v>
      </c>
      <c r="N201" s="26"/>
    </row>
    <row r="202" spans="2:14" x14ac:dyDescent="0.3">
      <c r="C202" s="7"/>
      <c r="D202" s="58" t="s">
        <v>79</v>
      </c>
      <c r="F202" s="7"/>
      <c r="G202" s="7"/>
      <c r="H202" s="26"/>
      <c r="I202" s="29">
        <f>-I203*I204</f>
        <v>-22921.815698537081</v>
      </c>
      <c r="J202" s="29">
        <f t="shared" ref="J202:L202" si="11">-J203*J204</f>
        <v>-13891.433582361527</v>
      </c>
      <c r="K202" s="29">
        <f t="shared" si="11"/>
        <v>-7885.905612244901</v>
      </c>
      <c r="L202" s="29">
        <f t="shared" si="11"/>
        <v>-3535.7142857142885</v>
      </c>
      <c r="N202" s="29"/>
    </row>
    <row r="203" spans="2:14" ht="13.5" x14ac:dyDescent="0.3">
      <c r="C203" s="7"/>
      <c r="D203" s="44"/>
      <c r="E203" s="8" t="s">
        <v>146</v>
      </c>
      <c r="F203" s="7"/>
      <c r="G203" s="7"/>
      <c r="H203" s="26"/>
      <c r="I203" s="31">
        <f>H178</f>
        <v>115766.74595220748</v>
      </c>
      <c r="J203" s="31">
        <f>I178</f>
        <v>70158.755466472358</v>
      </c>
      <c r="K203" s="31">
        <f>J178</f>
        <v>39827.806122448994</v>
      </c>
      <c r="L203" s="31">
        <f>K178</f>
        <v>17857.14285714287</v>
      </c>
      <c r="N203" s="31"/>
    </row>
    <row r="204" spans="2:14" x14ac:dyDescent="0.3">
      <c r="C204" s="7"/>
      <c r="D204" s="44"/>
      <c r="E204" s="8" t="s">
        <v>95</v>
      </c>
      <c r="F204" s="7"/>
      <c r="G204" s="7"/>
      <c r="H204" s="26"/>
      <c r="I204" s="34">
        <v>0.19800000000000001</v>
      </c>
      <c r="J204" s="34">
        <v>0.19800000000000001</v>
      </c>
      <c r="K204" s="34">
        <v>0.19800000000000001</v>
      </c>
      <c r="L204" s="34">
        <v>0.19800000000000001</v>
      </c>
      <c r="N204" s="34"/>
    </row>
    <row r="205" spans="2:14" ht="12.75" thickBot="1" x14ac:dyDescent="0.35">
      <c r="C205" s="49" t="s">
        <v>37</v>
      </c>
      <c r="D205" s="49"/>
      <c r="E205" s="49"/>
      <c r="F205" s="49"/>
      <c r="G205" s="49"/>
      <c r="H205" s="28"/>
      <c r="I205" s="28">
        <f>I201+I202</f>
        <v>42140.387631455633</v>
      </c>
      <c r="J205" s="28">
        <f t="shared" ref="J205:L205" si="12">J201+J202</f>
        <v>70955.234147230309</v>
      </c>
      <c r="K205" s="28">
        <f t="shared" si="12"/>
        <v>79886.862244897959</v>
      </c>
      <c r="L205" s="28">
        <f t="shared" si="12"/>
        <v>77014.28571428571</v>
      </c>
      <c r="N205" s="28"/>
    </row>
    <row r="207" spans="2:14" x14ac:dyDescent="0.3">
      <c r="B207" s="54" t="s">
        <v>81</v>
      </c>
      <c r="C207" s="42"/>
      <c r="D207" s="42"/>
      <c r="E207" s="42"/>
      <c r="F207" s="42"/>
      <c r="G207" s="42"/>
      <c r="H207" s="32">
        <v>0</v>
      </c>
      <c r="I207" s="32">
        <v>1</v>
      </c>
      <c r="J207" s="32">
        <v>2</v>
      </c>
      <c r="K207" s="32">
        <v>3</v>
      </c>
      <c r="L207" s="32">
        <v>4</v>
      </c>
      <c r="N207" s="32"/>
    </row>
    <row r="208" spans="2:14" x14ac:dyDescent="0.3">
      <c r="D208" s="5" t="s">
        <v>38</v>
      </c>
      <c r="H208" s="6">
        <f>H205</f>
        <v>0</v>
      </c>
      <c r="I208" s="6">
        <f>I205</f>
        <v>42140.387631455633</v>
      </c>
      <c r="J208" s="6">
        <f>J205</f>
        <v>70955.234147230309</v>
      </c>
      <c r="K208" s="6">
        <f>K205</f>
        <v>79886.862244897959</v>
      </c>
      <c r="L208" s="6">
        <f>L205</f>
        <v>77014.28571428571</v>
      </c>
    </row>
    <row r="209" spans="2:15" x14ac:dyDescent="0.3">
      <c r="D209" s="5" t="s">
        <v>31</v>
      </c>
      <c r="H209" s="33">
        <v>1</v>
      </c>
      <c r="I209" s="33">
        <f>(1+19.8%)^I207</f>
        <v>1.198</v>
      </c>
      <c r="J209" s="33">
        <f>(1+19.8%)^J207</f>
        <v>1.4352039999999999</v>
      </c>
      <c r="K209" s="33">
        <f>(1+19.8%)^K207</f>
        <v>1.7193743919999998</v>
      </c>
      <c r="L209" s="33">
        <f>(1+19.8%)^L207</f>
        <v>2.0598105216159999</v>
      </c>
      <c r="N209" s="33"/>
    </row>
    <row r="210" spans="2:15" ht="12.75" thickBot="1" x14ac:dyDescent="0.35">
      <c r="C210" s="49" t="s">
        <v>80</v>
      </c>
      <c r="D210" s="49"/>
      <c r="E210" s="49"/>
      <c r="F210" s="49"/>
      <c r="G210" s="49"/>
      <c r="H210" s="28">
        <f>H208/H209</f>
        <v>0</v>
      </c>
      <c r="I210" s="28">
        <f>I208/I209</f>
        <v>35175.61571907816</v>
      </c>
      <c r="J210" s="28">
        <f>J208/J209</f>
        <v>49439.127919954451</v>
      </c>
      <c r="K210" s="28">
        <f>K208/K209</f>
        <v>46462.749833078808</v>
      </c>
      <c r="L210" s="28">
        <f>L208/L209</f>
        <v>37389.014623473748</v>
      </c>
      <c r="N210" s="28"/>
    </row>
    <row r="212" spans="2:15" x14ac:dyDescent="0.3">
      <c r="B212" s="50" t="s">
        <v>147</v>
      </c>
      <c r="C212" s="44"/>
      <c r="D212" s="44"/>
      <c r="E212" s="44"/>
      <c r="F212" s="44"/>
      <c r="G212" s="44"/>
      <c r="H212" s="29"/>
      <c r="K212" s="59">
        <f>SUM(I210:L210)+H178</f>
        <v>284233.25404779264</v>
      </c>
    </row>
    <row r="213" spans="2:15" x14ac:dyDescent="0.3">
      <c r="B213" s="50" t="s">
        <v>148</v>
      </c>
      <c r="C213" s="44"/>
      <c r="D213" s="44"/>
      <c r="E213" s="44"/>
      <c r="G213" s="44"/>
      <c r="H213" s="29"/>
      <c r="K213" s="26">
        <f>H177+K212</f>
        <v>568466.50809558516</v>
      </c>
    </row>
    <row r="215" spans="2:15" x14ac:dyDescent="0.3">
      <c r="B215" s="54" t="s">
        <v>77</v>
      </c>
      <c r="C215" s="42"/>
      <c r="D215" s="42"/>
      <c r="E215" s="42"/>
      <c r="F215" s="42"/>
      <c r="G215" s="42"/>
      <c r="H215" s="24" t="s">
        <v>19</v>
      </c>
      <c r="I215" s="24" t="s">
        <v>15</v>
      </c>
      <c r="J215" s="24" t="s">
        <v>16</v>
      </c>
      <c r="K215" s="24" t="s">
        <v>17</v>
      </c>
      <c r="L215" s="24" t="s">
        <v>18</v>
      </c>
      <c r="N215" s="24"/>
    </row>
    <row r="216" spans="2:15" ht="13.5" x14ac:dyDescent="0.3">
      <c r="C216" s="7"/>
      <c r="D216" s="57" t="s">
        <v>149</v>
      </c>
      <c r="I216" s="26">
        <f>I217+I218</f>
        <v>77000</v>
      </c>
      <c r="J216" s="26">
        <f>J217+J218</f>
        <v>94500</v>
      </c>
      <c r="K216" s="26">
        <f>K217+K218</f>
        <v>94500</v>
      </c>
      <c r="L216" s="26">
        <f>L217+L218</f>
        <v>77000</v>
      </c>
      <c r="N216" s="26"/>
    </row>
    <row r="217" spans="2:15" x14ac:dyDescent="0.3">
      <c r="E217" s="8" t="s">
        <v>150</v>
      </c>
      <c r="F217" s="7"/>
      <c r="G217" s="7"/>
      <c r="H217" s="26"/>
      <c r="I217" s="6">
        <f>I15</f>
        <v>110000</v>
      </c>
      <c r="J217" s="6">
        <f>J15</f>
        <v>135000</v>
      </c>
      <c r="K217" s="6">
        <f>K15</f>
        <v>135000</v>
      </c>
      <c r="L217" s="6">
        <f>L15</f>
        <v>110000</v>
      </c>
    </row>
    <row r="218" spans="2:15" x14ac:dyDescent="0.3">
      <c r="C218" s="44"/>
      <c r="D218" s="44"/>
      <c r="E218" s="55" t="s">
        <v>70</v>
      </c>
      <c r="F218" s="44"/>
      <c r="G218" s="44"/>
      <c r="H218" s="31"/>
      <c r="I218" s="31">
        <f>-I217*0.3</f>
        <v>-33000</v>
      </c>
      <c r="J218" s="31">
        <f>-J217*0.3</f>
        <v>-40500</v>
      </c>
      <c r="K218" s="31">
        <f>-K217*0.3</f>
        <v>-40500</v>
      </c>
      <c r="L218" s="31">
        <f>-L217*0.3</f>
        <v>-33000</v>
      </c>
      <c r="N218" s="31" t="s">
        <v>154</v>
      </c>
      <c r="O218" s="77" t="s">
        <v>162</v>
      </c>
    </row>
    <row r="219" spans="2:15" x14ac:dyDescent="0.3">
      <c r="C219" s="7"/>
      <c r="D219" s="58" t="s">
        <v>82</v>
      </c>
      <c r="F219" s="7"/>
      <c r="G219" s="7"/>
      <c r="H219" s="26"/>
      <c r="I219" s="29">
        <f>-I220*I221</f>
        <v>-48000</v>
      </c>
      <c r="J219" s="29">
        <f>-J220*J221</f>
        <v>-36000</v>
      </c>
      <c r="K219" s="29">
        <f>-K220*K221</f>
        <v>-24000</v>
      </c>
      <c r="L219" s="29">
        <f>-L220*L221</f>
        <v>-12000</v>
      </c>
      <c r="N219" s="29"/>
    </row>
    <row r="220" spans="2:15" ht="13.5" x14ac:dyDescent="0.3">
      <c r="C220" s="7"/>
      <c r="D220" s="44"/>
      <c r="E220" s="5" t="s">
        <v>151</v>
      </c>
      <c r="F220" s="7"/>
      <c r="G220" s="7"/>
      <c r="H220" s="26"/>
      <c r="I220" s="31">
        <f>H176</f>
        <v>400000</v>
      </c>
      <c r="J220" s="31">
        <f>I176</f>
        <v>300000</v>
      </c>
      <c r="K220" s="31">
        <f>J176</f>
        <v>200000</v>
      </c>
      <c r="L220" s="31">
        <f>K176</f>
        <v>100000</v>
      </c>
      <c r="N220" s="31"/>
    </row>
    <row r="221" spans="2:15" x14ac:dyDescent="0.3">
      <c r="C221" s="7"/>
      <c r="D221" s="44"/>
      <c r="E221" s="5" t="s">
        <v>94</v>
      </c>
      <c r="F221" s="7"/>
      <c r="G221" s="7"/>
      <c r="H221" s="26"/>
      <c r="I221" s="34">
        <v>0.12</v>
      </c>
      <c r="J221" s="34">
        <v>0.12</v>
      </c>
      <c r="K221" s="34">
        <v>0.12</v>
      </c>
      <c r="L221" s="34">
        <v>0.12</v>
      </c>
      <c r="N221" s="34"/>
    </row>
    <row r="222" spans="2:15" x14ac:dyDescent="0.3">
      <c r="C222" s="7"/>
      <c r="D222" s="50" t="s">
        <v>103</v>
      </c>
      <c r="F222" s="7"/>
      <c r="G222" s="7"/>
      <c r="H222" s="26"/>
      <c r="I222" s="34"/>
      <c r="J222" s="34"/>
      <c r="K222" s="34"/>
      <c r="L222" s="29">
        <v>7000</v>
      </c>
      <c r="N222" s="31" t="s">
        <v>161</v>
      </c>
    </row>
    <row r="223" spans="2:15" ht="12.75" thickBot="1" x14ac:dyDescent="0.35">
      <c r="C223" s="49" t="s">
        <v>40</v>
      </c>
      <c r="D223" s="49"/>
      <c r="E223" s="49"/>
      <c r="F223" s="49"/>
      <c r="G223" s="49"/>
      <c r="H223" s="28"/>
      <c r="I223" s="28">
        <f>I216+I219</f>
        <v>29000</v>
      </c>
      <c r="J223" s="28">
        <f>J216+J219</f>
        <v>58500</v>
      </c>
      <c r="K223" s="28">
        <f>K216+K219</f>
        <v>70500</v>
      </c>
      <c r="L223" s="28">
        <f>L216+L219+L222</f>
        <v>72000</v>
      </c>
      <c r="N223" s="66" t="s">
        <v>155</v>
      </c>
    </row>
    <row r="225" spans="1:14" x14ac:dyDescent="0.3">
      <c r="B225" s="54" t="s">
        <v>39</v>
      </c>
      <c r="C225" s="42"/>
      <c r="D225" s="42"/>
      <c r="E225" s="42"/>
      <c r="F225" s="42"/>
      <c r="G225" s="42"/>
      <c r="H225" s="32">
        <v>0</v>
      </c>
      <c r="I225" s="32">
        <v>1</v>
      </c>
      <c r="J225" s="32">
        <v>2</v>
      </c>
      <c r="K225" s="32">
        <v>3</v>
      </c>
      <c r="L225" s="32">
        <v>4</v>
      </c>
      <c r="N225" s="32"/>
    </row>
    <row r="226" spans="1:14" x14ac:dyDescent="0.3">
      <c r="D226" s="5" t="s">
        <v>38</v>
      </c>
      <c r="H226" s="6">
        <f>H223</f>
        <v>0</v>
      </c>
      <c r="I226" s="6">
        <f>I223</f>
        <v>29000</v>
      </c>
      <c r="J226" s="6">
        <f>J223</f>
        <v>58500</v>
      </c>
      <c r="K226" s="6">
        <f>K223</f>
        <v>70500</v>
      </c>
      <c r="L226" s="6">
        <f>L223</f>
        <v>72000</v>
      </c>
    </row>
    <row r="227" spans="1:14" x14ac:dyDescent="0.3">
      <c r="D227" s="5" t="s">
        <v>41</v>
      </c>
      <c r="H227" s="33">
        <v>1</v>
      </c>
      <c r="I227" s="33">
        <f>(1+12%)^I225</f>
        <v>1.1200000000000001</v>
      </c>
      <c r="J227" s="33">
        <f>(1+12%)^J225</f>
        <v>1.2544000000000002</v>
      </c>
      <c r="K227" s="33">
        <f>(1+12%)^K225</f>
        <v>1.4049280000000004</v>
      </c>
      <c r="L227" s="33">
        <f>(1+12%)^L225</f>
        <v>1.5735193600000004</v>
      </c>
      <c r="N227" s="33"/>
    </row>
    <row r="228" spans="1:14" ht="12.75" thickBot="1" x14ac:dyDescent="0.35">
      <c r="C228" s="49" t="s">
        <v>83</v>
      </c>
      <c r="D228" s="49"/>
      <c r="E228" s="49"/>
      <c r="F228" s="49"/>
      <c r="G228" s="49"/>
      <c r="H228" s="28">
        <f>H226/H227</f>
        <v>0</v>
      </c>
      <c r="I228" s="28">
        <f>I226/I227</f>
        <v>25892.857142857141</v>
      </c>
      <c r="J228" s="28">
        <f>J226/J227</f>
        <v>46635.841836734689</v>
      </c>
      <c r="K228" s="28">
        <f>K226/K227</f>
        <v>50180.50747084547</v>
      </c>
      <c r="L228" s="28">
        <f>L226/L227</f>
        <v>45757.301645147847</v>
      </c>
      <c r="N228" s="28"/>
    </row>
    <row r="230" spans="1:14" x14ac:dyDescent="0.3">
      <c r="B230" s="50" t="s">
        <v>42</v>
      </c>
      <c r="C230" s="44"/>
      <c r="D230" s="44"/>
      <c r="E230" s="44"/>
      <c r="F230" s="44"/>
      <c r="G230" s="29">
        <f>SUM(I228:L228)</f>
        <v>168466.50809558516</v>
      </c>
      <c r="H230" s="29"/>
      <c r="K230" s="56"/>
    </row>
    <row r="231" spans="1:14" x14ac:dyDescent="0.3">
      <c r="B231" s="50" t="s">
        <v>102</v>
      </c>
      <c r="C231" s="44"/>
      <c r="D231" s="44"/>
      <c r="E231" s="44"/>
      <c r="F231" s="44"/>
      <c r="G231" s="44"/>
      <c r="H231" s="29"/>
      <c r="K231" s="26">
        <f>H176+G230</f>
        <v>568466.50809558516</v>
      </c>
    </row>
    <row r="232" spans="1:14" x14ac:dyDescent="0.3">
      <c r="H232" s="60"/>
      <c r="I232" s="5"/>
      <c r="J232" s="5" t="s">
        <v>163</v>
      </c>
    </row>
    <row r="233" spans="1:14" x14ac:dyDescent="0.3">
      <c r="H233" s="60"/>
      <c r="I233" s="5"/>
      <c r="J233" s="5"/>
    </row>
    <row r="234" spans="1:14" s="7" customFormat="1" x14ac:dyDescent="0.3">
      <c r="A234" s="67" t="s">
        <v>156</v>
      </c>
      <c r="B234" s="67"/>
      <c r="C234" s="67"/>
      <c r="D234" s="67"/>
      <c r="E234" s="67"/>
      <c r="F234" s="67"/>
      <c r="G234" s="67"/>
      <c r="H234" s="70"/>
      <c r="I234" s="70"/>
      <c r="J234" s="70"/>
      <c r="K234" s="70"/>
      <c r="L234" s="70"/>
      <c r="M234" s="67"/>
      <c r="N234" s="70"/>
    </row>
    <row r="235" spans="1:14" x14ac:dyDescent="0.3">
      <c r="B235" s="7"/>
    </row>
    <row r="236" spans="1:14" x14ac:dyDescent="0.3">
      <c r="B236" s="41" t="s">
        <v>64</v>
      </c>
      <c r="C236" s="42"/>
      <c r="D236" s="42"/>
      <c r="E236" s="42"/>
      <c r="F236" s="42"/>
      <c r="G236" s="42"/>
      <c r="H236" s="24" t="s">
        <v>19</v>
      </c>
      <c r="I236" s="24" t="s">
        <v>15</v>
      </c>
      <c r="J236" s="24" t="s">
        <v>16</v>
      </c>
      <c r="K236" s="24" t="s">
        <v>17</v>
      </c>
      <c r="L236" s="24" t="s">
        <v>18</v>
      </c>
      <c r="N236" s="24"/>
    </row>
    <row r="237" spans="1:14" x14ac:dyDescent="0.3">
      <c r="C237" s="5" t="s">
        <v>92</v>
      </c>
      <c r="H237" s="6">
        <f>H5</f>
        <v>400000</v>
      </c>
      <c r="I237" s="6">
        <f>I5</f>
        <v>300000</v>
      </c>
      <c r="J237" s="6">
        <f>J5</f>
        <v>200000</v>
      </c>
      <c r="K237" s="6">
        <f>K5</f>
        <v>100000</v>
      </c>
      <c r="L237" s="6">
        <f>L5</f>
        <v>0</v>
      </c>
    </row>
    <row r="238" spans="1:14" x14ac:dyDescent="0.3">
      <c r="C238" s="5" t="s">
        <v>93</v>
      </c>
      <c r="H238" s="6">
        <f>H251*0.5</f>
        <v>284233.25404779252</v>
      </c>
      <c r="I238" s="6">
        <f>I259*50%</f>
        <v>229841.24453352764</v>
      </c>
      <c r="J238" s="6">
        <f>J267*50%</f>
        <v>160172.19387755101</v>
      </c>
      <c r="K238" s="6">
        <f>K275*50%</f>
        <v>82142.85714285713</v>
      </c>
      <c r="L238" s="6">
        <v>0</v>
      </c>
    </row>
    <row r="239" spans="1:14" ht="12.75" thickBot="1" x14ac:dyDescent="0.35">
      <c r="B239" s="44"/>
      <c r="C239" s="45" t="s">
        <v>84</v>
      </c>
      <c r="D239" s="45"/>
      <c r="E239" s="45"/>
      <c r="F239" s="45"/>
      <c r="G239" s="45"/>
      <c r="H239" s="25">
        <f>H7</f>
        <v>115766.74595220748</v>
      </c>
      <c r="I239" s="25">
        <f>I7</f>
        <v>70158.755466472358</v>
      </c>
      <c r="J239" s="25">
        <f>J7</f>
        <v>39827.806122448994</v>
      </c>
      <c r="K239" s="25">
        <f>K7</f>
        <v>17857.14285714287</v>
      </c>
      <c r="L239" s="25">
        <f>L7</f>
        <v>0</v>
      </c>
      <c r="N239" s="25"/>
    </row>
    <row r="240" spans="1:14" ht="9.9499999999999993" customHeight="1" x14ac:dyDescent="0.3"/>
    <row r="241" spans="2:14" x14ac:dyDescent="0.3">
      <c r="B241" s="41" t="s">
        <v>47</v>
      </c>
      <c r="C241" s="42"/>
      <c r="D241" s="42"/>
      <c r="E241" s="42"/>
      <c r="F241" s="42"/>
      <c r="G241" s="42"/>
      <c r="H241" s="24" t="s">
        <v>19</v>
      </c>
      <c r="I241" s="24" t="s">
        <v>15</v>
      </c>
      <c r="J241" s="24" t="s">
        <v>16</v>
      </c>
      <c r="K241" s="24" t="s">
        <v>17</v>
      </c>
      <c r="L241" s="24" t="s">
        <v>18</v>
      </c>
      <c r="N241" s="24"/>
    </row>
    <row r="242" spans="2:14" x14ac:dyDescent="0.3">
      <c r="C242" s="5" t="s">
        <v>48</v>
      </c>
      <c r="H242" s="6">
        <f>H5</f>
        <v>400000</v>
      </c>
      <c r="I242" s="6">
        <f>I5</f>
        <v>300000</v>
      </c>
      <c r="J242" s="6">
        <f>J5</f>
        <v>200000</v>
      </c>
      <c r="K242" s="6">
        <f>K5</f>
        <v>100000</v>
      </c>
      <c r="L242" s="6">
        <f>L5</f>
        <v>0</v>
      </c>
    </row>
    <row r="243" spans="2:14" ht="12.75" thickBot="1" x14ac:dyDescent="0.35">
      <c r="B243" s="44"/>
      <c r="C243" s="45" t="s">
        <v>49</v>
      </c>
      <c r="D243" s="45"/>
      <c r="E243" s="45"/>
      <c r="F243" s="45"/>
      <c r="G243" s="45"/>
      <c r="H243" s="35">
        <f>H251</f>
        <v>568466.50809558504</v>
      </c>
      <c r="I243" s="35">
        <f>I259</f>
        <v>459682.48906705528</v>
      </c>
      <c r="J243" s="35">
        <f>J267</f>
        <v>320344.38775510201</v>
      </c>
      <c r="K243" s="35">
        <f>K275</f>
        <v>164285.71428571426</v>
      </c>
      <c r="L243" s="35">
        <f>L283</f>
        <v>0</v>
      </c>
      <c r="N243" s="35"/>
    </row>
    <row r="244" spans="2:14" ht="5.0999999999999996" customHeight="1" x14ac:dyDescent="0.3">
      <c r="B244" s="44"/>
      <c r="C244" s="50"/>
      <c r="D244" s="44"/>
      <c r="E244" s="44"/>
      <c r="F244" s="44"/>
      <c r="G244" s="44"/>
      <c r="H244" s="29"/>
      <c r="I244" s="29"/>
      <c r="J244" s="29"/>
      <c r="K244" s="29"/>
      <c r="L244" s="29"/>
      <c r="N244" s="29"/>
    </row>
    <row r="245" spans="2:14" ht="5.0999999999999996" customHeight="1" x14ac:dyDescent="0.3">
      <c r="B245" s="44"/>
      <c r="C245" s="50"/>
      <c r="D245" s="44"/>
      <c r="E245" s="44"/>
      <c r="F245" s="44"/>
      <c r="G245" s="44"/>
      <c r="H245" s="29"/>
      <c r="I245" s="29"/>
      <c r="J245" s="29"/>
      <c r="K245" s="29"/>
      <c r="L245" s="29"/>
      <c r="N245" s="29"/>
    </row>
    <row r="246" spans="2:14" ht="5.0999999999999996" customHeight="1" x14ac:dyDescent="0.3">
      <c r="B246" s="44"/>
      <c r="C246" s="50"/>
      <c r="D246" s="44"/>
      <c r="E246" s="44"/>
      <c r="F246" s="44"/>
      <c r="G246" s="44"/>
      <c r="H246" s="29"/>
      <c r="I246" s="29"/>
      <c r="J246" s="29"/>
      <c r="K246" s="29"/>
      <c r="L246" s="29"/>
      <c r="N246" s="29"/>
    </row>
    <row r="247" spans="2:14" x14ac:dyDescent="0.3">
      <c r="C247" s="61" t="s">
        <v>45</v>
      </c>
      <c r="D247" s="61"/>
      <c r="E247" s="61"/>
      <c r="F247" s="61"/>
      <c r="G247" s="61"/>
      <c r="H247" s="36">
        <v>0</v>
      </c>
      <c r="I247" s="36">
        <v>1</v>
      </c>
      <c r="J247" s="36">
        <v>2</v>
      </c>
      <c r="K247" s="36">
        <v>3</v>
      </c>
      <c r="L247" s="36">
        <v>4</v>
      </c>
      <c r="N247" s="36"/>
    </row>
    <row r="248" spans="2:14" x14ac:dyDescent="0.3">
      <c r="D248" s="5" t="s">
        <v>22</v>
      </c>
      <c r="I248" s="6">
        <f t="shared" ref="I248:K248" si="13">I95</f>
        <v>177000</v>
      </c>
      <c r="J248" s="6">
        <f t="shared" si="13"/>
        <v>194500</v>
      </c>
      <c r="K248" s="6">
        <f t="shared" si="13"/>
        <v>194500</v>
      </c>
      <c r="L248" s="6">
        <f>L95</f>
        <v>184000</v>
      </c>
    </row>
    <row r="249" spans="2:14" x14ac:dyDescent="0.3">
      <c r="D249" s="5" t="s">
        <v>21</v>
      </c>
      <c r="H249" s="33"/>
      <c r="I249" s="33">
        <f>(1+12%)^I247</f>
        <v>1.1200000000000001</v>
      </c>
      <c r="J249" s="33">
        <f>(1+12%)^J247</f>
        <v>1.2544000000000002</v>
      </c>
      <c r="K249" s="33">
        <f>(1+12%)^K247</f>
        <v>1.4049280000000004</v>
      </c>
      <c r="L249" s="33">
        <f>(1+12%)^L247</f>
        <v>1.5735193600000004</v>
      </c>
      <c r="N249" s="33"/>
    </row>
    <row r="250" spans="2:14" x14ac:dyDescent="0.3">
      <c r="C250" s="52" t="s">
        <v>46</v>
      </c>
      <c r="D250" s="51"/>
      <c r="E250" s="51"/>
      <c r="F250" s="51"/>
      <c r="G250" s="51"/>
      <c r="H250" s="37"/>
      <c r="I250" s="37">
        <f>I248/I249</f>
        <v>158035.71428571426</v>
      </c>
      <c r="J250" s="37">
        <f>J248/J249</f>
        <v>155054.20918367343</v>
      </c>
      <c r="K250" s="37">
        <f>K248/K249</f>
        <v>138441.25819970842</v>
      </c>
      <c r="L250" s="37">
        <f>L248/L249</f>
        <v>116935.32642648893</v>
      </c>
      <c r="N250" s="37"/>
    </row>
    <row r="251" spans="2:14" ht="12.75" thickBot="1" x14ac:dyDescent="0.35">
      <c r="C251" s="62" t="str">
        <f>C247</f>
        <v>MV at t=0</v>
      </c>
      <c r="D251" s="45"/>
      <c r="E251" s="45"/>
      <c r="F251" s="45"/>
      <c r="G251" s="45"/>
      <c r="H251" s="35">
        <f>SUM(I250:L250)</f>
        <v>568466.50809558504</v>
      </c>
      <c r="I251" s="25"/>
      <c r="J251" s="25"/>
      <c r="K251" s="25"/>
      <c r="L251" s="25"/>
      <c r="N251" s="25"/>
    </row>
    <row r="252" spans="2:14" ht="5.0999999999999996" customHeight="1" x14ac:dyDescent="0.3"/>
    <row r="253" spans="2:14" ht="5.0999999999999996" customHeight="1" x14ac:dyDescent="0.3"/>
    <row r="254" spans="2:14" ht="5.0999999999999996" customHeight="1" x14ac:dyDescent="0.3"/>
    <row r="255" spans="2:14" x14ac:dyDescent="0.3">
      <c r="C255" s="61" t="s">
        <v>50</v>
      </c>
      <c r="D255" s="61"/>
      <c r="E255" s="61"/>
      <c r="F255" s="61"/>
      <c r="G255" s="61"/>
      <c r="H255" s="36">
        <v>0</v>
      </c>
      <c r="I255" s="36">
        <v>1</v>
      </c>
      <c r="J255" s="36">
        <v>2</v>
      </c>
      <c r="K255" s="36">
        <v>3</v>
      </c>
      <c r="L255" s="36">
        <v>4</v>
      </c>
      <c r="N255" s="36"/>
    </row>
    <row r="256" spans="2:14" x14ac:dyDescent="0.3">
      <c r="D256" s="5" t="s">
        <v>22</v>
      </c>
      <c r="J256" s="6">
        <f>J248</f>
        <v>194500</v>
      </c>
      <c r="K256" s="6">
        <f>K248</f>
        <v>194500</v>
      </c>
      <c r="L256" s="6">
        <f>L248</f>
        <v>184000</v>
      </c>
    </row>
    <row r="257" spans="3:14" x14ac:dyDescent="0.3">
      <c r="D257" s="5" t="s">
        <v>21</v>
      </c>
      <c r="H257" s="33"/>
      <c r="I257" s="33"/>
      <c r="J257" s="33">
        <f>I249</f>
        <v>1.1200000000000001</v>
      </c>
      <c r="K257" s="33">
        <f>J249</f>
        <v>1.2544000000000002</v>
      </c>
      <c r="L257" s="33">
        <f>K249</f>
        <v>1.4049280000000004</v>
      </c>
      <c r="N257" s="33"/>
    </row>
    <row r="258" spans="3:14" x14ac:dyDescent="0.3">
      <c r="C258" s="52" t="s">
        <v>46</v>
      </c>
      <c r="D258" s="51"/>
      <c r="E258" s="51"/>
      <c r="F258" s="51"/>
      <c r="G258" s="51"/>
      <c r="H258" s="37"/>
      <c r="I258" s="37"/>
      <c r="J258" s="37">
        <f>J256/J257</f>
        <v>173660.71428571426</v>
      </c>
      <c r="K258" s="37">
        <f>K256/K257</f>
        <v>155054.20918367343</v>
      </c>
      <c r="L258" s="37">
        <f>L256/L257</f>
        <v>130967.56559766761</v>
      </c>
      <c r="N258" s="37"/>
    </row>
    <row r="259" spans="3:14" ht="12.75" thickBot="1" x14ac:dyDescent="0.35">
      <c r="C259" s="62" t="str">
        <f>C255</f>
        <v>MV at t=1</v>
      </c>
      <c r="D259" s="45"/>
      <c r="E259" s="45"/>
      <c r="F259" s="45"/>
      <c r="G259" s="45"/>
      <c r="H259" s="25"/>
      <c r="I259" s="35">
        <f>SUM(I258:L258)</f>
        <v>459682.48906705528</v>
      </c>
      <c r="J259" s="25"/>
      <c r="K259" s="25"/>
      <c r="L259" s="25"/>
      <c r="N259" s="25"/>
    </row>
    <row r="260" spans="3:14" ht="5.0999999999999996" customHeight="1" x14ac:dyDescent="0.3"/>
    <row r="261" spans="3:14" ht="5.0999999999999996" customHeight="1" x14ac:dyDescent="0.3"/>
    <row r="262" spans="3:14" ht="5.0999999999999996" customHeight="1" x14ac:dyDescent="0.3"/>
    <row r="263" spans="3:14" ht="12.75" thickBot="1" x14ac:dyDescent="0.35">
      <c r="C263" s="63" t="s">
        <v>51</v>
      </c>
      <c r="D263" s="63"/>
      <c r="E263" s="63"/>
      <c r="F263" s="63"/>
      <c r="G263" s="63"/>
      <c r="H263" s="38">
        <v>0</v>
      </c>
      <c r="I263" s="38">
        <v>1</v>
      </c>
      <c r="J263" s="38">
        <v>2</v>
      </c>
      <c r="K263" s="38">
        <v>3</v>
      </c>
      <c r="L263" s="38">
        <v>4</v>
      </c>
      <c r="N263" s="38"/>
    </row>
    <row r="264" spans="3:14" x14ac:dyDescent="0.3">
      <c r="D264" s="5" t="s">
        <v>22</v>
      </c>
      <c r="K264" s="6">
        <f>K256</f>
        <v>194500</v>
      </c>
      <c r="L264" s="6">
        <f>L256</f>
        <v>184000</v>
      </c>
    </row>
    <row r="265" spans="3:14" x14ac:dyDescent="0.3">
      <c r="D265" s="5" t="s">
        <v>21</v>
      </c>
      <c r="H265" s="33"/>
      <c r="I265" s="33"/>
      <c r="J265" s="33"/>
      <c r="K265" s="33">
        <f>J257</f>
        <v>1.1200000000000001</v>
      </c>
      <c r="L265" s="33">
        <f>K257</f>
        <v>1.2544000000000002</v>
      </c>
      <c r="N265" s="33"/>
    </row>
    <row r="266" spans="3:14" x14ac:dyDescent="0.3">
      <c r="C266" s="52" t="s">
        <v>46</v>
      </c>
      <c r="D266" s="51"/>
      <c r="E266" s="51"/>
      <c r="F266" s="51"/>
      <c r="G266" s="51"/>
      <c r="H266" s="37"/>
      <c r="I266" s="37"/>
      <c r="J266" s="37"/>
      <c r="K266" s="37">
        <f>K264/K265</f>
        <v>173660.71428571426</v>
      </c>
      <c r="L266" s="37">
        <f>L264/L265</f>
        <v>146683.67346938772</v>
      </c>
      <c r="N266" s="37"/>
    </row>
    <row r="267" spans="3:14" ht="12.75" thickBot="1" x14ac:dyDescent="0.35">
      <c r="C267" s="62" t="str">
        <f>C263</f>
        <v>MV at t=2</v>
      </c>
      <c r="D267" s="45"/>
      <c r="E267" s="45"/>
      <c r="F267" s="45"/>
      <c r="G267" s="45"/>
      <c r="H267" s="25"/>
      <c r="I267" s="25"/>
      <c r="J267" s="35">
        <f>SUM(I266:L266)</f>
        <v>320344.38775510201</v>
      </c>
      <c r="K267" s="25"/>
      <c r="L267" s="25"/>
      <c r="N267" s="25"/>
    </row>
    <row r="268" spans="3:14" ht="5.0999999999999996" customHeight="1" x14ac:dyDescent="0.3"/>
    <row r="269" spans="3:14" ht="5.0999999999999996" customHeight="1" x14ac:dyDescent="0.3"/>
    <row r="270" spans="3:14" ht="5.0999999999999996" customHeight="1" x14ac:dyDescent="0.3"/>
    <row r="271" spans="3:14" ht="12.75" thickBot="1" x14ac:dyDescent="0.35">
      <c r="C271" s="63" t="s">
        <v>52</v>
      </c>
      <c r="D271" s="63"/>
      <c r="E271" s="63"/>
      <c r="F271" s="63"/>
      <c r="G271" s="63"/>
      <c r="H271" s="38">
        <v>0</v>
      </c>
      <c r="I271" s="38">
        <v>1</v>
      </c>
      <c r="J271" s="38">
        <v>2</v>
      </c>
      <c r="K271" s="38">
        <v>3</v>
      </c>
      <c r="L271" s="38">
        <v>4</v>
      </c>
      <c r="N271" s="38"/>
    </row>
    <row r="272" spans="3:14" x14ac:dyDescent="0.3">
      <c r="D272" s="5" t="s">
        <v>22</v>
      </c>
      <c r="L272" s="6">
        <f>L264</f>
        <v>184000</v>
      </c>
    </row>
    <row r="273" spans="3:14" x14ac:dyDescent="0.3">
      <c r="D273" s="5" t="s">
        <v>21</v>
      </c>
      <c r="H273" s="33"/>
      <c r="I273" s="33"/>
      <c r="J273" s="33"/>
      <c r="K273" s="33"/>
      <c r="L273" s="33">
        <f>K265</f>
        <v>1.1200000000000001</v>
      </c>
      <c r="N273" s="33"/>
    </row>
    <row r="274" spans="3:14" x14ac:dyDescent="0.3">
      <c r="C274" s="52" t="s">
        <v>46</v>
      </c>
      <c r="D274" s="51"/>
      <c r="E274" s="51"/>
      <c r="F274" s="51"/>
      <c r="G274" s="51"/>
      <c r="H274" s="37"/>
      <c r="I274" s="37"/>
      <c r="J274" s="37"/>
      <c r="K274" s="37"/>
      <c r="L274" s="37">
        <f>L272/L273</f>
        <v>164285.71428571426</v>
      </c>
      <c r="N274" s="37"/>
    </row>
    <row r="275" spans="3:14" ht="12.75" thickBot="1" x14ac:dyDescent="0.35">
      <c r="C275" s="62" t="str">
        <f>C271</f>
        <v>MV at t=3</v>
      </c>
      <c r="D275" s="45"/>
      <c r="E275" s="45"/>
      <c r="F275" s="45"/>
      <c r="G275" s="45"/>
      <c r="H275" s="25"/>
      <c r="I275" s="25"/>
      <c r="J275" s="25"/>
      <c r="K275" s="35">
        <f>SUM(I274:L274)</f>
        <v>164285.71428571426</v>
      </c>
      <c r="L275" s="25"/>
      <c r="N275" s="25"/>
    </row>
    <row r="276" spans="3:14" ht="5.0999999999999996" customHeight="1" x14ac:dyDescent="0.3"/>
    <row r="277" spans="3:14" ht="5.0999999999999996" customHeight="1" x14ac:dyDescent="0.3"/>
    <row r="278" spans="3:14" ht="5.0999999999999996" customHeight="1" x14ac:dyDescent="0.3"/>
    <row r="279" spans="3:14" ht="12.75" thickBot="1" x14ac:dyDescent="0.35">
      <c r="C279" s="63" t="s">
        <v>53</v>
      </c>
      <c r="D279" s="63"/>
      <c r="E279" s="63"/>
      <c r="F279" s="63"/>
      <c r="G279" s="63"/>
      <c r="H279" s="38">
        <v>0</v>
      </c>
      <c r="I279" s="38">
        <v>1</v>
      </c>
      <c r="J279" s="38">
        <v>2</v>
      </c>
      <c r="K279" s="38">
        <v>3</v>
      </c>
      <c r="L279" s="38">
        <v>4</v>
      </c>
      <c r="N279" s="38"/>
    </row>
    <row r="280" spans="3:14" x14ac:dyDescent="0.3">
      <c r="D280" s="5" t="s">
        <v>22</v>
      </c>
    </row>
    <row r="281" spans="3:14" x14ac:dyDescent="0.3">
      <c r="D281" s="5" t="s">
        <v>21</v>
      </c>
      <c r="H281" s="33"/>
      <c r="I281" s="33"/>
      <c r="J281" s="33"/>
      <c r="K281" s="33"/>
      <c r="L281" s="33"/>
      <c r="N281" s="33"/>
    </row>
    <row r="282" spans="3:14" x14ac:dyDescent="0.3">
      <c r="C282" s="52" t="s">
        <v>46</v>
      </c>
      <c r="D282" s="51"/>
      <c r="E282" s="51"/>
      <c r="F282" s="51"/>
      <c r="G282" s="51"/>
      <c r="H282" s="37"/>
      <c r="I282" s="37"/>
      <c r="J282" s="37"/>
      <c r="K282" s="37"/>
      <c r="L282" s="37"/>
      <c r="N282" s="37"/>
    </row>
    <row r="283" spans="3:14" ht="12.75" thickBot="1" x14ac:dyDescent="0.35">
      <c r="C283" s="62" t="str">
        <f>C279</f>
        <v>MV at t=4</v>
      </c>
      <c r="D283" s="45"/>
      <c r="E283" s="45"/>
      <c r="F283" s="45"/>
      <c r="G283" s="45"/>
      <c r="H283" s="25"/>
      <c r="I283" s="25"/>
      <c r="J283" s="25"/>
      <c r="K283" s="25"/>
      <c r="L283" s="35">
        <f>SUM(I282:L282)</f>
        <v>0</v>
      </c>
      <c r="N283" s="35"/>
    </row>
    <row r="284" spans="3:14" ht="9.9499999999999993" customHeight="1" x14ac:dyDescent="0.3"/>
  </sheetData>
  <mergeCells count="1">
    <mergeCell ref="C48:L48"/>
  </mergeCells>
  <phoneticPr fontId="1" type="noConversion"/>
  <printOptions horizontalCentered="1"/>
  <pageMargins left="0.7" right="0.7" top="0.75" bottom="0.75" header="0.3" footer="0.3"/>
  <pageSetup paperSize="9" orientation="portrait" verticalDpi="0" r:id="rId1"/>
  <headerFooter>
    <oddHeader xml:space="preserve">&amp;R&amp;8SeoHo Kim, KOSFI, EPASSKOREA
(e-mail: hskim852@gmail.com)
</oddHeader>
    <oddFooter>&amp;C&amp;8 &amp;P</oddFooter>
  </headerFooter>
  <rowBreaks count="3" manualBreakCount="3">
    <brk id="114" max="16383" man="1"/>
    <brk id="171" max="16383" man="1"/>
    <brk id="232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Modeling</vt:lpstr>
      <vt:lpstr>Modeling!Print_Area</vt:lpstr>
    </vt:vector>
  </TitlesOfParts>
  <Company>SUNY AGREEMENT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다.채동우</cp:lastModifiedBy>
  <cp:lastPrinted>2018-02-11T14:07:04Z</cp:lastPrinted>
  <dcterms:created xsi:type="dcterms:W3CDTF">2014-03-23T15:41:26Z</dcterms:created>
  <dcterms:modified xsi:type="dcterms:W3CDTF">2024-09-04T04:12:53Z</dcterms:modified>
</cp:coreProperties>
</file>