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mc:AlternateContent xmlns:mc="http://schemas.openxmlformats.org/markup-compatibility/2006">
    <mc:Choice Requires="x15">
      <x15ac:absPath xmlns:x15ac="http://schemas.microsoft.com/office/spreadsheetml/2010/11/ac" url="https://d.docs.live.net/65a7318a0aba533e/01. Work/21. Lecture/13. M^0A^J FS^J Valuation^J IPO/2021.09 FS_패캠/22. 실습용 엑셀 - Full package/"/>
    </mc:Choice>
  </mc:AlternateContent>
  <xr:revisionPtr revIDLastSave="12" documentId="8_{3BC41340-300D-4C1A-AF8A-D0A914D66D0C}" xr6:coauthVersionLast="47" xr6:coauthVersionMax="47" xr10:uidLastSave="{2CAD1E60-F247-4FD6-804F-19C7688E68EE}"/>
  <bookViews>
    <workbookView xWindow="-108" yWindow="-108" windowWidth="41496" windowHeight="17496" tabRatio="1000" activeTab="4" xr2:uid="{4A801F00-ED25-45FE-A875-9E6ACE15C851}"/>
  </bookViews>
  <sheets>
    <sheet name="QnA" sheetId="15" r:id="rId1"/>
    <sheet name="TDL" sheetId="21" r:id="rId2"/>
    <sheet name="Modeling" sheetId="17" r:id="rId3"/>
    <sheet name="CTRL" sheetId="40" r:id="rId4"/>
    <sheet name="IRR &amp; FS" sheetId="38" r:id="rId5"/>
    <sheet name="노선구성" sheetId="12" r:id="rId6"/>
    <sheet name="IS" sheetId="26" r:id="rId7"/>
    <sheet name="CM" sheetId="22" r:id="rId8"/>
    <sheet name="DCF" sheetId="36" r:id="rId9"/>
    <sheet name="WACC" sheetId="37" r:id="rId10"/>
    <sheet name="FS" sheetId="32" r:id="rId11"/>
    <sheet name="Trading multiple" sheetId="41" r:id="rId12"/>
    <sheet name="Transaction multiple" sheetId="42" r:id="rId13"/>
    <sheet name="Debt_Schedule" sheetId="39" r:id="rId14"/>
    <sheet name="Others" sheetId="35" r:id="rId15"/>
    <sheet name="FI&gt;&gt;" sheetId="24" r:id="rId16"/>
    <sheet name="자산비용" sheetId="34" r:id="rId17"/>
    <sheet name="IS_Others" sheetId="28" r:id="rId18"/>
    <sheet name="IS_항공기" sheetId="29" r:id="rId19"/>
    <sheet name="IS_기장" sheetId="30" r:id="rId20"/>
    <sheet name="IS_LEG" sheetId="31" r:id="rId21"/>
    <sheet name="정리자료&gt;&gt;" sheetId="16" r:id="rId22"/>
    <sheet name="2.기초자료_정리" sheetId="11" r:id="rId23"/>
    <sheet name="노선정리" sheetId="10" r:id="rId24"/>
    <sheet name="비용정리" sheetId="18" r:id="rId25"/>
    <sheet name="기타비용분석" sheetId="27" r:id="rId26"/>
    <sheet name="Matching" sheetId="20" r:id="rId27"/>
    <sheet name="회사제시&gt;&gt;" sheetId="19" r:id="rId28"/>
  </sheets>
  <definedNames>
    <definedName name="_xlnm._FilterDatabase" localSheetId="12" hidden="1">'Transaction multiple'!$B$4:$M$33</definedName>
    <definedName name="_xlnm._FilterDatabase" localSheetId="23" hidden="1">노선정리!$B$4:$S$31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0" i="38" l="1"/>
  <c r="U39" i="36"/>
  <c r="J23" i="40"/>
  <c r="E17" i="40"/>
  <c r="G16" i="40"/>
  <c r="F32" i="40" l="1"/>
  <c r="F34" i="40"/>
  <c r="E32" i="40"/>
  <c r="E34" i="40"/>
  <c r="E35" i="40"/>
  <c r="K21" i="40" l="1"/>
  <c r="K23" i="40" s="1"/>
  <c r="AJ61" i="40" l="1"/>
  <c r="AI61" i="40"/>
  <c r="AJ60" i="40"/>
  <c r="AI60" i="40"/>
  <c r="AJ59" i="40"/>
  <c r="AI59" i="40"/>
  <c r="AA185" i="38" l="1"/>
  <c r="AA184" i="38"/>
  <c r="AA183" i="38"/>
  <c r="G13" i="40"/>
  <c r="AB183" i="38" s="1"/>
  <c r="L182" i="38" s="1"/>
  <c r="N182" i="38" s="1"/>
  <c r="Z185" i="38"/>
  <c r="Z184" i="38"/>
  <c r="Z183" i="38"/>
  <c r="Y185" i="38"/>
  <c r="B185" i="38" s="1"/>
  <c r="Y184" i="38"/>
  <c r="Y183" i="38"/>
  <c r="Y182" i="38"/>
  <c r="G14" i="40"/>
  <c r="AB184" i="38" s="1"/>
  <c r="L184" i="38" s="1"/>
  <c r="N184" i="38" s="1"/>
  <c r="I120" i="40" l="1"/>
  <c r="H120" i="40" s="1"/>
  <c r="V29" i="10"/>
  <c r="P29" i="10"/>
  <c r="K29" i="10"/>
  <c r="M29" i="10" s="1"/>
  <c r="N29" i="10" s="1"/>
  <c r="V30" i="10"/>
  <c r="P30" i="10"/>
  <c r="K30" i="10"/>
  <c r="M30" i="10" s="1"/>
  <c r="V28" i="10"/>
  <c r="I119" i="40" s="1"/>
  <c r="H119" i="40" s="1"/>
  <c r="P28" i="10"/>
  <c r="K28" i="10"/>
  <c r="M28" i="10" s="1"/>
  <c r="N28" i="10" s="1"/>
  <c r="N30" i="10" l="1"/>
  <c r="V27" i="10" l="1"/>
  <c r="L137" i="28" l="1"/>
  <c r="T139" i="28"/>
  <c r="P139" i="28"/>
  <c r="L139" i="28"/>
  <c r="R138" i="28"/>
  <c r="P138" i="28"/>
  <c r="L138" i="28"/>
  <c r="H138" i="40"/>
  <c r="I138" i="40" s="1"/>
  <c r="J138" i="40" s="1"/>
  <c r="K138" i="40" s="1"/>
  <c r="H151" i="40"/>
  <c r="AF138" i="28" s="1"/>
  <c r="M2" i="28"/>
  <c r="N2" i="28" s="1"/>
  <c r="O2" i="28" s="1"/>
  <c r="P2" i="28" s="1"/>
  <c r="Q2" i="28" s="1"/>
  <c r="R2" i="28" s="1"/>
  <c r="S2" i="28" s="1"/>
  <c r="T2" i="28" s="1"/>
  <c r="U2" i="28" s="1"/>
  <c r="V2" i="28" s="1"/>
  <c r="W2" i="28" s="1"/>
  <c r="W137" i="28" s="1"/>
  <c r="K155" i="40"/>
  <c r="J155" i="40"/>
  <c r="I155" i="40"/>
  <c r="H155" i="40"/>
  <c r="G155" i="40"/>
  <c r="L154" i="40"/>
  <c r="L153" i="40"/>
  <c r="L152" i="40"/>
  <c r="V138" i="28" l="1"/>
  <c r="N137" i="28"/>
  <c r="P137" i="28"/>
  <c r="V139" i="28"/>
  <c r="T138" i="28"/>
  <c r="N139" i="28"/>
  <c r="R137" i="28"/>
  <c r="T137" i="28"/>
  <c r="N138" i="28"/>
  <c r="R139" i="28"/>
  <c r="V137" i="28"/>
  <c r="M138" i="28"/>
  <c r="Q138" i="28"/>
  <c r="U138" i="28"/>
  <c r="M139" i="28"/>
  <c r="Q139" i="28"/>
  <c r="U139" i="28"/>
  <c r="M137" i="28"/>
  <c r="Q137" i="28"/>
  <c r="U137" i="28"/>
  <c r="O138" i="28"/>
  <c r="S138" i="28"/>
  <c r="W138" i="28"/>
  <c r="O139" i="28"/>
  <c r="S139" i="28"/>
  <c r="W139" i="28"/>
  <c r="O137" i="28"/>
  <c r="S137" i="28"/>
  <c r="AF139" i="28"/>
  <c r="X138" i="28"/>
  <c r="AA139" i="28"/>
  <c r="AE139" i="28"/>
  <c r="AI139" i="28"/>
  <c r="AA137" i="28"/>
  <c r="AE137" i="28"/>
  <c r="AI137" i="28"/>
  <c r="AB139" i="28"/>
  <c r="AB137" i="28"/>
  <c r="I151" i="40"/>
  <c r="AJ137" i="28" s="1"/>
  <c r="Y139" i="28"/>
  <c r="AC139" i="28"/>
  <c r="AG139" i="28"/>
  <c r="Y137" i="28"/>
  <c r="AC137" i="28"/>
  <c r="AG137" i="28"/>
  <c r="AI138" i="28"/>
  <c r="X139" i="28"/>
  <c r="X137" i="28"/>
  <c r="AF137" i="28"/>
  <c r="Z139" i="28"/>
  <c r="AD139" i="28"/>
  <c r="AH139" i="28"/>
  <c r="Z137" i="28"/>
  <c r="AD137" i="28"/>
  <c r="AH137" i="28"/>
  <c r="AB138" i="28"/>
  <c r="Y138" i="28"/>
  <c r="AC138" i="28"/>
  <c r="AG138" i="28"/>
  <c r="Z138" i="28"/>
  <c r="AD138" i="28"/>
  <c r="AH138" i="28"/>
  <c r="AA138" i="28"/>
  <c r="AE138" i="28"/>
  <c r="L155" i="40"/>
  <c r="H64" i="28"/>
  <c r="H63" i="28"/>
  <c r="H62" i="28"/>
  <c r="H61" i="28"/>
  <c r="H60" i="28"/>
  <c r="H59" i="28"/>
  <c r="H58" i="28"/>
  <c r="H57" i="28"/>
  <c r="H55" i="28"/>
  <c r="H54" i="28"/>
  <c r="H53" i="28"/>
  <c r="H52" i="28"/>
  <c r="H51" i="28"/>
  <c r="H50" i="28"/>
  <c r="H49" i="28"/>
  <c r="H48" i="28"/>
  <c r="H45" i="28"/>
  <c r="H44" i="28"/>
  <c r="H40" i="28"/>
  <c r="H38" i="28"/>
  <c r="H37" i="28"/>
  <c r="H35" i="28"/>
  <c r="H34" i="28"/>
  <c r="H33" i="28"/>
  <c r="H32" i="28"/>
  <c r="H31" i="28"/>
  <c r="H26" i="28"/>
  <c r="H25" i="28"/>
  <c r="H24" i="28"/>
  <c r="H43" i="28"/>
  <c r="H18" i="27"/>
  <c r="H160" i="28" s="1"/>
  <c r="H17" i="27"/>
  <c r="H29" i="28" s="1"/>
  <c r="AP138" i="28" l="1"/>
  <c r="AO139" i="28"/>
  <c r="AP137" i="28"/>
  <c r="AL137" i="28"/>
  <c r="AT139" i="28"/>
  <c r="AL138" i="28"/>
  <c r="AJ139" i="28"/>
  <c r="AS137" i="28"/>
  <c r="AK139" i="28"/>
  <c r="AS138" i="28"/>
  <c r="AR137" i="28"/>
  <c r="AM137" i="28"/>
  <c r="AM139" i="28"/>
  <c r="AM138" i="28"/>
  <c r="AP139" i="28"/>
  <c r="AN137" i="28"/>
  <c r="AO137" i="28"/>
  <c r="AO138" i="28"/>
  <c r="AT137" i="28"/>
  <c r="AL139" i="28"/>
  <c r="AT138" i="28"/>
  <c r="AN138" i="28"/>
  <c r="AK137" i="28"/>
  <c r="AS139" i="28"/>
  <c r="AK138" i="28"/>
  <c r="AN139" i="28"/>
  <c r="J151" i="40"/>
  <c r="AY137" i="28" s="1"/>
  <c r="AU137" i="28"/>
  <c r="AU139" i="28"/>
  <c r="AU138" i="28"/>
  <c r="AR139" i="28"/>
  <c r="AR138" i="28"/>
  <c r="AQ137" i="28"/>
  <c r="AQ139" i="28"/>
  <c r="AQ138" i="28"/>
  <c r="AJ138" i="28"/>
  <c r="H30" i="28"/>
  <c r="H159" i="28"/>
  <c r="BG137" i="28" l="1"/>
  <c r="BG138" i="28"/>
  <c r="AV138" i="28"/>
  <c r="AV137" i="28"/>
  <c r="AY138" i="28"/>
  <c r="BG139" i="28"/>
  <c r="AZ139" i="28"/>
  <c r="BD137" i="28"/>
  <c r="K151" i="40"/>
  <c r="BP137" i="28" s="1"/>
  <c r="AX138" i="28"/>
  <c r="AX139" i="28"/>
  <c r="AX137" i="28"/>
  <c r="BS139" i="28"/>
  <c r="AW138" i="28"/>
  <c r="AW139" i="28"/>
  <c r="AW137" i="28"/>
  <c r="AZ138" i="28"/>
  <c r="AV139" i="28"/>
  <c r="BB138" i="28"/>
  <c r="BB139" i="28"/>
  <c r="BB137" i="28"/>
  <c r="BP138" i="28"/>
  <c r="BC138" i="28"/>
  <c r="BC139" i="28"/>
  <c r="BE138" i="28"/>
  <c r="BE139" i="28"/>
  <c r="BE137" i="28"/>
  <c r="BJ139" i="28"/>
  <c r="BA138" i="28"/>
  <c r="BA139" i="28"/>
  <c r="BA137" i="28"/>
  <c r="BL138" i="28"/>
  <c r="BD139" i="28"/>
  <c r="BF138" i="28"/>
  <c r="BF139" i="28"/>
  <c r="BF137" i="28"/>
  <c r="BC137" i="28"/>
  <c r="AZ137" i="28"/>
  <c r="AY139" i="28"/>
  <c r="BD138" i="28"/>
  <c r="H88" i="28"/>
  <c r="BN139" i="28" l="1"/>
  <c r="BQ138" i="28"/>
  <c r="BR137" i="28"/>
  <c r="BR138" i="28"/>
  <c r="BM137" i="28"/>
  <c r="BM138" i="28"/>
  <c r="BS138" i="28"/>
  <c r="BI137" i="28"/>
  <c r="BO138" i="28"/>
  <c r="BL137" i="28"/>
  <c r="BJ138" i="28"/>
  <c r="BP139" i="28"/>
  <c r="BN137" i="28"/>
  <c r="BN138" i="28"/>
  <c r="BI139" i="28"/>
  <c r="BK137" i="28"/>
  <c r="BK138" i="28"/>
  <c r="BO139" i="28"/>
  <c r="BH138" i="28"/>
  <c r="BH137" i="28"/>
  <c r="BH139" i="28"/>
  <c r="BL139" i="28"/>
  <c r="BK139" i="28"/>
  <c r="BQ137" i="28"/>
  <c r="BQ139" i="28"/>
  <c r="BJ137" i="28"/>
  <c r="BR139" i="28"/>
  <c r="BM139" i="28"/>
  <c r="BS137" i="28"/>
  <c r="BI138" i="28"/>
  <c r="BO137" i="28"/>
  <c r="AD158" i="28"/>
  <c r="B186" i="38" l="1"/>
  <c r="Y202" i="38" s="1"/>
  <c r="Z51" i="40"/>
  <c r="Z40" i="40"/>
  <c r="B202" i="38" l="1"/>
  <c r="I53" i="36"/>
  <c r="I52" i="36"/>
  <c r="I51" i="36"/>
  <c r="I50" i="36"/>
  <c r="I49" i="36"/>
  <c r="C25" i="37"/>
  <c r="E29" i="37" s="1"/>
  <c r="J13" i="37"/>
  <c r="J14" i="37" s="1"/>
  <c r="J12" i="37"/>
  <c r="H11" i="37"/>
  <c r="G11" i="37"/>
  <c r="K11" i="37" s="1"/>
  <c r="H10" i="37"/>
  <c r="G10" i="37"/>
  <c r="K10" i="37" s="1"/>
  <c r="H9" i="37"/>
  <c r="G9" i="37"/>
  <c r="K9" i="37" s="1"/>
  <c r="H8" i="37"/>
  <c r="G8" i="37"/>
  <c r="K8" i="37" s="1"/>
  <c r="H7" i="37"/>
  <c r="G7" i="37"/>
  <c r="K7" i="37" s="1"/>
  <c r="C63" i="37"/>
  <c r="D63" i="37"/>
  <c r="V26" i="10"/>
  <c r="V25" i="10"/>
  <c r="V24" i="10"/>
  <c r="I96" i="40" s="1"/>
  <c r="H96" i="40" s="1"/>
  <c r="V23" i="10"/>
  <c r="V22" i="10"/>
  <c r="V21" i="10"/>
  <c r="V20" i="10"/>
  <c r="I107" i="40" s="1"/>
  <c r="H107" i="40" s="1"/>
  <c r="V19" i="10"/>
  <c r="I108" i="40" s="1"/>
  <c r="H108" i="40" s="1"/>
  <c r="V18" i="10"/>
  <c r="V17" i="10"/>
  <c r="V16" i="10"/>
  <c r="V15" i="10"/>
  <c r="V14" i="10"/>
  <c r="V13" i="10"/>
  <c r="V12" i="10"/>
  <c r="V11" i="10"/>
  <c r="V10" i="10"/>
  <c r="V9" i="10"/>
  <c r="V8" i="10"/>
  <c r="V7" i="10"/>
  <c r="V6" i="10"/>
  <c r="V5" i="10"/>
  <c r="BY194" i="28"/>
  <c r="BX194" i="28"/>
  <c r="BW194" i="28"/>
  <c r="BV194" i="28"/>
  <c r="BU194" i="28"/>
  <c r="BY188" i="28"/>
  <c r="BX188" i="28"/>
  <c r="BW188" i="28"/>
  <c r="BV188" i="28"/>
  <c r="BU188" i="28"/>
  <c r="BY187" i="28"/>
  <c r="BX187" i="28"/>
  <c r="BW187" i="28"/>
  <c r="BV187" i="28"/>
  <c r="BU187" i="28"/>
  <c r="BY185" i="28"/>
  <c r="BX185" i="28"/>
  <c r="BW185" i="28"/>
  <c r="BV185" i="28"/>
  <c r="BY180" i="28"/>
  <c r="BX180" i="28"/>
  <c r="BW180" i="28"/>
  <c r="BV180" i="28"/>
  <c r="BU180" i="28"/>
  <c r="BY179" i="28"/>
  <c r="BX179" i="28"/>
  <c r="BW179" i="28"/>
  <c r="BV179" i="28"/>
  <c r="BU179" i="28"/>
  <c r="BY178" i="28"/>
  <c r="BX178" i="28"/>
  <c r="BW178" i="28"/>
  <c r="BV178" i="28"/>
  <c r="BU178" i="28"/>
  <c r="BY176" i="28"/>
  <c r="BX176" i="28"/>
  <c r="BW176" i="28"/>
  <c r="BV176" i="28"/>
  <c r="BU176" i="28"/>
  <c r="BY172" i="28"/>
  <c r="BX172" i="28"/>
  <c r="BW172" i="28"/>
  <c r="BV172" i="28"/>
  <c r="BU172" i="28"/>
  <c r="BV168" i="28"/>
  <c r="BU168" i="28"/>
  <c r="BY155" i="28"/>
  <c r="BX155" i="28"/>
  <c r="BW155" i="28"/>
  <c r="BV155" i="28"/>
  <c r="BU155" i="28"/>
  <c r="BY154" i="28"/>
  <c r="BX154" i="28"/>
  <c r="BW154" i="28"/>
  <c r="BV154" i="28"/>
  <c r="BU154" i="28"/>
  <c r="BY124" i="28"/>
  <c r="BX124" i="28"/>
  <c r="BW124" i="28"/>
  <c r="BV124" i="28"/>
  <c r="BU124" i="28"/>
  <c r="BY120" i="28"/>
  <c r="BX120" i="28"/>
  <c r="BW120" i="28"/>
  <c r="BV120" i="28"/>
  <c r="BU120" i="28"/>
  <c r="BY119" i="28"/>
  <c r="BX119" i="28"/>
  <c r="BW119" i="28"/>
  <c r="BV119" i="28"/>
  <c r="BU119" i="28"/>
  <c r="BY118" i="28"/>
  <c r="BX118" i="28"/>
  <c r="BW118" i="28"/>
  <c r="BV118" i="28"/>
  <c r="BU118" i="28"/>
  <c r="BY117" i="28"/>
  <c r="BX117" i="28"/>
  <c r="BW117" i="28"/>
  <c r="BV117" i="28"/>
  <c r="BU117" i="28"/>
  <c r="BY116" i="28"/>
  <c r="BX116" i="28"/>
  <c r="BW116" i="28"/>
  <c r="BV116" i="28"/>
  <c r="BU116" i="28"/>
  <c r="BY114" i="28"/>
  <c r="BX114" i="28"/>
  <c r="BW114" i="28"/>
  <c r="BV114" i="28"/>
  <c r="BU114" i="28"/>
  <c r="BY113" i="28"/>
  <c r="BX113" i="28"/>
  <c r="BW113" i="28"/>
  <c r="BV113" i="28"/>
  <c r="BU113" i="28"/>
  <c r="BY112" i="28"/>
  <c r="BX112" i="28"/>
  <c r="BW112" i="28"/>
  <c r="BV112" i="28"/>
  <c r="BU112" i="28"/>
  <c r="BY111" i="28"/>
  <c r="BX111" i="28"/>
  <c r="BW111" i="28"/>
  <c r="BV111" i="28"/>
  <c r="BU111" i="28"/>
  <c r="BY110" i="28"/>
  <c r="BX110" i="28"/>
  <c r="BW110" i="28"/>
  <c r="BV110" i="28"/>
  <c r="BU110" i="28"/>
  <c r="BY109" i="28"/>
  <c r="BX109" i="28"/>
  <c r="BW109" i="28"/>
  <c r="BV109" i="28"/>
  <c r="BU109" i="28"/>
  <c r="BY108" i="28"/>
  <c r="BX108" i="28"/>
  <c r="BW108" i="28"/>
  <c r="BV108" i="28"/>
  <c r="BU108" i="28"/>
  <c r="BY107" i="28"/>
  <c r="BX107" i="28"/>
  <c r="BW107" i="28"/>
  <c r="BV107" i="28"/>
  <c r="BU107" i="28"/>
  <c r="BY106" i="28"/>
  <c r="BX106" i="28"/>
  <c r="BW106" i="28"/>
  <c r="BV106" i="28"/>
  <c r="BU106" i="28"/>
  <c r="BY105" i="28"/>
  <c r="BX105" i="28"/>
  <c r="BW105" i="28"/>
  <c r="BV105" i="28"/>
  <c r="BU105" i="28"/>
  <c r="BY104" i="28"/>
  <c r="BX104" i="28"/>
  <c r="BW104" i="28"/>
  <c r="BV104" i="28"/>
  <c r="BU104" i="28"/>
  <c r="BY103" i="28"/>
  <c r="BX103" i="28"/>
  <c r="BW103" i="28"/>
  <c r="BV103" i="28"/>
  <c r="BU103" i="28"/>
  <c r="BY102" i="28"/>
  <c r="BX102" i="28"/>
  <c r="BW102" i="28"/>
  <c r="BV102" i="28"/>
  <c r="BU102" i="28"/>
  <c r="BY101" i="28"/>
  <c r="BX101" i="28"/>
  <c r="BW101" i="28"/>
  <c r="BV101" i="28"/>
  <c r="BU101" i="28"/>
  <c r="BY99" i="28"/>
  <c r="BX99" i="28"/>
  <c r="BW99" i="28"/>
  <c r="BV99" i="28"/>
  <c r="BU99" i="28"/>
  <c r="BY98" i="28"/>
  <c r="BX98" i="28"/>
  <c r="BW98" i="28"/>
  <c r="BV98" i="28"/>
  <c r="BU98" i="28"/>
  <c r="BY97" i="28"/>
  <c r="BX97" i="28"/>
  <c r="BW97" i="28"/>
  <c r="BV97" i="28"/>
  <c r="BU97" i="28"/>
  <c r="BY95" i="28"/>
  <c r="BX95" i="28"/>
  <c r="BW95" i="28"/>
  <c r="BV95" i="28"/>
  <c r="BU95" i="28"/>
  <c r="BY94" i="28"/>
  <c r="BX94" i="28"/>
  <c r="BW94" i="28"/>
  <c r="BV94" i="28"/>
  <c r="BU94" i="28"/>
  <c r="BY93" i="28"/>
  <c r="BX93" i="28"/>
  <c r="BW93" i="28"/>
  <c r="BV93" i="28"/>
  <c r="BU93" i="28"/>
  <c r="BY92" i="28"/>
  <c r="BX92" i="28"/>
  <c r="BW92" i="28"/>
  <c r="BV92" i="28"/>
  <c r="BU92" i="28"/>
  <c r="BY91" i="28"/>
  <c r="BX91" i="28"/>
  <c r="BW91" i="28"/>
  <c r="BV91" i="28"/>
  <c r="BU91" i="28"/>
  <c r="BY71" i="28"/>
  <c r="BX71" i="28"/>
  <c r="BW71" i="28"/>
  <c r="BV71" i="28"/>
  <c r="BU71" i="28"/>
  <c r="BY68" i="28"/>
  <c r="BX68" i="28"/>
  <c r="BW68" i="28"/>
  <c r="BV68" i="28"/>
  <c r="BU68" i="28"/>
  <c r="BY21" i="28"/>
  <c r="BX21" i="28"/>
  <c r="BW21" i="28"/>
  <c r="BV21" i="28"/>
  <c r="BU21" i="28"/>
  <c r="BY20" i="28"/>
  <c r="BX20" i="28"/>
  <c r="BW20" i="28"/>
  <c r="BV20" i="28"/>
  <c r="BU20" i="28"/>
  <c r="BY15" i="28"/>
  <c r="BX15" i="28"/>
  <c r="BW15" i="28"/>
  <c r="BV15" i="28"/>
  <c r="BU15" i="28"/>
  <c r="BY13" i="28"/>
  <c r="BX13" i="28"/>
  <c r="BW13" i="28"/>
  <c r="BV13" i="28"/>
  <c r="BU13" i="28"/>
  <c r="BY9" i="28"/>
  <c r="BX9" i="28"/>
  <c r="BW9" i="28"/>
  <c r="BV9" i="28"/>
  <c r="BU9" i="28"/>
  <c r="AI282" i="38"/>
  <c r="D65" i="37" l="1"/>
  <c r="H13" i="37"/>
  <c r="H14" i="37" s="1"/>
  <c r="F29" i="37" s="1"/>
  <c r="K13" i="37"/>
  <c r="K14" i="37" s="1"/>
  <c r="K12" i="37"/>
  <c r="H12" i="37"/>
  <c r="G12" i="37" s="1"/>
  <c r="AI248" i="38"/>
  <c r="AI267" i="38"/>
  <c r="AI229" i="38"/>
  <c r="AJ224" i="38"/>
  <c r="AJ248" i="38" s="1"/>
  <c r="AH224" i="38"/>
  <c r="AH248" i="38" s="1"/>
  <c r="G13" i="37" l="1"/>
  <c r="G14" i="37" s="1"/>
  <c r="F28" i="37"/>
  <c r="G29" i="37"/>
  <c r="C19" i="37"/>
  <c r="C21" i="37" s="1"/>
  <c r="E28" i="37" s="1"/>
  <c r="G28" i="37" s="1"/>
  <c r="G30" i="37" s="1"/>
  <c r="F51" i="40" s="1"/>
  <c r="AJ282" i="38"/>
  <c r="AH282" i="38"/>
  <c r="AJ267" i="38"/>
  <c r="AH267" i="38"/>
  <c r="AG224" i="38"/>
  <c r="AG248" i="38" s="1"/>
  <c r="AH229" i="38"/>
  <c r="AK224" i="38"/>
  <c r="AK248" i="38" s="1"/>
  <c r="AJ229" i="38"/>
  <c r="AG282" i="38" l="1"/>
  <c r="AK282" i="38"/>
  <c r="AK267" i="38"/>
  <c r="AG267" i="38"/>
  <c r="AK229" i="38"/>
  <c r="AG229" i="38"/>
  <c r="V20" i="38" l="1"/>
  <c r="U20" i="38"/>
  <c r="T20" i="38"/>
  <c r="K12" i="38"/>
  <c r="K10" i="38"/>
  <c r="I58" i="32" l="1"/>
  <c r="N20" i="32"/>
  <c r="M20" i="32"/>
  <c r="L20" i="32"/>
  <c r="K20" i="32"/>
  <c r="J20" i="32"/>
  <c r="N19" i="32"/>
  <c r="M19" i="32"/>
  <c r="L19" i="32"/>
  <c r="K19" i="32"/>
  <c r="J19" i="32"/>
  <c r="N17" i="32"/>
  <c r="M17" i="32"/>
  <c r="L17" i="32"/>
  <c r="K17" i="32"/>
  <c r="J17" i="32"/>
  <c r="S19" i="32"/>
  <c r="S20" i="32"/>
  <c r="N332" i="38"/>
  <c r="K29" i="32"/>
  <c r="L29" i="32" s="1"/>
  <c r="M29" i="32" s="1"/>
  <c r="N29" i="32" s="1"/>
  <c r="P384" i="38"/>
  <c r="Q384" i="38" s="1"/>
  <c r="R384" i="38" s="1"/>
  <c r="S384" i="38" s="1"/>
  <c r="P373" i="38"/>
  <c r="Q373" i="38" s="1"/>
  <c r="R373" i="38" s="1"/>
  <c r="S373" i="38" s="1"/>
  <c r="P293" i="38"/>
  <c r="Q293" i="38" s="1"/>
  <c r="R293" i="38" s="1"/>
  <c r="S293" i="38" s="1"/>
  <c r="P307" i="38"/>
  <c r="Q307" i="38" s="1"/>
  <c r="R307" i="38" s="1"/>
  <c r="S307" i="38" s="1"/>
  <c r="P336" i="38"/>
  <c r="Q336" i="38" s="1"/>
  <c r="R336" i="38" s="1"/>
  <c r="S336" i="38" s="1"/>
  <c r="O353" i="38"/>
  <c r="J46" i="32" s="1"/>
  <c r="J46" i="39"/>
  <c r="N359" i="38" s="1"/>
  <c r="J45" i="39"/>
  <c r="N357" i="38" s="1"/>
  <c r="J44" i="39"/>
  <c r="N358" i="38" s="1"/>
  <c r="O64" i="39"/>
  <c r="N64" i="39"/>
  <c r="M64" i="39"/>
  <c r="L64" i="39"/>
  <c r="K64" i="39"/>
  <c r="D99" i="32"/>
  <c r="D98" i="32"/>
  <c r="D97" i="32"/>
  <c r="D96" i="32"/>
  <c r="D95" i="32"/>
  <c r="I91" i="32"/>
  <c r="I90" i="32" s="1"/>
  <c r="I89" i="32"/>
  <c r="I88" i="32"/>
  <c r="I86" i="32"/>
  <c r="I85" i="32"/>
  <c r="I71" i="32"/>
  <c r="I70" i="32" s="1"/>
  <c r="I42" i="32"/>
  <c r="I41" i="32"/>
  <c r="I40" i="32"/>
  <c r="I39" i="32"/>
  <c r="I37" i="32"/>
  <c r="I36" i="32"/>
  <c r="I35" i="32" s="1"/>
  <c r="N99" i="32"/>
  <c r="M99" i="32"/>
  <c r="L99" i="32"/>
  <c r="K99" i="32"/>
  <c r="J99" i="32"/>
  <c r="J71" i="39"/>
  <c r="J66" i="39"/>
  <c r="J65" i="39"/>
  <c r="N432" i="38" s="1"/>
  <c r="N380" i="38"/>
  <c r="P391" i="38"/>
  <c r="Q391" i="38" s="1"/>
  <c r="R391" i="38" s="1"/>
  <c r="S391" i="38" s="1"/>
  <c r="N433" i="38"/>
  <c r="I103" i="32" s="1"/>
  <c r="O111" i="38"/>
  <c r="O110" i="38"/>
  <c r="K9" i="38"/>
  <c r="M34" i="42"/>
  <c r="M35" i="42" s="1"/>
  <c r="M36" i="42" s="1"/>
  <c r="H48" i="40" s="1"/>
  <c r="X10" i="41"/>
  <c r="X11" i="41" s="1"/>
  <c r="W10" i="41"/>
  <c r="W11" i="41" s="1"/>
  <c r="V10" i="41"/>
  <c r="V11" i="41" s="1"/>
  <c r="U10" i="41"/>
  <c r="U11" i="41" s="1"/>
  <c r="T10" i="41"/>
  <c r="T11" i="41" s="1"/>
  <c r="X9" i="41"/>
  <c r="W9" i="41"/>
  <c r="F49" i="40" s="1"/>
  <c r="V9" i="41"/>
  <c r="U9" i="41"/>
  <c r="F48" i="40" s="1"/>
  <c r="T9" i="41"/>
  <c r="I84" i="32" l="1"/>
  <c r="G49" i="40"/>
  <c r="G48" i="40"/>
  <c r="N429" i="38"/>
  <c r="I99" i="32" s="1"/>
  <c r="O426" i="38"/>
  <c r="N431" i="38"/>
  <c r="P425" i="38"/>
  <c r="N426" i="38"/>
  <c r="I96" i="32" s="1"/>
  <c r="R426" i="38"/>
  <c r="N425" i="38"/>
  <c r="I95" i="32" s="1"/>
  <c r="J82" i="39" s="1"/>
  <c r="R425" i="38"/>
  <c r="P426" i="38"/>
  <c r="Q425" i="38"/>
  <c r="S426" i="38"/>
  <c r="O425" i="38"/>
  <c r="S425" i="38"/>
  <c r="Q426" i="38"/>
  <c r="I102" i="32"/>
  <c r="I101" i="32" s="1"/>
  <c r="I38" i="32"/>
  <c r="I87" i="32"/>
  <c r="I83" i="32" s="1"/>
  <c r="I80" i="32" s="1"/>
  <c r="H61" i="40"/>
  <c r="K57" i="40" s="1"/>
  <c r="K58" i="40" s="1"/>
  <c r="K59" i="40" s="1"/>
  <c r="K60" i="40" s="1"/>
  <c r="K61" i="40" s="1"/>
  <c r="E64" i="40"/>
  <c r="P24" i="10"/>
  <c r="L24" i="10"/>
  <c r="K24" i="10"/>
  <c r="M24" i="10" l="1"/>
  <c r="N24" i="10" s="1"/>
  <c r="I69" i="32"/>
  <c r="I68" i="32" s="1"/>
  <c r="O105" i="38" l="1"/>
  <c r="O107" i="38" s="1"/>
  <c r="N107" i="38" s="1"/>
  <c r="AE34" i="40"/>
  <c r="AC34" i="40"/>
  <c r="AA34" i="40"/>
  <c r="B198" i="38"/>
  <c r="Y198" i="38" s="1"/>
  <c r="L198" i="38"/>
  <c r="Z198" i="38" s="1"/>
  <c r="B199" i="38"/>
  <c r="Y199" i="38" s="1"/>
  <c r="B200" i="38"/>
  <c r="Y200" i="38" s="1"/>
  <c r="L200" i="38"/>
  <c r="Z200" i="38" s="1"/>
  <c r="B201" i="38"/>
  <c r="Y201" i="38" s="1"/>
  <c r="L202" i="38"/>
  <c r="Z202" i="38" s="1"/>
  <c r="L203" i="38"/>
  <c r="Z203" i="38" s="1"/>
  <c r="Y203" i="38"/>
  <c r="L204" i="38"/>
  <c r="Y204" i="38"/>
  <c r="L21" i="40"/>
  <c r="L23" i="40" s="1"/>
  <c r="J27" i="40"/>
  <c r="K27" i="40" s="1"/>
  <c r="P184" i="38"/>
  <c r="N198" i="38"/>
  <c r="N111" i="38"/>
  <c r="N106" i="38"/>
  <c r="N98" i="38"/>
  <c r="L27" i="40" l="1"/>
  <c r="L29" i="40" s="1"/>
  <c r="J29" i="40"/>
  <c r="K29" i="40"/>
  <c r="G35" i="40"/>
  <c r="O112" i="38"/>
  <c r="N112" i="38" s="1"/>
  <c r="P200" i="38"/>
  <c r="R184" i="38"/>
  <c r="P182" i="38"/>
  <c r="Z204" i="38"/>
  <c r="N200" i="38"/>
  <c r="O108" i="38"/>
  <c r="N110" i="38"/>
  <c r="N108" i="38" s="1"/>
  <c r="N105" i="38"/>
  <c r="N427" i="38" l="1"/>
  <c r="N428" i="38"/>
  <c r="I98" i="32" s="1"/>
  <c r="J100" i="39" s="1"/>
  <c r="R428" i="38"/>
  <c r="S427" i="38"/>
  <c r="Q427" i="38"/>
  <c r="Q428" i="38"/>
  <c r="R427" i="38"/>
  <c r="P428" i="38"/>
  <c r="S428" i="38"/>
  <c r="O428" i="38"/>
  <c r="P427" i="38"/>
  <c r="O427" i="38"/>
  <c r="T184" i="38"/>
  <c r="R200" i="38"/>
  <c r="P198" i="38"/>
  <c r="R182" i="38"/>
  <c r="Z43" i="40"/>
  <c r="AA42" i="40"/>
  <c r="AA41" i="40"/>
  <c r="AA40" i="40"/>
  <c r="G28" i="40"/>
  <c r="G26" i="40"/>
  <c r="R424" i="38" l="1"/>
  <c r="I97" i="32"/>
  <c r="I94" i="32" s="1"/>
  <c r="I93" i="32" s="1"/>
  <c r="I106" i="32" s="1"/>
  <c r="I107" i="32" s="1"/>
  <c r="N424" i="38"/>
  <c r="P424" i="38"/>
  <c r="Q424" i="38"/>
  <c r="O424" i="38"/>
  <c r="S424" i="38"/>
  <c r="T200" i="38"/>
  <c r="AB200" i="38" s="1"/>
  <c r="V184" i="38"/>
  <c r="V200" i="38" s="1"/>
  <c r="AD200" i="38" s="1"/>
  <c r="R198" i="38"/>
  <c r="T182" i="38"/>
  <c r="Z42" i="40"/>
  <c r="Z41" i="40"/>
  <c r="G27" i="40"/>
  <c r="G22" i="40"/>
  <c r="G21" i="40"/>
  <c r="G20" i="40"/>
  <c r="G15" i="40"/>
  <c r="AB185" i="38" s="1"/>
  <c r="L185" i="38" s="1"/>
  <c r="G12" i="40"/>
  <c r="Z182" i="38"/>
  <c r="AA182" i="38"/>
  <c r="AA51" i="40"/>
  <c r="Z50" i="40"/>
  <c r="Z49" i="40"/>
  <c r="Z48" i="40"/>
  <c r="Z47" i="40"/>
  <c r="N185" i="38" l="1"/>
  <c r="L201" i="38"/>
  <c r="Z201" i="38" s="1"/>
  <c r="AB182" i="38"/>
  <c r="L183" i="38" s="1"/>
  <c r="I31" i="32"/>
  <c r="I30" i="32" s="1"/>
  <c r="J105" i="32"/>
  <c r="N337" i="38"/>
  <c r="N436" i="38"/>
  <c r="N437" i="38" s="1"/>
  <c r="O435" i="38" s="1"/>
  <c r="T198" i="38"/>
  <c r="V182" i="38"/>
  <c r="V198" i="38" s="1"/>
  <c r="AD198" i="38" s="1"/>
  <c r="Z36" i="40"/>
  <c r="Z38" i="40"/>
  <c r="Z39" i="40"/>
  <c r="Z37" i="40"/>
  <c r="Y251" i="38"/>
  <c r="N183" i="38" l="1"/>
  <c r="P183" i="38" s="1"/>
  <c r="P199" i="38" s="1"/>
  <c r="L199" i="38"/>
  <c r="Z199" i="38" s="1"/>
  <c r="AB198" i="38"/>
  <c r="P185" i="38"/>
  <c r="N201" i="38"/>
  <c r="AA50" i="40"/>
  <c r="P6" i="40"/>
  <c r="P7" i="40"/>
  <c r="P8" i="40"/>
  <c r="P10" i="40"/>
  <c r="I113" i="40"/>
  <c r="H113" i="40" s="1"/>
  <c r="I101" i="40"/>
  <c r="H101" i="40" s="1"/>
  <c r="BS5" i="30"/>
  <c r="BR5" i="30"/>
  <c r="BQ5" i="30"/>
  <c r="BP5" i="30"/>
  <c r="BO5" i="30"/>
  <c r="BN5" i="30"/>
  <c r="BM5" i="30"/>
  <c r="BL5" i="30"/>
  <c r="BK5" i="30"/>
  <c r="BJ5" i="30"/>
  <c r="BI5" i="30"/>
  <c r="BH5" i="30"/>
  <c r="BG5" i="30"/>
  <c r="BF5" i="30"/>
  <c r="BE5" i="30"/>
  <c r="BD5" i="30"/>
  <c r="BC5" i="30"/>
  <c r="BB5" i="30"/>
  <c r="BA5" i="30"/>
  <c r="AZ5" i="30"/>
  <c r="AY5" i="30"/>
  <c r="AX5" i="30"/>
  <c r="AW5" i="30"/>
  <c r="AV5" i="30"/>
  <c r="AU5" i="30"/>
  <c r="AT5" i="30"/>
  <c r="AS5" i="30"/>
  <c r="AR5" i="30"/>
  <c r="AQ5" i="30"/>
  <c r="AP5" i="30"/>
  <c r="AO5" i="30"/>
  <c r="AN5" i="30"/>
  <c r="AM5" i="30"/>
  <c r="AL5" i="30"/>
  <c r="AK5" i="30"/>
  <c r="AJ5" i="30"/>
  <c r="AI5" i="30"/>
  <c r="AH5" i="30"/>
  <c r="AG5" i="30"/>
  <c r="AF5" i="30"/>
  <c r="AE5" i="30"/>
  <c r="AD5" i="30"/>
  <c r="AC5" i="30"/>
  <c r="AB5" i="30"/>
  <c r="AA5" i="30"/>
  <c r="Z5" i="30"/>
  <c r="Y5" i="30"/>
  <c r="X5" i="30"/>
  <c r="W5" i="30"/>
  <c r="V5" i="30"/>
  <c r="U5" i="30"/>
  <c r="T5" i="30"/>
  <c r="S5" i="30"/>
  <c r="R5" i="30"/>
  <c r="Q5" i="30"/>
  <c r="P5" i="30"/>
  <c r="O5" i="30"/>
  <c r="N5" i="30"/>
  <c r="M5" i="30"/>
  <c r="L5" i="30"/>
  <c r="J118" i="40"/>
  <c r="J112" i="40"/>
  <c r="J106" i="40"/>
  <c r="J100" i="40"/>
  <c r="J94" i="40"/>
  <c r="J88" i="40"/>
  <c r="J82" i="40"/>
  <c r="J76" i="40"/>
  <c r="J70" i="40"/>
  <c r="N199" i="38" l="1"/>
  <c r="R183" i="38"/>
  <c r="T183" i="38" s="1"/>
  <c r="R185" i="38"/>
  <c r="P201" i="38"/>
  <c r="AA39" i="40"/>
  <c r="R199" i="38" l="1"/>
  <c r="T185" i="38"/>
  <c r="R201" i="38"/>
  <c r="T199" i="38"/>
  <c r="AB199" i="38" s="1"/>
  <c r="V183" i="38"/>
  <c r="V199" i="38" s="1"/>
  <c r="AD199" i="38" s="1"/>
  <c r="O67" i="38"/>
  <c r="N67" i="38" s="1"/>
  <c r="N98" i="32"/>
  <c r="O100" i="39" s="1"/>
  <c r="M98" i="32"/>
  <c r="N100" i="39" s="1"/>
  <c r="L98" i="32"/>
  <c r="M100" i="39" s="1"/>
  <c r="K98" i="32"/>
  <c r="L100" i="39" s="1"/>
  <c r="N97" i="32"/>
  <c r="M97" i="32"/>
  <c r="L97" i="32"/>
  <c r="K97" i="32"/>
  <c r="N96" i="32"/>
  <c r="M96" i="32"/>
  <c r="L96" i="32"/>
  <c r="K96" i="32"/>
  <c r="N95" i="32"/>
  <c r="M95" i="32"/>
  <c r="L95" i="32"/>
  <c r="K95" i="32"/>
  <c r="BO131" i="26"/>
  <c r="BN131" i="26"/>
  <c r="BM131" i="26"/>
  <c r="BL131" i="26"/>
  <c r="BK131" i="26"/>
  <c r="BJ131" i="26"/>
  <c r="BI131" i="26"/>
  <c r="BH131" i="26"/>
  <c r="BG131" i="26"/>
  <c r="BF131" i="26"/>
  <c r="BE131" i="26"/>
  <c r="BD131" i="26"/>
  <c r="BC131" i="26"/>
  <c r="BB131" i="26"/>
  <c r="BA131" i="26"/>
  <c r="AZ131" i="26"/>
  <c r="AY131" i="26"/>
  <c r="AX131" i="26"/>
  <c r="AW131" i="26"/>
  <c r="AV131" i="26"/>
  <c r="AU131" i="26"/>
  <c r="AT131" i="26"/>
  <c r="AS131" i="26"/>
  <c r="AR131" i="26"/>
  <c r="AQ131" i="26"/>
  <c r="AP131" i="26"/>
  <c r="AO131" i="26"/>
  <c r="AN131" i="26"/>
  <c r="AM131" i="26"/>
  <c r="AL131" i="26"/>
  <c r="AK131" i="26"/>
  <c r="AJ131" i="26"/>
  <c r="AI131" i="26"/>
  <c r="AH131" i="26"/>
  <c r="AG131" i="26"/>
  <c r="AF131" i="26"/>
  <c r="AE131" i="26"/>
  <c r="AD131" i="26"/>
  <c r="AC131" i="26"/>
  <c r="AB131" i="26"/>
  <c r="AA131" i="26"/>
  <c r="Z131" i="26"/>
  <c r="Y131" i="26"/>
  <c r="X131" i="26"/>
  <c r="W131" i="26"/>
  <c r="V131" i="26"/>
  <c r="U131" i="26"/>
  <c r="T131" i="26"/>
  <c r="S131" i="26"/>
  <c r="R131" i="26"/>
  <c r="Q131" i="26"/>
  <c r="P131" i="26"/>
  <c r="O131" i="26"/>
  <c r="N131" i="26"/>
  <c r="M131" i="26"/>
  <c r="L131" i="26"/>
  <c r="K131" i="26"/>
  <c r="J131" i="26"/>
  <c r="I131" i="26"/>
  <c r="H131" i="26"/>
  <c r="BO129" i="26"/>
  <c r="BN129" i="26"/>
  <c r="BM129" i="26"/>
  <c r="BL129" i="26"/>
  <c r="BK129" i="26"/>
  <c r="BJ129" i="26"/>
  <c r="BI129" i="26"/>
  <c r="BH129" i="26"/>
  <c r="BG129" i="26"/>
  <c r="BF129" i="26"/>
  <c r="BE129" i="26"/>
  <c r="BD129" i="26"/>
  <c r="BC129" i="26"/>
  <c r="BB129" i="26"/>
  <c r="BA129" i="26"/>
  <c r="AZ129" i="26"/>
  <c r="AY129" i="26"/>
  <c r="AX129" i="26"/>
  <c r="AW129" i="26"/>
  <c r="AV129" i="26"/>
  <c r="AU129" i="26"/>
  <c r="AT129" i="26"/>
  <c r="AS129" i="26"/>
  <c r="AR129" i="26"/>
  <c r="AQ129" i="26"/>
  <c r="AP129" i="26"/>
  <c r="AO129" i="26"/>
  <c r="AN129" i="26"/>
  <c r="AM129" i="26"/>
  <c r="AL129" i="26"/>
  <c r="AK129" i="26"/>
  <c r="AJ129" i="26"/>
  <c r="AI129" i="26"/>
  <c r="AH129" i="26"/>
  <c r="AG129" i="26"/>
  <c r="AF129" i="26"/>
  <c r="AE129" i="26"/>
  <c r="AD129" i="26"/>
  <c r="AC129" i="26"/>
  <c r="AB129" i="26"/>
  <c r="AA129" i="26"/>
  <c r="Z129" i="26"/>
  <c r="Y129" i="26"/>
  <c r="X129" i="26"/>
  <c r="W129" i="26"/>
  <c r="V129" i="26"/>
  <c r="U129" i="26"/>
  <c r="T129" i="26"/>
  <c r="S129" i="26"/>
  <c r="R129" i="26"/>
  <c r="Q129" i="26"/>
  <c r="P129" i="26"/>
  <c r="O129" i="26"/>
  <c r="N129" i="26"/>
  <c r="M129" i="26"/>
  <c r="L129" i="26"/>
  <c r="K129" i="26"/>
  <c r="J129" i="26"/>
  <c r="I129" i="26"/>
  <c r="H129" i="26"/>
  <c r="BO128" i="26"/>
  <c r="BN128" i="26"/>
  <c r="BM128" i="26"/>
  <c r="BL128" i="26"/>
  <c r="BK128" i="26"/>
  <c r="BJ128" i="26"/>
  <c r="BI128" i="26"/>
  <c r="BH128" i="26"/>
  <c r="BG128" i="26"/>
  <c r="BF128" i="26"/>
  <c r="BE128" i="26"/>
  <c r="BD128" i="26"/>
  <c r="BC128" i="26"/>
  <c r="BB128" i="26"/>
  <c r="BA128" i="26"/>
  <c r="AZ128" i="26"/>
  <c r="AY128" i="26"/>
  <c r="AX128" i="26"/>
  <c r="AW128" i="26"/>
  <c r="AV128" i="26"/>
  <c r="AU128" i="26"/>
  <c r="AT128" i="26"/>
  <c r="AS128" i="26"/>
  <c r="AR128" i="26"/>
  <c r="AQ128" i="26"/>
  <c r="AP128" i="26"/>
  <c r="AO128" i="26"/>
  <c r="AN128" i="26"/>
  <c r="AM128" i="26"/>
  <c r="AL128" i="26"/>
  <c r="AK128" i="26"/>
  <c r="AJ128" i="26"/>
  <c r="AI128" i="26"/>
  <c r="AH128" i="26"/>
  <c r="AG128" i="26"/>
  <c r="AF128" i="26"/>
  <c r="AE128" i="26"/>
  <c r="AD128" i="26"/>
  <c r="AC128" i="26"/>
  <c r="AB128" i="26"/>
  <c r="AA128" i="26"/>
  <c r="Z128" i="26"/>
  <c r="Y128" i="26"/>
  <c r="X128" i="26"/>
  <c r="W128" i="26"/>
  <c r="V128" i="26"/>
  <c r="U128" i="26"/>
  <c r="T128" i="26"/>
  <c r="S128" i="26"/>
  <c r="R128" i="26"/>
  <c r="Q128" i="26"/>
  <c r="P128" i="26"/>
  <c r="O128" i="26"/>
  <c r="N128" i="26"/>
  <c r="M128" i="26"/>
  <c r="L128" i="26"/>
  <c r="K128" i="26"/>
  <c r="J128" i="26"/>
  <c r="I128" i="26"/>
  <c r="H128" i="26"/>
  <c r="BO127" i="26"/>
  <c r="BN127" i="26"/>
  <c r="BM127" i="26"/>
  <c r="BL127" i="26"/>
  <c r="BK127" i="26"/>
  <c r="BJ127" i="26"/>
  <c r="BI127" i="26"/>
  <c r="BH127" i="26"/>
  <c r="BG127" i="26"/>
  <c r="BF127" i="26"/>
  <c r="BE127" i="26"/>
  <c r="BD127" i="26"/>
  <c r="BC127" i="26"/>
  <c r="BB127" i="26"/>
  <c r="BA127" i="26"/>
  <c r="AZ127" i="26"/>
  <c r="AY127" i="26"/>
  <c r="AX127" i="26"/>
  <c r="AW127" i="26"/>
  <c r="AV127" i="26"/>
  <c r="AU127" i="26"/>
  <c r="AT127" i="26"/>
  <c r="AS127" i="26"/>
  <c r="AR127" i="26"/>
  <c r="AQ127" i="26"/>
  <c r="AP127" i="26"/>
  <c r="AO127" i="26"/>
  <c r="AN127" i="26"/>
  <c r="AM127" i="26"/>
  <c r="AL127" i="26"/>
  <c r="AK127" i="26"/>
  <c r="AJ127" i="26"/>
  <c r="AI127" i="26"/>
  <c r="AH127" i="26"/>
  <c r="AG127" i="26"/>
  <c r="AF127" i="26"/>
  <c r="AE127" i="26"/>
  <c r="AD127" i="26"/>
  <c r="AC127" i="26"/>
  <c r="AB127" i="26"/>
  <c r="AA127" i="26"/>
  <c r="Z127" i="26"/>
  <c r="Y127" i="26"/>
  <c r="X127" i="26"/>
  <c r="W127" i="26"/>
  <c r="V127" i="26"/>
  <c r="U127" i="26"/>
  <c r="T127" i="26"/>
  <c r="S127" i="26"/>
  <c r="R127" i="26"/>
  <c r="Q127" i="26"/>
  <c r="P127" i="26"/>
  <c r="O127" i="26"/>
  <c r="N127" i="26"/>
  <c r="M127" i="26"/>
  <c r="L127" i="26"/>
  <c r="K127" i="26"/>
  <c r="J127" i="26"/>
  <c r="I127" i="26"/>
  <c r="H127" i="26"/>
  <c r="BO126" i="26"/>
  <c r="BN126" i="26"/>
  <c r="BM126" i="26"/>
  <c r="BL126" i="26"/>
  <c r="BK126" i="26"/>
  <c r="BJ126" i="26"/>
  <c r="BI126" i="26"/>
  <c r="BH126" i="26"/>
  <c r="BG126" i="26"/>
  <c r="BF126" i="26"/>
  <c r="BE126" i="26"/>
  <c r="BD126" i="26"/>
  <c r="BC126" i="26"/>
  <c r="BB126" i="26"/>
  <c r="BA126" i="26"/>
  <c r="AZ126" i="26"/>
  <c r="AY126" i="26"/>
  <c r="AX126" i="26"/>
  <c r="AW126" i="26"/>
  <c r="AV126" i="26"/>
  <c r="AU126" i="26"/>
  <c r="AT126" i="26"/>
  <c r="AS126" i="26"/>
  <c r="AR126" i="26"/>
  <c r="AQ126" i="26"/>
  <c r="AP126" i="26"/>
  <c r="AO126" i="26"/>
  <c r="AN126" i="26"/>
  <c r="AM126" i="26"/>
  <c r="AL126" i="26"/>
  <c r="AK126" i="26"/>
  <c r="AJ126" i="26"/>
  <c r="AI126" i="26"/>
  <c r="AH126" i="26"/>
  <c r="AG126" i="26"/>
  <c r="AF126" i="26"/>
  <c r="AE126" i="26"/>
  <c r="AD126" i="26"/>
  <c r="AC126" i="26"/>
  <c r="AB126" i="26"/>
  <c r="AA126" i="26"/>
  <c r="Z126" i="26"/>
  <c r="Y126" i="26"/>
  <c r="X126" i="26"/>
  <c r="W126" i="26"/>
  <c r="V126" i="26"/>
  <c r="U126" i="26"/>
  <c r="T126" i="26"/>
  <c r="S126" i="26"/>
  <c r="R126" i="26"/>
  <c r="Q126" i="26"/>
  <c r="P126" i="26"/>
  <c r="O126" i="26"/>
  <c r="N126" i="26"/>
  <c r="M126" i="26"/>
  <c r="L126" i="26"/>
  <c r="K126" i="26"/>
  <c r="J126" i="26"/>
  <c r="I126" i="26"/>
  <c r="H126" i="26"/>
  <c r="J25" i="40"/>
  <c r="J31" i="40" s="1"/>
  <c r="M82" i="39" l="1"/>
  <c r="L94" i="32"/>
  <c r="M94" i="32"/>
  <c r="N82" i="39"/>
  <c r="N94" i="32"/>
  <c r="O82" i="39"/>
  <c r="L82" i="39"/>
  <c r="K94" i="32"/>
  <c r="V185" i="38"/>
  <c r="V201" i="38" s="1"/>
  <c r="AD201" i="38" s="1"/>
  <c r="AE39" i="40" s="1"/>
  <c r="T201" i="38"/>
  <c r="AB201" i="38" s="1"/>
  <c r="AC39" i="40" s="1"/>
  <c r="O82" i="38"/>
  <c r="N82" i="38" s="1"/>
  <c r="K41" i="38"/>
  <c r="K38" i="38"/>
  <c r="K37" i="38"/>
  <c r="D122" i="12"/>
  <c r="I95" i="40"/>
  <c r="H95" i="40" s="1"/>
  <c r="I90" i="40"/>
  <c r="D99" i="12" s="1"/>
  <c r="I89" i="40"/>
  <c r="H89" i="40" s="1"/>
  <c r="I80" i="40"/>
  <c r="H80" i="40" s="1"/>
  <c r="I79" i="40"/>
  <c r="H79" i="40" s="1"/>
  <c r="I78" i="40"/>
  <c r="D87" i="12" s="1"/>
  <c r="J107" i="12"/>
  <c r="N107" i="12" s="1"/>
  <c r="D107" i="12"/>
  <c r="U107" i="12" s="1"/>
  <c r="J106" i="12"/>
  <c r="N106" i="12" s="1"/>
  <c r="D106" i="12"/>
  <c r="T106" i="12" s="1"/>
  <c r="J105" i="12"/>
  <c r="N105" i="12" s="1"/>
  <c r="D105" i="12"/>
  <c r="S105" i="12" s="1"/>
  <c r="J104" i="12"/>
  <c r="N104" i="12" s="1"/>
  <c r="J101" i="12"/>
  <c r="N101" i="12" s="1"/>
  <c r="D101" i="12"/>
  <c r="U101" i="12" s="1"/>
  <c r="J100" i="12"/>
  <c r="N100" i="12" s="1"/>
  <c r="D100" i="12"/>
  <c r="T100" i="12" s="1"/>
  <c r="J99" i="12"/>
  <c r="N99" i="12" s="1"/>
  <c r="J98" i="12"/>
  <c r="N98" i="12" s="1"/>
  <c r="J95" i="12"/>
  <c r="N95" i="12" s="1"/>
  <c r="D95" i="12"/>
  <c r="U95" i="12" s="1"/>
  <c r="J94" i="12"/>
  <c r="N94" i="12" s="1"/>
  <c r="D94" i="12"/>
  <c r="T94" i="12" s="1"/>
  <c r="J93" i="12"/>
  <c r="N93" i="12" s="1"/>
  <c r="D93" i="12"/>
  <c r="S93" i="12" s="1"/>
  <c r="J131" i="12"/>
  <c r="N131" i="12" s="1"/>
  <c r="D131" i="12"/>
  <c r="T131" i="12" s="1"/>
  <c r="J130" i="12"/>
  <c r="N130" i="12" s="1"/>
  <c r="D130" i="12"/>
  <c r="T130" i="12" s="1"/>
  <c r="J129" i="12"/>
  <c r="N129" i="12" s="1"/>
  <c r="D129" i="12"/>
  <c r="U129" i="12" s="1"/>
  <c r="J128" i="12"/>
  <c r="N128" i="12" s="1"/>
  <c r="D128" i="12"/>
  <c r="U128" i="12" s="1"/>
  <c r="J125" i="12"/>
  <c r="N125" i="12" s="1"/>
  <c r="D125" i="12"/>
  <c r="U125" i="12" s="1"/>
  <c r="J124" i="12"/>
  <c r="N124" i="12" s="1"/>
  <c r="D124" i="12"/>
  <c r="U124" i="12" s="1"/>
  <c r="J123" i="12"/>
  <c r="N123" i="12" s="1"/>
  <c r="J122" i="12"/>
  <c r="N122" i="12" s="1"/>
  <c r="J119" i="12"/>
  <c r="N119" i="12" s="1"/>
  <c r="D119" i="12"/>
  <c r="U119" i="12" s="1"/>
  <c r="J118" i="12"/>
  <c r="N118" i="12" s="1"/>
  <c r="J117" i="12"/>
  <c r="N117" i="12" s="1"/>
  <c r="J116" i="12"/>
  <c r="N116" i="12" s="1"/>
  <c r="J113" i="12"/>
  <c r="N113" i="12" s="1"/>
  <c r="J112" i="12"/>
  <c r="N112" i="12" s="1"/>
  <c r="J111" i="12"/>
  <c r="N111" i="12" s="1"/>
  <c r="J110" i="12"/>
  <c r="N110" i="12" s="1"/>
  <c r="J92" i="12"/>
  <c r="N92" i="12" s="1"/>
  <c r="J89" i="12"/>
  <c r="N89" i="12" s="1"/>
  <c r="J88" i="12"/>
  <c r="N88" i="12" s="1"/>
  <c r="J87" i="12"/>
  <c r="N87" i="12" s="1"/>
  <c r="J86" i="12"/>
  <c r="N86" i="12" s="1"/>
  <c r="J83" i="12"/>
  <c r="N83" i="12" s="1"/>
  <c r="J82" i="12"/>
  <c r="N82" i="12" s="1"/>
  <c r="J81" i="12"/>
  <c r="N81" i="12" s="1"/>
  <c r="J80" i="12"/>
  <c r="N80" i="12" s="1"/>
  <c r="J77" i="12"/>
  <c r="N77" i="12" s="1"/>
  <c r="J76" i="12"/>
  <c r="N76" i="12" s="1"/>
  <c r="J75" i="12"/>
  <c r="N75" i="12" s="1"/>
  <c r="D113" i="12"/>
  <c r="T113" i="12" s="1"/>
  <c r="D112" i="12"/>
  <c r="U112" i="12" s="1"/>
  <c r="D83" i="12"/>
  <c r="H83" i="12" s="1"/>
  <c r="I83" i="40"/>
  <c r="H83" i="40" s="1"/>
  <c r="I66" i="40"/>
  <c r="H66" i="40" s="1"/>
  <c r="D123" i="12" l="1"/>
  <c r="U123" i="12" s="1"/>
  <c r="D104" i="12"/>
  <c r="U104" i="12" s="1"/>
  <c r="G106" i="12"/>
  <c r="K106" i="12" s="1"/>
  <c r="L83" i="12"/>
  <c r="S112" i="12"/>
  <c r="E106" i="12"/>
  <c r="F128" i="12"/>
  <c r="E94" i="12"/>
  <c r="D92" i="12"/>
  <c r="U92" i="12" s="1"/>
  <c r="E112" i="12"/>
  <c r="T112" i="12"/>
  <c r="U94" i="12"/>
  <c r="S100" i="12"/>
  <c r="D111" i="12"/>
  <c r="U111" i="12" s="1"/>
  <c r="F112" i="12"/>
  <c r="U130" i="12"/>
  <c r="G94" i="12"/>
  <c r="K94" i="12" s="1"/>
  <c r="G100" i="12"/>
  <c r="K100" i="12" s="1"/>
  <c r="U106" i="12"/>
  <c r="E83" i="12"/>
  <c r="S83" i="12"/>
  <c r="T83" i="12"/>
  <c r="U131" i="12"/>
  <c r="G83" i="12"/>
  <c r="U83" i="12"/>
  <c r="H112" i="12"/>
  <c r="L112" i="12" s="1"/>
  <c r="G131" i="12"/>
  <c r="K131" i="12" s="1"/>
  <c r="F95" i="12"/>
  <c r="F107" i="12"/>
  <c r="F83" i="12"/>
  <c r="S94" i="12"/>
  <c r="S106" i="12"/>
  <c r="F129" i="12"/>
  <c r="H131" i="12"/>
  <c r="L131" i="12" s="1"/>
  <c r="E130" i="12"/>
  <c r="S130" i="12"/>
  <c r="E131" i="12"/>
  <c r="S131" i="12"/>
  <c r="S129" i="12"/>
  <c r="S128" i="12"/>
  <c r="F130" i="12"/>
  <c r="F131" i="12"/>
  <c r="S119" i="12"/>
  <c r="F119" i="12"/>
  <c r="G119" i="12"/>
  <c r="K119" i="12" s="1"/>
  <c r="U122" i="12"/>
  <c r="S122" i="12"/>
  <c r="F122" i="12"/>
  <c r="F113" i="12"/>
  <c r="U113" i="12"/>
  <c r="G113" i="12"/>
  <c r="G112" i="12"/>
  <c r="H113" i="12"/>
  <c r="L113" i="12" s="1"/>
  <c r="S113" i="12"/>
  <c r="E113" i="12"/>
  <c r="D110" i="12"/>
  <c r="S99" i="12"/>
  <c r="F99" i="12"/>
  <c r="H90" i="40"/>
  <c r="D98" i="12"/>
  <c r="S98" i="12" s="1"/>
  <c r="D89" i="12"/>
  <c r="D88" i="12"/>
  <c r="S87" i="12"/>
  <c r="F87" i="12"/>
  <c r="U87" i="12"/>
  <c r="E87" i="12"/>
  <c r="T87" i="12"/>
  <c r="H78" i="40"/>
  <c r="E105" i="12"/>
  <c r="U105" i="12"/>
  <c r="F106" i="12"/>
  <c r="G107" i="12"/>
  <c r="S107" i="12"/>
  <c r="H105" i="12"/>
  <c r="L105" i="12" s="1"/>
  <c r="H107" i="12"/>
  <c r="L107" i="12" s="1"/>
  <c r="T107" i="12"/>
  <c r="T105" i="12"/>
  <c r="F105" i="12"/>
  <c r="G105" i="12"/>
  <c r="H106" i="12"/>
  <c r="E107" i="12"/>
  <c r="T99" i="12"/>
  <c r="E100" i="12"/>
  <c r="U100" i="12"/>
  <c r="F101" i="12"/>
  <c r="E99" i="12"/>
  <c r="U99" i="12"/>
  <c r="F100" i="12"/>
  <c r="G101" i="12"/>
  <c r="S101" i="12"/>
  <c r="H101" i="12"/>
  <c r="L101" i="12" s="1"/>
  <c r="T101" i="12"/>
  <c r="H100" i="12"/>
  <c r="L100" i="12" s="1"/>
  <c r="E101" i="12"/>
  <c r="E93" i="12"/>
  <c r="U93" i="12"/>
  <c r="F94" i="12"/>
  <c r="G95" i="12"/>
  <c r="S95" i="12"/>
  <c r="F93" i="12"/>
  <c r="H95" i="12"/>
  <c r="L95" i="12" s="1"/>
  <c r="T95" i="12"/>
  <c r="H93" i="12"/>
  <c r="L93" i="12" s="1"/>
  <c r="T93" i="12"/>
  <c r="G93" i="12"/>
  <c r="H94" i="12"/>
  <c r="E95" i="12"/>
  <c r="T129" i="12"/>
  <c r="E129" i="12"/>
  <c r="T128" i="12"/>
  <c r="E128" i="12"/>
  <c r="H125" i="12"/>
  <c r="L125" i="12" s="1"/>
  <c r="F125" i="12"/>
  <c r="G125" i="12"/>
  <c r="S125" i="12"/>
  <c r="T125" i="12"/>
  <c r="E125" i="12"/>
  <c r="F124" i="12"/>
  <c r="G124" i="12"/>
  <c r="S124" i="12"/>
  <c r="H124" i="12"/>
  <c r="L124" i="12" s="1"/>
  <c r="T124" i="12"/>
  <c r="E124" i="12"/>
  <c r="T122" i="12"/>
  <c r="E122" i="12"/>
  <c r="H119" i="12"/>
  <c r="L119" i="12" s="1"/>
  <c r="T119" i="12"/>
  <c r="E119" i="12"/>
  <c r="E92" i="12" l="1"/>
  <c r="T104" i="12"/>
  <c r="F104" i="12"/>
  <c r="S104" i="12"/>
  <c r="E104" i="12"/>
  <c r="T123" i="12"/>
  <c r="F92" i="12"/>
  <c r="S123" i="12"/>
  <c r="E123" i="12"/>
  <c r="F123" i="12"/>
  <c r="S111" i="12"/>
  <c r="S92" i="12"/>
  <c r="T92" i="12"/>
  <c r="I131" i="12"/>
  <c r="M131" i="12" s="1"/>
  <c r="T111" i="12"/>
  <c r="G111" i="12"/>
  <c r="H111" i="12"/>
  <c r="L111" i="12" s="1"/>
  <c r="F111" i="12"/>
  <c r="E111" i="12"/>
  <c r="K83" i="12"/>
  <c r="I83" i="12"/>
  <c r="M83" i="12" s="1"/>
  <c r="K112" i="12"/>
  <c r="I112" i="12"/>
  <c r="M112" i="12" s="1"/>
  <c r="I113" i="12"/>
  <c r="M113" i="12" s="1"/>
  <c r="K113" i="12"/>
  <c r="U110" i="12"/>
  <c r="F110" i="12"/>
  <c r="T110" i="12"/>
  <c r="E110" i="12"/>
  <c r="S110" i="12"/>
  <c r="T98" i="12"/>
  <c r="U98" i="12"/>
  <c r="F98" i="12"/>
  <c r="E98" i="12"/>
  <c r="S89" i="12"/>
  <c r="E89" i="12"/>
  <c r="U89" i="12"/>
  <c r="T89" i="12"/>
  <c r="F89" i="12"/>
  <c r="T88" i="12"/>
  <c r="F88" i="12"/>
  <c r="U88" i="12"/>
  <c r="E88" i="12"/>
  <c r="S88" i="12"/>
  <c r="L106" i="12"/>
  <c r="I106" i="12"/>
  <c r="M106" i="12" s="1"/>
  <c r="K105" i="12"/>
  <c r="I105" i="12"/>
  <c r="M105" i="12" s="1"/>
  <c r="K96" i="40" s="1"/>
  <c r="I107" i="12"/>
  <c r="M107" i="12" s="1"/>
  <c r="K107" i="12"/>
  <c r="I101" i="12"/>
  <c r="M101" i="12" s="1"/>
  <c r="K101" i="12"/>
  <c r="I100" i="12"/>
  <c r="M100" i="12" s="1"/>
  <c r="L94" i="12"/>
  <c r="I94" i="12"/>
  <c r="M94" i="12" s="1"/>
  <c r="I95" i="12"/>
  <c r="M95" i="12" s="1"/>
  <c r="K95" i="12"/>
  <c r="K93" i="12"/>
  <c r="I93" i="12"/>
  <c r="M93" i="12" s="1"/>
  <c r="I125" i="12"/>
  <c r="M125" i="12" s="1"/>
  <c r="K125" i="12"/>
  <c r="I124" i="12"/>
  <c r="M124" i="12" s="1"/>
  <c r="K124" i="12"/>
  <c r="I119" i="12"/>
  <c r="M119" i="12" s="1"/>
  <c r="K111" i="12" l="1"/>
  <c r="I111" i="12"/>
  <c r="M111" i="12" s="1"/>
  <c r="I77" i="40" l="1"/>
  <c r="H77" i="40" l="1"/>
  <c r="D86" i="12"/>
  <c r="H20" i="31"/>
  <c r="F20" i="31"/>
  <c r="G20" i="31" s="1"/>
  <c r="E20" i="31"/>
  <c r="D20" i="31"/>
  <c r="F21" i="30"/>
  <c r="G21" i="30" s="1"/>
  <c r="E21" i="30"/>
  <c r="D21" i="30"/>
  <c r="T86" i="12" l="1"/>
  <c r="S86" i="12"/>
  <c r="F86" i="12"/>
  <c r="U86" i="12"/>
  <c r="E86" i="12"/>
  <c r="E65" i="40" l="1"/>
  <c r="E66" i="40" s="1"/>
  <c r="J64" i="40"/>
  <c r="I65" i="40"/>
  <c r="H65" i="40" s="1"/>
  <c r="E70" i="40"/>
  <c r="E71" i="40" s="1"/>
  <c r="E72" i="40" s="1"/>
  <c r="E73" i="40" s="1"/>
  <c r="I71" i="40"/>
  <c r="I72" i="40"/>
  <c r="I73" i="40"/>
  <c r="E76" i="40"/>
  <c r="E77" i="40" s="1"/>
  <c r="E78" i="40" s="1"/>
  <c r="E79" i="40" s="1"/>
  <c r="E80" i="40" s="1"/>
  <c r="J74" i="12"/>
  <c r="D75" i="12"/>
  <c r="N91" i="12"/>
  <c r="N51" i="12" s="1"/>
  <c r="N97" i="12"/>
  <c r="N52" i="12" s="1"/>
  <c r="N103" i="12"/>
  <c r="N53" i="12" s="1"/>
  <c r="N109" i="12"/>
  <c r="N54" i="12" s="1"/>
  <c r="N115" i="12"/>
  <c r="N55" i="12" s="1"/>
  <c r="D116" i="12"/>
  <c r="D117" i="12"/>
  <c r="D118" i="12"/>
  <c r="N121" i="12"/>
  <c r="N56" i="12" s="1"/>
  <c r="N127" i="12"/>
  <c r="N57" i="12" s="1"/>
  <c r="D51" i="12"/>
  <c r="E13" i="26" s="1"/>
  <c r="D52" i="12"/>
  <c r="D53" i="12"/>
  <c r="D54" i="12"/>
  <c r="D55" i="12"/>
  <c r="D56" i="12"/>
  <c r="D57" i="12"/>
  <c r="H71" i="40" l="1"/>
  <c r="D80" i="12"/>
  <c r="H73" i="40"/>
  <c r="D82" i="12"/>
  <c r="H72" i="40"/>
  <c r="D81" i="12"/>
  <c r="S75" i="12"/>
  <c r="U75" i="12"/>
  <c r="F75" i="12"/>
  <c r="E75" i="12"/>
  <c r="T75" i="12"/>
  <c r="T118" i="12"/>
  <c r="G118" i="12"/>
  <c r="S118" i="12"/>
  <c r="U118" i="12"/>
  <c r="H118" i="12"/>
  <c r="L118" i="12" s="1"/>
  <c r="F118" i="12"/>
  <c r="E118" i="12"/>
  <c r="T117" i="12"/>
  <c r="S117" i="12"/>
  <c r="U117" i="12"/>
  <c r="F117" i="12"/>
  <c r="E117" i="12"/>
  <c r="U116" i="12"/>
  <c r="E116" i="12"/>
  <c r="T116" i="12"/>
  <c r="S116" i="12"/>
  <c r="F116" i="12"/>
  <c r="N74" i="12"/>
  <c r="D76" i="12"/>
  <c r="E11" i="29"/>
  <c r="L11" i="29" s="1"/>
  <c r="M11" i="29" s="1"/>
  <c r="N11" i="29" s="1"/>
  <c r="O11" i="29" s="1"/>
  <c r="P11" i="29" s="1"/>
  <c r="Q11" i="29" s="1"/>
  <c r="R11" i="29" s="1"/>
  <c r="S11" i="29" s="1"/>
  <c r="T11" i="29" s="1"/>
  <c r="U11" i="29" s="1"/>
  <c r="V11" i="29" s="1"/>
  <c r="W11" i="29" s="1"/>
  <c r="X11" i="29" s="1"/>
  <c r="Y11" i="29" s="1"/>
  <c r="Z11" i="29" s="1"/>
  <c r="AA11" i="29" s="1"/>
  <c r="AB11" i="29" s="1"/>
  <c r="AC11" i="29" s="1"/>
  <c r="AD11" i="29" s="1"/>
  <c r="AE11" i="29" s="1"/>
  <c r="AF11" i="29" s="1"/>
  <c r="AG11" i="29" s="1"/>
  <c r="AH11" i="29" s="1"/>
  <c r="AI11" i="29" s="1"/>
  <c r="AJ11" i="29" s="1"/>
  <c r="AK11" i="29" s="1"/>
  <c r="AL11" i="29" s="1"/>
  <c r="AM11" i="29" s="1"/>
  <c r="AN11" i="29" s="1"/>
  <c r="AO11" i="29" s="1"/>
  <c r="AP11" i="29" s="1"/>
  <c r="AQ11" i="29" s="1"/>
  <c r="AR11" i="29" s="1"/>
  <c r="AS11" i="29" s="1"/>
  <c r="AT11" i="29" s="1"/>
  <c r="AU11" i="29" s="1"/>
  <c r="AV11" i="29" s="1"/>
  <c r="AW11" i="29" s="1"/>
  <c r="AX11" i="29" s="1"/>
  <c r="AY11" i="29" s="1"/>
  <c r="AZ11" i="29" s="1"/>
  <c r="BA11" i="29" s="1"/>
  <c r="BB11" i="29" s="1"/>
  <c r="BC11" i="29" s="1"/>
  <c r="BD11" i="29" s="1"/>
  <c r="BE11" i="29" s="1"/>
  <c r="BF11" i="29" s="1"/>
  <c r="BG11" i="29" s="1"/>
  <c r="BH11" i="29" s="1"/>
  <c r="BI11" i="29" s="1"/>
  <c r="BJ11" i="29" s="1"/>
  <c r="BK11" i="29" s="1"/>
  <c r="BL11" i="29" s="1"/>
  <c r="BM11" i="29" s="1"/>
  <c r="BN11" i="29" s="1"/>
  <c r="BO11" i="29" s="1"/>
  <c r="BP11" i="29" s="1"/>
  <c r="BQ11" i="29" s="1"/>
  <c r="BR11" i="29" s="1"/>
  <c r="BS11" i="29" s="1"/>
  <c r="E14" i="26"/>
  <c r="E13" i="29"/>
  <c r="L13" i="29" s="1"/>
  <c r="M13" i="29" s="1"/>
  <c r="N13" i="29" s="1"/>
  <c r="O13" i="29" s="1"/>
  <c r="P13" i="29" s="1"/>
  <c r="Q13" i="29" s="1"/>
  <c r="R13" i="29" s="1"/>
  <c r="S13" i="29" s="1"/>
  <c r="T13" i="29" s="1"/>
  <c r="U13" i="29" s="1"/>
  <c r="V13" i="29" s="1"/>
  <c r="W13" i="29" s="1"/>
  <c r="X13" i="29" s="1"/>
  <c r="Y13" i="29" s="1"/>
  <c r="Z13" i="29" s="1"/>
  <c r="AA13" i="29" s="1"/>
  <c r="AB13" i="29" s="1"/>
  <c r="AC13" i="29" s="1"/>
  <c r="AD13" i="29" s="1"/>
  <c r="AE13" i="29" s="1"/>
  <c r="AF13" i="29" s="1"/>
  <c r="AG13" i="29" s="1"/>
  <c r="AH13" i="29" s="1"/>
  <c r="AI13" i="29" s="1"/>
  <c r="AJ13" i="29" s="1"/>
  <c r="AK13" i="29" s="1"/>
  <c r="AL13" i="29" s="1"/>
  <c r="AM13" i="29" s="1"/>
  <c r="AN13" i="29" s="1"/>
  <c r="AO13" i="29" s="1"/>
  <c r="AP13" i="29" s="1"/>
  <c r="AQ13" i="29" s="1"/>
  <c r="AR13" i="29" s="1"/>
  <c r="AS13" i="29" s="1"/>
  <c r="AT13" i="29" s="1"/>
  <c r="AU13" i="29" s="1"/>
  <c r="AV13" i="29" s="1"/>
  <c r="AW13" i="29" s="1"/>
  <c r="AX13" i="29" s="1"/>
  <c r="AY13" i="29" s="1"/>
  <c r="AZ13" i="29" s="1"/>
  <c r="BA13" i="29" s="1"/>
  <c r="BB13" i="29" s="1"/>
  <c r="BC13" i="29" s="1"/>
  <c r="BD13" i="29" s="1"/>
  <c r="BE13" i="29" s="1"/>
  <c r="BF13" i="29" s="1"/>
  <c r="BG13" i="29" s="1"/>
  <c r="BH13" i="29" s="1"/>
  <c r="BI13" i="29" s="1"/>
  <c r="BJ13" i="29" s="1"/>
  <c r="BK13" i="29" s="1"/>
  <c r="BL13" i="29" s="1"/>
  <c r="BM13" i="29" s="1"/>
  <c r="BN13" i="29" s="1"/>
  <c r="BO13" i="29" s="1"/>
  <c r="BP13" i="29" s="1"/>
  <c r="BQ13" i="29" s="1"/>
  <c r="BR13" i="29" s="1"/>
  <c r="BS13" i="29" s="1"/>
  <c r="E16" i="26"/>
  <c r="E16" i="29"/>
  <c r="L16" i="29" s="1"/>
  <c r="M16" i="29" s="1"/>
  <c r="N16" i="29" s="1"/>
  <c r="O16" i="29" s="1"/>
  <c r="P16" i="29" s="1"/>
  <c r="Q16" i="29" s="1"/>
  <c r="R16" i="29" s="1"/>
  <c r="S16" i="29" s="1"/>
  <c r="T16" i="29" s="1"/>
  <c r="U16" i="29" s="1"/>
  <c r="V16" i="29" s="1"/>
  <c r="W16" i="29" s="1"/>
  <c r="X16" i="29" s="1"/>
  <c r="Y16" i="29" s="1"/>
  <c r="Z16" i="29" s="1"/>
  <c r="AA16" i="29" s="1"/>
  <c r="AB16" i="29" s="1"/>
  <c r="AC16" i="29" s="1"/>
  <c r="AD16" i="29" s="1"/>
  <c r="AE16" i="29" s="1"/>
  <c r="AF16" i="29" s="1"/>
  <c r="AG16" i="29" s="1"/>
  <c r="AH16" i="29" s="1"/>
  <c r="AI16" i="29" s="1"/>
  <c r="AJ16" i="29" s="1"/>
  <c r="AK16" i="29" s="1"/>
  <c r="AL16" i="29" s="1"/>
  <c r="AM16" i="29" s="1"/>
  <c r="AN16" i="29" s="1"/>
  <c r="AO16" i="29" s="1"/>
  <c r="AP16" i="29" s="1"/>
  <c r="AQ16" i="29" s="1"/>
  <c r="AR16" i="29" s="1"/>
  <c r="AS16" i="29" s="1"/>
  <c r="AT16" i="29" s="1"/>
  <c r="AU16" i="29" s="1"/>
  <c r="AV16" i="29" s="1"/>
  <c r="AW16" i="29" s="1"/>
  <c r="AX16" i="29" s="1"/>
  <c r="AY16" i="29" s="1"/>
  <c r="AZ16" i="29" s="1"/>
  <c r="BA16" i="29" s="1"/>
  <c r="BB16" i="29" s="1"/>
  <c r="BC16" i="29" s="1"/>
  <c r="BD16" i="29" s="1"/>
  <c r="BE16" i="29" s="1"/>
  <c r="BF16" i="29" s="1"/>
  <c r="BG16" i="29" s="1"/>
  <c r="BH16" i="29" s="1"/>
  <c r="BI16" i="29" s="1"/>
  <c r="BJ16" i="29" s="1"/>
  <c r="BK16" i="29" s="1"/>
  <c r="BL16" i="29" s="1"/>
  <c r="BM16" i="29" s="1"/>
  <c r="BN16" i="29" s="1"/>
  <c r="BO16" i="29" s="1"/>
  <c r="BP16" i="29" s="1"/>
  <c r="BQ16" i="29" s="1"/>
  <c r="BR16" i="29" s="1"/>
  <c r="BS16" i="29" s="1"/>
  <c r="E19" i="26"/>
  <c r="E12" i="29"/>
  <c r="L12" i="29" s="1"/>
  <c r="M12" i="29" s="1"/>
  <c r="N12" i="29" s="1"/>
  <c r="O12" i="29" s="1"/>
  <c r="P12" i="29" s="1"/>
  <c r="Q12" i="29" s="1"/>
  <c r="R12" i="29" s="1"/>
  <c r="S12" i="29" s="1"/>
  <c r="T12" i="29" s="1"/>
  <c r="U12" i="29" s="1"/>
  <c r="V12" i="29" s="1"/>
  <c r="W12" i="29" s="1"/>
  <c r="X12" i="29" s="1"/>
  <c r="Y12" i="29" s="1"/>
  <c r="Z12" i="29" s="1"/>
  <c r="AA12" i="29" s="1"/>
  <c r="AB12" i="29" s="1"/>
  <c r="AC12" i="29" s="1"/>
  <c r="AD12" i="29" s="1"/>
  <c r="AE12" i="29" s="1"/>
  <c r="AF12" i="29" s="1"/>
  <c r="AG12" i="29" s="1"/>
  <c r="AH12" i="29" s="1"/>
  <c r="AI12" i="29" s="1"/>
  <c r="AJ12" i="29" s="1"/>
  <c r="AK12" i="29" s="1"/>
  <c r="AL12" i="29" s="1"/>
  <c r="AM12" i="29" s="1"/>
  <c r="AN12" i="29" s="1"/>
  <c r="AO12" i="29" s="1"/>
  <c r="AP12" i="29" s="1"/>
  <c r="AQ12" i="29" s="1"/>
  <c r="AR12" i="29" s="1"/>
  <c r="AS12" i="29" s="1"/>
  <c r="AT12" i="29" s="1"/>
  <c r="AU12" i="29" s="1"/>
  <c r="AV12" i="29" s="1"/>
  <c r="AW12" i="29" s="1"/>
  <c r="AX12" i="29" s="1"/>
  <c r="AY12" i="29" s="1"/>
  <c r="AZ12" i="29" s="1"/>
  <c r="BA12" i="29" s="1"/>
  <c r="BB12" i="29" s="1"/>
  <c r="BC12" i="29" s="1"/>
  <c r="BD12" i="29" s="1"/>
  <c r="BE12" i="29" s="1"/>
  <c r="BF12" i="29" s="1"/>
  <c r="BG12" i="29" s="1"/>
  <c r="BH12" i="29" s="1"/>
  <c r="BI12" i="29" s="1"/>
  <c r="BJ12" i="29" s="1"/>
  <c r="BK12" i="29" s="1"/>
  <c r="BL12" i="29" s="1"/>
  <c r="BM12" i="29" s="1"/>
  <c r="BN12" i="29" s="1"/>
  <c r="BO12" i="29" s="1"/>
  <c r="BP12" i="29" s="1"/>
  <c r="BQ12" i="29" s="1"/>
  <c r="BR12" i="29" s="1"/>
  <c r="BS12" i="29" s="1"/>
  <c r="E15" i="26"/>
  <c r="E15" i="29"/>
  <c r="L15" i="29" s="1"/>
  <c r="M15" i="29" s="1"/>
  <c r="N15" i="29" s="1"/>
  <c r="O15" i="29" s="1"/>
  <c r="P15" i="29" s="1"/>
  <c r="Q15" i="29" s="1"/>
  <c r="R15" i="29" s="1"/>
  <c r="S15" i="29" s="1"/>
  <c r="T15" i="29" s="1"/>
  <c r="U15" i="29" s="1"/>
  <c r="V15" i="29" s="1"/>
  <c r="W15" i="29" s="1"/>
  <c r="X15" i="29" s="1"/>
  <c r="Y15" i="29" s="1"/>
  <c r="Z15" i="29" s="1"/>
  <c r="AA15" i="29" s="1"/>
  <c r="AB15" i="29" s="1"/>
  <c r="AC15" i="29" s="1"/>
  <c r="AD15" i="29" s="1"/>
  <c r="AE15" i="29" s="1"/>
  <c r="AF15" i="29" s="1"/>
  <c r="AG15" i="29" s="1"/>
  <c r="AH15" i="29" s="1"/>
  <c r="AI15" i="29" s="1"/>
  <c r="AJ15" i="29" s="1"/>
  <c r="AK15" i="29" s="1"/>
  <c r="AL15" i="29" s="1"/>
  <c r="AM15" i="29" s="1"/>
  <c r="AN15" i="29" s="1"/>
  <c r="AO15" i="29" s="1"/>
  <c r="AP15" i="29" s="1"/>
  <c r="AQ15" i="29" s="1"/>
  <c r="AR15" i="29" s="1"/>
  <c r="AS15" i="29" s="1"/>
  <c r="AT15" i="29" s="1"/>
  <c r="AU15" i="29" s="1"/>
  <c r="AV15" i="29" s="1"/>
  <c r="AW15" i="29" s="1"/>
  <c r="AX15" i="29" s="1"/>
  <c r="AY15" i="29" s="1"/>
  <c r="AZ15" i="29" s="1"/>
  <c r="BA15" i="29" s="1"/>
  <c r="BB15" i="29" s="1"/>
  <c r="BC15" i="29" s="1"/>
  <c r="BD15" i="29" s="1"/>
  <c r="BE15" i="29" s="1"/>
  <c r="BF15" i="29" s="1"/>
  <c r="BG15" i="29" s="1"/>
  <c r="BH15" i="29" s="1"/>
  <c r="BI15" i="29" s="1"/>
  <c r="BJ15" i="29" s="1"/>
  <c r="BK15" i="29" s="1"/>
  <c r="BL15" i="29" s="1"/>
  <c r="BM15" i="29" s="1"/>
  <c r="BN15" i="29" s="1"/>
  <c r="BO15" i="29" s="1"/>
  <c r="BP15" i="29" s="1"/>
  <c r="BQ15" i="29" s="1"/>
  <c r="BR15" i="29" s="1"/>
  <c r="BS15" i="29" s="1"/>
  <c r="E18" i="26"/>
  <c r="E14" i="29"/>
  <c r="L14" i="29" s="1"/>
  <c r="M14" i="29" s="1"/>
  <c r="N14" i="29" s="1"/>
  <c r="O14" i="29" s="1"/>
  <c r="P14" i="29" s="1"/>
  <c r="Q14" i="29" s="1"/>
  <c r="R14" i="29" s="1"/>
  <c r="S14" i="29" s="1"/>
  <c r="T14" i="29" s="1"/>
  <c r="U14" i="29" s="1"/>
  <c r="V14" i="29" s="1"/>
  <c r="W14" i="29" s="1"/>
  <c r="X14" i="29" s="1"/>
  <c r="Y14" i="29" s="1"/>
  <c r="Z14" i="29" s="1"/>
  <c r="AA14" i="29" s="1"/>
  <c r="AB14" i="29" s="1"/>
  <c r="AC14" i="29" s="1"/>
  <c r="AD14" i="29" s="1"/>
  <c r="AE14" i="29" s="1"/>
  <c r="AF14" i="29" s="1"/>
  <c r="AG14" i="29" s="1"/>
  <c r="AH14" i="29" s="1"/>
  <c r="AI14" i="29" s="1"/>
  <c r="AJ14" i="29" s="1"/>
  <c r="AK14" i="29" s="1"/>
  <c r="AL14" i="29" s="1"/>
  <c r="AM14" i="29" s="1"/>
  <c r="AN14" i="29" s="1"/>
  <c r="AO14" i="29" s="1"/>
  <c r="AP14" i="29" s="1"/>
  <c r="AQ14" i="29" s="1"/>
  <c r="AR14" i="29" s="1"/>
  <c r="AS14" i="29" s="1"/>
  <c r="AT14" i="29" s="1"/>
  <c r="AU14" i="29" s="1"/>
  <c r="AV14" i="29" s="1"/>
  <c r="AW14" i="29" s="1"/>
  <c r="AX14" i="29" s="1"/>
  <c r="AY14" i="29" s="1"/>
  <c r="AZ14" i="29" s="1"/>
  <c r="BA14" i="29" s="1"/>
  <c r="BB14" i="29" s="1"/>
  <c r="BC14" i="29" s="1"/>
  <c r="BD14" i="29" s="1"/>
  <c r="BE14" i="29" s="1"/>
  <c r="BF14" i="29" s="1"/>
  <c r="BG14" i="29" s="1"/>
  <c r="BH14" i="29" s="1"/>
  <c r="BI14" i="29" s="1"/>
  <c r="BJ14" i="29" s="1"/>
  <c r="BK14" i="29" s="1"/>
  <c r="BL14" i="29" s="1"/>
  <c r="BM14" i="29" s="1"/>
  <c r="BN14" i="29" s="1"/>
  <c r="BO14" i="29" s="1"/>
  <c r="BP14" i="29" s="1"/>
  <c r="BQ14" i="29" s="1"/>
  <c r="BR14" i="29" s="1"/>
  <c r="BS14" i="29" s="1"/>
  <c r="E17" i="26"/>
  <c r="H13" i="26"/>
  <c r="E27" i="26"/>
  <c r="J127" i="12"/>
  <c r="J57" i="12" s="1"/>
  <c r="J91" i="12"/>
  <c r="J51" i="12" s="1"/>
  <c r="J109" i="12"/>
  <c r="J54" i="12" s="1"/>
  <c r="J103" i="12"/>
  <c r="J53" i="12" s="1"/>
  <c r="J97" i="12"/>
  <c r="J52" i="12" s="1"/>
  <c r="J121" i="12"/>
  <c r="J56" i="12" s="1"/>
  <c r="J115" i="12"/>
  <c r="J55" i="12" s="1"/>
  <c r="D77" i="12"/>
  <c r="D74" i="12"/>
  <c r="B49" i="12"/>
  <c r="B50" i="12" s="1"/>
  <c r="B51" i="12" s="1"/>
  <c r="E82" i="40"/>
  <c r="C85" i="12"/>
  <c r="C86" i="12" s="1"/>
  <c r="E118" i="40"/>
  <c r="E119" i="40" s="1"/>
  <c r="E120" i="40" s="1"/>
  <c r="E112" i="40"/>
  <c r="E113" i="40" s="1"/>
  <c r="E106" i="40"/>
  <c r="E107" i="40" s="1"/>
  <c r="E108" i="40" s="1"/>
  <c r="E100" i="40"/>
  <c r="E101" i="40" s="1"/>
  <c r="E94" i="40"/>
  <c r="E88" i="40"/>
  <c r="I58" i="40"/>
  <c r="I59" i="40" s="1"/>
  <c r="I60" i="40" s="1"/>
  <c r="I61" i="40" s="1"/>
  <c r="B52" i="12" l="1"/>
  <c r="C13" i="26"/>
  <c r="C27" i="26" s="1"/>
  <c r="C40" i="26" s="1"/>
  <c r="C127" i="12"/>
  <c r="C128" i="12" s="1"/>
  <c r="P128" i="12" s="1"/>
  <c r="C91" i="12"/>
  <c r="C92" i="12" s="1"/>
  <c r="P92" i="12" s="1"/>
  <c r="E83" i="40"/>
  <c r="C115" i="12"/>
  <c r="C55" i="12" s="1"/>
  <c r="C121" i="12"/>
  <c r="C122" i="12" s="1"/>
  <c r="P122" i="12" s="1"/>
  <c r="C97" i="12"/>
  <c r="C98" i="12" s="1"/>
  <c r="C99" i="12" s="1"/>
  <c r="E89" i="40"/>
  <c r="E90" i="40" s="1"/>
  <c r="C103" i="12"/>
  <c r="C104" i="12" s="1"/>
  <c r="P104" i="12" s="1"/>
  <c r="E95" i="40"/>
  <c r="E96" i="40" s="1"/>
  <c r="U82" i="12"/>
  <c r="S82" i="12"/>
  <c r="F82" i="12"/>
  <c r="T82" i="12"/>
  <c r="E82" i="12"/>
  <c r="U81" i="12"/>
  <c r="S81" i="12"/>
  <c r="F81" i="12"/>
  <c r="T81" i="12"/>
  <c r="E81" i="12"/>
  <c r="S80" i="12"/>
  <c r="T80" i="12"/>
  <c r="E80" i="12"/>
  <c r="F80" i="12"/>
  <c r="U80" i="12"/>
  <c r="T77" i="12"/>
  <c r="E77" i="12"/>
  <c r="S77" i="12"/>
  <c r="H77" i="12"/>
  <c r="L77" i="12" s="1"/>
  <c r="G77" i="12"/>
  <c r="U77" i="12"/>
  <c r="F77" i="12"/>
  <c r="T74" i="12"/>
  <c r="S74" i="12"/>
  <c r="F74" i="12"/>
  <c r="E74" i="12"/>
  <c r="U74" i="12"/>
  <c r="P86" i="12"/>
  <c r="C87" i="12"/>
  <c r="F76" i="12"/>
  <c r="T76" i="12"/>
  <c r="U76" i="12"/>
  <c r="E76" i="12"/>
  <c r="H76" i="12"/>
  <c r="L76" i="12" s="1"/>
  <c r="S76" i="12"/>
  <c r="G76" i="12"/>
  <c r="I118" i="12"/>
  <c r="M118" i="12" s="1"/>
  <c r="K118" i="12"/>
  <c r="C109" i="12"/>
  <c r="C110" i="12" s="1"/>
  <c r="H15" i="26"/>
  <c r="E29" i="26"/>
  <c r="H16" i="26"/>
  <c r="E30" i="26"/>
  <c r="H27" i="26"/>
  <c r="I27" i="26" s="1"/>
  <c r="J27" i="26" s="1"/>
  <c r="K27" i="26" s="1"/>
  <c r="E40" i="26"/>
  <c r="H18" i="26"/>
  <c r="E32" i="26"/>
  <c r="I13" i="26"/>
  <c r="H19" i="26"/>
  <c r="E33" i="26"/>
  <c r="H14" i="26"/>
  <c r="E28" i="26"/>
  <c r="H17" i="26"/>
  <c r="E31" i="26"/>
  <c r="C79" i="12"/>
  <c r="C80" i="12" s="1"/>
  <c r="C73" i="12"/>
  <c r="C74" i="12" s="1"/>
  <c r="P74" i="12" s="1"/>
  <c r="B53" i="12" l="1"/>
  <c r="C11" i="29"/>
  <c r="C14" i="26"/>
  <c r="C28" i="26" s="1"/>
  <c r="C41" i="26" s="1"/>
  <c r="C53" i="12"/>
  <c r="C129" i="12"/>
  <c r="P129" i="12" s="1"/>
  <c r="C57" i="12"/>
  <c r="D19" i="26" s="1"/>
  <c r="D33" i="26" s="1"/>
  <c r="D46" i="26" s="1"/>
  <c r="C93" i="12"/>
  <c r="C94" i="12" s="1"/>
  <c r="C51" i="12"/>
  <c r="C56" i="12"/>
  <c r="D18" i="26" s="1"/>
  <c r="D32" i="26" s="1"/>
  <c r="D45" i="26" s="1"/>
  <c r="C123" i="12"/>
  <c r="C124" i="12" s="1"/>
  <c r="C116" i="12"/>
  <c r="P116" i="12" s="1"/>
  <c r="C105" i="12"/>
  <c r="P105" i="12" s="1"/>
  <c r="C52" i="12"/>
  <c r="D11" i="29" s="1"/>
  <c r="P98" i="12"/>
  <c r="R74" i="12"/>
  <c r="C88" i="12"/>
  <c r="P87" i="12"/>
  <c r="C81" i="12"/>
  <c r="P80" i="12"/>
  <c r="I76" i="12"/>
  <c r="M76" i="12" s="1"/>
  <c r="K76" i="12"/>
  <c r="K77" i="12"/>
  <c r="I77" i="12"/>
  <c r="M77" i="12" s="1"/>
  <c r="C111" i="12"/>
  <c r="P110" i="12"/>
  <c r="C54" i="12"/>
  <c r="D16" i="26" s="1"/>
  <c r="D30" i="26" s="1"/>
  <c r="D43" i="26" s="1"/>
  <c r="C100" i="12"/>
  <c r="P99" i="12"/>
  <c r="E45" i="26"/>
  <c r="H32" i="26"/>
  <c r="I32" i="26" s="1"/>
  <c r="J32" i="26" s="1"/>
  <c r="K32" i="26" s="1"/>
  <c r="L32" i="26" s="1"/>
  <c r="H28" i="26"/>
  <c r="I28" i="26" s="1"/>
  <c r="J28" i="26" s="1"/>
  <c r="K28" i="26" s="1"/>
  <c r="L28" i="26" s="1"/>
  <c r="E41" i="26"/>
  <c r="H40" i="26"/>
  <c r="H29" i="26"/>
  <c r="I29" i="26" s="1"/>
  <c r="J29" i="26" s="1"/>
  <c r="K29" i="26" s="1"/>
  <c r="L29" i="26" s="1"/>
  <c r="E42" i="26"/>
  <c r="I17" i="26"/>
  <c r="H33" i="26"/>
  <c r="I33" i="26" s="1"/>
  <c r="J33" i="26" s="1"/>
  <c r="K33" i="26" s="1"/>
  <c r="L33" i="26" s="1"/>
  <c r="E46" i="26"/>
  <c r="H30" i="26"/>
  <c r="I30" i="26" s="1"/>
  <c r="J30" i="26" s="1"/>
  <c r="K30" i="26" s="1"/>
  <c r="L30" i="26" s="1"/>
  <c r="E43" i="26"/>
  <c r="I19" i="26"/>
  <c r="I18" i="26"/>
  <c r="I16" i="26"/>
  <c r="D14" i="29"/>
  <c r="D17" i="26"/>
  <c r="D31" i="26" s="1"/>
  <c r="D44" i="26" s="1"/>
  <c r="D12" i="29"/>
  <c r="D15" i="26"/>
  <c r="D29" i="26" s="1"/>
  <c r="D42" i="26" s="1"/>
  <c r="H31" i="26"/>
  <c r="I31" i="26" s="1"/>
  <c r="J31" i="26" s="1"/>
  <c r="K31" i="26" s="1"/>
  <c r="L31" i="26" s="1"/>
  <c r="E44" i="26"/>
  <c r="I14" i="26"/>
  <c r="J13" i="26"/>
  <c r="I40" i="26"/>
  <c r="I15" i="26"/>
  <c r="L27" i="26"/>
  <c r="C75" i="12"/>
  <c r="P75" i="12" s="1"/>
  <c r="G131" i="40"/>
  <c r="D50" i="12"/>
  <c r="D49" i="12"/>
  <c r="D48" i="12"/>
  <c r="J29" i="12"/>
  <c r="I29" i="12"/>
  <c r="H29" i="12"/>
  <c r="G29" i="12"/>
  <c r="F29" i="12"/>
  <c r="J26" i="12"/>
  <c r="I26" i="12"/>
  <c r="H26" i="12"/>
  <c r="G26" i="12"/>
  <c r="F26" i="12"/>
  <c r="J25" i="12"/>
  <c r="I25" i="12"/>
  <c r="H25" i="12"/>
  <c r="G25" i="12"/>
  <c r="F25" i="12"/>
  <c r="J24" i="12"/>
  <c r="I24" i="12"/>
  <c r="H24" i="12"/>
  <c r="G24" i="12"/>
  <c r="F24" i="12"/>
  <c r="J23" i="12"/>
  <c r="I23" i="12"/>
  <c r="H23" i="12"/>
  <c r="G23" i="12"/>
  <c r="F23" i="12"/>
  <c r="J22" i="12"/>
  <c r="I22" i="12"/>
  <c r="H22" i="12"/>
  <c r="G22" i="12"/>
  <c r="F22" i="12"/>
  <c r="J21" i="12"/>
  <c r="I21" i="12"/>
  <c r="H21" i="12"/>
  <c r="G21" i="12"/>
  <c r="F21" i="12"/>
  <c r="J20" i="12"/>
  <c r="I20" i="12"/>
  <c r="H20" i="12"/>
  <c r="G20" i="12"/>
  <c r="F20" i="12"/>
  <c r="J19" i="12"/>
  <c r="I19" i="12"/>
  <c r="H19" i="12"/>
  <c r="G19" i="12"/>
  <c r="F19" i="12"/>
  <c r="E16" i="12"/>
  <c r="E15" i="12"/>
  <c r="E14" i="12"/>
  <c r="E13" i="12"/>
  <c r="E12" i="12"/>
  <c r="E10" i="12"/>
  <c r="F128" i="40"/>
  <c r="F44" i="40"/>
  <c r="F42" i="40"/>
  <c r="V22" i="38"/>
  <c r="U22" i="38"/>
  <c r="T22" i="38"/>
  <c r="V21" i="38"/>
  <c r="U21" i="38"/>
  <c r="T21" i="38"/>
  <c r="O94" i="38"/>
  <c r="O85" i="38"/>
  <c r="O78" i="38"/>
  <c r="O90" i="38"/>
  <c r="O75" i="38"/>
  <c r="L25" i="40"/>
  <c r="L31" i="40" s="1"/>
  <c r="O64" i="38"/>
  <c r="O70" i="38"/>
  <c r="O71" i="38"/>
  <c r="O63" i="38"/>
  <c r="E25" i="40"/>
  <c r="E31" i="40" s="1"/>
  <c r="F25" i="40"/>
  <c r="F31" i="40" s="1"/>
  <c r="G25" i="40"/>
  <c r="G31" i="40" s="1"/>
  <c r="H25" i="40"/>
  <c r="H31" i="40" s="1"/>
  <c r="I25" i="40"/>
  <c r="I31" i="40" s="1"/>
  <c r="K25" i="40"/>
  <c r="K31" i="40" s="1"/>
  <c r="H27" i="40"/>
  <c r="K50" i="38" s="1"/>
  <c r="K47" i="38"/>
  <c r="K46" i="38"/>
  <c r="E29" i="40"/>
  <c r="O86" i="38"/>
  <c r="E23" i="40"/>
  <c r="E33" i="40" s="1"/>
  <c r="AD46" i="40"/>
  <c r="AL46" i="40"/>
  <c r="AK46" i="40"/>
  <c r="AJ46" i="40"/>
  <c r="AI46" i="40"/>
  <c r="AH46" i="40"/>
  <c r="AG46" i="40"/>
  <c r="AF46" i="40"/>
  <c r="AE46" i="40"/>
  <c r="AC46" i="40"/>
  <c r="AB46" i="40"/>
  <c r="AA46" i="40"/>
  <c r="AL45" i="40"/>
  <c r="AJ45" i="40"/>
  <c r="AH45" i="40"/>
  <c r="AF45" i="40"/>
  <c r="AF12" i="40"/>
  <c r="AF10" i="40"/>
  <c r="AG12" i="40"/>
  <c r="AG11" i="40"/>
  <c r="AG10" i="40"/>
  <c r="AG9" i="40"/>
  <c r="T73" i="40"/>
  <c r="X71" i="40"/>
  <c r="W71" i="40"/>
  <c r="V71" i="40"/>
  <c r="U71" i="40"/>
  <c r="X60" i="40"/>
  <c r="W60" i="40"/>
  <c r="V60" i="40"/>
  <c r="U60" i="40"/>
  <c r="T60" i="40"/>
  <c r="X58" i="40"/>
  <c r="W58" i="40"/>
  <c r="V58" i="40"/>
  <c r="U58" i="40"/>
  <c r="T58" i="40"/>
  <c r="X57" i="40"/>
  <c r="W57" i="40"/>
  <c r="V57" i="40"/>
  <c r="U57" i="40"/>
  <c r="T57" i="40"/>
  <c r="S63" i="40"/>
  <c r="T42" i="40"/>
  <c r="X22" i="40"/>
  <c r="W22" i="40"/>
  <c r="V22" i="40"/>
  <c r="U22" i="40"/>
  <c r="T22" i="40"/>
  <c r="X21" i="40"/>
  <c r="W21" i="40"/>
  <c r="V21" i="40"/>
  <c r="U21" i="40"/>
  <c r="T21" i="40"/>
  <c r="X19" i="40"/>
  <c r="W19" i="40"/>
  <c r="V19" i="40"/>
  <c r="U19" i="40"/>
  <c r="T19" i="40"/>
  <c r="P25" i="40"/>
  <c r="Q25" i="40"/>
  <c r="P3" i="40"/>
  <c r="P75" i="40"/>
  <c r="P74" i="40"/>
  <c r="P73" i="40"/>
  <c r="Q72" i="40"/>
  <c r="P72" i="40"/>
  <c r="Q71" i="40"/>
  <c r="P71" i="40"/>
  <c r="P70" i="40"/>
  <c r="S69" i="40"/>
  <c r="R68" i="40"/>
  <c r="P69" i="40"/>
  <c r="S67" i="40"/>
  <c r="P68" i="40"/>
  <c r="S66" i="40"/>
  <c r="P67" i="40"/>
  <c r="R65" i="40"/>
  <c r="P66" i="40"/>
  <c r="S64" i="40"/>
  <c r="P65" i="40"/>
  <c r="P64" i="40"/>
  <c r="R62" i="40"/>
  <c r="P63" i="40"/>
  <c r="Q61" i="40"/>
  <c r="P62" i="40"/>
  <c r="P61" i="40"/>
  <c r="Q60" i="40"/>
  <c r="P60" i="40"/>
  <c r="P59" i="40"/>
  <c r="Q58" i="40"/>
  <c r="P58" i="40"/>
  <c r="Q57" i="40"/>
  <c r="P57" i="40"/>
  <c r="R56" i="40"/>
  <c r="P56" i="40"/>
  <c r="Q55" i="40"/>
  <c r="P55" i="40"/>
  <c r="Q54" i="40"/>
  <c r="P54" i="40"/>
  <c r="P53" i="40"/>
  <c r="X52" i="40"/>
  <c r="W52" i="40"/>
  <c r="V52" i="40"/>
  <c r="U52" i="40"/>
  <c r="T52" i="40"/>
  <c r="P50" i="40"/>
  <c r="P48" i="40"/>
  <c r="Q47" i="40"/>
  <c r="P47" i="40"/>
  <c r="Q46" i="40"/>
  <c r="P46" i="40"/>
  <c r="P45" i="40"/>
  <c r="P44" i="40"/>
  <c r="P43" i="40"/>
  <c r="P42" i="40"/>
  <c r="P41" i="40"/>
  <c r="Q40" i="40"/>
  <c r="P40" i="40"/>
  <c r="Q39" i="40"/>
  <c r="P39" i="40"/>
  <c r="Q38" i="40"/>
  <c r="P38" i="40"/>
  <c r="P37" i="40"/>
  <c r="Q36" i="40"/>
  <c r="P36" i="40"/>
  <c r="P35" i="40"/>
  <c r="X34" i="40"/>
  <c r="W34" i="40"/>
  <c r="V34" i="40"/>
  <c r="U34" i="40"/>
  <c r="T34" i="40"/>
  <c r="P26" i="40"/>
  <c r="P24" i="40"/>
  <c r="P23" i="40"/>
  <c r="Q22" i="40"/>
  <c r="P22" i="40"/>
  <c r="Q21" i="40"/>
  <c r="P21" i="40"/>
  <c r="Q20" i="40"/>
  <c r="P20" i="40"/>
  <c r="Q19" i="40"/>
  <c r="P19" i="40"/>
  <c r="P18" i="40"/>
  <c r="P16" i="40"/>
  <c r="R15" i="40"/>
  <c r="P15" i="40"/>
  <c r="R14" i="40"/>
  <c r="P14" i="40"/>
  <c r="Q13" i="40"/>
  <c r="P13" i="40"/>
  <c r="Q12" i="40"/>
  <c r="P12" i="40"/>
  <c r="Q11" i="40"/>
  <c r="P11" i="40"/>
  <c r="X5" i="40"/>
  <c r="W5" i="40"/>
  <c r="V5" i="40"/>
  <c r="U5" i="40"/>
  <c r="T5" i="40"/>
  <c r="C130" i="12" l="1"/>
  <c r="C131" i="12" s="1"/>
  <c r="P131" i="12" s="1"/>
  <c r="B54" i="12"/>
  <c r="C12" i="29"/>
  <c r="C15" i="26"/>
  <c r="C29" i="26" s="1"/>
  <c r="C42" i="26" s="1"/>
  <c r="D16" i="29"/>
  <c r="D13" i="26"/>
  <c r="D27" i="26" s="1"/>
  <c r="D40" i="26" s="1"/>
  <c r="P93" i="12"/>
  <c r="D15" i="29"/>
  <c r="N63" i="38"/>
  <c r="O65" i="38"/>
  <c r="G32" i="40"/>
  <c r="C117" i="12"/>
  <c r="P117" i="12" s="1"/>
  <c r="P123" i="12"/>
  <c r="C106" i="12"/>
  <c r="C107" i="12" s="1"/>
  <c r="P107" i="12" s="1"/>
  <c r="D14" i="26"/>
  <c r="D28" i="26" s="1"/>
  <c r="D41" i="26" s="1"/>
  <c r="AK18" i="40"/>
  <c r="AI45" i="40"/>
  <c r="AD25" i="40"/>
  <c r="AD19" i="40"/>
  <c r="AA25" i="40"/>
  <c r="AH18" i="40"/>
  <c r="AA19" i="40"/>
  <c r="AC45" i="40"/>
  <c r="AE25" i="40"/>
  <c r="AL18" i="40"/>
  <c r="AE19" i="40"/>
  <c r="AK45" i="40"/>
  <c r="AB19" i="40"/>
  <c r="AB25" i="40"/>
  <c r="AE45" i="40"/>
  <c r="AI18" i="40"/>
  <c r="AG45" i="40"/>
  <c r="AC19" i="40"/>
  <c r="AJ18" i="40"/>
  <c r="AC25" i="40"/>
  <c r="P81" i="12"/>
  <c r="C82" i="12"/>
  <c r="P94" i="12"/>
  <c r="C95" i="12"/>
  <c r="P95" i="12" s="1"/>
  <c r="P88" i="12"/>
  <c r="C89" i="12"/>
  <c r="P89" i="12" s="1"/>
  <c r="P130" i="12"/>
  <c r="C125" i="12"/>
  <c r="P125" i="12" s="1"/>
  <c r="P124" i="12"/>
  <c r="D13" i="29"/>
  <c r="P111" i="12"/>
  <c r="C112" i="12"/>
  <c r="P100" i="12"/>
  <c r="C101" i="12"/>
  <c r="P101" i="12" s="1"/>
  <c r="O101" i="38"/>
  <c r="H46" i="26"/>
  <c r="H42" i="26"/>
  <c r="H41" i="26"/>
  <c r="H45" i="26"/>
  <c r="J17" i="26"/>
  <c r="I44" i="26"/>
  <c r="J14" i="26"/>
  <c r="I41" i="26"/>
  <c r="H43" i="26"/>
  <c r="J16" i="26"/>
  <c r="I43" i="26"/>
  <c r="J19" i="26"/>
  <c r="I46" i="26"/>
  <c r="J18" i="26"/>
  <c r="I45" i="26"/>
  <c r="J15" i="26"/>
  <c r="I42" i="26"/>
  <c r="K13" i="26"/>
  <c r="J40" i="26"/>
  <c r="H44" i="26"/>
  <c r="M33" i="26"/>
  <c r="M29" i="26"/>
  <c r="M30" i="26"/>
  <c r="M31" i="26"/>
  <c r="M28" i="26"/>
  <c r="M32" i="26"/>
  <c r="C76" i="12"/>
  <c r="P76" i="12" s="1"/>
  <c r="O79" i="38"/>
  <c r="O80" i="38" s="1"/>
  <c r="O102" i="38"/>
  <c r="G23" i="40"/>
  <c r="G29" i="40"/>
  <c r="O12" i="38"/>
  <c r="AA53" i="40"/>
  <c r="AA52" i="40"/>
  <c r="C118" i="12" l="1"/>
  <c r="B55" i="12"/>
  <c r="C13" i="29"/>
  <c r="C16" i="26"/>
  <c r="C30" i="26" s="1"/>
  <c r="C43" i="26" s="1"/>
  <c r="O97" i="38"/>
  <c r="G33" i="40"/>
  <c r="G36" i="40" s="1"/>
  <c r="E36" i="40"/>
  <c r="AA47" i="40"/>
  <c r="AA49" i="40"/>
  <c r="AA48" i="40"/>
  <c r="G34" i="40"/>
  <c r="P106" i="12"/>
  <c r="P82" i="12"/>
  <c r="C83" i="12"/>
  <c r="P83" i="12" s="1"/>
  <c r="C119" i="12"/>
  <c r="P119" i="12" s="1"/>
  <c r="P118" i="12"/>
  <c r="P112" i="12"/>
  <c r="C113" i="12"/>
  <c r="P113" i="12" s="1"/>
  <c r="O93" i="38"/>
  <c r="K19" i="26"/>
  <c r="J46" i="26"/>
  <c r="L13" i="26"/>
  <c r="K40" i="26"/>
  <c r="K18" i="26"/>
  <c r="J45" i="26"/>
  <c r="K15" i="26"/>
  <c r="J42" i="26"/>
  <c r="K14" i="26"/>
  <c r="J41" i="26"/>
  <c r="K16" i="26"/>
  <c r="J43" i="26"/>
  <c r="K17" i="26"/>
  <c r="J44" i="26"/>
  <c r="N28" i="26"/>
  <c r="N29" i="26"/>
  <c r="N32" i="26"/>
  <c r="N31" i="26"/>
  <c r="N30" i="26"/>
  <c r="N33" i="26"/>
  <c r="C77" i="12"/>
  <c r="P77" i="12" s="1"/>
  <c r="L205" i="38"/>
  <c r="X61" i="38"/>
  <c r="W61" i="38"/>
  <c r="V61" i="38"/>
  <c r="U61" i="38"/>
  <c r="T61" i="38"/>
  <c r="X76" i="38"/>
  <c r="W76" i="38"/>
  <c r="V76" i="38"/>
  <c r="U76" i="38"/>
  <c r="T76" i="38"/>
  <c r="S76" i="38"/>
  <c r="R76" i="38"/>
  <c r="Q76" i="38"/>
  <c r="P76" i="38"/>
  <c r="O76" i="38"/>
  <c r="S61" i="38"/>
  <c r="R61" i="38"/>
  <c r="Q61" i="38"/>
  <c r="P61" i="38"/>
  <c r="O61" i="38"/>
  <c r="B18" i="15"/>
  <c r="B56" i="12" l="1"/>
  <c r="C17" i="26"/>
  <c r="C31" i="26" s="1"/>
  <c r="C44" i="26" s="1"/>
  <c r="C14" i="29"/>
  <c r="O91" i="38"/>
  <c r="O99" i="38"/>
  <c r="N99" i="38" s="1"/>
  <c r="N97" i="38"/>
  <c r="M203" i="38"/>
  <c r="AB52" i="40" s="1"/>
  <c r="M200" i="38"/>
  <c r="AB49" i="40" s="1"/>
  <c r="M201" i="38"/>
  <c r="AB50" i="40" s="1"/>
  <c r="M202" i="38"/>
  <c r="AB51" i="40" s="1"/>
  <c r="M198" i="38"/>
  <c r="AB47" i="40" s="1"/>
  <c r="M204" i="38"/>
  <c r="AB53" i="40" s="1"/>
  <c r="M199" i="38"/>
  <c r="Z205" i="38"/>
  <c r="AA205" i="38" s="1"/>
  <c r="AB43" i="40" s="1"/>
  <c r="AA36" i="40"/>
  <c r="AA38" i="40"/>
  <c r="AA37" i="40"/>
  <c r="N93" i="38"/>
  <c r="L16" i="26"/>
  <c r="K43" i="26"/>
  <c r="L15" i="26"/>
  <c r="K42" i="26"/>
  <c r="L40" i="26"/>
  <c r="L17" i="26"/>
  <c r="K44" i="26"/>
  <c r="L14" i="26"/>
  <c r="K41" i="26"/>
  <c r="L18" i="26"/>
  <c r="K45" i="26"/>
  <c r="L19" i="26"/>
  <c r="K46" i="26"/>
  <c r="O30" i="26"/>
  <c r="O32" i="26"/>
  <c r="O29" i="26"/>
  <c r="O28" i="26"/>
  <c r="O31" i="26"/>
  <c r="O33" i="26"/>
  <c r="AB48" i="40"/>
  <c r="AA54" i="40"/>
  <c r="N101" i="38"/>
  <c r="M205" i="38"/>
  <c r="AB54" i="40" s="1"/>
  <c r="O60" i="38"/>
  <c r="S60" i="38"/>
  <c r="V60" i="38"/>
  <c r="T60" i="38"/>
  <c r="X60" i="38"/>
  <c r="R60" i="38"/>
  <c r="P60" i="38"/>
  <c r="W60" i="38"/>
  <c r="Q60" i="38"/>
  <c r="U60" i="38"/>
  <c r="AA287" i="38"/>
  <c r="Z287" i="38"/>
  <c r="Y287" i="38"/>
  <c r="X287" i="38"/>
  <c r="W287" i="38"/>
  <c r="AA286" i="38"/>
  <c r="Z286" i="38"/>
  <c r="Y286" i="38"/>
  <c r="X286" i="38"/>
  <c r="W286" i="38"/>
  <c r="AD285" i="38"/>
  <c r="AD284" i="38" s="1"/>
  <c r="AD283" i="38" s="1"/>
  <c r="AA285" i="38"/>
  <c r="Z285" i="38"/>
  <c r="Y285" i="38"/>
  <c r="X285" i="38"/>
  <c r="W285" i="38"/>
  <c r="AA284" i="38"/>
  <c r="Z284" i="38"/>
  <c r="Y284" i="38"/>
  <c r="X284" i="38"/>
  <c r="W284" i="38"/>
  <c r="AA283" i="38"/>
  <c r="Z283" i="38"/>
  <c r="Y283" i="38"/>
  <c r="X283" i="38"/>
  <c r="W283" i="38"/>
  <c r="AA282" i="38"/>
  <c r="Z282" i="38"/>
  <c r="Y282" i="38"/>
  <c r="X282" i="38"/>
  <c r="W282" i="38"/>
  <c r="AA272" i="38"/>
  <c r="Z272" i="38"/>
  <c r="Y272" i="38"/>
  <c r="X272" i="38"/>
  <c r="W272" i="38"/>
  <c r="AA271" i="38"/>
  <c r="Z271" i="38"/>
  <c r="Y271" i="38"/>
  <c r="X271" i="38"/>
  <c r="W271" i="38"/>
  <c r="AD270" i="38"/>
  <c r="AD269" i="38" s="1"/>
  <c r="AD268" i="38" s="1"/>
  <c r="AA270" i="38"/>
  <c r="Z270" i="38"/>
  <c r="Y270" i="38"/>
  <c r="X270" i="38"/>
  <c r="W270" i="38"/>
  <c r="AA269" i="38"/>
  <c r="Z269" i="38"/>
  <c r="Y269" i="38"/>
  <c r="X269" i="38"/>
  <c r="W269" i="38"/>
  <c r="AA268" i="38"/>
  <c r="Z268" i="38"/>
  <c r="Y268" i="38"/>
  <c r="X268" i="38"/>
  <c r="W268" i="38"/>
  <c r="AA267" i="38"/>
  <c r="Z267" i="38"/>
  <c r="Y267" i="38"/>
  <c r="X267" i="38"/>
  <c r="W267" i="38"/>
  <c r="AA253" i="38"/>
  <c r="Z253" i="38"/>
  <c r="Y253" i="38"/>
  <c r="X253" i="38"/>
  <c r="W253" i="38"/>
  <c r="AA252" i="38"/>
  <c r="Z252" i="38"/>
  <c r="Y252" i="38"/>
  <c r="X252" i="38"/>
  <c r="W252" i="38"/>
  <c r="AD251" i="38"/>
  <c r="AD250" i="38" s="1"/>
  <c r="AD249" i="38" s="1"/>
  <c r="AA251" i="38"/>
  <c r="Z251" i="38"/>
  <c r="X251" i="38"/>
  <c r="W251" i="38"/>
  <c r="AA250" i="38"/>
  <c r="Z250" i="38"/>
  <c r="Y250" i="38"/>
  <c r="X250" i="38"/>
  <c r="W250" i="38"/>
  <c r="AA249" i="38"/>
  <c r="Z249" i="38"/>
  <c r="Y249" i="38"/>
  <c r="X249" i="38"/>
  <c r="W249" i="38"/>
  <c r="AA248" i="38"/>
  <c r="Z248" i="38"/>
  <c r="X248" i="38"/>
  <c r="W248" i="38"/>
  <c r="AA234" i="38"/>
  <c r="Z234" i="38"/>
  <c r="Y234" i="38"/>
  <c r="X234" i="38"/>
  <c r="W234" i="38"/>
  <c r="AA233" i="38"/>
  <c r="Z233" i="38"/>
  <c r="Y233" i="38"/>
  <c r="X233" i="38"/>
  <c r="W233" i="38"/>
  <c r="AA232" i="38"/>
  <c r="Z232" i="38"/>
  <c r="Y232" i="38"/>
  <c r="X232" i="38"/>
  <c r="W232" i="38"/>
  <c r="AA231" i="38"/>
  <c r="Z231" i="38"/>
  <c r="Y231" i="38"/>
  <c r="X231" i="38"/>
  <c r="W231" i="38"/>
  <c r="AA230" i="38"/>
  <c r="Z230" i="38"/>
  <c r="Y230" i="38"/>
  <c r="X230" i="38"/>
  <c r="W230" i="38"/>
  <c r="AI41" i="40" l="1"/>
  <c r="B57" i="12"/>
  <c r="C15" i="29"/>
  <c r="C18" i="26"/>
  <c r="C32" i="26" s="1"/>
  <c r="C45" i="26" s="1"/>
  <c r="AA43" i="40"/>
  <c r="AA203" i="38"/>
  <c r="AB41" i="40" s="1"/>
  <c r="AA202" i="38"/>
  <c r="AB40" i="40" s="1"/>
  <c r="AA198" i="38"/>
  <c r="AB36" i="40" s="1"/>
  <c r="AA201" i="38"/>
  <c r="AA200" i="38"/>
  <c r="AB38" i="40" s="1"/>
  <c r="AA204" i="38"/>
  <c r="AB42" i="40" s="1"/>
  <c r="AA199" i="38"/>
  <c r="AB37" i="40" s="1"/>
  <c r="AB39" i="40"/>
  <c r="N91" i="38"/>
  <c r="AC38" i="40"/>
  <c r="AE38" i="40"/>
  <c r="AC36" i="40"/>
  <c r="AE36" i="40"/>
  <c r="AC37" i="40"/>
  <c r="AE37" i="40"/>
  <c r="M18" i="26"/>
  <c r="L45" i="26"/>
  <c r="M15" i="26"/>
  <c r="L42" i="26"/>
  <c r="M17" i="26"/>
  <c r="L44" i="26"/>
  <c r="M19" i="26"/>
  <c r="L46" i="26"/>
  <c r="M14" i="26"/>
  <c r="L41" i="26"/>
  <c r="M16" i="26"/>
  <c r="L43" i="26"/>
  <c r="P32" i="26"/>
  <c r="P31" i="26"/>
  <c r="P33" i="26"/>
  <c r="P28" i="26"/>
  <c r="P29" i="26"/>
  <c r="P30" i="26"/>
  <c r="AD252" i="38"/>
  <c r="AD253" i="38" s="1"/>
  <c r="AD286" i="38"/>
  <c r="AD287" i="38" s="1"/>
  <c r="AD271" i="38"/>
  <c r="AD272" i="38" s="1"/>
  <c r="AD232" i="38"/>
  <c r="AD233" i="38" s="1"/>
  <c r="AD234" i="38" s="1"/>
  <c r="B58" i="12" l="1"/>
  <c r="B59" i="12" s="1"/>
  <c r="B60" i="12" s="1"/>
  <c r="C16" i="29"/>
  <c r="C19" i="26"/>
  <c r="C33" i="26" s="1"/>
  <c r="C46" i="26" s="1"/>
  <c r="N19" i="26"/>
  <c r="M46" i="26"/>
  <c r="N15" i="26"/>
  <c r="M42" i="26"/>
  <c r="N16" i="26"/>
  <c r="M43" i="26"/>
  <c r="N14" i="26"/>
  <c r="M41" i="26"/>
  <c r="N17" i="26"/>
  <c r="M44" i="26"/>
  <c r="N18" i="26"/>
  <c r="M45" i="26"/>
  <c r="Q33" i="26"/>
  <c r="Q30" i="26"/>
  <c r="Q32" i="26"/>
  <c r="Q29" i="26"/>
  <c r="Q28" i="26"/>
  <c r="Q31" i="26"/>
  <c r="AD231" i="38"/>
  <c r="AD230" i="38" s="1"/>
  <c r="K279" i="38"/>
  <c r="K280" i="38" s="1"/>
  <c r="K281" i="38" s="1"/>
  <c r="K282" i="38" s="1"/>
  <c r="K283" i="38" s="1"/>
  <c r="K284" i="38" s="1"/>
  <c r="K259" i="38"/>
  <c r="K260" i="38" s="1"/>
  <c r="K261" i="38" s="1"/>
  <c r="K262" i="38" s="1"/>
  <c r="K263" i="38" s="1"/>
  <c r="K264" i="38" s="1"/>
  <c r="K265" i="38" s="1"/>
  <c r="K266" i="38" s="1"/>
  <c r="K267" i="38" s="1"/>
  <c r="K268" i="38" s="1"/>
  <c r="K269" i="38" s="1"/>
  <c r="B61" i="12" l="1"/>
  <c r="C20" i="30"/>
  <c r="O17" i="26"/>
  <c r="N44" i="26"/>
  <c r="O16" i="26"/>
  <c r="N43" i="26"/>
  <c r="O19" i="26"/>
  <c r="N46" i="26"/>
  <c r="O18" i="26"/>
  <c r="N45" i="26"/>
  <c r="O14" i="26"/>
  <c r="N41" i="26"/>
  <c r="O15" i="26"/>
  <c r="N42" i="26"/>
  <c r="R32" i="26"/>
  <c r="R28" i="26"/>
  <c r="R29" i="26"/>
  <c r="R31" i="26"/>
  <c r="R30" i="26"/>
  <c r="R33" i="26"/>
  <c r="O95" i="38"/>
  <c r="N95" i="38" s="1"/>
  <c r="N186" i="38" s="1"/>
  <c r="N202" i="38" s="1"/>
  <c r="AB202" i="38" s="1"/>
  <c r="N94" i="38"/>
  <c r="O103" i="38"/>
  <c r="K244" i="38"/>
  <c r="K245" i="38" s="1"/>
  <c r="K246" i="38" s="1"/>
  <c r="K247" i="38" s="1"/>
  <c r="K248" i="38" s="1"/>
  <c r="K249" i="38" s="1"/>
  <c r="J28" i="39"/>
  <c r="N81" i="38"/>
  <c r="J13" i="39"/>
  <c r="N66" i="38"/>
  <c r="H105" i="39"/>
  <c r="H125" i="39"/>
  <c r="K119" i="39"/>
  <c r="O119" i="39"/>
  <c r="N119" i="39"/>
  <c r="M119" i="39"/>
  <c r="L119" i="39"/>
  <c r="L116" i="39"/>
  <c r="M116" i="39" s="1"/>
  <c r="N116" i="39" s="1"/>
  <c r="O116" i="39" s="1"/>
  <c r="O83" i="39"/>
  <c r="N83" i="39"/>
  <c r="M83" i="39"/>
  <c r="L83" i="39"/>
  <c r="K83" i="39"/>
  <c r="H89" i="39"/>
  <c r="L80" i="39"/>
  <c r="M80" i="39" s="1"/>
  <c r="N80" i="39" s="1"/>
  <c r="O80" i="39" s="1"/>
  <c r="L48" i="39"/>
  <c r="M48" i="39" s="1"/>
  <c r="N48" i="39" s="1"/>
  <c r="O48" i="39" s="1"/>
  <c r="L42" i="39"/>
  <c r="M42" i="39" s="1"/>
  <c r="N42" i="39" s="1"/>
  <c r="O42" i="39" s="1"/>
  <c r="L98" i="39"/>
  <c r="M98" i="39" s="1"/>
  <c r="N98" i="39" s="1"/>
  <c r="O98" i="39" s="1"/>
  <c r="L62" i="39"/>
  <c r="M62" i="39" s="1"/>
  <c r="N62" i="39" s="1"/>
  <c r="O62" i="39" s="1"/>
  <c r="H69" i="39"/>
  <c r="N88" i="38"/>
  <c r="J34" i="39" s="1"/>
  <c r="N73" i="38"/>
  <c r="J19" i="39" s="1"/>
  <c r="L2" i="39"/>
  <c r="M2" i="39" s="1"/>
  <c r="N2" i="39" s="1"/>
  <c r="O2" i="39" s="1"/>
  <c r="C21" i="30" l="1"/>
  <c r="C20" i="31"/>
  <c r="N103" i="38"/>
  <c r="P186" i="38"/>
  <c r="P18" i="26"/>
  <c r="O45" i="26"/>
  <c r="P16" i="26"/>
  <c r="O43" i="26"/>
  <c r="P15" i="26"/>
  <c r="O42" i="26"/>
  <c r="P14" i="26"/>
  <c r="O41" i="26"/>
  <c r="P19" i="26"/>
  <c r="O46" i="26"/>
  <c r="P17" i="26"/>
  <c r="O44" i="26"/>
  <c r="S29" i="26"/>
  <c r="S32" i="26"/>
  <c r="S30" i="26"/>
  <c r="S31" i="26"/>
  <c r="S33" i="26"/>
  <c r="N102" i="38"/>
  <c r="J12" i="39"/>
  <c r="N78" i="39" s="1"/>
  <c r="N84" i="39" s="1"/>
  <c r="N87" i="39" s="1"/>
  <c r="R376" i="38" s="1"/>
  <c r="J27" i="39"/>
  <c r="R186" i="38" l="1"/>
  <c r="P202" i="38"/>
  <c r="Q19" i="26"/>
  <c r="P46" i="26"/>
  <c r="Q16" i="26"/>
  <c r="P43" i="26"/>
  <c r="Q17" i="26"/>
  <c r="P44" i="26"/>
  <c r="Q14" i="26"/>
  <c r="P41" i="26"/>
  <c r="Q15" i="26"/>
  <c r="P42" i="26"/>
  <c r="Q18" i="26"/>
  <c r="P45" i="26"/>
  <c r="T33" i="26"/>
  <c r="T30" i="26"/>
  <c r="T32" i="26"/>
  <c r="T31" i="26"/>
  <c r="T29" i="26"/>
  <c r="K114" i="39"/>
  <c r="L114" i="39"/>
  <c r="L120" i="39" s="1"/>
  <c r="N114" i="39"/>
  <c r="N120" i="39" s="1"/>
  <c r="N123" i="39" s="1"/>
  <c r="R378" i="38" s="1"/>
  <c r="M114" i="39"/>
  <c r="O114" i="39"/>
  <c r="O120" i="39" s="1"/>
  <c r="O123" i="39" s="1"/>
  <c r="S378" i="38" s="1"/>
  <c r="O78" i="39"/>
  <c r="O84" i="39" s="1"/>
  <c r="O87" i="39" s="1"/>
  <c r="S376" i="38" s="1"/>
  <c r="M78" i="39"/>
  <c r="K78" i="39"/>
  <c r="L78" i="39"/>
  <c r="J14" i="39"/>
  <c r="J30" i="39"/>
  <c r="J29" i="39"/>
  <c r="J23" i="39"/>
  <c r="J15" i="39"/>
  <c r="AC49" i="40"/>
  <c r="AK49" i="40"/>
  <c r="AI49" i="40"/>
  <c r="AG49" i="40"/>
  <c r="N90" i="38"/>
  <c r="J36" i="39" s="1"/>
  <c r="N75" i="38"/>
  <c r="J21" i="39" s="1"/>
  <c r="T186" i="38" l="1"/>
  <c r="R202" i="38"/>
  <c r="R15" i="26"/>
  <c r="Q42" i="26"/>
  <c r="R17" i="26"/>
  <c r="Q44" i="26"/>
  <c r="R18" i="26"/>
  <c r="Q45" i="26"/>
  <c r="R14" i="26"/>
  <c r="Q41" i="26"/>
  <c r="R16" i="26"/>
  <c r="Q43" i="26"/>
  <c r="R19" i="26"/>
  <c r="Q46" i="26"/>
  <c r="U29" i="26"/>
  <c r="U31" i="26"/>
  <c r="U32" i="26"/>
  <c r="U33" i="26"/>
  <c r="AG47" i="40"/>
  <c r="AK47" i="40"/>
  <c r="AG48" i="40"/>
  <c r="AK48" i="40"/>
  <c r="AI47" i="40"/>
  <c r="AC47" i="40"/>
  <c r="AI48" i="40"/>
  <c r="AC48" i="40"/>
  <c r="N89" i="38"/>
  <c r="AE49" i="40"/>
  <c r="N74" i="38"/>
  <c r="K224" i="38"/>
  <c r="K225" i="38" s="1"/>
  <c r="K226" i="38" s="1"/>
  <c r="K227" i="38" s="1"/>
  <c r="K228" i="38" s="1"/>
  <c r="K229" i="38" s="1"/>
  <c r="K230" i="38" s="1"/>
  <c r="K231" i="38" s="1"/>
  <c r="K232" i="38" s="1"/>
  <c r="K233" i="38" s="1"/>
  <c r="K234" i="38" s="1"/>
  <c r="S295" i="38"/>
  <c r="AL26" i="40" s="1"/>
  <c r="R295" i="38"/>
  <c r="AK26" i="40" s="1"/>
  <c r="Q295" i="38"/>
  <c r="AJ26" i="40" s="1"/>
  <c r="P295" i="38"/>
  <c r="AI26" i="40" s="1"/>
  <c r="O295" i="38"/>
  <c r="AH26" i="40" s="1"/>
  <c r="N86" i="38"/>
  <c r="J32" i="39" s="1"/>
  <c r="O87" i="38"/>
  <c r="N87" i="38" s="1"/>
  <c r="J33" i="39" s="1"/>
  <c r="N80" i="38"/>
  <c r="N191" i="38" s="1"/>
  <c r="N79" i="38"/>
  <c r="J25" i="39" s="1"/>
  <c r="N71" i="38"/>
  <c r="J17" i="39" s="1"/>
  <c r="N64" i="38"/>
  <c r="J10" i="39" s="1"/>
  <c r="O72" i="38"/>
  <c r="N72" i="38" s="1"/>
  <c r="J18" i="39" s="1"/>
  <c r="N65" i="38"/>
  <c r="N85" i="38"/>
  <c r="N78" i="38"/>
  <c r="V186" i="38" l="1"/>
  <c r="V202" i="38" s="1"/>
  <c r="AD202" i="38" s="1"/>
  <c r="T202" i="38"/>
  <c r="N188" i="38"/>
  <c r="R188" i="38"/>
  <c r="S16" i="26"/>
  <c r="R43" i="26"/>
  <c r="S18" i="26"/>
  <c r="R45" i="26"/>
  <c r="S17" i="26"/>
  <c r="R44" i="26"/>
  <c r="S19" i="26"/>
  <c r="R46" i="26"/>
  <c r="R41" i="26"/>
  <c r="S15" i="26"/>
  <c r="R42" i="26"/>
  <c r="V33" i="26"/>
  <c r="V32" i="26"/>
  <c r="V31" i="26"/>
  <c r="V29" i="26"/>
  <c r="AE47" i="40"/>
  <c r="AE48" i="40"/>
  <c r="J35" i="39"/>
  <c r="N192" i="38"/>
  <c r="J20" i="39"/>
  <c r="O59" i="39" s="1"/>
  <c r="O65" i="39" s="1"/>
  <c r="S432" i="38" s="1"/>
  <c r="N102" i="32" s="1"/>
  <c r="N189" i="38"/>
  <c r="K49" i="38"/>
  <c r="N278" i="38" s="1"/>
  <c r="J31" i="39"/>
  <c r="J11" i="39"/>
  <c r="K45" i="38"/>
  <c r="N258" i="38" s="1"/>
  <c r="J24" i="39"/>
  <c r="J26" i="39"/>
  <c r="N76" i="38"/>
  <c r="J22" i="39" s="1"/>
  <c r="N204" i="38" l="1"/>
  <c r="AC53" i="40" s="1"/>
  <c r="AC50" i="40"/>
  <c r="AB22" i="40" s="1"/>
  <c r="AB23" i="40" s="1"/>
  <c r="N203" i="38"/>
  <c r="M120" i="39"/>
  <c r="M123" i="39" s="1"/>
  <c r="Q378" i="38" s="1"/>
  <c r="K120" i="39"/>
  <c r="K123" i="39" s="1"/>
  <c r="O378" i="38" s="1"/>
  <c r="AC51" i="40"/>
  <c r="T19" i="26"/>
  <c r="S46" i="26"/>
  <c r="T18" i="26"/>
  <c r="S45" i="26"/>
  <c r="T15" i="26"/>
  <c r="S42" i="26"/>
  <c r="T17" i="26"/>
  <c r="S44" i="26"/>
  <c r="T16" i="26"/>
  <c r="S43" i="26"/>
  <c r="W32" i="26"/>
  <c r="W33" i="26"/>
  <c r="O96" i="39"/>
  <c r="O107" i="39" s="1"/>
  <c r="S379" i="38" s="1"/>
  <c r="N95" i="39"/>
  <c r="N101" i="39" s="1"/>
  <c r="R433" i="38" s="1"/>
  <c r="M103" i="32" s="1"/>
  <c r="M95" i="39"/>
  <c r="M101" i="39" s="1"/>
  <c r="Q433" i="38" s="1"/>
  <c r="L103" i="32" s="1"/>
  <c r="K95" i="39"/>
  <c r="K101" i="39" s="1"/>
  <c r="O433" i="38" s="1"/>
  <c r="J103" i="32" s="1"/>
  <c r="O95" i="39"/>
  <c r="O101" i="39" s="1"/>
  <c r="S433" i="38" s="1"/>
  <c r="L95" i="39"/>
  <c r="L101" i="39" s="1"/>
  <c r="P433" i="38" s="1"/>
  <c r="K103" i="32" s="1"/>
  <c r="J97" i="32"/>
  <c r="N265" i="38"/>
  <c r="N264" i="38"/>
  <c r="N266" i="38"/>
  <c r="N263" i="38"/>
  <c r="N262" i="38"/>
  <c r="P262" i="38" s="1"/>
  <c r="Q262" i="38" s="1"/>
  <c r="R262" i="38" s="1"/>
  <c r="S262" i="38" s="1"/>
  <c r="N268" i="38"/>
  <c r="S268" i="38" s="1"/>
  <c r="N260" i="38"/>
  <c r="O260" i="38" s="1"/>
  <c r="N267" i="38"/>
  <c r="N259" i="38"/>
  <c r="N269" i="38"/>
  <c r="N261" i="38"/>
  <c r="J98" i="32"/>
  <c r="K100" i="39" s="1"/>
  <c r="N280" i="38"/>
  <c r="M284" i="38"/>
  <c r="M283" i="38"/>
  <c r="M282" i="38"/>
  <c r="N281" i="38"/>
  <c r="N284" i="38"/>
  <c r="M281" i="38"/>
  <c r="N283" i="38"/>
  <c r="M280" i="38"/>
  <c r="N282" i="38"/>
  <c r="M279" i="38"/>
  <c r="N279" i="38"/>
  <c r="P188" i="38"/>
  <c r="P191" i="38"/>
  <c r="P192" i="38"/>
  <c r="P189" i="38"/>
  <c r="M96" i="39"/>
  <c r="M102" i="39" s="1"/>
  <c r="L96" i="39"/>
  <c r="L107" i="39" s="1"/>
  <c r="P379" i="38" s="1"/>
  <c r="K96" i="39"/>
  <c r="K102" i="39" s="1"/>
  <c r="N96" i="39"/>
  <c r="N102" i="39" s="1"/>
  <c r="N60" i="39"/>
  <c r="K59" i="39"/>
  <c r="K65" i="39" s="1"/>
  <c r="O432" i="38" s="1"/>
  <c r="J102" i="32" s="1"/>
  <c r="N59" i="39"/>
  <c r="N65" i="39" s="1"/>
  <c r="R432" i="38" s="1"/>
  <c r="M102" i="32" s="1"/>
  <c r="M60" i="39"/>
  <c r="K60" i="39"/>
  <c r="L59" i="39"/>
  <c r="L65" i="39" s="1"/>
  <c r="P432" i="38" s="1"/>
  <c r="K102" i="32" s="1"/>
  <c r="L60" i="39"/>
  <c r="O60" i="39"/>
  <c r="O66" i="39" s="1"/>
  <c r="M59" i="39"/>
  <c r="M65" i="39" s="1"/>
  <c r="Q432" i="38" s="1"/>
  <c r="L102" i="32" s="1"/>
  <c r="K118" i="39"/>
  <c r="L123" i="39"/>
  <c r="P378" i="38" s="1"/>
  <c r="P203" i="38" l="1"/>
  <c r="P204" i="38"/>
  <c r="AE53" i="40" s="1"/>
  <c r="AC52" i="40"/>
  <c r="AE51" i="40"/>
  <c r="K101" i="32"/>
  <c r="U72" i="40" s="1"/>
  <c r="AE50" i="40"/>
  <c r="J101" i="32"/>
  <c r="T72" i="40" s="1"/>
  <c r="K121" i="39"/>
  <c r="K46" i="39" s="1"/>
  <c r="O359" i="38" s="1"/>
  <c r="M101" i="32"/>
  <c r="W72" i="40" s="1"/>
  <c r="L101" i="32"/>
  <c r="V72" i="40" s="1"/>
  <c r="S431" i="38"/>
  <c r="N103" i="32"/>
  <c r="N101" i="32" s="1"/>
  <c r="X72" i="40" s="1"/>
  <c r="O431" i="38"/>
  <c r="Q431" i="38"/>
  <c r="N193" i="38"/>
  <c r="K19" i="38" s="1"/>
  <c r="N205" i="38"/>
  <c r="U17" i="26"/>
  <c r="T44" i="26"/>
  <c r="U15" i="26"/>
  <c r="T42" i="26"/>
  <c r="U19" i="26"/>
  <c r="T46" i="26"/>
  <c r="T43" i="26"/>
  <c r="U18" i="26"/>
  <c r="T45" i="26"/>
  <c r="X32" i="26"/>
  <c r="X33" i="26"/>
  <c r="O102" i="39"/>
  <c r="P431" i="38"/>
  <c r="R431" i="38"/>
  <c r="K103" i="39"/>
  <c r="K44" i="39" s="1"/>
  <c r="O358" i="38" s="1"/>
  <c r="M259" i="38"/>
  <c r="M260" i="38" s="1"/>
  <c r="M261" i="38" s="1"/>
  <c r="M262" i="38" s="1"/>
  <c r="M263" i="38" s="1"/>
  <c r="M264" i="38" s="1"/>
  <c r="M265" i="38" s="1"/>
  <c r="M266" i="38" s="1"/>
  <c r="M267" i="38" s="1"/>
  <c r="M268" i="38" s="1"/>
  <c r="M269" i="38" s="1"/>
  <c r="S259" i="38"/>
  <c r="R259" i="38"/>
  <c r="Q259" i="38"/>
  <c r="P259" i="38"/>
  <c r="O259" i="38"/>
  <c r="S279" i="38"/>
  <c r="R279" i="38"/>
  <c r="P279" i="38"/>
  <c r="O279" i="38"/>
  <c r="Q279" i="38"/>
  <c r="Q263" i="38"/>
  <c r="R263" i="38"/>
  <c r="S263" i="38"/>
  <c r="P261" i="38"/>
  <c r="Q261" i="38" s="1"/>
  <c r="R261" i="38" s="1"/>
  <c r="S261" i="38" s="1"/>
  <c r="S266" i="38"/>
  <c r="R266" i="38"/>
  <c r="P260" i="38"/>
  <c r="R264" i="38"/>
  <c r="Q264" i="38"/>
  <c r="S264" i="38"/>
  <c r="R189" i="38"/>
  <c r="R203" i="38" s="1"/>
  <c r="R191" i="38"/>
  <c r="R192" i="38"/>
  <c r="S265" i="38"/>
  <c r="R265" i="38"/>
  <c r="S267" i="38"/>
  <c r="N107" i="39"/>
  <c r="R379" i="38" s="1"/>
  <c r="K107" i="39"/>
  <c r="O379" i="38" s="1"/>
  <c r="M107" i="39"/>
  <c r="Q379" i="38" s="1"/>
  <c r="L102" i="39"/>
  <c r="O71" i="39"/>
  <c r="S377" i="38" s="1"/>
  <c r="O198" i="38" l="1"/>
  <c r="AD47" i="40" s="1"/>
  <c r="O200" i="38"/>
  <c r="AD49" i="40" s="1"/>
  <c r="O199" i="38"/>
  <c r="AD48" i="40" s="1"/>
  <c r="O201" i="38"/>
  <c r="AD50" i="40" s="1"/>
  <c r="O202" i="38"/>
  <c r="O204" i="38"/>
  <c r="AD53" i="40" s="1"/>
  <c r="AG50" i="40"/>
  <c r="R204" i="38"/>
  <c r="O203" i="38"/>
  <c r="AD52" i="40" s="1"/>
  <c r="AE52" i="40"/>
  <c r="O186" i="38"/>
  <c r="O185" i="38"/>
  <c r="L117" i="39"/>
  <c r="L121" i="39" s="1"/>
  <c r="L46" i="39" s="1"/>
  <c r="P359" i="38" s="1"/>
  <c r="K125" i="39"/>
  <c r="K52" i="39" s="1"/>
  <c r="P193" i="38"/>
  <c r="O191" i="38"/>
  <c r="AC54" i="40"/>
  <c r="O189" i="38"/>
  <c r="O205" i="38"/>
  <c r="AD54" i="40" s="1"/>
  <c r="O182" i="38"/>
  <c r="O183" i="38"/>
  <c r="O184" i="38"/>
  <c r="K21" i="38"/>
  <c r="O192" i="38"/>
  <c r="O188" i="38"/>
  <c r="N206" i="38"/>
  <c r="V18" i="26"/>
  <c r="U45" i="26"/>
  <c r="V15" i="26"/>
  <c r="U42" i="26"/>
  <c r="V19" i="26"/>
  <c r="U46" i="26"/>
  <c r="V17" i="26"/>
  <c r="U44" i="26"/>
  <c r="Y33" i="26"/>
  <c r="K50" i="39"/>
  <c r="L99" i="39"/>
  <c r="L103" i="39" s="1"/>
  <c r="P205" i="38"/>
  <c r="T191" i="38"/>
  <c r="T189" i="38"/>
  <c r="T192" i="38"/>
  <c r="T188" i="38"/>
  <c r="Q260" i="38"/>
  <c r="AD51" i="40" l="1"/>
  <c r="T203" i="38"/>
  <c r="AI50" i="40"/>
  <c r="T204" i="38"/>
  <c r="AB204" i="38" s="1"/>
  <c r="AC42" i="40" s="1"/>
  <c r="Q200" i="38"/>
  <c r="AF49" i="40" s="1"/>
  <c r="Q198" i="38"/>
  <c r="AF47" i="40" s="1"/>
  <c r="Q199" i="38"/>
  <c r="AF48" i="40" s="1"/>
  <c r="Q201" i="38"/>
  <c r="AF50" i="40" s="1"/>
  <c r="Q202" i="38"/>
  <c r="Q204" i="38"/>
  <c r="AF53" i="40" s="1"/>
  <c r="Q203" i="38"/>
  <c r="AF52" i="40" s="1"/>
  <c r="AG53" i="40"/>
  <c r="AG52" i="40"/>
  <c r="AG51" i="40"/>
  <c r="AC40" i="40"/>
  <c r="Q186" i="38"/>
  <c r="Q185" i="38"/>
  <c r="M117" i="39"/>
  <c r="M121" i="39" s="1"/>
  <c r="M46" i="39" s="1"/>
  <c r="Q359" i="38" s="1"/>
  <c r="L125" i="39"/>
  <c r="L52" i="39" s="1"/>
  <c r="Q184" i="38"/>
  <c r="Q192" i="38"/>
  <c r="Q188" i="38"/>
  <c r="Q189" i="38"/>
  <c r="Q183" i="38"/>
  <c r="Q182" i="38"/>
  <c r="Q191" i="38"/>
  <c r="R193" i="38"/>
  <c r="O193" i="38"/>
  <c r="AI51" i="40"/>
  <c r="W19" i="26"/>
  <c r="V46" i="26"/>
  <c r="V44" i="26"/>
  <c r="V42" i="26"/>
  <c r="W18" i="26"/>
  <c r="V45" i="26"/>
  <c r="Z33" i="26"/>
  <c r="P206" i="38"/>
  <c r="AE54" i="40"/>
  <c r="Q205" i="38"/>
  <c r="AF54" i="40" s="1"/>
  <c r="R205" i="38"/>
  <c r="R260" i="38"/>
  <c r="V191" i="38"/>
  <c r="V189" i="38"/>
  <c r="V192" i="38"/>
  <c r="V188" i="38"/>
  <c r="M99" i="39"/>
  <c r="M103" i="39" s="1"/>
  <c r="M105" i="39" s="1"/>
  <c r="M50" i="39" s="1"/>
  <c r="L44" i="39"/>
  <c r="P358" i="38" s="1"/>
  <c r="L50" i="39"/>
  <c r="N117" i="39" l="1"/>
  <c r="N121" i="39" s="1"/>
  <c r="N46" i="39" s="1"/>
  <c r="R359" i="38" s="1"/>
  <c r="AI53" i="40"/>
  <c r="V203" i="38"/>
  <c r="AD203" i="38" s="1"/>
  <c r="AE41" i="40" s="1"/>
  <c r="AK50" i="40"/>
  <c r="V204" i="38"/>
  <c r="AD204" i="38" s="1"/>
  <c r="S200" i="38"/>
  <c r="AH49" i="40" s="1"/>
  <c r="S198" i="38"/>
  <c r="AH47" i="40" s="1"/>
  <c r="S199" i="38"/>
  <c r="AH48" i="40" s="1"/>
  <c r="S201" i="38"/>
  <c r="AH50" i="40" s="1"/>
  <c r="S202" i="38"/>
  <c r="S203" i="38"/>
  <c r="AH52" i="40" s="1"/>
  <c r="S204" i="38"/>
  <c r="AH53" i="40" s="1"/>
  <c r="AI52" i="40"/>
  <c r="AF51" i="40"/>
  <c r="S186" i="38"/>
  <c r="S185" i="38"/>
  <c r="M125" i="39"/>
  <c r="M52" i="39" s="1"/>
  <c r="Q193" i="38"/>
  <c r="S188" i="38"/>
  <c r="S192" i="38"/>
  <c r="AE40" i="40"/>
  <c r="S184" i="38"/>
  <c r="S182" i="38"/>
  <c r="S183" i="38"/>
  <c r="S189" i="38"/>
  <c r="S191" i="38"/>
  <c r="T193" i="38"/>
  <c r="X18" i="26"/>
  <c r="W45" i="26"/>
  <c r="X19" i="26"/>
  <c r="W46" i="26"/>
  <c r="R206" i="38"/>
  <c r="AG54" i="40"/>
  <c r="T205" i="38"/>
  <c r="S205" i="38"/>
  <c r="AH54" i="40" s="1"/>
  <c r="S260" i="38"/>
  <c r="N99" i="39"/>
  <c r="N103" i="39" s="1"/>
  <c r="M44" i="39"/>
  <c r="Q358" i="38" s="1"/>
  <c r="O117" i="39" l="1"/>
  <c r="O121" i="39" s="1"/>
  <c r="O125" i="39" s="1"/>
  <c r="O52" i="39" s="1"/>
  <c r="N125" i="39"/>
  <c r="N52" i="39" s="1"/>
  <c r="AB203" i="38"/>
  <c r="U200" i="38"/>
  <c r="AJ49" i="40" s="1"/>
  <c r="U198" i="38"/>
  <c r="AJ47" i="40" s="1"/>
  <c r="U199" i="38"/>
  <c r="AJ48" i="40" s="1"/>
  <c r="U201" i="38"/>
  <c r="AJ50" i="40" s="1"/>
  <c r="U202" i="38"/>
  <c r="U203" i="38"/>
  <c r="AJ52" i="40" s="1"/>
  <c r="U204" i="38"/>
  <c r="AJ53" i="40" s="1"/>
  <c r="AH51" i="40"/>
  <c r="AK52" i="40"/>
  <c r="AK53" i="40"/>
  <c r="AK51" i="40"/>
  <c r="U186" i="38"/>
  <c r="U185" i="38"/>
  <c r="V193" i="38"/>
  <c r="W191" i="38" s="1"/>
  <c r="U189" i="38"/>
  <c r="S193" i="38"/>
  <c r="U182" i="38"/>
  <c r="U183" i="38"/>
  <c r="U192" i="38"/>
  <c r="U191" i="38"/>
  <c r="U184" i="38"/>
  <c r="U188" i="38"/>
  <c r="X45" i="26"/>
  <c r="Y19" i="26"/>
  <c r="X46" i="26"/>
  <c r="AI54" i="40"/>
  <c r="U205" i="38"/>
  <c r="AJ54" i="40" s="1"/>
  <c r="T206" i="38"/>
  <c r="V205" i="38"/>
  <c r="O46" i="39"/>
  <c r="S359" i="38" s="1"/>
  <c r="O99" i="39"/>
  <c r="O103" i="39" s="1"/>
  <c r="N44" i="39"/>
  <c r="R358" i="38" s="1"/>
  <c r="N105" i="39"/>
  <c r="N50" i="39" s="1"/>
  <c r="AC41" i="40" l="1"/>
  <c r="AB205" i="38"/>
  <c r="W200" i="38"/>
  <c r="AL49" i="40" s="1"/>
  <c r="W198" i="38"/>
  <c r="AL47" i="40" s="1"/>
  <c r="W199" i="38"/>
  <c r="AL48" i="40" s="1"/>
  <c r="W201" i="38"/>
  <c r="AL50" i="40" s="1"/>
  <c r="W202" i="38"/>
  <c r="W203" i="38"/>
  <c r="AL52" i="40" s="1"/>
  <c r="AE42" i="40"/>
  <c r="W204" i="38"/>
  <c r="AL53" i="40" s="1"/>
  <c r="AJ51" i="40"/>
  <c r="AD205" i="38"/>
  <c r="AE204" i="38" s="1"/>
  <c r="W186" i="38"/>
  <c r="W185" i="38"/>
  <c r="W189" i="38"/>
  <c r="W184" i="38"/>
  <c r="W182" i="38"/>
  <c r="W188" i="38"/>
  <c r="W183" i="38"/>
  <c r="W192" i="38"/>
  <c r="U193" i="38"/>
  <c r="Z19" i="26"/>
  <c r="Y46" i="26"/>
  <c r="V206" i="38"/>
  <c r="AK54" i="40"/>
  <c r="W205" i="38"/>
  <c r="AL54" i="40" s="1"/>
  <c r="O105" i="39"/>
  <c r="O50" i="39" s="1"/>
  <c r="O44" i="39"/>
  <c r="S358" i="38" s="1"/>
  <c r="AC204" i="38" l="1"/>
  <c r="AD42" i="40" s="1"/>
  <c r="AC198" i="38"/>
  <c r="AD36" i="40" s="1"/>
  <c r="AC43" i="40"/>
  <c r="AC199" i="38"/>
  <c r="AD37" i="40" s="1"/>
  <c r="AC200" i="38"/>
  <c r="AD38" i="40" s="1"/>
  <c r="AC202" i="38"/>
  <c r="AD40" i="40" s="1"/>
  <c r="AI37" i="40" s="1"/>
  <c r="AC201" i="38"/>
  <c r="AD39" i="40" s="1"/>
  <c r="AC205" i="38"/>
  <c r="AD43" i="40" s="1"/>
  <c r="AC203" i="38"/>
  <c r="AD41" i="40" s="1"/>
  <c r="AI38" i="40" s="1"/>
  <c r="AE200" i="38"/>
  <c r="AF38" i="40" s="1"/>
  <c r="AE201" i="38"/>
  <c r="AF39" i="40" s="1"/>
  <c r="AE199" i="38"/>
  <c r="AF37" i="40" s="1"/>
  <c r="AE198" i="38"/>
  <c r="AF36" i="40" s="1"/>
  <c r="AE202" i="38"/>
  <c r="AF40" i="40" s="1"/>
  <c r="AJ37" i="40" s="1"/>
  <c r="AE203" i="38"/>
  <c r="AF41" i="40" s="1"/>
  <c r="AL51" i="40"/>
  <c r="AE43" i="40"/>
  <c r="AE205" i="38"/>
  <c r="AF43" i="40" s="1"/>
  <c r="AF42" i="40"/>
  <c r="W193" i="38"/>
  <c r="Z46" i="26"/>
  <c r="S213" i="38"/>
  <c r="R213" i="38"/>
  <c r="AK20" i="40" s="1"/>
  <c r="Q213" i="38"/>
  <c r="AJ20" i="40" s="1"/>
  <c r="P213" i="38"/>
  <c r="AI20" i="40" s="1"/>
  <c r="O213" i="38"/>
  <c r="N353" i="38"/>
  <c r="I46" i="32" s="1"/>
  <c r="Y248" i="38" l="1"/>
  <c r="AL20" i="40"/>
  <c r="AI36" i="40"/>
  <c r="AJ38" i="40"/>
  <c r="AJ36" i="40"/>
  <c r="AH20" i="40"/>
  <c r="N70" i="38"/>
  <c r="L193" i="38"/>
  <c r="N58" i="38"/>
  <c r="AA229" i="38" l="1"/>
  <c r="Y229" i="38"/>
  <c r="L206" i="38"/>
  <c r="J9" i="39"/>
  <c r="T16" i="38"/>
  <c r="V16" i="38" s="1"/>
  <c r="K40" i="38"/>
  <c r="J16" i="39"/>
  <c r="J64" i="39" s="1"/>
  <c r="J67" i="39" s="1"/>
  <c r="N61" i="38"/>
  <c r="N60" i="38" s="1"/>
  <c r="K36" i="38"/>
  <c r="M184" i="38"/>
  <c r="N379" i="38"/>
  <c r="M182" i="38"/>
  <c r="M183" i="38"/>
  <c r="S353" i="38"/>
  <c r="N46" i="32" s="1"/>
  <c r="X42" i="40" s="1"/>
  <c r="R353" i="38"/>
  <c r="M46" i="32" s="1"/>
  <c r="W42" i="40" s="1"/>
  <c r="Q353" i="38"/>
  <c r="L46" i="32" s="1"/>
  <c r="V42" i="40" s="1"/>
  <c r="P353" i="38"/>
  <c r="K46" i="32" s="1"/>
  <c r="U42" i="40" s="1"/>
  <c r="W331" i="38"/>
  <c r="W330" i="38"/>
  <c r="W329" i="38"/>
  <c r="Z229" i="38" l="1"/>
  <c r="X229" i="38"/>
  <c r="W229" i="38"/>
  <c r="N375" i="38"/>
  <c r="N381" i="38" s="1"/>
  <c r="N363" i="38" s="1"/>
  <c r="I57" i="32" s="1"/>
  <c r="I56" i="32" s="1"/>
  <c r="N345" i="38"/>
  <c r="K63" i="39"/>
  <c r="J43" i="39"/>
  <c r="N356" i="38" s="1"/>
  <c r="N243" i="38"/>
  <c r="N66" i="39"/>
  <c r="N71" i="39"/>
  <c r="R377" i="38" s="1"/>
  <c r="K71" i="39"/>
  <c r="O377" i="38" s="1"/>
  <c r="K66" i="39"/>
  <c r="L71" i="39"/>
  <c r="P377" i="38" s="1"/>
  <c r="M71" i="39"/>
  <c r="Q377" i="38" s="1"/>
  <c r="M66" i="39"/>
  <c r="K84" i="39"/>
  <c r="K87" i="39" s="1"/>
  <c r="O376" i="38" s="1"/>
  <c r="M84" i="39"/>
  <c r="M87" i="39" s="1"/>
  <c r="Q376" i="38" s="1"/>
  <c r="J95" i="32"/>
  <c r="N224" i="38"/>
  <c r="N223" i="38"/>
  <c r="L84" i="39"/>
  <c r="L87" i="39" s="1"/>
  <c r="P376" i="38" s="1"/>
  <c r="M246" i="38"/>
  <c r="M247" i="38"/>
  <c r="M245" i="38"/>
  <c r="M244" i="38"/>
  <c r="M248" i="38"/>
  <c r="N249" i="38"/>
  <c r="N246" i="38"/>
  <c r="N248" i="38"/>
  <c r="M249" i="38"/>
  <c r="N247" i="38"/>
  <c r="N244" i="38"/>
  <c r="N245" i="38"/>
  <c r="J96" i="32"/>
  <c r="L66" i="39"/>
  <c r="N232" i="38"/>
  <c r="N229" i="38"/>
  <c r="N231" i="38"/>
  <c r="N230" i="38"/>
  <c r="N228" i="38"/>
  <c r="N234" i="38"/>
  <c r="N226" i="38"/>
  <c r="N233" i="38"/>
  <c r="S233" i="38" s="1"/>
  <c r="N225" i="38"/>
  <c r="N227" i="38"/>
  <c r="Q227" i="38" s="1"/>
  <c r="M193" i="38"/>
  <c r="O22" i="38"/>
  <c r="J49" i="36"/>
  <c r="AH8" i="40" s="1"/>
  <c r="K49" i="36"/>
  <c r="AI8" i="40" s="1"/>
  <c r="L49" i="36"/>
  <c r="AJ8" i="40" s="1"/>
  <c r="M49" i="36"/>
  <c r="AK8" i="40" s="1"/>
  <c r="N49" i="36"/>
  <c r="AL8" i="40" s="1"/>
  <c r="J50" i="36"/>
  <c r="AH9" i="40" s="1"/>
  <c r="K50" i="36"/>
  <c r="AI9" i="40" s="1"/>
  <c r="L50" i="36"/>
  <c r="AJ9" i="40" s="1"/>
  <c r="M50" i="36"/>
  <c r="AK9" i="40" s="1"/>
  <c r="N50" i="36"/>
  <c r="AL9" i="40" s="1"/>
  <c r="J51" i="36"/>
  <c r="AH10" i="40" s="1"/>
  <c r="K51" i="36"/>
  <c r="AI10" i="40" s="1"/>
  <c r="L51" i="36"/>
  <c r="AJ10" i="40" s="1"/>
  <c r="M51" i="36"/>
  <c r="AK10" i="40" s="1"/>
  <c r="N51" i="36"/>
  <c r="AL10" i="40" s="1"/>
  <c r="J52" i="36"/>
  <c r="AH11" i="40" s="1"/>
  <c r="K52" i="36"/>
  <c r="AI11" i="40" s="1"/>
  <c r="L52" i="36"/>
  <c r="AJ11" i="40" s="1"/>
  <c r="M52" i="36"/>
  <c r="AK11" i="40" s="1"/>
  <c r="N52" i="36"/>
  <c r="AL11" i="40" s="1"/>
  <c r="J53" i="36"/>
  <c r="AH12" i="40" s="1"/>
  <c r="K53" i="36"/>
  <c r="AI12" i="40" s="1"/>
  <c r="L53" i="36"/>
  <c r="AJ12" i="40" s="1"/>
  <c r="M53" i="36"/>
  <c r="AK12" i="40" s="1"/>
  <c r="N53" i="36"/>
  <c r="AL12" i="40" s="1"/>
  <c r="U32" i="36"/>
  <c r="J31" i="36"/>
  <c r="K31" i="36" s="1"/>
  <c r="L31" i="36" s="1"/>
  <c r="M31" i="36" s="1"/>
  <c r="N31" i="36" s="1"/>
  <c r="N21" i="35"/>
  <c r="M21" i="35"/>
  <c r="L21" i="35"/>
  <c r="K21" i="35"/>
  <c r="T25" i="36"/>
  <c r="T24" i="36"/>
  <c r="T23" i="36"/>
  <c r="N360" i="38" l="1"/>
  <c r="I50" i="32" s="1"/>
  <c r="I53" i="32" s="1"/>
  <c r="I60" i="32" s="1"/>
  <c r="N297" i="38"/>
  <c r="O374" i="38"/>
  <c r="O381" i="38" s="1"/>
  <c r="O363" i="38" s="1"/>
  <c r="J57" i="32" s="1"/>
  <c r="T46" i="40" s="1"/>
  <c r="I43" i="32"/>
  <c r="I34" i="32" s="1"/>
  <c r="I44" i="32" s="1"/>
  <c r="O345" i="38"/>
  <c r="J43" i="32" s="1"/>
  <c r="K82" i="39"/>
  <c r="K85" i="39" s="1"/>
  <c r="K89" i="39" s="1"/>
  <c r="K51" i="39" s="1"/>
  <c r="J94" i="32"/>
  <c r="T71" i="40" s="1"/>
  <c r="N365" i="38"/>
  <c r="K67" i="39"/>
  <c r="K43" i="39" s="1"/>
  <c r="O356" i="38" s="1"/>
  <c r="Q224" i="38"/>
  <c r="P224" i="38"/>
  <c r="O224" i="38"/>
  <c r="R51" i="36"/>
  <c r="S244" i="38"/>
  <c r="P244" i="38"/>
  <c r="Q244" i="38"/>
  <c r="R244" i="38"/>
  <c r="O244" i="38"/>
  <c r="R224" i="38"/>
  <c r="S224" i="38"/>
  <c r="R230" i="38"/>
  <c r="S230" i="38"/>
  <c r="S228" i="38"/>
  <c r="R228" i="38"/>
  <c r="Q228" i="38"/>
  <c r="S231" i="38"/>
  <c r="R231" i="38"/>
  <c r="S229" i="38"/>
  <c r="R229" i="38"/>
  <c r="Q229" i="38"/>
  <c r="S232" i="38"/>
  <c r="P227" i="38"/>
  <c r="S227" i="38"/>
  <c r="R227" i="38"/>
  <c r="P225" i="38"/>
  <c r="Q225" i="38"/>
  <c r="O225" i="38"/>
  <c r="R225" i="38"/>
  <c r="S225" i="38"/>
  <c r="M224" i="38"/>
  <c r="M225" i="38" s="1"/>
  <c r="M226" i="38" s="1"/>
  <c r="M227" i="38" s="1"/>
  <c r="M228" i="38" s="1"/>
  <c r="M229" i="38" s="1"/>
  <c r="M230" i="38" s="1"/>
  <c r="M231" i="38" s="1"/>
  <c r="M232" i="38" s="1"/>
  <c r="M233" i="38" s="1"/>
  <c r="M234" i="38" s="1"/>
  <c r="S226" i="38"/>
  <c r="P226" i="38"/>
  <c r="Q226" i="38"/>
  <c r="R226" i="38"/>
  <c r="N340" i="38"/>
  <c r="N346" i="38"/>
  <c r="P8" i="36"/>
  <c r="I62" i="32" l="1"/>
  <c r="P374" i="38"/>
  <c r="K49" i="39"/>
  <c r="O325" i="38" s="1"/>
  <c r="L63" i="39"/>
  <c r="L67" i="39" s="1"/>
  <c r="L49" i="39" s="1"/>
  <c r="P325" i="38" s="1"/>
  <c r="R50" i="36"/>
  <c r="R52" i="36"/>
  <c r="L81" i="39"/>
  <c r="L85" i="39" s="1"/>
  <c r="L45" i="39" s="1"/>
  <c r="P357" i="38" s="1"/>
  <c r="K45" i="39"/>
  <c r="O357" i="38" s="1"/>
  <c r="O360" i="38" s="1"/>
  <c r="N348" i="38"/>
  <c r="P345" i="38"/>
  <c r="K43" i="32" s="1"/>
  <c r="P323" i="38" l="1"/>
  <c r="K16" i="32" s="1"/>
  <c r="K18" i="32"/>
  <c r="U20" i="40" s="1"/>
  <c r="O323" i="38"/>
  <c r="J16" i="32" s="1"/>
  <c r="J18" i="32"/>
  <c r="T20" i="40" s="1"/>
  <c r="N367" i="38"/>
  <c r="N349" i="38"/>
  <c r="K18" i="38"/>
  <c r="J50" i="32"/>
  <c r="T43" i="40" s="1"/>
  <c r="P381" i="38"/>
  <c r="P363" i="38" s="1"/>
  <c r="K57" i="32" s="1"/>
  <c r="U46" i="40" s="1"/>
  <c r="R53" i="36"/>
  <c r="R49" i="36"/>
  <c r="AG8" i="40" s="1"/>
  <c r="M81" i="39"/>
  <c r="M85" i="39" s="1"/>
  <c r="M45" i="39" s="1"/>
  <c r="Q357" i="38" s="1"/>
  <c r="L89" i="39"/>
  <c r="L51" i="39" s="1"/>
  <c r="M63" i="39"/>
  <c r="M67" i="39" s="1"/>
  <c r="L43" i="39"/>
  <c r="P356" i="38" s="1"/>
  <c r="P360" i="38" s="1"/>
  <c r="K50" i="32" s="1"/>
  <c r="U43" i="40" s="1"/>
  <c r="Q345" i="38"/>
  <c r="L43" i="32" s="1"/>
  <c r="N93" i="32"/>
  <c r="X70" i="40" s="1"/>
  <c r="M93" i="32"/>
  <c r="W70" i="40" s="1"/>
  <c r="L93" i="32"/>
  <c r="V70" i="40" s="1"/>
  <c r="K93" i="32"/>
  <c r="U70" i="40" s="1"/>
  <c r="J93" i="32"/>
  <c r="T70" i="40" s="1"/>
  <c r="N89" i="32"/>
  <c r="M89" i="32"/>
  <c r="L89" i="32"/>
  <c r="K89" i="32"/>
  <c r="S21" i="32"/>
  <c r="J53" i="32" l="1"/>
  <c r="T44" i="40" s="1"/>
  <c r="K53" i="32"/>
  <c r="U44" i="40" s="1"/>
  <c r="Q374" i="38"/>
  <c r="Q381" i="38" s="1"/>
  <c r="P414" i="38"/>
  <c r="U67" i="40"/>
  <c r="Q414" i="38"/>
  <c r="V67" i="40"/>
  <c r="R414" i="38"/>
  <c r="W67" i="40"/>
  <c r="S414" i="38"/>
  <c r="X67" i="40"/>
  <c r="N81" i="39"/>
  <c r="N85" i="39" s="1"/>
  <c r="N45" i="39" s="1"/>
  <c r="R357" i="38" s="1"/>
  <c r="M89" i="39"/>
  <c r="M51" i="39" s="1"/>
  <c r="M69" i="39"/>
  <c r="M49" i="39" s="1"/>
  <c r="Q325" i="38" s="1"/>
  <c r="N63" i="39"/>
  <c r="N67" i="39" s="1"/>
  <c r="M43" i="39"/>
  <c r="Q356" i="38" s="1"/>
  <c r="Q360" i="38" s="1"/>
  <c r="L50" i="32" s="1"/>
  <c r="R345" i="38"/>
  <c r="M43" i="32" s="1"/>
  <c r="Q323" i="38" l="1"/>
  <c r="L16" i="32" s="1"/>
  <c r="L18" i="32"/>
  <c r="V20" i="40" s="1"/>
  <c r="V43" i="40"/>
  <c r="L53" i="32"/>
  <c r="V44" i="40" s="1"/>
  <c r="R374" i="38"/>
  <c r="R381" i="38" s="1"/>
  <c r="R363" i="38" s="1"/>
  <c r="M57" i="32" s="1"/>
  <c r="W46" i="40" s="1"/>
  <c r="Q363" i="38"/>
  <c r="L57" i="32" s="1"/>
  <c r="V46" i="40" s="1"/>
  <c r="N89" i="39"/>
  <c r="N51" i="39" s="1"/>
  <c r="O81" i="39"/>
  <c r="O85" i="39" s="1"/>
  <c r="O89" i="39" s="1"/>
  <c r="O51" i="39" s="1"/>
  <c r="O63" i="39"/>
  <c r="O67" i="39" s="1"/>
  <c r="O43" i="39" s="1"/>
  <c r="S356" i="38" s="1"/>
  <c r="N43" i="39"/>
  <c r="R356" i="38" s="1"/>
  <c r="R360" i="38" s="1"/>
  <c r="M50" i="32" s="1"/>
  <c r="N69" i="39"/>
  <c r="N49" i="39" s="1"/>
  <c r="R325" i="38" s="1"/>
  <c r="S345" i="38"/>
  <c r="N43" i="32" s="1"/>
  <c r="V18" i="40"/>
  <c r="U18" i="40"/>
  <c r="T18" i="40"/>
  <c r="R323" i="38" l="1"/>
  <c r="M16" i="32" s="1"/>
  <c r="W18" i="40" s="1"/>
  <c r="M18" i="32"/>
  <c r="W20" i="40" s="1"/>
  <c r="W43" i="40"/>
  <c r="M53" i="32"/>
  <c r="W44" i="40" s="1"/>
  <c r="S374" i="38"/>
  <c r="O45" i="39"/>
  <c r="S357" i="38" s="1"/>
  <c r="S360" i="38" s="1"/>
  <c r="N50" i="32" s="1"/>
  <c r="O69" i="39"/>
  <c r="O49" i="39" s="1"/>
  <c r="S325" i="38" s="1"/>
  <c r="S323" i="38" l="1"/>
  <c r="N16" i="32" s="1"/>
  <c r="X18" i="40" s="1"/>
  <c r="N18" i="32"/>
  <c r="X20" i="40" s="1"/>
  <c r="X43" i="40"/>
  <c r="N53" i="32"/>
  <c r="X44" i="40" s="1"/>
  <c r="S381" i="38"/>
  <c r="S363" i="38" s="1"/>
  <c r="N57" i="32" s="1"/>
  <c r="X46" i="40" s="1"/>
  <c r="BY147" i="28"/>
  <c r="BX147" i="28"/>
  <c r="BW147" i="28"/>
  <c r="BV147" i="28"/>
  <c r="BU147" i="28"/>
  <c r="BY146" i="28"/>
  <c r="BX146" i="28"/>
  <c r="BW146" i="28"/>
  <c r="BV146" i="28"/>
  <c r="BU146" i="28"/>
  <c r="BY144" i="28"/>
  <c r="BX144" i="28"/>
  <c r="BW144" i="28"/>
  <c r="BV144" i="28"/>
  <c r="BU144" i="28"/>
  <c r="BY143" i="28"/>
  <c r="BX143" i="28"/>
  <c r="BW143" i="28"/>
  <c r="BV143" i="28"/>
  <c r="BU143" i="28"/>
  <c r="BY142" i="28"/>
  <c r="BX142" i="28"/>
  <c r="BW142" i="28"/>
  <c r="BV142" i="28"/>
  <c r="BU142" i="28"/>
  <c r="BY141" i="28"/>
  <c r="BX141" i="28"/>
  <c r="BW141" i="28"/>
  <c r="BV141" i="28"/>
  <c r="BU141" i="28"/>
  <c r="BY139" i="28"/>
  <c r="BX139" i="28"/>
  <c r="BW139" i="28"/>
  <c r="BV139" i="28"/>
  <c r="BU139" i="28"/>
  <c r="BY138" i="28"/>
  <c r="BX138" i="28"/>
  <c r="BW138" i="28"/>
  <c r="BV138" i="28"/>
  <c r="BU138" i="28"/>
  <c r="BY137" i="28"/>
  <c r="BX137" i="28"/>
  <c r="BW137" i="28"/>
  <c r="BV137" i="28"/>
  <c r="BU137" i="28"/>
  <c r="BY136" i="28"/>
  <c r="BX136" i="28"/>
  <c r="BW136" i="28"/>
  <c r="BV136" i="28"/>
  <c r="BU136" i="28"/>
  <c r="BY134" i="28"/>
  <c r="BX134" i="28"/>
  <c r="BW134" i="28"/>
  <c r="BV134" i="28"/>
  <c r="BU134" i="28"/>
  <c r="BY133" i="28"/>
  <c r="BX133" i="28"/>
  <c r="BW133" i="28"/>
  <c r="BV133" i="28"/>
  <c r="BU133" i="28"/>
  <c r="BY132" i="28"/>
  <c r="BX132" i="28"/>
  <c r="BW132" i="28"/>
  <c r="BV132" i="28"/>
  <c r="BU132" i="28"/>
  <c r="BY131" i="28"/>
  <c r="BX131" i="28"/>
  <c r="BW131" i="28"/>
  <c r="BV131" i="28"/>
  <c r="BU131" i="28"/>
  <c r="BY130" i="28"/>
  <c r="BX130" i="28"/>
  <c r="BW130" i="28"/>
  <c r="BV130" i="28"/>
  <c r="BU130" i="28"/>
  <c r="BU27" i="34" l="1"/>
  <c r="BT27" i="34"/>
  <c r="BS27" i="34"/>
  <c r="BR27" i="34"/>
  <c r="BQ27" i="34"/>
  <c r="BU26" i="34"/>
  <c r="BT26" i="34"/>
  <c r="BS26" i="34"/>
  <c r="BR26" i="34"/>
  <c r="BQ26" i="34"/>
  <c r="BU24" i="34"/>
  <c r="BT24" i="34"/>
  <c r="BS24" i="34"/>
  <c r="BR24" i="34"/>
  <c r="BQ24" i="34"/>
  <c r="BU23" i="34"/>
  <c r="BT23" i="34"/>
  <c r="BS23" i="34"/>
  <c r="BR23" i="34"/>
  <c r="BQ23" i="34"/>
  <c r="BU22" i="34"/>
  <c r="BT22" i="34"/>
  <c r="BS22" i="34"/>
  <c r="BR22" i="34"/>
  <c r="BQ22" i="34"/>
  <c r="BU21" i="34"/>
  <c r="BT21" i="34"/>
  <c r="BS21" i="34"/>
  <c r="BR21" i="34"/>
  <c r="BQ21" i="34"/>
  <c r="BU19" i="34"/>
  <c r="BT19" i="34"/>
  <c r="BS19" i="34"/>
  <c r="BR19" i="34"/>
  <c r="BQ19" i="34"/>
  <c r="BU18" i="34"/>
  <c r="BT18" i="34"/>
  <c r="BS18" i="34"/>
  <c r="BR18" i="34"/>
  <c r="BQ18" i="34"/>
  <c r="BU17" i="34"/>
  <c r="BT17" i="34"/>
  <c r="BS17" i="34"/>
  <c r="BR17" i="34"/>
  <c r="BQ17" i="34"/>
  <c r="BU16" i="34"/>
  <c r="BT16" i="34"/>
  <c r="BS16" i="34"/>
  <c r="BR16" i="34"/>
  <c r="BQ16" i="34"/>
  <c r="BU14" i="34"/>
  <c r="BT14" i="34"/>
  <c r="BS14" i="34"/>
  <c r="BR14" i="34"/>
  <c r="BQ14" i="34"/>
  <c r="BU13" i="34"/>
  <c r="BT13" i="34"/>
  <c r="BS13" i="34"/>
  <c r="BR13" i="34"/>
  <c r="BQ13" i="34"/>
  <c r="BU12" i="34"/>
  <c r="BT12" i="34"/>
  <c r="BS12" i="34"/>
  <c r="BR12" i="34"/>
  <c r="BQ12" i="34"/>
  <c r="BU11" i="34"/>
  <c r="BT11" i="34"/>
  <c r="BS11" i="34"/>
  <c r="BR11" i="34"/>
  <c r="BQ11" i="34"/>
  <c r="BU10" i="34"/>
  <c r="BT10" i="34"/>
  <c r="BS10" i="34"/>
  <c r="BR10" i="34"/>
  <c r="BQ10" i="34"/>
  <c r="BU9" i="34"/>
  <c r="BT9" i="34"/>
  <c r="BS9" i="34"/>
  <c r="BR9" i="34"/>
  <c r="BQ9" i="34"/>
  <c r="BU7" i="34"/>
  <c r="BT7" i="34"/>
  <c r="BS7" i="34"/>
  <c r="BR7" i="34"/>
  <c r="BQ7" i="34"/>
  <c r="F126" i="28"/>
  <c r="F125" i="28"/>
  <c r="BN53" i="34"/>
  <c r="BM53" i="34"/>
  <c r="BL53" i="34"/>
  <c r="BK53" i="34"/>
  <c r="BJ53" i="34"/>
  <c r="BI53" i="34"/>
  <c r="BH53" i="34"/>
  <c r="BG53" i="34"/>
  <c r="BF53" i="34"/>
  <c r="BE53" i="34"/>
  <c r="BD53" i="34"/>
  <c r="BC53" i="34"/>
  <c r="BB53" i="34"/>
  <c r="BA53" i="34"/>
  <c r="AZ53" i="34"/>
  <c r="AY53" i="34"/>
  <c r="AX53" i="34"/>
  <c r="AW53" i="34"/>
  <c r="AV53" i="34"/>
  <c r="AU53" i="34"/>
  <c r="AT53" i="34"/>
  <c r="AS53" i="34"/>
  <c r="AR53" i="34"/>
  <c r="AQ53" i="34"/>
  <c r="AP53" i="34"/>
  <c r="AO53" i="34"/>
  <c r="AN53" i="34"/>
  <c r="AM53" i="34"/>
  <c r="AL53" i="34"/>
  <c r="AK53" i="34"/>
  <c r="AJ53" i="34"/>
  <c r="AI53" i="34"/>
  <c r="AH53" i="34"/>
  <c r="AG53" i="34"/>
  <c r="AF53" i="34"/>
  <c r="AE53" i="34"/>
  <c r="AD53" i="34"/>
  <c r="AC53" i="34"/>
  <c r="AB53" i="34"/>
  <c r="AA53" i="34"/>
  <c r="Z53" i="34"/>
  <c r="Y53" i="34"/>
  <c r="X53" i="34"/>
  <c r="W53" i="34"/>
  <c r="V53" i="34"/>
  <c r="U53" i="34"/>
  <c r="T53" i="34"/>
  <c r="S53" i="34"/>
  <c r="R53" i="34"/>
  <c r="Q53" i="34"/>
  <c r="P53" i="34"/>
  <c r="O53" i="34"/>
  <c r="N53" i="34"/>
  <c r="M53" i="34"/>
  <c r="L53" i="34"/>
  <c r="K53" i="34"/>
  <c r="J53" i="34"/>
  <c r="I53" i="34"/>
  <c r="H53" i="34"/>
  <c r="BN52" i="34"/>
  <c r="BM52" i="34"/>
  <c r="BM51" i="34" s="1"/>
  <c r="BL52" i="34"/>
  <c r="BK52" i="34"/>
  <c r="BJ52" i="34"/>
  <c r="BI52" i="34"/>
  <c r="BH52" i="34"/>
  <c r="BG52" i="34"/>
  <c r="BF52" i="34"/>
  <c r="BE52" i="34"/>
  <c r="BE51" i="34" s="1"/>
  <c r="BD52" i="34"/>
  <c r="BC52" i="34"/>
  <c r="BB52" i="34"/>
  <c r="BA52" i="34"/>
  <c r="AZ52" i="34"/>
  <c r="AY52" i="34"/>
  <c r="AX52" i="34"/>
  <c r="AW52" i="34"/>
  <c r="AW51" i="34" s="1"/>
  <c r="AV52" i="34"/>
  <c r="AU52" i="34"/>
  <c r="AT52" i="34"/>
  <c r="AS52" i="34"/>
  <c r="AR52" i="34"/>
  <c r="AQ52" i="34"/>
  <c r="AP52" i="34"/>
  <c r="AO52" i="34"/>
  <c r="AO51" i="34" s="1"/>
  <c r="AN52" i="34"/>
  <c r="AM52" i="34"/>
  <c r="AL52" i="34"/>
  <c r="AK52" i="34"/>
  <c r="AJ52" i="34"/>
  <c r="AI52" i="34"/>
  <c r="AH52" i="34"/>
  <c r="AG52" i="34"/>
  <c r="AG51" i="34" s="1"/>
  <c r="AF52" i="34"/>
  <c r="AE52" i="34"/>
  <c r="AD52" i="34"/>
  <c r="AC52" i="34"/>
  <c r="AB52" i="34"/>
  <c r="AA52" i="34"/>
  <c r="Z52" i="34"/>
  <c r="Y52" i="34"/>
  <c r="Y51" i="34" s="1"/>
  <c r="X52" i="34"/>
  <c r="W52" i="34"/>
  <c r="V52" i="34"/>
  <c r="U52" i="34"/>
  <c r="T52" i="34"/>
  <c r="S52" i="34"/>
  <c r="R52" i="34"/>
  <c r="Q52" i="34"/>
  <c r="Q51" i="34" s="1"/>
  <c r="P52" i="34"/>
  <c r="O52" i="34"/>
  <c r="N52" i="34"/>
  <c r="M52" i="34"/>
  <c r="L52" i="34"/>
  <c r="K52" i="34"/>
  <c r="J52" i="34"/>
  <c r="I52" i="34"/>
  <c r="I51" i="34" s="1"/>
  <c r="H52" i="34"/>
  <c r="BO53" i="34"/>
  <c r="BO52" i="34"/>
  <c r="BO50" i="34"/>
  <c r="BN50" i="34"/>
  <c r="BM50" i="34"/>
  <c r="BL50" i="34"/>
  <c r="BK50" i="34"/>
  <c r="BJ50" i="34"/>
  <c r="BI50" i="34"/>
  <c r="BH50" i="34"/>
  <c r="BG50" i="34"/>
  <c r="BF50" i="34"/>
  <c r="BE50" i="34"/>
  <c r="BD50" i="34"/>
  <c r="BC50" i="34"/>
  <c r="BB50" i="34"/>
  <c r="BA50" i="34"/>
  <c r="AZ50" i="34"/>
  <c r="AY50" i="34"/>
  <c r="AX50" i="34"/>
  <c r="AW50" i="34"/>
  <c r="AV50" i="34"/>
  <c r="AU50" i="34"/>
  <c r="AT50" i="34"/>
  <c r="AS50" i="34"/>
  <c r="AR50" i="34"/>
  <c r="AQ50" i="34"/>
  <c r="AP50" i="34"/>
  <c r="AO50" i="34"/>
  <c r="AN50" i="34"/>
  <c r="AM50" i="34"/>
  <c r="AL50" i="34"/>
  <c r="AK50" i="34"/>
  <c r="AJ50" i="34"/>
  <c r="AI50" i="34"/>
  <c r="AH50" i="34"/>
  <c r="AG50" i="34"/>
  <c r="AF50" i="34"/>
  <c r="AE50" i="34"/>
  <c r="AD50" i="34"/>
  <c r="AC50" i="34"/>
  <c r="AB50" i="34"/>
  <c r="AA50" i="34"/>
  <c r="Z50" i="34"/>
  <c r="Y50" i="34"/>
  <c r="X50" i="34"/>
  <c r="W50" i="34"/>
  <c r="V50" i="34"/>
  <c r="U50" i="34"/>
  <c r="T50" i="34"/>
  <c r="S50" i="34"/>
  <c r="R50" i="34"/>
  <c r="Q50" i="34"/>
  <c r="P50" i="34"/>
  <c r="O50" i="34"/>
  <c r="N50" i="34"/>
  <c r="M50" i="34"/>
  <c r="L50" i="34"/>
  <c r="K50" i="34"/>
  <c r="J50" i="34"/>
  <c r="I50" i="34"/>
  <c r="H50" i="34"/>
  <c r="BO49" i="34"/>
  <c r="BN49" i="34"/>
  <c r="BM49" i="34"/>
  <c r="BL49" i="34"/>
  <c r="BK49" i="34"/>
  <c r="BJ49" i="34"/>
  <c r="BI49" i="34"/>
  <c r="BH49" i="34"/>
  <c r="BG49" i="34"/>
  <c r="BF49" i="34"/>
  <c r="BE49" i="34"/>
  <c r="BD49" i="34"/>
  <c r="BC49" i="34"/>
  <c r="BB49" i="34"/>
  <c r="BA49" i="34"/>
  <c r="AZ49" i="34"/>
  <c r="AY49" i="34"/>
  <c r="AX49" i="34"/>
  <c r="AW49" i="34"/>
  <c r="AV49" i="34"/>
  <c r="AU49" i="34"/>
  <c r="AT49" i="34"/>
  <c r="AS49" i="34"/>
  <c r="AR49" i="34"/>
  <c r="AQ49" i="34"/>
  <c r="AP49" i="34"/>
  <c r="AO49" i="34"/>
  <c r="AN49" i="34"/>
  <c r="AM49" i="34"/>
  <c r="AL49" i="34"/>
  <c r="AK49" i="34"/>
  <c r="AJ49" i="34"/>
  <c r="AI49" i="34"/>
  <c r="AH49" i="34"/>
  <c r="AG49" i="34"/>
  <c r="AF49" i="34"/>
  <c r="AE49" i="34"/>
  <c r="AD49" i="34"/>
  <c r="AC49" i="34"/>
  <c r="AB49" i="34"/>
  <c r="AA49" i="34"/>
  <c r="Z49" i="34"/>
  <c r="Y49" i="34"/>
  <c r="X49" i="34"/>
  <c r="W49" i="34"/>
  <c r="V49" i="34"/>
  <c r="U49" i="34"/>
  <c r="T49" i="34"/>
  <c r="S49" i="34"/>
  <c r="R49" i="34"/>
  <c r="Q49" i="34"/>
  <c r="P49" i="34"/>
  <c r="O49" i="34"/>
  <c r="N49" i="34"/>
  <c r="M49" i="34"/>
  <c r="L49" i="34"/>
  <c r="K49" i="34"/>
  <c r="J49" i="34"/>
  <c r="I49" i="34"/>
  <c r="H49" i="34"/>
  <c r="BO48" i="34"/>
  <c r="BN48" i="34"/>
  <c r="BM48" i="34"/>
  <c r="BL48" i="34"/>
  <c r="BK48" i="34"/>
  <c r="BJ48" i="34"/>
  <c r="BI48" i="34"/>
  <c r="BH48" i="34"/>
  <c r="BG48" i="34"/>
  <c r="BF48" i="34"/>
  <c r="BE48" i="34"/>
  <c r="BD48" i="34"/>
  <c r="BC48" i="34"/>
  <c r="BB48" i="34"/>
  <c r="BA48" i="34"/>
  <c r="AZ48" i="34"/>
  <c r="AY48" i="34"/>
  <c r="AX48" i="34"/>
  <c r="AW48" i="34"/>
  <c r="AV48" i="34"/>
  <c r="AU48" i="34"/>
  <c r="AT48" i="34"/>
  <c r="AS48" i="34"/>
  <c r="AR48" i="34"/>
  <c r="AQ48" i="34"/>
  <c r="AP48" i="34"/>
  <c r="AO48" i="34"/>
  <c r="AN48" i="34"/>
  <c r="AM48" i="34"/>
  <c r="AL48" i="34"/>
  <c r="AK48" i="34"/>
  <c r="AJ48" i="34"/>
  <c r="AI48" i="34"/>
  <c r="AH48" i="34"/>
  <c r="AG48" i="34"/>
  <c r="AF48" i="34"/>
  <c r="AE48" i="34"/>
  <c r="AD48" i="34"/>
  <c r="AC48" i="34"/>
  <c r="AB48" i="34"/>
  <c r="AA48" i="34"/>
  <c r="Z48" i="34"/>
  <c r="Y48" i="34"/>
  <c r="X48" i="34"/>
  <c r="W48" i="34"/>
  <c r="V48" i="34"/>
  <c r="U48" i="34"/>
  <c r="T48" i="34"/>
  <c r="S48" i="34"/>
  <c r="R48" i="34"/>
  <c r="Q48" i="34"/>
  <c r="P48" i="34"/>
  <c r="O48" i="34"/>
  <c r="N48" i="34"/>
  <c r="M48" i="34"/>
  <c r="L48" i="34"/>
  <c r="K48" i="34"/>
  <c r="J48" i="34"/>
  <c r="I48" i="34"/>
  <c r="H48" i="34"/>
  <c r="BO47" i="34"/>
  <c r="BN47" i="34"/>
  <c r="BM47" i="34"/>
  <c r="BL47" i="34"/>
  <c r="BK47" i="34"/>
  <c r="BJ47" i="34"/>
  <c r="BI47" i="34"/>
  <c r="BH47" i="34"/>
  <c r="BG47" i="34"/>
  <c r="BF47" i="34"/>
  <c r="BE47" i="34"/>
  <c r="BD47" i="34"/>
  <c r="BC47" i="34"/>
  <c r="BB47" i="34"/>
  <c r="BA47" i="34"/>
  <c r="AZ47" i="34"/>
  <c r="AY47" i="34"/>
  <c r="AX47" i="34"/>
  <c r="AW47" i="34"/>
  <c r="AW46" i="34" s="1"/>
  <c r="AV47" i="34"/>
  <c r="AU47" i="34"/>
  <c r="AT47" i="34"/>
  <c r="AS47" i="34"/>
  <c r="AR47" i="34"/>
  <c r="AQ47" i="34"/>
  <c r="AP47" i="34"/>
  <c r="AO47" i="34"/>
  <c r="AN47" i="34"/>
  <c r="AM47" i="34"/>
  <c r="AL47" i="34"/>
  <c r="AK47" i="34"/>
  <c r="AJ47" i="34"/>
  <c r="AI47" i="34"/>
  <c r="AH47" i="34"/>
  <c r="AG47" i="34"/>
  <c r="AF47" i="34"/>
  <c r="AE47" i="34"/>
  <c r="AD47" i="34"/>
  <c r="AC47" i="34"/>
  <c r="AB47" i="34"/>
  <c r="AA47" i="34"/>
  <c r="Z47" i="34"/>
  <c r="Y47" i="34"/>
  <c r="X47" i="34"/>
  <c r="W47" i="34"/>
  <c r="V47" i="34"/>
  <c r="U47" i="34"/>
  <c r="T47" i="34"/>
  <c r="S47" i="34"/>
  <c r="R47" i="34"/>
  <c r="Q47" i="34"/>
  <c r="P47" i="34"/>
  <c r="O47" i="34"/>
  <c r="N47" i="34"/>
  <c r="M47" i="34"/>
  <c r="L47" i="34"/>
  <c r="K47" i="34"/>
  <c r="J47" i="34"/>
  <c r="I47" i="34"/>
  <c r="H47" i="34"/>
  <c r="H46" i="34" s="1"/>
  <c r="BN45" i="34"/>
  <c r="BM45" i="34"/>
  <c r="BL45" i="34"/>
  <c r="BK45" i="34"/>
  <c r="BJ45" i="34"/>
  <c r="BI45" i="34"/>
  <c r="BH45" i="34"/>
  <c r="BG45" i="34"/>
  <c r="BF45" i="34"/>
  <c r="BE45" i="34"/>
  <c r="BD45" i="34"/>
  <c r="BC45" i="34"/>
  <c r="BB45" i="34"/>
  <c r="BA45" i="34"/>
  <c r="AZ45" i="34"/>
  <c r="AY45" i="34"/>
  <c r="AX45" i="34"/>
  <c r="AW45" i="34"/>
  <c r="AV45" i="34"/>
  <c r="AU45" i="34"/>
  <c r="AT45" i="34"/>
  <c r="AS45" i="34"/>
  <c r="AR45" i="34"/>
  <c r="AQ45" i="34"/>
  <c r="AP45" i="34"/>
  <c r="AO45"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5" i="34"/>
  <c r="M45" i="34"/>
  <c r="L45" i="34"/>
  <c r="K45" i="34"/>
  <c r="J45" i="34"/>
  <c r="I45" i="34"/>
  <c r="H45" i="34"/>
  <c r="BN44" i="34"/>
  <c r="BM44" i="34"/>
  <c r="BL44" i="34"/>
  <c r="BK44" i="34"/>
  <c r="BJ44" i="34"/>
  <c r="BI44" i="34"/>
  <c r="BH44" i="34"/>
  <c r="BG44" i="34"/>
  <c r="BF44" i="34"/>
  <c r="BE44" i="34"/>
  <c r="BD44" i="34"/>
  <c r="BC44" i="34"/>
  <c r="BB44" i="34"/>
  <c r="BA44" i="34"/>
  <c r="AZ44" i="34"/>
  <c r="AY44" i="34"/>
  <c r="AX44" i="34"/>
  <c r="AW44" i="34"/>
  <c r="AV44" i="34"/>
  <c r="AU44" i="34"/>
  <c r="AT44" i="34"/>
  <c r="AS44" i="34"/>
  <c r="AR44" i="34"/>
  <c r="AQ44" i="34"/>
  <c r="AP44" i="34"/>
  <c r="AO44" i="34"/>
  <c r="AN44" i="34"/>
  <c r="AM44" i="34"/>
  <c r="AL44" i="34"/>
  <c r="AK44" i="34"/>
  <c r="AJ44" i="34"/>
  <c r="AI44" i="34"/>
  <c r="AH44" i="34"/>
  <c r="AG44" i="34"/>
  <c r="AF44" i="34"/>
  <c r="AE44" i="34"/>
  <c r="AD44" i="34"/>
  <c r="AC44" i="34"/>
  <c r="AB44" i="34"/>
  <c r="AA44" i="34"/>
  <c r="Z44" i="34"/>
  <c r="Y44" i="34"/>
  <c r="X44" i="34"/>
  <c r="W44" i="34"/>
  <c r="V44" i="34"/>
  <c r="U44" i="34"/>
  <c r="T44" i="34"/>
  <c r="S44" i="34"/>
  <c r="R44" i="34"/>
  <c r="Q44" i="34"/>
  <c r="P44" i="34"/>
  <c r="O44" i="34"/>
  <c r="N44" i="34"/>
  <c r="M44" i="34"/>
  <c r="L44" i="34"/>
  <c r="K44" i="34"/>
  <c r="J44" i="34"/>
  <c r="I44" i="34"/>
  <c r="H44" i="34"/>
  <c r="BN43" i="34"/>
  <c r="BM43" i="34"/>
  <c r="BL43" i="34"/>
  <c r="BK43" i="34"/>
  <c r="BJ43" i="34"/>
  <c r="BI43" i="34"/>
  <c r="BH43" i="34"/>
  <c r="BG43" i="34"/>
  <c r="BF43" i="34"/>
  <c r="BE43" i="34"/>
  <c r="BD43" i="34"/>
  <c r="BC43" i="34"/>
  <c r="BB43" i="34"/>
  <c r="BA43" i="34"/>
  <c r="AZ43" i="34"/>
  <c r="AY43" i="34"/>
  <c r="AX43" i="34"/>
  <c r="AW43" i="34"/>
  <c r="AV43" i="34"/>
  <c r="AU43" i="34"/>
  <c r="AT43" i="34"/>
  <c r="AS43" i="34"/>
  <c r="AR43" i="34"/>
  <c r="AQ43" i="34"/>
  <c r="AP43" i="34"/>
  <c r="AO43" i="34"/>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3" i="34"/>
  <c r="M43" i="34"/>
  <c r="L43" i="34"/>
  <c r="K43" i="34"/>
  <c r="J43" i="34"/>
  <c r="I43" i="34"/>
  <c r="H43" i="34"/>
  <c r="BN42" i="34"/>
  <c r="BM42" i="34"/>
  <c r="BL42" i="34"/>
  <c r="BK42" i="34"/>
  <c r="BJ42" i="34"/>
  <c r="BI42" i="34"/>
  <c r="BH42" i="34"/>
  <c r="BG42" i="34"/>
  <c r="BF42" i="34"/>
  <c r="BE42" i="34"/>
  <c r="BD42" i="34"/>
  <c r="BC42" i="34"/>
  <c r="BB42" i="34"/>
  <c r="BA42" i="34"/>
  <c r="AZ42" i="34"/>
  <c r="AY42" i="34"/>
  <c r="AX42" i="34"/>
  <c r="AW42" i="34"/>
  <c r="AV42" i="34"/>
  <c r="AU42" i="34"/>
  <c r="AT42" i="34"/>
  <c r="AS42" i="34"/>
  <c r="AR42" i="34"/>
  <c r="AQ42" i="34"/>
  <c r="AP42" i="34"/>
  <c r="AO42" i="34"/>
  <c r="AN42" i="34"/>
  <c r="AM42" i="34"/>
  <c r="AL42" i="34"/>
  <c r="AK42" i="34"/>
  <c r="AJ42" i="34"/>
  <c r="AI42" i="34"/>
  <c r="AH42" i="34"/>
  <c r="AG42" i="34"/>
  <c r="AF42" i="34"/>
  <c r="AE42" i="34"/>
  <c r="AD42" i="34"/>
  <c r="AC42" i="34"/>
  <c r="AB42" i="34"/>
  <c r="AA42" i="34"/>
  <c r="Z42" i="34"/>
  <c r="Y42" i="34"/>
  <c r="X42" i="34"/>
  <c r="W42" i="34"/>
  <c r="V42" i="34"/>
  <c r="U42" i="34"/>
  <c r="T42" i="34"/>
  <c r="S42" i="34"/>
  <c r="R42" i="34"/>
  <c r="Q42" i="34"/>
  <c r="P42" i="34"/>
  <c r="O42" i="34"/>
  <c r="N42" i="34"/>
  <c r="M42" i="34"/>
  <c r="L42" i="34"/>
  <c r="K42" i="34"/>
  <c r="J42" i="34"/>
  <c r="I42" i="34"/>
  <c r="H42" i="34"/>
  <c r="BO45" i="34"/>
  <c r="BO44" i="34"/>
  <c r="BO43" i="34"/>
  <c r="BO42" i="34"/>
  <c r="BO40" i="34"/>
  <c r="BN40" i="34"/>
  <c r="BM40" i="34"/>
  <c r="BL40" i="34"/>
  <c r="BK40" i="34"/>
  <c r="BJ40" i="34"/>
  <c r="BI40" i="34"/>
  <c r="BH40" i="34"/>
  <c r="BG40" i="34"/>
  <c r="BF40" i="34"/>
  <c r="BE40" i="34"/>
  <c r="BD40" i="34"/>
  <c r="BC40" i="34"/>
  <c r="BB40" i="34"/>
  <c r="BA40" i="34"/>
  <c r="AZ40" i="34"/>
  <c r="AY40" i="34"/>
  <c r="AX40" i="34"/>
  <c r="AW40" i="34"/>
  <c r="AV40" i="34"/>
  <c r="AU40" i="34"/>
  <c r="AT40" i="34"/>
  <c r="AS40" i="34"/>
  <c r="AR40" i="34"/>
  <c r="AQ40" i="34"/>
  <c r="AP40" i="34"/>
  <c r="AO40" i="34"/>
  <c r="AN40" i="34"/>
  <c r="AM40" i="34"/>
  <c r="AL40" i="34"/>
  <c r="AK40" i="34"/>
  <c r="AJ40" i="34"/>
  <c r="AI40" i="34"/>
  <c r="AH40" i="34"/>
  <c r="AG40" i="34"/>
  <c r="AF40" i="34"/>
  <c r="AE40" i="34"/>
  <c r="AD40" i="34"/>
  <c r="AC40" i="34"/>
  <c r="AB40" i="34"/>
  <c r="AA40" i="34"/>
  <c r="Z40" i="34"/>
  <c r="Y40" i="34"/>
  <c r="X40" i="34"/>
  <c r="W40" i="34"/>
  <c r="V40" i="34"/>
  <c r="U40" i="34"/>
  <c r="T40" i="34"/>
  <c r="S40" i="34"/>
  <c r="R40" i="34"/>
  <c r="Q40" i="34"/>
  <c r="P40" i="34"/>
  <c r="O40" i="34"/>
  <c r="N40" i="34"/>
  <c r="M40" i="34"/>
  <c r="L40" i="34"/>
  <c r="K40" i="34"/>
  <c r="J40" i="34"/>
  <c r="I40" i="34"/>
  <c r="H40" i="34"/>
  <c r="BO39" i="34"/>
  <c r="BN39" i="34"/>
  <c r="BM39" i="34"/>
  <c r="BL39" i="34"/>
  <c r="BK39" i="34"/>
  <c r="BJ39" i="34"/>
  <c r="BI39" i="34"/>
  <c r="BH39" i="34"/>
  <c r="BG39" i="34"/>
  <c r="BF39" i="34"/>
  <c r="BE39" i="34"/>
  <c r="BD39" i="34"/>
  <c r="BC39" i="34"/>
  <c r="BB39" i="34"/>
  <c r="BA39" i="34"/>
  <c r="AZ39" i="34"/>
  <c r="AY39" i="34"/>
  <c r="AX39" i="34"/>
  <c r="AW39" i="34"/>
  <c r="AV39" i="34"/>
  <c r="AU39" i="34"/>
  <c r="AT39" i="34"/>
  <c r="AS39" i="34"/>
  <c r="AR39" i="34"/>
  <c r="AQ39" i="34"/>
  <c r="AP39" i="34"/>
  <c r="AO39" i="34"/>
  <c r="AN39" i="34"/>
  <c r="AM39" i="34"/>
  <c r="AL39" i="34"/>
  <c r="AK39" i="34"/>
  <c r="AJ39" i="34"/>
  <c r="AI39" i="34"/>
  <c r="AH39" i="34"/>
  <c r="AG39" i="34"/>
  <c r="AF39" i="34"/>
  <c r="AE39" i="34"/>
  <c r="AD39" i="34"/>
  <c r="AC39" i="34"/>
  <c r="AB39" i="34"/>
  <c r="AA39" i="34"/>
  <c r="Z39" i="34"/>
  <c r="Y39" i="34"/>
  <c r="X39" i="34"/>
  <c r="W39" i="34"/>
  <c r="V39" i="34"/>
  <c r="U39" i="34"/>
  <c r="T39" i="34"/>
  <c r="S39" i="34"/>
  <c r="R39" i="34"/>
  <c r="Q39" i="34"/>
  <c r="P39" i="34"/>
  <c r="O39" i="34"/>
  <c r="N39" i="34"/>
  <c r="M39" i="34"/>
  <c r="L39" i="34"/>
  <c r="K39" i="34"/>
  <c r="J39" i="34"/>
  <c r="I39" i="34"/>
  <c r="H39" i="34"/>
  <c r="BO38" i="34"/>
  <c r="BN38" i="34"/>
  <c r="BM38" i="34"/>
  <c r="BL38" i="34"/>
  <c r="BK38" i="34"/>
  <c r="BJ38" i="34"/>
  <c r="BI38" i="34"/>
  <c r="BH38" i="34"/>
  <c r="BG38" i="34"/>
  <c r="BF38" i="34"/>
  <c r="BE38" i="34"/>
  <c r="BD38" i="34"/>
  <c r="BC38" i="34"/>
  <c r="BB38" i="34"/>
  <c r="BA38" i="34"/>
  <c r="AZ38" i="34"/>
  <c r="AY38" i="34"/>
  <c r="AX38" i="34"/>
  <c r="AW38" i="34"/>
  <c r="AV38" i="34"/>
  <c r="AU38" i="34"/>
  <c r="AT38" i="34"/>
  <c r="AS38" i="34"/>
  <c r="AR38" i="34"/>
  <c r="AQ38" i="34"/>
  <c r="AP38" i="34"/>
  <c r="AO38" i="34"/>
  <c r="AN38" i="34"/>
  <c r="AM38" i="34"/>
  <c r="AL38" i="34"/>
  <c r="AK38" i="34"/>
  <c r="AJ38" i="34"/>
  <c r="AI38" i="34"/>
  <c r="AH38" i="34"/>
  <c r="AG38" i="34"/>
  <c r="AF38" i="34"/>
  <c r="AE38" i="34"/>
  <c r="AD38" i="34"/>
  <c r="AC38" i="34"/>
  <c r="AB38" i="34"/>
  <c r="AA38" i="34"/>
  <c r="Z38" i="34"/>
  <c r="Y38" i="34"/>
  <c r="X38" i="34"/>
  <c r="W38" i="34"/>
  <c r="V38" i="34"/>
  <c r="U38" i="34"/>
  <c r="T38" i="34"/>
  <c r="S38" i="34"/>
  <c r="R38" i="34"/>
  <c r="Q38" i="34"/>
  <c r="P38" i="34"/>
  <c r="O38" i="34"/>
  <c r="N38" i="34"/>
  <c r="M38" i="34"/>
  <c r="L38" i="34"/>
  <c r="K38" i="34"/>
  <c r="J38" i="34"/>
  <c r="I38" i="34"/>
  <c r="H38" i="34"/>
  <c r="BO37" i="34"/>
  <c r="BN37" i="34"/>
  <c r="BM37" i="34"/>
  <c r="BL37" i="34"/>
  <c r="BK37" i="34"/>
  <c r="BJ37" i="34"/>
  <c r="BI37" i="34"/>
  <c r="BH37" i="34"/>
  <c r="BG37" i="34"/>
  <c r="BF37" i="34"/>
  <c r="BE37" i="34"/>
  <c r="BD37" i="34"/>
  <c r="BC37" i="34"/>
  <c r="BB37" i="34"/>
  <c r="BA37" i="34"/>
  <c r="AZ37" i="34"/>
  <c r="AY37" i="34"/>
  <c r="AX37" i="34"/>
  <c r="AW37" i="34"/>
  <c r="AV37" i="34"/>
  <c r="AU37" i="34"/>
  <c r="AT37" i="34"/>
  <c r="AS37" i="34"/>
  <c r="AR37" i="34"/>
  <c r="AQ37" i="34"/>
  <c r="AP37" i="34"/>
  <c r="AO37" i="34"/>
  <c r="AN37" i="34"/>
  <c r="AM37" i="34"/>
  <c r="AL37" i="34"/>
  <c r="AK37" i="34"/>
  <c r="AJ37" i="34"/>
  <c r="AI37" i="34"/>
  <c r="AH37" i="34"/>
  <c r="AG37" i="34"/>
  <c r="AF37" i="34"/>
  <c r="AE37" i="34"/>
  <c r="AD37" i="34"/>
  <c r="AC37" i="34"/>
  <c r="AB37" i="34"/>
  <c r="AA37" i="34"/>
  <c r="Z37" i="34"/>
  <c r="Y37" i="34"/>
  <c r="X37" i="34"/>
  <c r="W37" i="34"/>
  <c r="V37" i="34"/>
  <c r="U37" i="34"/>
  <c r="T37" i="34"/>
  <c r="S37" i="34"/>
  <c r="R37" i="34"/>
  <c r="Q37" i="34"/>
  <c r="P37" i="34"/>
  <c r="O37" i="34"/>
  <c r="N37" i="34"/>
  <c r="M37" i="34"/>
  <c r="L37" i="34"/>
  <c r="K37" i="34"/>
  <c r="J37" i="34"/>
  <c r="I37" i="34"/>
  <c r="H37" i="34"/>
  <c r="BO36" i="34"/>
  <c r="BN36" i="34"/>
  <c r="BM36" i="34"/>
  <c r="BL36" i="34"/>
  <c r="BK36" i="34"/>
  <c r="BJ36" i="34"/>
  <c r="BI36" i="34"/>
  <c r="BH36" i="34"/>
  <c r="BG36" i="34"/>
  <c r="BF36" i="34"/>
  <c r="BE36" i="34"/>
  <c r="BD36" i="34"/>
  <c r="BC36" i="34"/>
  <c r="BB36" i="34"/>
  <c r="BA36" i="34"/>
  <c r="AZ36" i="34"/>
  <c r="AY36" i="34"/>
  <c r="AX36" i="34"/>
  <c r="AW36" i="34"/>
  <c r="AV36" i="34"/>
  <c r="AU36" i="34"/>
  <c r="AT36" i="34"/>
  <c r="AS36" i="34"/>
  <c r="AR36" i="34"/>
  <c r="AQ36" i="34"/>
  <c r="AP36" i="34"/>
  <c r="AO36" i="34"/>
  <c r="AN36" i="34"/>
  <c r="AM36" i="34"/>
  <c r="AL36" i="34"/>
  <c r="AK36" i="34"/>
  <c r="AJ36" i="34"/>
  <c r="AI36" i="34"/>
  <c r="AH36" i="34"/>
  <c r="AG36" i="34"/>
  <c r="AF36" i="34"/>
  <c r="AE36" i="34"/>
  <c r="AD36" i="34"/>
  <c r="AC36" i="34"/>
  <c r="AB36" i="34"/>
  <c r="AA36" i="34"/>
  <c r="Z36" i="34"/>
  <c r="Y36" i="34"/>
  <c r="X36" i="34"/>
  <c r="W36" i="34"/>
  <c r="V36" i="34"/>
  <c r="U36" i="34"/>
  <c r="T36" i="34"/>
  <c r="S36" i="34"/>
  <c r="R36" i="34"/>
  <c r="Q36" i="34"/>
  <c r="P36" i="34"/>
  <c r="O36" i="34"/>
  <c r="N36" i="34"/>
  <c r="M36" i="34"/>
  <c r="L36" i="34"/>
  <c r="K36" i="34"/>
  <c r="J36" i="34"/>
  <c r="I36" i="34"/>
  <c r="H36" i="34"/>
  <c r="BO25" i="34"/>
  <c r="BN25" i="34"/>
  <c r="BM25" i="34"/>
  <c r="BL25" i="34"/>
  <c r="BK25" i="34"/>
  <c r="BJ25" i="34"/>
  <c r="BI25" i="34"/>
  <c r="BH25" i="34"/>
  <c r="BG25" i="34"/>
  <c r="BF25" i="34"/>
  <c r="BE25" i="34"/>
  <c r="BD25" i="34"/>
  <c r="BC25" i="34"/>
  <c r="BB25" i="34"/>
  <c r="BA25" i="34"/>
  <c r="AZ25" i="34"/>
  <c r="AY25" i="34"/>
  <c r="AX25" i="34"/>
  <c r="AW25" i="34"/>
  <c r="AV25" i="34"/>
  <c r="AU25" i="34"/>
  <c r="AT25" i="34"/>
  <c r="AS25" i="34"/>
  <c r="AR25" i="34"/>
  <c r="AQ25" i="34"/>
  <c r="AP25" i="34"/>
  <c r="AO25" i="34"/>
  <c r="AN25" i="34"/>
  <c r="AM25" i="34"/>
  <c r="AL25" i="34"/>
  <c r="AK25" i="34"/>
  <c r="AJ25" i="34"/>
  <c r="AI25" i="34"/>
  <c r="AH25" i="34"/>
  <c r="AG25" i="34"/>
  <c r="AF25" i="34"/>
  <c r="AE25" i="34"/>
  <c r="AD25" i="34"/>
  <c r="AC25" i="34"/>
  <c r="AB25" i="34"/>
  <c r="AA25" i="34"/>
  <c r="Z25" i="34"/>
  <c r="Y25" i="34"/>
  <c r="X25" i="34"/>
  <c r="W25" i="34"/>
  <c r="V25" i="34"/>
  <c r="U25" i="34"/>
  <c r="T25" i="34"/>
  <c r="S25" i="34"/>
  <c r="R25" i="34"/>
  <c r="Q25" i="34"/>
  <c r="P25" i="34"/>
  <c r="O25" i="34"/>
  <c r="N25" i="34"/>
  <c r="M25" i="34"/>
  <c r="L25" i="34"/>
  <c r="K25" i="34"/>
  <c r="J25" i="34"/>
  <c r="I25" i="34"/>
  <c r="H25" i="34"/>
  <c r="BO20" i="34"/>
  <c r="BN20" i="34"/>
  <c r="BM20" i="34"/>
  <c r="BL20" i="34"/>
  <c r="BK20" i="34"/>
  <c r="BJ20" i="34"/>
  <c r="BI20" i="34"/>
  <c r="BH20" i="34"/>
  <c r="BG20" i="34"/>
  <c r="BF20" i="34"/>
  <c r="BE20" i="34"/>
  <c r="BD20" i="34"/>
  <c r="BC20" i="34"/>
  <c r="BB20" i="34"/>
  <c r="BA20" i="34"/>
  <c r="AZ20" i="34"/>
  <c r="AY20" i="34"/>
  <c r="AX20" i="34"/>
  <c r="AW20" i="34"/>
  <c r="AV20" i="34"/>
  <c r="AU20" i="34"/>
  <c r="AT20" i="34"/>
  <c r="AS20" i="34"/>
  <c r="AR20" i="34"/>
  <c r="AQ20" i="34"/>
  <c r="AP20" i="34"/>
  <c r="AO20" i="34"/>
  <c r="AN20" i="34"/>
  <c r="AM20" i="34"/>
  <c r="AL20" i="34"/>
  <c r="AK20" i="34"/>
  <c r="AJ20" i="34"/>
  <c r="AI20" i="34"/>
  <c r="AH20" i="34"/>
  <c r="AG20" i="34"/>
  <c r="AF20" i="34"/>
  <c r="AE20" i="34"/>
  <c r="AD20" i="34"/>
  <c r="AC20" i="34"/>
  <c r="AB20" i="34"/>
  <c r="AA20" i="34"/>
  <c r="Z20" i="34"/>
  <c r="Y20" i="34"/>
  <c r="X20" i="34"/>
  <c r="W20" i="34"/>
  <c r="V20" i="34"/>
  <c r="U20" i="34"/>
  <c r="T20" i="34"/>
  <c r="S20" i="34"/>
  <c r="R20" i="34"/>
  <c r="Q20" i="34"/>
  <c r="P20" i="34"/>
  <c r="O20" i="34"/>
  <c r="N20" i="34"/>
  <c r="M20" i="34"/>
  <c r="L20" i="34"/>
  <c r="K20" i="34"/>
  <c r="J20" i="34"/>
  <c r="I20" i="34"/>
  <c r="H20" i="34"/>
  <c r="BO15" i="34"/>
  <c r="BN15" i="34"/>
  <c r="BM15" i="34"/>
  <c r="BL15" i="34"/>
  <c r="BK15" i="34"/>
  <c r="BJ15" i="34"/>
  <c r="BI15" i="34"/>
  <c r="BH15" i="34"/>
  <c r="BG15" i="34"/>
  <c r="BF15" i="34"/>
  <c r="BE15" i="34"/>
  <c r="BD15" i="34"/>
  <c r="BC15" i="34"/>
  <c r="BB15" i="34"/>
  <c r="BA15" i="34"/>
  <c r="AZ15" i="34"/>
  <c r="AY15" i="34"/>
  <c r="AX15" i="34"/>
  <c r="AW15" i="34"/>
  <c r="AV15" i="34"/>
  <c r="AU15" i="34"/>
  <c r="AT15" i="34"/>
  <c r="AS15" i="34"/>
  <c r="AR15" i="34"/>
  <c r="AQ15" i="34"/>
  <c r="AP15" i="34"/>
  <c r="AO15" i="34"/>
  <c r="AN15" i="34"/>
  <c r="AM15" i="34"/>
  <c r="AL15" i="34"/>
  <c r="AK15" i="34"/>
  <c r="AJ15" i="34"/>
  <c r="AI15" i="34"/>
  <c r="AH15" i="34"/>
  <c r="AG15" i="34"/>
  <c r="AF15" i="34"/>
  <c r="AE15" i="34"/>
  <c r="AD15" i="34"/>
  <c r="AC15" i="34"/>
  <c r="AB15" i="34"/>
  <c r="AA15" i="34"/>
  <c r="Z15" i="34"/>
  <c r="Y15" i="34"/>
  <c r="X15" i="34"/>
  <c r="W15" i="34"/>
  <c r="V15" i="34"/>
  <c r="U15" i="34"/>
  <c r="T15" i="34"/>
  <c r="S15" i="34"/>
  <c r="R15" i="34"/>
  <c r="Q15" i="34"/>
  <c r="P15" i="34"/>
  <c r="O15" i="34"/>
  <c r="N15" i="34"/>
  <c r="M15" i="34"/>
  <c r="L15" i="34"/>
  <c r="K15" i="34"/>
  <c r="J15" i="34"/>
  <c r="I15" i="34"/>
  <c r="H15" i="34"/>
  <c r="BO8" i="34"/>
  <c r="BN8" i="34"/>
  <c r="BM8" i="34"/>
  <c r="BL8" i="34"/>
  <c r="BK8" i="34"/>
  <c r="BJ8" i="34"/>
  <c r="BI8" i="34"/>
  <c r="BH8" i="34"/>
  <c r="BG8" i="34"/>
  <c r="BF8" i="34"/>
  <c r="BE8" i="34"/>
  <c r="BD8" i="34"/>
  <c r="BC8" i="34"/>
  <c r="BB8" i="34"/>
  <c r="BA8" i="34"/>
  <c r="AZ8" i="34"/>
  <c r="AY8" i="34"/>
  <c r="AX8" i="34"/>
  <c r="AW8" i="34"/>
  <c r="AV8" i="34"/>
  <c r="AU8" i="34"/>
  <c r="AT8" i="34"/>
  <c r="AS8" i="34"/>
  <c r="AR8" i="34"/>
  <c r="AQ8" i="34"/>
  <c r="AP8" i="34"/>
  <c r="AO8" i="34"/>
  <c r="AN8" i="34"/>
  <c r="AM8" i="34"/>
  <c r="AL8" i="34"/>
  <c r="AK8" i="34"/>
  <c r="AJ8" i="34"/>
  <c r="AI8" i="34"/>
  <c r="AH8" i="34"/>
  <c r="AG8" i="34"/>
  <c r="AF8" i="34"/>
  <c r="AE8" i="34"/>
  <c r="AD8" i="34"/>
  <c r="AC8" i="34"/>
  <c r="AB8" i="34"/>
  <c r="AA8" i="34"/>
  <c r="Z8" i="34"/>
  <c r="Y8" i="34"/>
  <c r="X8" i="34"/>
  <c r="W8" i="34"/>
  <c r="V8" i="34"/>
  <c r="U8" i="34"/>
  <c r="T8" i="34"/>
  <c r="S8" i="34"/>
  <c r="R8" i="34"/>
  <c r="Q8" i="34"/>
  <c r="P8" i="34"/>
  <c r="O8" i="34"/>
  <c r="N8" i="34"/>
  <c r="M8" i="34"/>
  <c r="L8" i="34"/>
  <c r="K8" i="34"/>
  <c r="J8" i="34"/>
  <c r="I8" i="34"/>
  <c r="H8" i="34"/>
  <c r="BN6" i="34"/>
  <c r="BM6" i="34"/>
  <c r="BL6" i="34"/>
  <c r="BK6" i="34"/>
  <c r="BJ6" i="34"/>
  <c r="BI6" i="34"/>
  <c r="BH6" i="34"/>
  <c r="BG6" i="34"/>
  <c r="BF6" i="34"/>
  <c r="BE6" i="34"/>
  <c r="BD6" i="34"/>
  <c r="BC6" i="34"/>
  <c r="BB6" i="34"/>
  <c r="BA6" i="34"/>
  <c r="AZ6" i="34"/>
  <c r="AY6" i="34"/>
  <c r="AX6" i="34"/>
  <c r="AW6" i="34"/>
  <c r="AV6" i="34"/>
  <c r="AU6" i="34"/>
  <c r="AT6" i="34"/>
  <c r="AS6" i="34"/>
  <c r="AR6" i="34"/>
  <c r="AQ6" i="34"/>
  <c r="AP6" i="34"/>
  <c r="AO6"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6" i="34"/>
  <c r="M6" i="34"/>
  <c r="L6" i="34"/>
  <c r="K6" i="34"/>
  <c r="J6" i="34"/>
  <c r="I6" i="34"/>
  <c r="H6" i="34"/>
  <c r="BO6" i="34"/>
  <c r="BR8" i="34" l="1"/>
  <c r="BT8" i="34"/>
  <c r="BQ15" i="34"/>
  <c r="BS15" i="34"/>
  <c r="BU15" i="34"/>
  <c r="BR20" i="34"/>
  <c r="BT20" i="34"/>
  <c r="BQ25" i="34"/>
  <c r="BS25" i="34"/>
  <c r="BQ8" i="34"/>
  <c r="BS8" i="34"/>
  <c r="BU8" i="34"/>
  <c r="BR15" i="34"/>
  <c r="BT15" i="34"/>
  <c r="BQ20" i="34"/>
  <c r="BS20" i="34"/>
  <c r="BU20" i="34"/>
  <c r="BR25" i="34"/>
  <c r="BT25" i="34"/>
  <c r="BU25" i="34"/>
  <c r="BS39" i="34"/>
  <c r="BT39" i="34"/>
  <c r="BU39" i="34"/>
  <c r="BQ40" i="34"/>
  <c r="BR40" i="34"/>
  <c r="BS40" i="34"/>
  <c r="BT40" i="34"/>
  <c r="BU40" i="34"/>
  <c r="BQ42" i="34"/>
  <c r="BR42" i="34"/>
  <c r="BS42" i="34"/>
  <c r="BT42" i="34"/>
  <c r="BU43" i="34"/>
  <c r="BR52" i="34"/>
  <c r="BU36" i="34"/>
  <c r="BQ37" i="34"/>
  <c r="BR37" i="34"/>
  <c r="BS37" i="34"/>
  <c r="BS38" i="34"/>
  <c r="BT38" i="34"/>
  <c r="BR39" i="34"/>
  <c r="BU42" i="34"/>
  <c r="BQ36" i="34"/>
  <c r="BR36" i="34"/>
  <c r="BS36" i="34"/>
  <c r="BT36" i="34"/>
  <c r="BT37" i="34"/>
  <c r="BU37" i="34"/>
  <c r="BQ38" i="34"/>
  <c r="BR38" i="34"/>
  <c r="BU38" i="34"/>
  <c r="BU45" i="34"/>
  <c r="BR47" i="34"/>
  <c r="O51" i="34"/>
  <c r="W51" i="34"/>
  <c r="AE51" i="34"/>
  <c r="AM51" i="34"/>
  <c r="AU51" i="34"/>
  <c r="BQ53" i="34"/>
  <c r="BU53" i="34"/>
  <c r="BU44" i="34"/>
  <c r="P51" i="34"/>
  <c r="X51" i="34"/>
  <c r="AN51" i="34"/>
  <c r="AV51" i="34"/>
  <c r="BT6" i="34"/>
  <c r="BQ44" i="34"/>
  <c r="BR44" i="34"/>
  <c r="BS44" i="34"/>
  <c r="BT44" i="34"/>
  <c r="H51" i="34"/>
  <c r="BQ52" i="34"/>
  <c r="J41" i="35" s="1"/>
  <c r="AF51" i="34"/>
  <c r="BS52" i="34"/>
  <c r="BT52" i="34"/>
  <c r="BD51" i="34"/>
  <c r="BU52" i="34"/>
  <c r="M51" i="34"/>
  <c r="U51" i="34"/>
  <c r="AC51" i="34"/>
  <c r="AK51" i="34"/>
  <c r="AS51" i="34"/>
  <c r="BA51" i="34"/>
  <c r="BQ43" i="34"/>
  <c r="BR43" i="34"/>
  <c r="BS43" i="34"/>
  <c r="BT43" i="34"/>
  <c r="BK46" i="34"/>
  <c r="BT47" i="34"/>
  <c r="BU47" i="34"/>
  <c r="BT48" i="34"/>
  <c r="BU48" i="34"/>
  <c r="BT49" i="34"/>
  <c r="BU49" i="34"/>
  <c r="BS50" i="34"/>
  <c r="BT50" i="34"/>
  <c r="BU50" i="34"/>
  <c r="J51" i="34"/>
  <c r="K51" i="34"/>
  <c r="S51" i="34"/>
  <c r="AA51" i="34"/>
  <c r="BQ6" i="34"/>
  <c r="BR6" i="34"/>
  <c r="BS6" i="34"/>
  <c r="BU6" i="34"/>
  <c r="BQ39" i="34"/>
  <c r="BQ45" i="34"/>
  <c r="BS45" i="34"/>
  <c r="BT45" i="34"/>
  <c r="BR49" i="34"/>
  <c r="BR53" i="34"/>
  <c r="BS53" i="34"/>
  <c r="BT53" i="34"/>
  <c r="BS49" i="34"/>
  <c r="BS47" i="34"/>
  <c r="BS48" i="34"/>
  <c r="BR48" i="34"/>
  <c r="BR50" i="34"/>
  <c r="BQ48" i="34"/>
  <c r="BQ50" i="34"/>
  <c r="P46" i="34"/>
  <c r="BQ49" i="34"/>
  <c r="BQ47" i="34"/>
  <c r="BR45" i="34"/>
  <c r="AI51" i="34"/>
  <c r="AQ51" i="34"/>
  <c r="AY51" i="34"/>
  <c r="BG51" i="34"/>
  <c r="BB46" i="34"/>
  <c r="BI51" i="34"/>
  <c r="AC46" i="34"/>
  <c r="AS46" i="34"/>
  <c r="Y46" i="34"/>
  <c r="R41" i="34"/>
  <c r="N46" i="34"/>
  <c r="V46" i="34"/>
  <c r="AD46" i="34"/>
  <c r="AL46" i="34"/>
  <c r="AT46" i="34"/>
  <c r="BJ46" i="34"/>
  <c r="O46" i="34"/>
  <c r="W46" i="34"/>
  <c r="AE46" i="34"/>
  <c r="AM46" i="34"/>
  <c r="AU46" i="34"/>
  <c r="BC46" i="34"/>
  <c r="X46" i="34"/>
  <c r="AF46" i="34"/>
  <c r="AN46" i="34"/>
  <c r="I46" i="34"/>
  <c r="Q46" i="34"/>
  <c r="N51" i="34"/>
  <c r="V51" i="34"/>
  <c r="AD51" i="34"/>
  <c r="AL51" i="34"/>
  <c r="AT51" i="34"/>
  <c r="BB51" i="34"/>
  <c r="BJ51" i="34"/>
  <c r="AX41" i="34"/>
  <c r="L51" i="34"/>
  <c r="T51" i="34"/>
  <c r="AB51" i="34"/>
  <c r="AJ51" i="34"/>
  <c r="AR51" i="34"/>
  <c r="AZ51" i="34"/>
  <c r="BH51" i="34"/>
  <c r="AV46" i="34"/>
  <c r="BD46" i="34"/>
  <c r="BL46" i="34"/>
  <c r="AG46" i="34"/>
  <c r="AO46" i="34"/>
  <c r="BE46" i="34"/>
  <c r="BM46" i="34"/>
  <c r="M46" i="34"/>
  <c r="U46" i="34"/>
  <c r="AK46" i="34"/>
  <c r="R51" i="34"/>
  <c r="Z51" i="34"/>
  <c r="AH51" i="34"/>
  <c r="AP51" i="34"/>
  <c r="AX51" i="34"/>
  <c r="BF51" i="34"/>
  <c r="BN51" i="34"/>
  <c r="R46" i="34"/>
  <c r="AX46" i="34"/>
  <c r="K46" i="34"/>
  <c r="S46" i="34"/>
  <c r="AA46" i="34"/>
  <c r="AI46" i="34"/>
  <c r="AQ46" i="34"/>
  <c r="L41" i="34"/>
  <c r="T41" i="34"/>
  <c r="AB41" i="34"/>
  <c r="AJ41" i="34"/>
  <c r="AR41" i="34"/>
  <c r="AZ41" i="34"/>
  <c r="BH41" i="34"/>
  <c r="N41" i="34"/>
  <c r="V41" i="34"/>
  <c r="AD41" i="34"/>
  <c r="AL41" i="34"/>
  <c r="AT41" i="34"/>
  <c r="BB41" i="34"/>
  <c r="BJ41" i="34"/>
  <c r="BL51" i="34"/>
  <c r="O41" i="34"/>
  <c r="W41" i="34"/>
  <c r="AE41" i="34"/>
  <c r="AM41" i="34"/>
  <c r="AU41" i="34"/>
  <c r="BC41" i="34"/>
  <c r="BK41" i="34"/>
  <c r="I41" i="34"/>
  <c r="Q41" i="34"/>
  <c r="J41" i="34"/>
  <c r="Z41" i="34"/>
  <c r="AH41" i="34"/>
  <c r="AP41" i="34"/>
  <c r="BF41" i="34"/>
  <c r="BN41" i="34"/>
  <c r="J46" i="34"/>
  <c r="Z46" i="34"/>
  <c r="AH46" i="34"/>
  <c r="AP46" i="34"/>
  <c r="BF46" i="34"/>
  <c r="BN46" i="34"/>
  <c r="K41" i="34"/>
  <c r="S41" i="34"/>
  <c r="AA41" i="34"/>
  <c r="AI41" i="34"/>
  <c r="AQ41" i="34"/>
  <c r="AY41" i="34"/>
  <c r="BG41" i="34"/>
  <c r="BO41" i="34"/>
  <c r="M41" i="34"/>
  <c r="U41" i="34"/>
  <c r="AC41" i="34"/>
  <c r="AK41" i="34"/>
  <c r="AS41" i="34"/>
  <c r="BA41" i="34"/>
  <c r="BI41" i="34"/>
  <c r="H41" i="34"/>
  <c r="P41" i="34"/>
  <c r="X41" i="34"/>
  <c r="AF41" i="34"/>
  <c r="AN41" i="34"/>
  <c r="AV41" i="34"/>
  <c r="BD41" i="34"/>
  <c r="BL41" i="34"/>
  <c r="Y41" i="34"/>
  <c r="AG41" i="34"/>
  <c r="AO41" i="34"/>
  <c r="AW41" i="34"/>
  <c r="BE41" i="34"/>
  <c r="BM41" i="34"/>
  <c r="AY46" i="34"/>
  <c r="BG46" i="34"/>
  <c r="BO46" i="34"/>
  <c r="L46" i="34"/>
  <c r="T46" i="34"/>
  <c r="AB46" i="34"/>
  <c r="AJ46" i="34"/>
  <c r="AR46" i="34"/>
  <c r="AZ46" i="34"/>
  <c r="BH46" i="34"/>
  <c r="BA46" i="34"/>
  <c r="BI46" i="34"/>
  <c r="BC51" i="34"/>
  <c r="BK51" i="34"/>
  <c r="BO51" i="34"/>
  <c r="H115" i="28"/>
  <c r="H89" i="28"/>
  <c r="H83" i="28"/>
  <c r="H81" i="28"/>
  <c r="H80" i="28"/>
  <c r="H79" i="28"/>
  <c r="H78" i="28"/>
  <c r="H77" i="28"/>
  <c r="H76" i="28"/>
  <c r="H75" i="28"/>
  <c r="H74" i="28"/>
  <c r="M25" i="28"/>
  <c r="L24" i="28"/>
  <c r="M24" i="28"/>
  <c r="N24" i="28"/>
  <c r="O24" i="28"/>
  <c r="P24" i="28"/>
  <c r="Q24" i="28"/>
  <c r="R24" i="28"/>
  <c r="S24" i="28"/>
  <c r="T24" i="28"/>
  <c r="U24" i="28"/>
  <c r="V24" i="28"/>
  <c r="W24" i="28"/>
  <c r="X24" i="28"/>
  <c r="Y24" i="28"/>
  <c r="Z24" i="28"/>
  <c r="AA24" i="28"/>
  <c r="AB24" i="28"/>
  <c r="AC24" i="28"/>
  <c r="AD24" i="28"/>
  <c r="AE24" i="28"/>
  <c r="AF24" i="28"/>
  <c r="AG24" i="28"/>
  <c r="AH24" i="28"/>
  <c r="AI24" i="28"/>
  <c r="AJ24" i="28"/>
  <c r="AK24" i="28"/>
  <c r="AL24" i="28"/>
  <c r="AM24" i="28"/>
  <c r="AN24" i="28"/>
  <c r="AO24" i="28"/>
  <c r="AP24" i="28"/>
  <c r="AQ24" i="28"/>
  <c r="AR24" i="28"/>
  <c r="AS24" i="28"/>
  <c r="AT24" i="28"/>
  <c r="AU24" i="28"/>
  <c r="AV24" i="28"/>
  <c r="AW24" i="28"/>
  <c r="AX24" i="28"/>
  <c r="AY24" i="28"/>
  <c r="AZ24" i="28"/>
  <c r="BA24" i="28"/>
  <c r="BB24" i="28"/>
  <c r="BC24" i="28"/>
  <c r="BD24" i="28"/>
  <c r="BE24" i="28"/>
  <c r="BF24" i="28"/>
  <c r="BG24" i="28"/>
  <c r="BH24" i="28"/>
  <c r="BI24" i="28"/>
  <c r="BJ24" i="28"/>
  <c r="BK24" i="28"/>
  <c r="BL24" i="28"/>
  <c r="BM24" i="28"/>
  <c r="BN24" i="28"/>
  <c r="BO24" i="28"/>
  <c r="BP24" i="28"/>
  <c r="BQ24" i="28"/>
  <c r="BR24" i="28"/>
  <c r="BS24" i="28"/>
  <c r="L25" i="28"/>
  <c r="N25" i="28"/>
  <c r="P25" i="28"/>
  <c r="R25" i="28"/>
  <c r="T25" i="28"/>
  <c r="V25" i="28"/>
  <c r="X25" i="28"/>
  <c r="Z25" i="28"/>
  <c r="AB25" i="28"/>
  <c r="AD25" i="28"/>
  <c r="AF25" i="28"/>
  <c r="AH25" i="28"/>
  <c r="AJ25" i="28"/>
  <c r="AL25" i="28"/>
  <c r="AN25" i="28"/>
  <c r="AP25" i="28"/>
  <c r="AR25" i="28"/>
  <c r="AT25" i="28"/>
  <c r="AV25" i="28"/>
  <c r="AX25" i="28"/>
  <c r="AZ25" i="28"/>
  <c r="BB25" i="28"/>
  <c r="BD25" i="28"/>
  <c r="BF25" i="28"/>
  <c r="BH25" i="28"/>
  <c r="BJ25" i="28"/>
  <c r="BL25" i="28"/>
  <c r="BN25" i="28"/>
  <c r="BP25" i="28"/>
  <c r="BR25" i="28"/>
  <c r="L26" i="28"/>
  <c r="M26" i="28"/>
  <c r="N26" i="28"/>
  <c r="O26" i="28"/>
  <c r="P26" i="28"/>
  <c r="Q26" i="28"/>
  <c r="R26" i="28"/>
  <c r="S26" i="28"/>
  <c r="T26" i="28"/>
  <c r="U26" i="28"/>
  <c r="V26" i="28"/>
  <c r="W26" i="28"/>
  <c r="X26" i="28"/>
  <c r="Y26" i="28"/>
  <c r="Z26" i="28"/>
  <c r="AA26" i="28"/>
  <c r="AB26" i="28"/>
  <c r="AC26" i="28"/>
  <c r="L28" i="28"/>
  <c r="BU5" i="26"/>
  <c r="BT5" i="26"/>
  <c r="BS5" i="26"/>
  <c r="BR5" i="26"/>
  <c r="BQ5" i="26"/>
  <c r="O74" i="28" l="1"/>
  <c r="T74" i="28"/>
  <c r="N74" i="28"/>
  <c r="BO74" i="28"/>
  <c r="BP74" i="28"/>
  <c r="BJ74" i="28"/>
  <c r="AE74" i="28"/>
  <c r="AF74" i="28"/>
  <c r="Z74" i="28"/>
  <c r="AQ74" i="28"/>
  <c r="AR74" i="28"/>
  <c r="AL74" i="28"/>
  <c r="BC74" i="28"/>
  <c r="BD74" i="28"/>
  <c r="AX74" i="28"/>
  <c r="S74" i="28"/>
  <c r="M74" i="28"/>
  <c r="R74" i="28"/>
  <c r="BS74" i="28"/>
  <c r="BI74" i="28"/>
  <c r="BN74" i="28"/>
  <c r="AI74" i="28"/>
  <c r="Y74" i="28"/>
  <c r="AD74" i="28"/>
  <c r="AU74" i="28"/>
  <c r="AK74" i="28"/>
  <c r="AP74" i="28"/>
  <c r="BG74" i="28"/>
  <c r="AW74" i="28"/>
  <c r="BB74" i="28"/>
  <c r="W74" i="28"/>
  <c r="Q74" i="28"/>
  <c r="V74" i="28"/>
  <c r="BH74" i="28"/>
  <c r="BM74" i="28"/>
  <c r="BR74" i="28"/>
  <c r="X74" i="28"/>
  <c r="AC74" i="28"/>
  <c r="AH74" i="28"/>
  <c r="AJ74" i="28"/>
  <c r="AO74" i="28"/>
  <c r="AT74" i="28"/>
  <c r="AV74" i="28"/>
  <c r="BA74" i="28"/>
  <c r="BF74" i="28"/>
  <c r="P74" i="28"/>
  <c r="U74" i="28"/>
  <c r="BK74" i="28"/>
  <c r="BL74" i="28"/>
  <c r="BQ74" i="28"/>
  <c r="AA74" i="28"/>
  <c r="AB74" i="28"/>
  <c r="AG74" i="28"/>
  <c r="AM74" i="28"/>
  <c r="AN74" i="28"/>
  <c r="AS74" i="28"/>
  <c r="AY74" i="28"/>
  <c r="AZ74" i="28"/>
  <c r="BE74" i="28"/>
  <c r="BU41" i="34"/>
  <c r="N49" i="35" s="1"/>
  <c r="BU26" i="28"/>
  <c r="BY24" i="28"/>
  <c r="BX24" i="28"/>
  <c r="BW24" i="28"/>
  <c r="BV24" i="28"/>
  <c r="BU24" i="28"/>
  <c r="BS51" i="34"/>
  <c r="BS25" i="28"/>
  <c r="BO25" i="28"/>
  <c r="BK25" i="28"/>
  <c r="BG25" i="28"/>
  <c r="BC25" i="28"/>
  <c r="AY25" i="28"/>
  <c r="AU25" i="28"/>
  <c r="AQ25" i="28"/>
  <c r="AM25" i="28"/>
  <c r="AI25" i="28"/>
  <c r="AE25" i="28"/>
  <c r="AA25" i="28"/>
  <c r="W25" i="28"/>
  <c r="S25" i="28"/>
  <c r="O25" i="28"/>
  <c r="BQ46" i="34"/>
  <c r="J34" i="35" s="1"/>
  <c r="BU51" i="34"/>
  <c r="J21" i="35"/>
  <c r="J89" i="32"/>
  <c r="J42" i="35"/>
  <c r="J44" i="35" s="1"/>
  <c r="BT41" i="34"/>
  <c r="M49" i="35" s="1"/>
  <c r="BU46" i="34"/>
  <c r="N34" i="35" s="1"/>
  <c r="BR51" i="34"/>
  <c r="BQ51" i="34"/>
  <c r="BQ25" i="28"/>
  <c r="BM25" i="28"/>
  <c r="BI25" i="28"/>
  <c r="BE25" i="28"/>
  <c r="BA25" i="28"/>
  <c r="AW25" i="28"/>
  <c r="AS25" i="28"/>
  <c r="AO25" i="28"/>
  <c r="AK25" i="28"/>
  <c r="AG25" i="28"/>
  <c r="AC25" i="28"/>
  <c r="Y25" i="28"/>
  <c r="U25" i="28"/>
  <c r="Q25" i="28"/>
  <c r="BS41" i="34"/>
  <c r="L49" i="35" s="1"/>
  <c r="BT51" i="34"/>
  <c r="BT46" i="34"/>
  <c r="M34" i="35" s="1"/>
  <c r="BS46" i="34"/>
  <c r="L34" i="35" s="1"/>
  <c r="BR46" i="34"/>
  <c r="K34" i="35" s="1"/>
  <c r="BR41" i="34"/>
  <c r="K49" i="35" s="1"/>
  <c r="BQ41" i="34"/>
  <c r="J49" i="35" s="1"/>
  <c r="BV25" i="28" l="1"/>
  <c r="BY25" i="28"/>
  <c r="L23" i="35"/>
  <c r="L22" i="35" s="1"/>
  <c r="L91" i="32"/>
  <c r="M23" i="35"/>
  <c r="M22" i="35" s="1"/>
  <c r="M91" i="32"/>
  <c r="N23" i="35"/>
  <c r="N22" i="35" s="1"/>
  <c r="N91" i="32"/>
  <c r="BU25" i="28"/>
  <c r="BX25" i="28"/>
  <c r="BW25" i="28"/>
  <c r="O414" i="38"/>
  <c r="T67" i="40"/>
  <c r="J39" i="35"/>
  <c r="J8" i="35" s="1"/>
  <c r="J40" i="32" s="1"/>
  <c r="K40" i="35"/>
  <c r="L88" i="32"/>
  <c r="V66" i="40" s="1"/>
  <c r="L20" i="35"/>
  <c r="L19" i="35" s="1"/>
  <c r="M88" i="32"/>
  <c r="W66" i="40" s="1"/>
  <c r="M20" i="35"/>
  <c r="M19" i="35" s="1"/>
  <c r="K91" i="32"/>
  <c r="U69" i="40" s="1"/>
  <c r="K23" i="35"/>
  <c r="K22" i="35" s="1"/>
  <c r="N50" i="35"/>
  <c r="N16" i="35" s="1"/>
  <c r="N15" i="35" s="1"/>
  <c r="L50" i="35"/>
  <c r="L16" i="35" s="1"/>
  <c r="L15" i="35" s="1"/>
  <c r="M50" i="35"/>
  <c r="M16" i="35" s="1"/>
  <c r="M15" i="35" s="1"/>
  <c r="J91" i="32"/>
  <c r="T69" i="40" s="1"/>
  <c r="J50" i="35"/>
  <c r="J16" i="35" s="1"/>
  <c r="J15" i="35" s="1"/>
  <c r="J23" i="35"/>
  <c r="J22" i="35" s="1"/>
  <c r="K50" i="35"/>
  <c r="K16" i="35" s="1"/>
  <c r="K15" i="35" s="1"/>
  <c r="K88" i="32"/>
  <c r="U66" i="40" s="1"/>
  <c r="K20" i="35"/>
  <c r="K19" i="35" s="1"/>
  <c r="K42" i="35"/>
  <c r="J14" i="35"/>
  <c r="J20" i="35"/>
  <c r="J19" i="35" s="1"/>
  <c r="J36" i="35"/>
  <c r="J88" i="32"/>
  <c r="T66" i="40" s="1"/>
  <c r="L36" i="35"/>
  <c r="L13" i="35" s="1"/>
  <c r="M36" i="35"/>
  <c r="M13" i="35" s="1"/>
  <c r="K36" i="35"/>
  <c r="K13" i="35" s="1"/>
  <c r="BR145" i="28"/>
  <c r="BQ145" i="28"/>
  <c r="BP145" i="28"/>
  <c r="BO145" i="28"/>
  <c r="BN145" i="28"/>
  <c r="BM145" i="28"/>
  <c r="BL145" i="28"/>
  <c r="BK145" i="28"/>
  <c r="BJ145" i="28"/>
  <c r="BI145" i="28"/>
  <c r="BH145" i="28"/>
  <c r="BG145" i="28"/>
  <c r="BF145" i="28"/>
  <c r="BE145" i="28"/>
  <c r="BD145" i="28"/>
  <c r="BC145" i="28"/>
  <c r="BB145" i="28"/>
  <c r="BA145" i="28"/>
  <c r="AZ145" i="28"/>
  <c r="AY145" i="28"/>
  <c r="AX145" i="28"/>
  <c r="AW145" i="28"/>
  <c r="AV145" i="28"/>
  <c r="AU145" i="28"/>
  <c r="AT145" i="28"/>
  <c r="AS145" i="28"/>
  <c r="AR145" i="28"/>
  <c r="AQ145" i="28"/>
  <c r="AP145" i="28"/>
  <c r="AO145" i="28"/>
  <c r="AN145" i="28"/>
  <c r="AM145" i="28"/>
  <c r="AL145" i="28"/>
  <c r="AK145" i="28"/>
  <c r="AJ145" i="28"/>
  <c r="AI145" i="28"/>
  <c r="AH145" i="28"/>
  <c r="AG145" i="28"/>
  <c r="AF145" i="28"/>
  <c r="AE145" i="28"/>
  <c r="AD145" i="28"/>
  <c r="AC145" i="28"/>
  <c r="AB145" i="28"/>
  <c r="AA145" i="28"/>
  <c r="Z145" i="28"/>
  <c r="Y145" i="28"/>
  <c r="X145" i="28"/>
  <c r="W145" i="28"/>
  <c r="V145" i="28"/>
  <c r="U145" i="28"/>
  <c r="T145" i="28"/>
  <c r="S145" i="28"/>
  <c r="R145" i="28"/>
  <c r="Q145" i="28"/>
  <c r="P145" i="28"/>
  <c r="O145" i="28"/>
  <c r="N145" i="28"/>
  <c r="M145" i="28"/>
  <c r="L145" i="28"/>
  <c r="BS145" i="28"/>
  <c r="BR140" i="28"/>
  <c r="BQ140" i="28"/>
  <c r="BP140" i="28"/>
  <c r="BO140" i="28"/>
  <c r="BN140" i="28"/>
  <c r="BM140" i="28"/>
  <c r="BL140" i="28"/>
  <c r="BK140" i="28"/>
  <c r="BJ140" i="28"/>
  <c r="BI140" i="28"/>
  <c r="BH140" i="28"/>
  <c r="BG140" i="28"/>
  <c r="BF140" i="28"/>
  <c r="BE140" i="28"/>
  <c r="BD140" i="28"/>
  <c r="BC140" i="28"/>
  <c r="BB140" i="28"/>
  <c r="BA140" i="28"/>
  <c r="AZ140" i="28"/>
  <c r="AY140" i="28"/>
  <c r="AX140" i="28"/>
  <c r="AW140" i="28"/>
  <c r="AV140" i="28"/>
  <c r="AU140" i="28"/>
  <c r="AT140" i="28"/>
  <c r="AS140" i="28"/>
  <c r="AR140" i="28"/>
  <c r="AQ140" i="28"/>
  <c r="AP140" i="28"/>
  <c r="AO140" i="28"/>
  <c r="AN140" i="28"/>
  <c r="AM140" i="28"/>
  <c r="AL140" i="28"/>
  <c r="AK140" i="28"/>
  <c r="AJ140" i="28"/>
  <c r="AI140" i="28"/>
  <c r="AH140" i="28"/>
  <c r="AG140" i="28"/>
  <c r="AF140" i="28"/>
  <c r="AE140" i="28"/>
  <c r="AD140" i="28"/>
  <c r="AC140" i="28"/>
  <c r="AB140" i="28"/>
  <c r="AA140" i="28"/>
  <c r="Z140" i="28"/>
  <c r="Y140" i="28"/>
  <c r="X140" i="28"/>
  <c r="W140" i="28"/>
  <c r="V140" i="28"/>
  <c r="U140" i="28"/>
  <c r="T140" i="28"/>
  <c r="S140" i="28"/>
  <c r="R140" i="28"/>
  <c r="Q140" i="28"/>
  <c r="P140" i="28"/>
  <c r="O140" i="28"/>
  <c r="N140" i="28"/>
  <c r="M140" i="28"/>
  <c r="L140" i="28"/>
  <c r="BS140" i="28"/>
  <c r="BR135" i="28"/>
  <c r="BQ135" i="28"/>
  <c r="BP135" i="28"/>
  <c r="BO135" i="28"/>
  <c r="BN135" i="28"/>
  <c r="BM135" i="28"/>
  <c r="BL135" i="28"/>
  <c r="BK135" i="28"/>
  <c r="BJ135" i="28"/>
  <c r="BI135" i="28"/>
  <c r="BH135" i="28"/>
  <c r="BG135" i="28"/>
  <c r="BF135" i="28"/>
  <c r="BE135" i="28"/>
  <c r="BD135" i="28"/>
  <c r="BC135" i="28"/>
  <c r="BB135" i="28"/>
  <c r="BA135" i="28"/>
  <c r="AZ135" i="28"/>
  <c r="AY135" i="28"/>
  <c r="AX135" i="28"/>
  <c r="AW135" i="28"/>
  <c r="AV135" i="28"/>
  <c r="AU135" i="28"/>
  <c r="AT135" i="28"/>
  <c r="AS135" i="28"/>
  <c r="AR135" i="28"/>
  <c r="AQ135" i="28"/>
  <c r="AP135" i="28"/>
  <c r="AO135" i="28"/>
  <c r="AN135" i="28"/>
  <c r="AM135" i="28"/>
  <c r="AL135" i="28"/>
  <c r="AK135" i="28"/>
  <c r="AJ135" i="28"/>
  <c r="AI135" i="28"/>
  <c r="AH135" i="28"/>
  <c r="AG135" i="28"/>
  <c r="AF135" i="28"/>
  <c r="AE135" i="28"/>
  <c r="AD135" i="28"/>
  <c r="AC135" i="28"/>
  <c r="AB135" i="28"/>
  <c r="AA135" i="28"/>
  <c r="Z135" i="28"/>
  <c r="Y135" i="28"/>
  <c r="X135" i="28"/>
  <c r="W135" i="28"/>
  <c r="V135" i="28"/>
  <c r="U135" i="28"/>
  <c r="T135" i="28"/>
  <c r="S135" i="28"/>
  <c r="R135" i="28"/>
  <c r="Q135" i="28"/>
  <c r="P135" i="28"/>
  <c r="O135" i="28"/>
  <c r="N135" i="28"/>
  <c r="M135" i="28"/>
  <c r="L135" i="28"/>
  <c r="BS135" i="28"/>
  <c r="L129" i="28"/>
  <c r="E39" i="29"/>
  <c r="AK39" i="29" s="1"/>
  <c r="D39" i="29"/>
  <c r="C39" i="29"/>
  <c r="E38" i="29"/>
  <c r="V38" i="29" s="1"/>
  <c r="D38" i="29"/>
  <c r="C38" i="29"/>
  <c r="E37" i="29"/>
  <c r="AC37" i="29" s="1"/>
  <c r="D37" i="29"/>
  <c r="C37" i="29"/>
  <c r="E36" i="29"/>
  <c r="BJ36" i="29" s="1"/>
  <c r="D36" i="29"/>
  <c r="C36" i="29"/>
  <c r="E35" i="29"/>
  <c r="BF35" i="29" s="1"/>
  <c r="D35" i="29"/>
  <c r="C35" i="29"/>
  <c r="E34" i="29"/>
  <c r="D34" i="29"/>
  <c r="C34" i="29"/>
  <c r="E33" i="29"/>
  <c r="BN33" i="29" s="1"/>
  <c r="D33" i="29"/>
  <c r="C33" i="29"/>
  <c r="E32" i="29"/>
  <c r="BS32" i="29" s="1"/>
  <c r="C32" i="29"/>
  <c r="E31" i="29"/>
  <c r="BK31" i="29" s="1"/>
  <c r="C31" i="29"/>
  <c r="E30" i="29"/>
  <c r="BP30" i="29" s="1"/>
  <c r="C30" i="29"/>
  <c r="C7" i="29"/>
  <c r="X69" i="40" l="1"/>
  <c r="N90" i="32"/>
  <c r="X68" i="40" s="1"/>
  <c r="S416" i="38"/>
  <c r="S415" i="38" s="1"/>
  <c r="V69" i="40"/>
  <c r="L90" i="32"/>
  <c r="V68" i="40" s="1"/>
  <c r="Q416" i="38"/>
  <c r="Q415" i="38" s="1"/>
  <c r="W69" i="40"/>
  <c r="R416" i="38"/>
  <c r="R415" i="38" s="1"/>
  <c r="M90" i="32"/>
  <c r="W68" i="40" s="1"/>
  <c r="J52" i="35"/>
  <c r="J47" i="35" s="1"/>
  <c r="J10" i="35" s="1"/>
  <c r="AS32" i="29"/>
  <c r="AP36" i="29"/>
  <c r="H35" i="34"/>
  <c r="J90" i="32"/>
  <c r="T68" i="40" s="1"/>
  <c r="O416" i="38"/>
  <c r="O415" i="38" s="1"/>
  <c r="Y30" i="29"/>
  <c r="AO33" i="29"/>
  <c r="AZ39" i="29"/>
  <c r="J87" i="32"/>
  <c r="T65" i="40" s="1"/>
  <c r="O413" i="38"/>
  <c r="O412" i="38" s="1"/>
  <c r="L42" i="35"/>
  <c r="K14" i="35"/>
  <c r="K12" i="35" s="1"/>
  <c r="K14" i="32"/>
  <c r="K17" i="36"/>
  <c r="M17" i="36"/>
  <c r="M14" i="32"/>
  <c r="K90" i="32"/>
  <c r="U68" i="40" s="1"/>
  <c r="P416" i="38"/>
  <c r="P415" i="38" s="1"/>
  <c r="L87" i="32"/>
  <c r="V65" i="40" s="1"/>
  <c r="Q413" i="38"/>
  <c r="Q412" i="38" s="1"/>
  <c r="BK30" i="29"/>
  <c r="BE33" i="29"/>
  <c r="M129" i="28"/>
  <c r="J38" i="35"/>
  <c r="J13" i="35"/>
  <c r="J12" i="35" s="1"/>
  <c r="L17" i="36"/>
  <c r="L14" i="32"/>
  <c r="BC31" i="29"/>
  <c r="BP35" i="29"/>
  <c r="L128" i="28"/>
  <c r="K87" i="32"/>
  <c r="U65" i="40" s="1"/>
  <c r="P413" i="38"/>
  <c r="P412" i="38" s="1"/>
  <c r="J14" i="32"/>
  <c r="J17" i="36"/>
  <c r="N14" i="32"/>
  <c r="N17" i="36"/>
  <c r="P17" i="36" s="1"/>
  <c r="M87" i="32"/>
  <c r="W65" i="40" s="1"/>
  <c r="R413" i="38"/>
  <c r="R412" i="38" s="1"/>
  <c r="AF30" i="29"/>
  <c r="O31" i="29"/>
  <c r="BM31" i="29"/>
  <c r="BC32" i="29"/>
  <c r="AG30" i="29"/>
  <c r="P31" i="29"/>
  <c r="BN31" i="29"/>
  <c r="BG32" i="29"/>
  <c r="BF33" i="29"/>
  <c r="AR36" i="29"/>
  <c r="AN30" i="29"/>
  <c r="Z31" i="29"/>
  <c r="S32" i="29"/>
  <c r="BQ32" i="29"/>
  <c r="X35" i="29"/>
  <c r="S37" i="29"/>
  <c r="AO30" i="29"/>
  <c r="AA31" i="29"/>
  <c r="T32" i="29"/>
  <c r="BR32" i="29"/>
  <c r="Y35" i="29"/>
  <c r="BP37" i="29"/>
  <c r="P30" i="29"/>
  <c r="AY30" i="29"/>
  <c r="AN31" i="29"/>
  <c r="AD32" i="29"/>
  <c r="X33" i="29"/>
  <c r="AP35" i="29"/>
  <c r="BF38" i="29"/>
  <c r="Q30" i="29"/>
  <c r="AZ30" i="29"/>
  <c r="AO31" i="29"/>
  <c r="AE32" i="29"/>
  <c r="Y33" i="29"/>
  <c r="AV35" i="29"/>
  <c r="BH38" i="29"/>
  <c r="X30" i="29"/>
  <c r="BJ30" i="29"/>
  <c r="AY31" i="29"/>
  <c r="AR32" i="29"/>
  <c r="AN33" i="29"/>
  <c r="BO35" i="29"/>
  <c r="AX39" i="29"/>
  <c r="BO34" i="29"/>
  <c r="BG34" i="29"/>
  <c r="AY34" i="29"/>
  <c r="AQ34" i="29"/>
  <c r="AI34" i="29"/>
  <c r="AA34" i="29"/>
  <c r="S34" i="29"/>
  <c r="BN34" i="29"/>
  <c r="BF34" i="29"/>
  <c r="AX34" i="29"/>
  <c r="AP34" i="29"/>
  <c r="AH34" i="29"/>
  <c r="Z34" i="29"/>
  <c r="R34" i="29"/>
  <c r="BM34" i="29"/>
  <c r="BE34" i="29"/>
  <c r="AW34" i="29"/>
  <c r="AO34" i="29"/>
  <c r="AG34" i="29"/>
  <c r="Y34" i="29"/>
  <c r="Q34" i="29"/>
  <c r="BL34" i="29"/>
  <c r="BD34" i="29"/>
  <c r="AV34" i="29"/>
  <c r="AN34" i="29"/>
  <c r="AF34" i="29"/>
  <c r="X34" i="29"/>
  <c r="P34" i="29"/>
  <c r="BS34" i="29"/>
  <c r="BK34" i="29"/>
  <c r="BC34" i="29"/>
  <c r="AU34" i="29"/>
  <c r="AM34" i="29"/>
  <c r="AE34" i="29"/>
  <c r="W34" i="29"/>
  <c r="O34" i="29"/>
  <c r="AL34" i="29"/>
  <c r="R30" i="29"/>
  <c r="Z30" i="29"/>
  <c r="AH30" i="29"/>
  <c r="AQ30" i="29"/>
  <c r="BA30" i="29"/>
  <c r="BL30" i="29"/>
  <c r="Q31" i="29"/>
  <c r="AE31" i="29"/>
  <c r="AP31" i="29"/>
  <c r="BD31" i="29"/>
  <c r="BO31" i="29"/>
  <c r="U32" i="29"/>
  <c r="AI32" i="29"/>
  <c r="AT32" i="29"/>
  <c r="BH32" i="29"/>
  <c r="Z33" i="29"/>
  <c r="AP33" i="29"/>
  <c r="BL33" i="29"/>
  <c r="V34" i="29"/>
  <c r="AS34" i="29"/>
  <c r="BP34" i="29"/>
  <c r="Z35" i="29"/>
  <c r="AW35" i="29"/>
  <c r="O36" i="29"/>
  <c r="AZ36" i="29"/>
  <c r="T38" i="29"/>
  <c r="L39" i="29"/>
  <c r="BJ39" i="29"/>
  <c r="BO37" i="29"/>
  <c r="BG37" i="29"/>
  <c r="AY37" i="29"/>
  <c r="AQ37" i="29"/>
  <c r="AI37" i="29"/>
  <c r="AA37" i="29"/>
  <c r="BM37" i="29"/>
  <c r="BE37" i="29"/>
  <c r="AW37" i="29"/>
  <c r="AO37" i="29"/>
  <c r="AG37" i="29"/>
  <c r="BS37" i="29"/>
  <c r="BK37" i="29"/>
  <c r="BC37" i="29"/>
  <c r="AU37" i="29"/>
  <c r="AM37" i="29"/>
  <c r="AE37" i="29"/>
  <c r="W37" i="29"/>
  <c r="O37" i="29"/>
  <c r="BN37" i="29"/>
  <c r="BA37" i="29"/>
  <c r="AN37" i="29"/>
  <c r="AB37" i="29"/>
  <c r="R37" i="29"/>
  <c r="BL37" i="29"/>
  <c r="AZ37" i="29"/>
  <c r="AL37" i="29"/>
  <c r="Z37" i="29"/>
  <c r="Q37" i="29"/>
  <c r="BJ37" i="29"/>
  <c r="AX37" i="29"/>
  <c r="AK37" i="29"/>
  <c r="Y37" i="29"/>
  <c r="P37" i="29"/>
  <c r="BI37" i="29"/>
  <c r="AV37" i="29"/>
  <c r="AJ37" i="29"/>
  <c r="X37" i="29"/>
  <c r="N37" i="29"/>
  <c r="BH37" i="29"/>
  <c r="AT37" i="29"/>
  <c r="AH37" i="29"/>
  <c r="V37" i="29"/>
  <c r="M37" i="29"/>
  <c r="BR37" i="29"/>
  <c r="BF37" i="29"/>
  <c r="AS37" i="29"/>
  <c r="AF37" i="29"/>
  <c r="U37" i="29"/>
  <c r="L37" i="29"/>
  <c r="U34" i="29"/>
  <c r="AR34" i="29"/>
  <c r="BJ34" i="29"/>
  <c r="T37" i="29"/>
  <c r="BQ37" i="29"/>
  <c r="BN32" i="29"/>
  <c r="BF32" i="29"/>
  <c r="AX32" i="29"/>
  <c r="AP32" i="29"/>
  <c r="AH32" i="29"/>
  <c r="Z32" i="29"/>
  <c r="R32" i="29"/>
  <c r="BM32" i="29"/>
  <c r="BE32" i="29"/>
  <c r="AW32" i="29"/>
  <c r="AO32" i="29"/>
  <c r="AG32" i="29"/>
  <c r="Y32" i="29"/>
  <c r="Q32" i="29"/>
  <c r="BL32" i="29"/>
  <c r="BD32" i="29"/>
  <c r="AV32" i="29"/>
  <c r="AN32" i="29"/>
  <c r="AF32" i="29"/>
  <c r="X32" i="29"/>
  <c r="P32" i="29"/>
  <c r="S30" i="29"/>
  <c r="AA30" i="29"/>
  <c r="AI30" i="29"/>
  <c r="AR30" i="29"/>
  <c r="BB30" i="29"/>
  <c r="R31" i="29"/>
  <c r="AF31" i="29"/>
  <c r="AQ31" i="29"/>
  <c r="BE31" i="29"/>
  <c r="BS31" i="29"/>
  <c r="V32" i="29"/>
  <c r="AJ32" i="29"/>
  <c r="AU32" i="29"/>
  <c r="BI32" i="29"/>
  <c r="O33" i="29"/>
  <c r="AE33" i="29"/>
  <c r="AU33" i="29"/>
  <c r="BM33" i="29"/>
  <c r="AB34" i="29"/>
  <c r="AT34" i="29"/>
  <c r="BQ34" i="29"/>
  <c r="AF35" i="29"/>
  <c r="AX35" i="29"/>
  <c r="P36" i="29"/>
  <c r="BA36" i="29"/>
  <c r="AD37" i="29"/>
  <c r="M39" i="29"/>
  <c r="BL39" i="29"/>
  <c r="T34" i="29"/>
  <c r="BO30" i="29"/>
  <c r="BG30" i="29"/>
  <c r="BN30" i="29"/>
  <c r="BF30" i="29"/>
  <c r="AX30" i="29"/>
  <c r="AP30" i="29"/>
  <c r="BM30" i="29"/>
  <c r="BE30" i="29"/>
  <c r="AW30" i="29"/>
  <c r="BS38" i="29"/>
  <c r="BK38" i="29"/>
  <c r="BC38" i="29"/>
  <c r="AU38" i="29"/>
  <c r="AM38" i="29"/>
  <c r="AE38" i="29"/>
  <c r="W38" i="29"/>
  <c r="O38" i="29"/>
  <c r="BQ38" i="29"/>
  <c r="BI38" i="29"/>
  <c r="BA38" i="29"/>
  <c r="AS38" i="29"/>
  <c r="AK38" i="29"/>
  <c r="AC38" i="29"/>
  <c r="U38" i="29"/>
  <c r="M38" i="29"/>
  <c r="BO38" i="29"/>
  <c r="BG38" i="29"/>
  <c r="AY38" i="29"/>
  <c r="AQ38" i="29"/>
  <c r="AI38" i="29"/>
  <c r="AA38" i="29"/>
  <c r="S38" i="29"/>
  <c r="BR38" i="29"/>
  <c r="BE38" i="29"/>
  <c r="AR38" i="29"/>
  <c r="AF38" i="29"/>
  <c r="R38" i="29"/>
  <c r="BP38" i="29"/>
  <c r="BD38" i="29"/>
  <c r="AP38" i="29"/>
  <c r="AD38" i="29"/>
  <c r="Q38" i="29"/>
  <c r="BN38" i="29"/>
  <c r="BB38" i="29"/>
  <c r="AO38" i="29"/>
  <c r="AB38" i="29"/>
  <c r="P38" i="29"/>
  <c r="BM38" i="29"/>
  <c r="AZ38" i="29"/>
  <c r="AN38" i="29"/>
  <c r="Z38" i="29"/>
  <c r="N38" i="29"/>
  <c r="BL38" i="29"/>
  <c r="AX38" i="29"/>
  <c r="AL38" i="29"/>
  <c r="Y38" i="29"/>
  <c r="L38" i="29"/>
  <c r="BJ38" i="29"/>
  <c r="AW38" i="29"/>
  <c r="AJ38" i="29"/>
  <c r="X38" i="29"/>
  <c r="T30" i="29"/>
  <c r="AB30" i="29"/>
  <c r="AJ30" i="29"/>
  <c r="AS30" i="29"/>
  <c r="BC30" i="29"/>
  <c r="BQ30" i="29"/>
  <c r="S31" i="29"/>
  <c r="AG31" i="29"/>
  <c r="AU31" i="29"/>
  <c r="BF31" i="29"/>
  <c r="L32" i="29"/>
  <c r="W32" i="29"/>
  <c r="AK32" i="29"/>
  <c r="AY32" i="29"/>
  <c r="BJ32" i="29"/>
  <c r="P33" i="29"/>
  <c r="AF33" i="29"/>
  <c r="AV33" i="29"/>
  <c r="AC34" i="29"/>
  <c r="AZ34" i="29"/>
  <c r="BR34" i="29"/>
  <c r="AG35" i="29"/>
  <c r="BE35" i="29"/>
  <c r="X36" i="29"/>
  <c r="BI36" i="29"/>
  <c r="AP37" i="29"/>
  <c r="AG38" i="29"/>
  <c r="X39" i="29"/>
  <c r="BI34" i="29"/>
  <c r="BS33" i="29"/>
  <c r="BK33" i="29"/>
  <c r="BC33" i="29"/>
  <c r="BR33" i="29"/>
  <c r="BJ33" i="29"/>
  <c r="BB33" i="29"/>
  <c r="AT33" i="29"/>
  <c r="AL33" i="29"/>
  <c r="AD33" i="29"/>
  <c r="V33" i="29"/>
  <c r="N33" i="29"/>
  <c r="BQ33" i="29"/>
  <c r="BI33" i="29"/>
  <c r="BA33" i="29"/>
  <c r="AS33" i="29"/>
  <c r="AK33" i="29"/>
  <c r="AC33" i="29"/>
  <c r="U33" i="29"/>
  <c r="M33" i="29"/>
  <c r="BP33" i="29"/>
  <c r="BH33" i="29"/>
  <c r="AZ33" i="29"/>
  <c r="AR33" i="29"/>
  <c r="AJ33" i="29"/>
  <c r="AB33" i="29"/>
  <c r="T33" i="29"/>
  <c r="L33" i="29"/>
  <c r="BO33" i="29"/>
  <c r="BG33" i="29"/>
  <c r="AY33" i="29"/>
  <c r="AQ33" i="29"/>
  <c r="AI33" i="29"/>
  <c r="AA33" i="29"/>
  <c r="S33" i="29"/>
  <c r="M30" i="29"/>
  <c r="U30" i="29"/>
  <c r="AC30" i="29"/>
  <c r="AK30" i="29"/>
  <c r="AT30" i="29"/>
  <c r="BD30" i="29"/>
  <c r="BR30" i="29"/>
  <c r="W31" i="29"/>
  <c r="AH31" i="29"/>
  <c r="AV31" i="29"/>
  <c r="BG31" i="29"/>
  <c r="M32" i="29"/>
  <c r="AA32" i="29"/>
  <c r="AL32" i="29"/>
  <c r="AZ32" i="29"/>
  <c r="BK32" i="29"/>
  <c r="Q33" i="29"/>
  <c r="AG33" i="29"/>
  <c r="AW33" i="29"/>
  <c r="L34" i="29"/>
  <c r="AD34" i="29"/>
  <c r="BA34" i="29"/>
  <c r="P35" i="29"/>
  <c r="AH35" i="29"/>
  <c r="Y36" i="29"/>
  <c r="AR37" i="29"/>
  <c r="AH38" i="29"/>
  <c r="Z39" i="29"/>
  <c r="BS35" i="29"/>
  <c r="BK35" i="29"/>
  <c r="BC35" i="29"/>
  <c r="BM35" i="29"/>
  <c r="BD35" i="29"/>
  <c r="AU35" i="29"/>
  <c r="AM35" i="29"/>
  <c r="AE35" i="29"/>
  <c r="W35" i="29"/>
  <c r="O35" i="29"/>
  <c r="BL35" i="29"/>
  <c r="BB35" i="29"/>
  <c r="AT35" i="29"/>
  <c r="AL35" i="29"/>
  <c r="AD35" i="29"/>
  <c r="V35" i="29"/>
  <c r="N35" i="29"/>
  <c r="BJ35" i="29"/>
  <c r="BA35" i="29"/>
  <c r="AS35" i="29"/>
  <c r="AK35" i="29"/>
  <c r="AC35" i="29"/>
  <c r="U35" i="29"/>
  <c r="M35" i="29"/>
  <c r="BR35" i="29"/>
  <c r="BI35" i="29"/>
  <c r="AZ35" i="29"/>
  <c r="AR35" i="29"/>
  <c r="AJ35" i="29"/>
  <c r="AB35" i="29"/>
  <c r="T35" i="29"/>
  <c r="L35" i="29"/>
  <c r="BQ35" i="29"/>
  <c r="BH35" i="29"/>
  <c r="AY35" i="29"/>
  <c r="AQ35" i="29"/>
  <c r="AI35" i="29"/>
  <c r="AA35" i="29"/>
  <c r="S35" i="29"/>
  <c r="BO36" i="29"/>
  <c r="BG36" i="29"/>
  <c r="AY36" i="29"/>
  <c r="AQ36" i="29"/>
  <c r="AI36" i="29"/>
  <c r="AA36" i="29"/>
  <c r="S36" i="29"/>
  <c r="BQ36" i="29"/>
  <c r="BH36" i="29"/>
  <c r="AX36" i="29"/>
  <c r="AO36" i="29"/>
  <c r="AF36" i="29"/>
  <c r="W36" i="29"/>
  <c r="N36" i="29"/>
  <c r="BP36" i="29"/>
  <c r="BF36" i="29"/>
  <c r="AW36" i="29"/>
  <c r="AN36" i="29"/>
  <c r="AE36" i="29"/>
  <c r="V36" i="29"/>
  <c r="M36" i="29"/>
  <c r="BN36" i="29"/>
  <c r="BE36" i="29"/>
  <c r="AV36" i="29"/>
  <c r="AM36" i="29"/>
  <c r="AD36" i="29"/>
  <c r="U36" i="29"/>
  <c r="L36" i="29"/>
  <c r="BM36" i="29"/>
  <c r="BD36" i="29"/>
  <c r="AU36" i="29"/>
  <c r="AL36" i="29"/>
  <c r="AC36" i="29"/>
  <c r="T36" i="29"/>
  <c r="BL36" i="29"/>
  <c r="BC36" i="29"/>
  <c r="AT36" i="29"/>
  <c r="AK36" i="29"/>
  <c r="AB36" i="29"/>
  <c r="R36" i="29"/>
  <c r="BK36" i="29"/>
  <c r="BB36" i="29"/>
  <c r="AS36" i="29"/>
  <c r="AJ36" i="29"/>
  <c r="Z36" i="29"/>
  <c r="Q36" i="29"/>
  <c r="N30" i="29"/>
  <c r="V30" i="29"/>
  <c r="AD30" i="29"/>
  <c r="AL30" i="29"/>
  <c r="AU30" i="29"/>
  <c r="BH30" i="29"/>
  <c r="BS30" i="29"/>
  <c r="X31" i="29"/>
  <c r="AI31" i="29"/>
  <c r="AW31" i="29"/>
  <c r="N32" i="29"/>
  <c r="AB32" i="29"/>
  <c r="AM32" i="29"/>
  <c r="BA32" i="29"/>
  <c r="BO32" i="29"/>
  <c r="R33" i="29"/>
  <c r="AH33" i="29"/>
  <c r="AX33" i="29"/>
  <c r="M34" i="29"/>
  <c r="AJ34" i="29"/>
  <c r="BB34" i="29"/>
  <c r="Q35" i="29"/>
  <c r="AN35" i="29"/>
  <c r="BG35" i="29"/>
  <c r="AG36" i="29"/>
  <c r="BR36" i="29"/>
  <c r="BB37" i="29"/>
  <c r="AT38" i="29"/>
  <c r="BR31" i="29"/>
  <c r="BJ31" i="29"/>
  <c r="BB31" i="29"/>
  <c r="AT31" i="29"/>
  <c r="AL31" i="29"/>
  <c r="AD31" i="29"/>
  <c r="V31" i="29"/>
  <c r="N31" i="29"/>
  <c r="BQ31" i="29"/>
  <c r="BI31" i="29"/>
  <c r="BA31" i="29"/>
  <c r="AS31" i="29"/>
  <c r="AK31" i="29"/>
  <c r="AC31" i="29"/>
  <c r="U31" i="29"/>
  <c r="M31" i="29"/>
  <c r="BP31" i="29"/>
  <c r="BH31" i="29"/>
  <c r="AZ31" i="29"/>
  <c r="AR31" i="29"/>
  <c r="AJ31" i="29"/>
  <c r="AB31" i="29"/>
  <c r="T31" i="29"/>
  <c r="L31" i="29"/>
  <c r="BO39" i="29"/>
  <c r="BG39" i="29"/>
  <c r="AY39" i="29"/>
  <c r="AQ39" i="29"/>
  <c r="AI39" i="29"/>
  <c r="AA39" i="29"/>
  <c r="S39" i="29"/>
  <c r="BM39" i="29"/>
  <c r="BE39" i="29"/>
  <c r="AW39" i="29"/>
  <c r="AO39" i="29"/>
  <c r="AG39" i="29"/>
  <c r="Y39" i="29"/>
  <c r="Q39" i="29"/>
  <c r="BS39" i="29"/>
  <c r="BK39" i="29"/>
  <c r="BC39" i="29"/>
  <c r="AU39" i="29"/>
  <c r="AM39" i="29"/>
  <c r="AE39" i="29"/>
  <c r="W39" i="29"/>
  <c r="O39" i="29"/>
  <c r="BI39" i="29"/>
  <c r="AV39" i="29"/>
  <c r="AJ39" i="29"/>
  <c r="V39" i="29"/>
  <c r="BH39" i="29"/>
  <c r="AT39" i="29"/>
  <c r="AH39" i="29"/>
  <c r="U39" i="29"/>
  <c r="BR39" i="29"/>
  <c r="BF39" i="29"/>
  <c r="AS39" i="29"/>
  <c r="AF39" i="29"/>
  <c r="T39" i="29"/>
  <c r="BQ39" i="29"/>
  <c r="BD39" i="29"/>
  <c r="AR39" i="29"/>
  <c r="AD39" i="29"/>
  <c r="R39" i="29"/>
  <c r="BP39" i="29"/>
  <c r="BB39" i="29"/>
  <c r="AP39" i="29"/>
  <c r="AC39" i="29"/>
  <c r="P39" i="29"/>
  <c r="BN39" i="29"/>
  <c r="BA39" i="29"/>
  <c r="AN39" i="29"/>
  <c r="AB39" i="29"/>
  <c r="N39" i="29"/>
  <c r="O30" i="29"/>
  <c r="W30" i="29"/>
  <c r="AE30" i="29"/>
  <c r="AM30" i="29"/>
  <c r="AV30" i="29"/>
  <c r="BI30" i="29"/>
  <c r="L30" i="29"/>
  <c r="Y31" i="29"/>
  <c r="AM31" i="29"/>
  <c r="AX31" i="29"/>
  <c r="BL31" i="29"/>
  <c r="O32" i="29"/>
  <c r="AC32" i="29"/>
  <c r="AQ32" i="29"/>
  <c r="BB32" i="29"/>
  <c r="BP32" i="29"/>
  <c r="W33" i="29"/>
  <c r="AM33" i="29"/>
  <c r="BD33" i="29"/>
  <c r="N34" i="29"/>
  <c r="AK34" i="29"/>
  <c r="BH34" i="29"/>
  <c r="R35" i="29"/>
  <c r="AO35" i="29"/>
  <c r="BN35" i="29"/>
  <c r="AH36" i="29"/>
  <c r="BS36" i="29"/>
  <c r="BD37" i="29"/>
  <c r="AV38" i="29"/>
  <c r="AL39" i="29"/>
  <c r="K48" i="35" l="1"/>
  <c r="K52" i="35" s="1"/>
  <c r="L48" i="35" s="1"/>
  <c r="L52" i="35" s="1"/>
  <c r="H130" i="26"/>
  <c r="H125" i="26" s="1"/>
  <c r="P316" i="38"/>
  <c r="U15" i="40"/>
  <c r="O316" i="38"/>
  <c r="T15" i="40"/>
  <c r="R316" i="38"/>
  <c r="W15" i="40"/>
  <c r="S316" i="38"/>
  <c r="X15" i="40"/>
  <c r="Q316" i="38"/>
  <c r="V15" i="40"/>
  <c r="K71" i="32"/>
  <c r="K13" i="32"/>
  <c r="U14" i="40" s="1"/>
  <c r="K16" i="36"/>
  <c r="K15" i="36" s="1"/>
  <c r="N129" i="28"/>
  <c r="K33" i="35"/>
  <c r="K38" i="35" s="1"/>
  <c r="J32" i="35"/>
  <c r="J7" i="35" s="1"/>
  <c r="H34" i="34"/>
  <c r="J42" i="32"/>
  <c r="J41" i="32" s="1"/>
  <c r="O344" i="38" s="1"/>
  <c r="J9" i="35"/>
  <c r="I35" i="34"/>
  <c r="I34" i="34" s="1"/>
  <c r="M128" i="28"/>
  <c r="I130" i="26" s="1"/>
  <c r="I125" i="26" s="1"/>
  <c r="I124" i="26" s="1"/>
  <c r="J16" i="36"/>
  <c r="J15" i="36" s="1"/>
  <c r="J13" i="32"/>
  <c r="T14" i="40" s="1"/>
  <c r="J71" i="32"/>
  <c r="M42" i="35"/>
  <c r="L14" i="35"/>
  <c r="L12" i="35" s="1"/>
  <c r="O129" i="28"/>
  <c r="K35" i="34" s="1"/>
  <c r="K34" i="34" s="1"/>
  <c r="K47" i="35" l="1"/>
  <c r="K10" i="35" s="1"/>
  <c r="K9" i="35" s="1"/>
  <c r="O128" i="28"/>
  <c r="K130" i="26" s="1"/>
  <c r="K125" i="26" s="1"/>
  <c r="K124" i="26" s="1"/>
  <c r="H124" i="26"/>
  <c r="J70" i="32"/>
  <c r="T55" i="40" s="1"/>
  <c r="T56" i="40"/>
  <c r="K70" i="32"/>
  <c r="U55" i="40" s="1"/>
  <c r="U56" i="40"/>
  <c r="T40" i="40"/>
  <c r="N42" i="35"/>
  <c r="N14" i="35" s="1"/>
  <c r="M14" i="35"/>
  <c r="M12" i="35" s="1"/>
  <c r="J39" i="32"/>
  <c r="J38" i="32" s="1"/>
  <c r="J6" i="35"/>
  <c r="L13" i="32"/>
  <c r="V14" i="40" s="1"/>
  <c r="L71" i="32"/>
  <c r="L16" i="36"/>
  <c r="L15" i="36" s="1"/>
  <c r="J12" i="32"/>
  <c r="T13" i="40" s="1"/>
  <c r="O315" i="38"/>
  <c r="O314" i="38" s="1"/>
  <c r="P129" i="28"/>
  <c r="Q129" i="28" s="1"/>
  <c r="M35" i="34" s="1"/>
  <c r="M34" i="34" s="1"/>
  <c r="K20" i="36"/>
  <c r="K26" i="36"/>
  <c r="K12" i="32"/>
  <c r="U13" i="40" s="1"/>
  <c r="P315" i="38"/>
  <c r="P314" i="38" s="1"/>
  <c r="M48" i="35"/>
  <c r="M52" i="35" s="1"/>
  <c r="L47" i="35"/>
  <c r="L10" i="35" s="1"/>
  <c r="L33" i="35"/>
  <c r="L38" i="35" s="1"/>
  <c r="K32" i="35"/>
  <c r="K7" i="35" s="1"/>
  <c r="K39" i="32" s="1"/>
  <c r="J20" i="36"/>
  <c r="J26" i="36"/>
  <c r="J35" i="34"/>
  <c r="J34" i="34" s="1"/>
  <c r="N128" i="28"/>
  <c r="J130" i="26" s="1"/>
  <c r="J125" i="26" s="1"/>
  <c r="J124" i="26" s="1"/>
  <c r="P128" i="28"/>
  <c r="L130" i="26" s="1"/>
  <c r="L125" i="26" s="1"/>
  <c r="L124" i="26" s="1"/>
  <c r="K42" i="32" l="1"/>
  <c r="K41" i="32" s="1"/>
  <c r="P344" i="38" s="1"/>
  <c r="T39" i="40"/>
  <c r="O343" i="38"/>
  <c r="L70" i="32"/>
  <c r="V55" i="40" s="1"/>
  <c r="V56" i="40"/>
  <c r="L26" i="36"/>
  <c r="L20" i="36"/>
  <c r="M47" i="35"/>
  <c r="M10" i="35" s="1"/>
  <c r="N48" i="35"/>
  <c r="N52" i="35" s="1"/>
  <c r="N47" i="35" s="1"/>
  <c r="N10" i="35" s="1"/>
  <c r="M33" i="35"/>
  <c r="M38" i="35" s="1"/>
  <c r="L32" i="35"/>
  <c r="L7" i="35" s="1"/>
  <c r="L39" i="32" s="1"/>
  <c r="L35" i="34"/>
  <c r="R129" i="28"/>
  <c r="S129" i="28" s="1"/>
  <c r="O35" i="34" s="1"/>
  <c r="O34" i="34" s="1"/>
  <c r="M13" i="32"/>
  <c r="W14" i="40" s="1"/>
  <c r="M16" i="36"/>
  <c r="M15" i="36" s="1"/>
  <c r="M71" i="32"/>
  <c r="P394" i="38"/>
  <c r="P393" i="38" s="1"/>
  <c r="P319" i="38"/>
  <c r="L9" i="35"/>
  <c r="L42" i="32"/>
  <c r="L41" i="32" s="1"/>
  <c r="O319" i="38"/>
  <c r="O394" i="38"/>
  <c r="O393" i="38" s="1"/>
  <c r="L12" i="32"/>
  <c r="V13" i="40" s="1"/>
  <c r="Q315" i="38"/>
  <c r="Q314" i="38" s="1"/>
  <c r="Q128" i="28"/>
  <c r="M130" i="26" s="1"/>
  <c r="M125" i="26" s="1"/>
  <c r="M124" i="26" s="1"/>
  <c r="U40" i="40" l="1"/>
  <c r="M70" i="32"/>
  <c r="W55" i="40" s="1"/>
  <c r="W56" i="40"/>
  <c r="Q344" i="38"/>
  <c r="V40" i="40"/>
  <c r="M12" i="32"/>
  <c r="W13" i="40" s="1"/>
  <c r="R315" i="38"/>
  <c r="R314" i="38" s="1"/>
  <c r="M32" i="35"/>
  <c r="M7" i="35" s="1"/>
  <c r="M39" i="32" s="1"/>
  <c r="N33" i="35"/>
  <c r="M26" i="36"/>
  <c r="M20" i="36"/>
  <c r="N35" i="34"/>
  <c r="N34" i="34" s="1"/>
  <c r="T129" i="28"/>
  <c r="N9" i="35"/>
  <c r="N42" i="32"/>
  <c r="N41" i="32" s="1"/>
  <c r="Q394" i="38"/>
  <c r="Q393" i="38" s="1"/>
  <c r="Q319" i="38"/>
  <c r="L34" i="34"/>
  <c r="M9" i="35"/>
  <c r="M42" i="32"/>
  <c r="M41" i="32" s="1"/>
  <c r="R128" i="28"/>
  <c r="N130" i="26" s="1"/>
  <c r="N125" i="26" s="1"/>
  <c r="N124" i="26" s="1"/>
  <c r="R344" i="38" l="1"/>
  <c r="W40" i="40"/>
  <c r="S344" i="38"/>
  <c r="X40" i="40"/>
  <c r="R319" i="38"/>
  <c r="R394" i="38"/>
  <c r="R393" i="38" s="1"/>
  <c r="P35" i="34"/>
  <c r="U129" i="28"/>
  <c r="S128" i="28"/>
  <c r="V129" i="28" l="1"/>
  <c r="R35" i="34" s="1"/>
  <c r="R34" i="34" s="1"/>
  <c r="O130" i="26"/>
  <c r="O125" i="26" s="1"/>
  <c r="O124" i="26" s="1"/>
  <c r="P34" i="34"/>
  <c r="Q35" i="34"/>
  <c r="Q34" i="34" s="1"/>
  <c r="T128" i="28"/>
  <c r="W129" i="28" l="1"/>
  <c r="X129" i="28" s="1"/>
  <c r="P130" i="26"/>
  <c r="P125" i="26" s="1"/>
  <c r="P124" i="26" s="1"/>
  <c r="U128" i="28"/>
  <c r="T35" i="34" l="1"/>
  <c r="T34" i="34" s="1"/>
  <c r="S35" i="34"/>
  <c r="Y129" i="28"/>
  <c r="U35" i="34" s="1"/>
  <c r="U34" i="34" s="1"/>
  <c r="BU129" i="28"/>
  <c r="Q130" i="26"/>
  <c r="Q125" i="26" s="1"/>
  <c r="Q124" i="26" s="1"/>
  <c r="V128" i="28"/>
  <c r="R130" i="26" s="1"/>
  <c r="R125" i="26" s="1"/>
  <c r="R124" i="26" s="1"/>
  <c r="S34" i="34" l="1"/>
  <c r="BQ34" i="34" s="1"/>
  <c r="J74" i="35" s="1"/>
  <c r="BQ35" i="34"/>
  <c r="Z129" i="28"/>
  <c r="W128" i="28"/>
  <c r="V35" i="34" l="1"/>
  <c r="V34" i="34" s="1"/>
  <c r="AA129" i="28"/>
  <c r="J86" i="32"/>
  <c r="J26" i="35"/>
  <c r="J76" i="35"/>
  <c r="S130" i="26"/>
  <c r="S125" i="26" s="1"/>
  <c r="BU128" i="28"/>
  <c r="X128" i="28"/>
  <c r="O411" i="38" l="1"/>
  <c r="T64" i="40"/>
  <c r="AB129" i="28"/>
  <c r="W35" i="34"/>
  <c r="W34" i="34" s="1"/>
  <c r="K73" i="35"/>
  <c r="J72" i="35"/>
  <c r="J60" i="35" s="1"/>
  <c r="J37" i="32" s="1"/>
  <c r="T130" i="26"/>
  <c r="T125" i="26" s="1"/>
  <c r="S124" i="26"/>
  <c r="BQ124" i="26" s="1"/>
  <c r="BQ125" i="26"/>
  <c r="Y128" i="28"/>
  <c r="U130" i="26" s="1"/>
  <c r="U125" i="26" s="1"/>
  <c r="U124" i="26" s="1"/>
  <c r="X35" i="34" l="1"/>
  <c r="X34" i="34" s="1"/>
  <c r="AC129" i="28"/>
  <c r="BW124" i="26"/>
  <c r="T124" i="26"/>
  <c r="Z128" i="28"/>
  <c r="V130" i="26" s="1"/>
  <c r="V125" i="26" s="1"/>
  <c r="V124" i="26" s="1"/>
  <c r="Y35" i="34" l="1"/>
  <c r="Y34" i="34" s="1"/>
  <c r="AD129" i="28"/>
  <c r="AA128" i="28"/>
  <c r="AE129" i="28" l="1"/>
  <c r="Z35" i="34"/>
  <c r="Z34" i="34" s="1"/>
  <c r="W130" i="26"/>
  <c r="W125" i="26" s="1"/>
  <c r="AB128" i="28"/>
  <c r="X130" i="26" s="1"/>
  <c r="X125" i="26" s="1"/>
  <c r="X124" i="26" s="1"/>
  <c r="AF129" i="28" l="1"/>
  <c r="AA35" i="34"/>
  <c r="AA34" i="34" s="1"/>
  <c r="W124" i="26"/>
  <c r="AC128" i="28"/>
  <c r="Y130" i="26" s="1"/>
  <c r="Y125" i="26" s="1"/>
  <c r="Y124" i="26" s="1"/>
  <c r="AB35" i="34" l="1"/>
  <c r="AB34" i="34" s="1"/>
  <c r="AG129" i="28"/>
  <c r="AD128" i="28"/>
  <c r="Z130" i="26" s="1"/>
  <c r="Z125" i="26" s="1"/>
  <c r="Z124" i="26" s="1"/>
  <c r="AC35" i="34" l="1"/>
  <c r="AC34" i="34" s="1"/>
  <c r="AH129" i="28"/>
  <c r="AE128" i="28"/>
  <c r="AA130" i="26" s="1"/>
  <c r="AA125" i="26" s="1"/>
  <c r="AA124" i="26" s="1"/>
  <c r="AI129" i="28" l="1"/>
  <c r="AD35" i="34"/>
  <c r="AD34" i="34" s="1"/>
  <c r="AF128" i="28"/>
  <c r="AB130" i="26" s="1"/>
  <c r="AB125" i="26" s="1"/>
  <c r="AB124" i="26" s="1"/>
  <c r="BV129" i="28" l="1"/>
  <c r="AJ129" i="28"/>
  <c r="AE35" i="34"/>
  <c r="AG128" i="28"/>
  <c r="AC130" i="26" s="1"/>
  <c r="AC125" i="26" s="1"/>
  <c r="AC124" i="26" s="1"/>
  <c r="AE34" i="34" l="1"/>
  <c r="BR34" i="34" s="1"/>
  <c r="K74" i="35" s="1"/>
  <c r="BR35" i="34"/>
  <c r="AK129" i="28"/>
  <c r="AF35" i="34"/>
  <c r="AF34" i="34" s="1"/>
  <c r="AH128" i="28"/>
  <c r="AD130" i="26" s="1"/>
  <c r="AD125" i="26" s="1"/>
  <c r="AD124" i="26" s="1"/>
  <c r="AG35" i="34" l="1"/>
  <c r="AG34" i="34" s="1"/>
  <c r="AL129" i="28"/>
  <c r="K26" i="35"/>
  <c r="K76" i="35"/>
  <c r="K86" i="32"/>
  <c r="AI128" i="28"/>
  <c r="L73" i="35" l="1"/>
  <c r="K72" i="35"/>
  <c r="K60" i="35" s="1"/>
  <c r="K37" i="32" s="1"/>
  <c r="AM129" i="28"/>
  <c r="AH35" i="34"/>
  <c r="AH34" i="34" s="1"/>
  <c r="P411" i="38"/>
  <c r="U64" i="40"/>
  <c r="AE130" i="26"/>
  <c r="AE125" i="26" s="1"/>
  <c r="BV128" i="28"/>
  <c r="AJ128" i="28"/>
  <c r="AN129" i="28" l="1"/>
  <c r="AJ35" i="34" s="1"/>
  <c r="AJ34" i="34" s="1"/>
  <c r="AI35" i="34"/>
  <c r="AI34" i="34" s="1"/>
  <c r="AO129" i="28"/>
  <c r="AF130" i="26"/>
  <c r="AF125" i="26" s="1"/>
  <c r="AE124" i="26"/>
  <c r="BR124" i="26" s="1"/>
  <c r="BR125" i="26"/>
  <c r="AP129" i="28"/>
  <c r="AK35" i="34"/>
  <c r="AK34" i="34" s="1"/>
  <c r="AK128" i="28"/>
  <c r="AG130" i="26" s="1"/>
  <c r="AG125" i="26" s="1"/>
  <c r="AG124" i="26" s="1"/>
  <c r="BX124" i="26" l="1"/>
  <c r="AF124" i="26"/>
  <c r="AQ129" i="28"/>
  <c r="AL35" i="34"/>
  <c r="AL128" i="28"/>
  <c r="AH130" i="26" s="1"/>
  <c r="AH125" i="26" s="1"/>
  <c r="AH124" i="26" s="1"/>
  <c r="AL34" i="34" l="1"/>
  <c r="AR129" i="28"/>
  <c r="AM35" i="34"/>
  <c r="AM34" i="34" s="1"/>
  <c r="AM128" i="28"/>
  <c r="AI130" i="26" l="1"/>
  <c r="AI125" i="26" s="1"/>
  <c r="AS129" i="28"/>
  <c r="AN35" i="34"/>
  <c r="AN34" i="34" s="1"/>
  <c r="AN128" i="28"/>
  <c r="AJ130" i="26" s="1"/>
  <c r="AJ125" i="26" s="1"/>
  <c r="AJ124" i="26" s="1"/>
  <c r="AI124" i="26" l="1"/>
  <c r="AT129" i="28"/>
  <c r="AO35" i="34"/>
  <c r="AO34" i="34" s="1"/>
  <c r="AO128" i="28"/>
  <c r="AK130" i="26" s="1"/>
  <c r="AK125" i="26" s="1"/>
  <c r="AK124" i="26" s="1"/>
  <c r="AU129" i="28" l="1"/>
  <c r="AP35" i="34"/>
  <c r="AP34" i="34" s="1"/>
  <c r="AP128" i="28"/>
  <c r="AL130" i="26" s="1"/>
  <c r="AL125" i="26" s="1"/>
  <c r="AL124" i="26" s="1"/>
  <c r="AV129" i="28" l="1"/>
  <c r="AQ35" i="34"/>
  <c r="BW129" i="28"/>
  <c r="AQ128" i="28"/>
  <c r="AM130" i="26" s="1"/>
  <c r="AM125" i="26" s="1"/>
  <c r="AM124" i="26" s="1"/>
  <c r="AQ34" i="34" l="1"/>
  <c r="BS34" i="34" s="1"/>
  <c r="L74" i="35" s="1"/>
  <c r="BS35" i="34"/>
  <c r="AW129" i="28"/>
  <c r="AR35" i="34"/>
  <c r="AR128" i="28"/>
  <c r="AN130" i="26" s="1"/>
  <c r="AN125" i="26" s="1"/>
  <c r="AN124" i="26" s="1"/>
  <c r="AX129" i="28" l="1"/>
  <c r="AS35" i="34"/>
  <c r="AS34" i="34" s="1"/>
  <c r="AR34" i="34"/>
  <c r="L86" i="32"/>
  <c r="L26" i="35"/>
  <c r="L76" i="35"/>
  <c r="AS128" i="28"/>
  <c r="AO130" i="26" s="1"/>
  <c r="AO125" i="26" s="1"/>
  <c r="AO124" i="26" s="1"/>
  <c r="Q411" i="38" l="1"/>
  <c r="V64" i="40"/>
  <c r="M73" i="35"/>
  <c r="L72" i="35"/>
  <c r="L60" i="35" s="1"/>
  <c r="L37" i="32" s="1"/>
  <c r="AY129" i="28"/>
  <c r="AT35" i="34"/>
  <c r="AT128" i="28"/>
  <c r="AP130" i="26" s="1"/>
  <c r="AP125" i="26" s="1"/>
  <c r="AP124" i="26" s="1"/>
  <c r="AZ129" i="28" l="1"/>
  <c r="AU35" i="34"/>
  <c r="AU34" i="34" s="1"/>
  <c r="AT34" i="34"/>
  <c r="AU128" i="28"/>
  <c r="AQ130" i="26" l="1"/>
  <c r="AQ125" i="26" s="1"/>
  <c r="BW128" i="28"/>
  <c r="BA129" i="28"/>
  <c r="AV35" i="34"/>
  <c r="AV128" i="28"/>
  <c r="AR130" i="26" l="1"/>
  <c r="AR125" i="26" s="1"/>
  <c r="AQ124" i="26"/>
  <c r="BS124" i="26" s="1"/>
  <c r="BS125" i="26"/>
  <c r="AV34" i="34"/>
  <c r="BB129" i="28"/>
  <c r="AW35" i="34"/>
  <c r="AW34" i="34" s="1"/>
  <c r="AW128" i="28"/>
  <c r="AS130" i="26" s="1"/>
  <c r="AS125" i="26" s="1"/>
  <c r="AS124" i="26" s="1"/>
  <c r="BY124" i="26" l="1"/>
  <c r="AR124" i="26"/>
  <c r="BC129" i="28"/>
  <c r="AX35" i="34"/>
  <c r="AX34" i="34" s="1"/>
  <c r="AX128" i="28"/>
  <c r="AT130" i="26" s="1"/>
  <c r="AT125" i="26" s="1"/>
  <c r="AT124" i="26" s="1"/>
  <c r="BD129" i="28" l="1"/>
  <c r="AY35" i="34"/>
  <c r="AY34" i="34" s="1"/>
  <c r="AY128" i="28"/>
  <c r="AU130" i="26" l="1"/>
  <c r="AU125" i="26" s="1"/>
  <c r="BE129" i="28"/>
  <c r="AZ35" i="34"/>
  <c r="AZ34" i="34" s="1"/>
  <c r="AZ128" i="28"/>
  <c r="AV130" i="26" s="1"/>
  <c r="AV125" i="26" s="1"/>
  <c r="AV124" i="26" s="1"/>
  <c r="AU124" i="26" l="1"/>
  <c r="BF129" i="28"/>
  <c r="BA35" i="34"/>
  <c r="BA34" i="34" s="1"/>
  <c r="BA128" i="28"/>
  <c r="AW130" i="26" s="1"/>
  <c r="AW125" i="26" s="1"/>
  <c r="AW124" i="26" s="1"/>
  <c r="BG129" i="28" l="1"/>
  <c r="BB35" i="34"/>
  <c r="BB34" i="34" s="1"/>
  <c r="BB128" i="28"/>
  <c r="AX130" i="26" s="1"/>
  <c r="AX125" i="26" s="1"/>
  <c r="AX124" i="26" s="1"/>
  <c r="BH129" i="28" l="1"/>
  <c r="BC35" i="34"/>
  <c r="BX129" i="28"/>
  <c r="BC128" i="28"/>
  <c r="AY130" i="26" s="1"/>
  <c r="AY125" i="26" s="1"/>
  <c r="AY124" i="26" s="1"/>
  <c r="BI129" i="28" l="1"/>
  <c r="BD35" i="34"/>
  <c r="BC34" i="34"/>
  <c r="BT34" i="34" s="1"/>
  <c r="M74" i="35" s="1"/>
  <c r="BT35" i="34"/>
  <c r="BD128" i="28"/>
  <c r="AZ130" i="26" s="1"/>
  <c r="AZ125" i="26" s="1"/>
  <c r="AZ124" i="26" s="1"/>
  <c r="M86" i="32" l="1"/>
  <c r="M26" i="35"/>
  <c r="M76" i="35"/>
  <c r="BD34" i="34"/>
  <c r="BJ129" i="28"/>
  <c r="BE35" i="34"/>
  <c r="BE34" i="34" s="1"/>
  <c r="BE128" i="28"/>
  <c r="BA130" i="26" s="1"/>
  <c r="BA125" i="26" s="1"/>
  <c r="BA124" i="26" s="1"/>
  <c r="R411" i="38" l="1"/>
  <c r="W64" i="40"/>
  <c r="N73" i="35"/>
  <c r="M72" i="35"/>
  <c r="M60" i="35" s="1"/>
  <c r="M37" i="32" s="1"/>
  <c r="BK129" i="28"/>
  <c r="BF35" i="34"/>
  <c r="BF34" i="34" s="1"/>
  <c r="BF128" i="28"/>
  <c r="BB130" i="26" s="1"/>
  <c r="BB125" i="26" s="1"/>
  <c r="BB124" i="26" s="1"/>
  <c r="BL129" i="28" l="1"/>
  <c r="BG35" i="34"/>
  <c r="BG128" i="28"/>
  <c r="BC130" i="26" l="1"/>
  <c r="BC125" i="26" s="1"/>
  <c r="BX128" i="28"/>
  <c r="BG34" i="34"/>
  <c r="BM129" i="28"/>
  <c r="BH35" i="34"/>
  <c r="BH34" i="34" s="1"/>
  <c r="BH128" i="28"/>
  <c r="BD130" i="26" l="1"/>
  <c r="BD125" i="26" s="1"/>
  <c r="BC124" i="26"/>
  <c r="BT124" i="26" s="1"/>
  <c r="BT125" i="26"/>
  <c r="BN129" i="28"/>
  <c r="BI35" i="34"/>
  <c r="BI34" i="34" s="1"/>
  <c r="BI128" i="28"/>
  <c r="BE130" i="26" s="1"/>
  <c r="BE125" i="26" s="1"/>
  <c r="BE124" i="26" s="1"/>
  <c r="BZ124" i="26" l="1"/>
  <c r="BD124" i="26"/>
  <c r="BO129" i="28"/>
  <c r="BJ35" i="34"/>
  <c r="BJ34" i="34" s="1"/>
  <c r="BJ128" i="28"/>
  <c r="BF130" i="26" s="1"/>
  <c r="BF125" i="26" s="1"/>
  <c r="BF124" i="26" s="1"/>
  <c r="BP129" i="28" l="1"/>
  <c r="BK35" i="34"/>
  <c r="BK34" i="34" s="1"/>
  <c r="BK128" i="28"/>
  <c r="BG130" i="26" l="1"/>
  <c r="BG125" i="26" s="1"/>
  <c r="BQ129" i="28"/>
  <c r="BL35" i="34"/>
  <c r="BL34" i="34" s="1"/>
  <c r="BL128" i="28"/>
  <c r="BH130" i="26" s="1"/>
  <c r="BH125" i="26" s="1"/>
  <c r="BH124" i="26" s="1"/>
  <c r="BG124" i="26" l="1"/>
  <c r="BR129" i="28"/>
  <c r="BM35" i="34"/>
  <c r="BM34" i="34" s="1"/>
  <c r="BM128" i="28"/>
  <c r="BI130" i="26" s="1"/>
  <c r="BI125" i="26" s="1"/>
  <c r="BI124" i="26" s="1"/>
  <c r="BS129" i="28" l="1"/>
  <c r="BN35" i="34"/>
  <c r="BN34" i="34" s="1"/>
  <c r="BN128" i="28"/>
  <c r="BJ130" i="26" s="1"/>
  <c r="BJ125" i="26" s="1"/>
  <c r="BJ124" i="26" s="1"/>
  <c r="BO35" i="34" l="1"/>
  <c r="BY129" i="28"/>
  <c r="BO128" i="28"/>
  <c r="BK130" i="26" s="1"/>
  <c r="BK125" i="26" s="1"/>
  <c r="BK124" i="26" s="1"/>
  <c r="BO34" i="34" l="1"/>
  <c r="BU34" i="34" s="1"/>
  <c r="N74" i="35" s="1"/>
  <c r="BU35" i="34"/>
  <c r="BP128" i="28"/>
  <c r="BL130" i="26" s="1"/>
  <c r="BL125" i="26" s="1"/>
  <c r="BL124" i="26" s="1"/>
  <c r="N86" i="32" l="1"/>
  <c r="N26" i="35"/>
  <c r="N76" i="35"/>
  <c r="N72" i="35" s="1"/>
  <c r="N60" i="35" s="1"/>
  <c r="N37" i="32" s="1"/>
  <c r="BQ128" i="28"/>
  <c r="BM130" i="26" s="1"/>
  <c r="BM125" i="26" s="1"/>
  <c r="BM124" i="26" s="1"/>
  <c r="S411" i="38" l="1"/>
  <c r="X64" i="40"/>
  <c r="BS128" i="28"/>
  <c r="BR128" i="28"/>
  <c r="BN130" i="26" s="1"/>
  <c r="BN125" i="26" s="1"/>
  <c r="BN124" i="26" s="1"/>
  <c r="BO130" i="26" l="1"/>
  <c r="BO125" i="26" s="1"/>
  <c r="BY128" i="28"/>
  <c r="BO110" i="26"/>
  <c r="BN110" i="26"/>
  <c r="BM110" i="26"/>
  <c r="BL110" i="26"/>
  <c r="BK110" i="26"/>
  <c r="BJ110" i="26"/>
  <c r="BI110" i="26"/>
  <c r="BH110" i="26"/>
  <c r="BG110" i="26"/>
  <c r="BF110" i="26"/>
  <c r="BE110" i="26"/>
  <c r="BD110" i="26"/>
  <c r="BC110" i="26"/>
  <c r="BB110" i="26"/>
  <c r="BA110" i="26"/>
  <c r="AZ110" i="26"/>
  <c r="AY110" i="26"/>
  <c r="AX110" i="26"/>
  <c r="AW110" i="26"/>
  <c r="AV110" i="26"/>
  <c r="AU110" i="26"/>
  <c r="AT110" i="26"/>
  <c r="AS110" i="26"/>
  <c r="AR110" i="26"/>
  <c r="AQ110" i="26"/>
  <c r="AP110" i="26"/>
  <c r="AO110" i="26"/>
  <c r="AN110" i="26"/>
  <c r="AM110" i="26"/>
  <c r="AL110" i="26"/>
  <c r="AK110" i="26"/>
  <c r="AJ110" i="26"/>
  <c r="AI110" i="26"/>
  <c r="AH110" i="26"/>
  <c r="AG110" i="26"/>
  <c r="AF110" i="26"/>
  <c r="AE110" i="26"/>
  <c r="AD110" i="26"/>
  <c r="AC110" i="26"/>
  <c r="AB110" i="26"/>
  <c r="AA110" i="26"/>
  <c r="Z110" i="26"/>
  <c r="Y110" i="26"/>
  <c r="X110" i="26"/>
  <c r="W110" i="26"/>
  <c r="V110" i="26"/>
  <c r="U110" i="26"/>
  <c r="T110" i="26"/>
  <c r="S110" i="26"/>
  <c r="R110" i="26"/>
  <c r="Q110" i="26"/>
  <c r="P110" i="26"/>
  <c r="O110" i="26"/>
  <c r="N110" i="26"/>
  <c r="M110" i="26"/>
  <c r="L110" i="26"/>
  <c r="K110" i="26"/>
  <c r="J110" i="26"/>
  <c r="I110" i="26"/>
  <c r="BO108" i="26"/>
  <c r="BN108" i="26"/>
  <c r="BM108" i="26"/>
  <c r="BL108" i="26"/>
  <c r="BK108" i="26"/>
  <c r="BJ108" i="26"/>
  <c r="BI108" i="26"/>
  <c r="BH108" i="26"/>
  <c r="BG108" i="26"/>
  <c r="BF108" i="26"/>
  <c r="BE108" i="26"/>
  <c r="BD108" i="26"/>
  <c r="BC108" i="26"/>
  <c r="BB108" i="26"/>
  <c r="BA108" i="26"/>
  <c r="AZ108" i="26"/>
  <c r="AY108" i="26"/>
  <c r="AX108" i="26"/>
  <c r="AW108" i="26"/>
  <c r="AV108" i="26"/>
  <c r="AU108" i="26"/>
  <c r="AT108" i="26"/>
  <c r="AS108" i="26"/>
  <c r="AR108" i="26"/>
  <c r="AQ108" i="26"/>
  <c r="AP108" i="26"/>
  <c r="AO108" i="26"/>
  <c r="AN108" i="26"/>
  <c r="AM108" i="26"/>
  <c r="AL108" i="26"/>
  <c r="AK108" i="26"/>
  <c r="AJ108" i="26"/>
  <c r="AI108" i="26"/>
  <c r="AH108" i="26"/>
  <c r="AG108" i="26"/>
  <c r="AF108" i="26"/>
  <c r="AE108" i="26"/>
  <c r="AD108" i="26"/>
  <c r="AC108" i="26"/>
  <c r="AB108" i="26"/>
  <c r="AA108" i="26"/>
  <c r="Z108" i="26"/>
  <c r="Y108" i="26"/>
  <c r="X108" i="26"/>
  <c r="W108" i="26"/>
  <c r="V108" i="26"/>
  <c r="U108" i="26"/>
  <c r="T108" i="26"/>
  <c r="S108" i="26"/>
  <c r="R108" i="26"/>
  <c r="Q108" i="26"/>
  <c r="P108" i="26"/>
  <c r="O108" i="26"/>
  <c r="N108" i="26"/>
  <c r="M108" i="26"/>
  <c r="L108" i="26"/>
  <c r="K108" i="26"/>
  <c r="J108" i="26"/>
  <c r="I108" i="26"/>
  <c r="BO107" i="26"/>
  <c r="BN107" i="26"/>
  <c r="BM107" i="26"/>
  <c r="BL107" i="26"/>
  <c r="BK107" i="26"/>
  <c r="BJ107" i="26"/>
  <c r="BI107" i="26"/>
  <c r="BH107" i="26"/>
  <c r="BG107" i="26"/>
  <c r="BF107" i="26"/>
  <c r="BE107" i="26"/>
  <c r="BD107" i="26"/>
  <c r="BC107" i="26"/>
  <c r="BB107" i="26"/>
  <c r="BA107" i="26"/>
  <c r="AZ107" i="26"/>
  <c r="AY107" i="26"/>
  <c r="AX107" i="26"/>
  <c r="AW107" i="26"/>
  <c r="AV107" i="26"/>
  <c r="AU107" i="26"/>
  <c r="AT107" i="26"/>
  <c r="AS107" i="26"/>
  <c r="AR107" i="26"/>
  <c r="AQ107" i="26"/>
  <c r="AP107" i="26"/>
  <c r="AO107" i="26"/>
  <c r="AN107" i="26"/>
  <c r="AM107" i="26"/>
  <c r="AL107" i="26"/>
  <c r="AK107" i="26"/>
  <c r="AJ107" i="26"/>
  <c r="AI107" i="26"/>
  <c r="AH107" i="26"/>
  <c r="AG107" i="26"/>
  <c r="AF107" i="26"/>
  <c r="AE107" i="26"/>
  <c r="AD107" i="26"/>
  <c r="AC107" i="26"/>
  <c r="AB107" i="26"/>
  <c r="AA107" i="26"/>
  <c r="Z107" i="26"/>
  <c r="Y107" i="26"/>
  <c r="X107" i="26"/>
  <c r="W107" i="26"/>
  <c r="V107" i="26"/>
  <c r="U107" i="26"/>
  <c r="T107" i="26"/>
  <c r="S107" i="26"/>
  <c r="R107" i="26"/>
  <c r="Q107" i="26"/>
  <c r="P107" i="26"/>
  <c r="O107" i="26"/>
  <c r="N107" i="26"/>
  <c r="M107" i="26"/>
  <c r="L107" i="26"/>
  <c r="K107" i="26"/>
  <c r="J107" i="26"/>
  <c r="I107" i="26"/>
  <c r="BO106" i="26"/>
  <c r="BN106" i="26"/>
  <c r="BM106" i="26"/>
  <c r="BL106" i="26"/>
  <c r="BK106" i="26"/>
  <c r="BJ106" i="26"/>
  <c r="BI106" i="26"/>
  <c r="BH106" i="26"/>
  <c r="BG106" i="26"/>
  <c r="BF106" i="26"/>
  <c r="BE106" i="26"/>
  <c r="BD106" i="26"/>
  <c r="BC106" i="26"/>
  <c r="BB106" i="26"/>
  <c r="BA106" i="26"/>
  <c r="AZ106" i="26"/>
  <c r="AY106" i="26"/>
  <c r="AX106" i="26"/>
  <c r="AW106" i="26"/>
  <c r="AV106" i="26"/>
  <c r="AU106" i="26"/>
  <c r="AT106" i="26"/>
  <c r="AS106" i="26"/>
  <c r="AR106" i="26"/>
  <c r="AQ106" i="26"/>
  <c r="AP106" i="26"/>
  <c r="AO106" i="26"/>
  <c r="AN106" i="26"/>
  <c r="AM106" i="26"/>
  <c r="AL106" i="26"/>
  <c r="AK106" i="26"/>
  <c r="AJ106" i="26"/>
  <c r="AI106" i="26"/>
  <c r="AH106" i="26"/>
  <c r="AG106" i="26"/>
  <c r="AF106" i="26"/>
  <c r="AE106" i="26"/>
  <c r="AD106" i="26"/>
  <c r="AC106" i="26"/>
  <c r="AB106" i="26"/>
  <c r="AA106" i="26"/>
  <c r="Z106" i="26"/>
  <c r="Y106" i="26"/>
  <c r="X106" i="26"/>
  <c r="W106" i="26"/>
  <c r="V106" i="26"/>
  <c r="U106" i="26"/>
  <c r="T106" i="26"/>
  <c r="S106" i="26"/>
  <c r="R106" i="26"/>
  <c r="Q106" i="26"/>
  <c r="P106" i="26"/>
  <c r="O106" i="26"/>
  <c r="N106" i="26"/>
  <c r="M106" i="26"/>
  <c r="L106" i="26"/>
  <c r="K106" i="26"/>
  <c r="J106" i="26"/>
  <c r="I106" i="26"/>
  <c r="BO105" i="26"/>
  <c r="BN105" i="26"/>
  <c r="BM105" i="26"/>
  <c r="BL105" i="26"/>
  <c r="BK105" i="26"/>
  <c r="BJ105" i="26"/>
  <c r="BI105" i="26"/>
  <c r="BH105" i="26"/>
  <c r="BG105" i="26"/>
  <c r="BF105" i="26"/>
  <c r="BE105" i="26"/>
  <c r="BD105" i="26"/>
  <c r="BC105" i="26"/>
  <c r="BB105" i="26"/>
  <c r="BA105" i="26"/>
  <c r="AZ105" i="26"/>
  <c r="AY105" i="26"/>
  <c r="AX105" i="26"/>
  <c r="AW105" i="26"/>
  <c r="AV105" i="26"/>
  <c r="AU105" i="26"/>
  <c r="AT105" i="26"/>
  <c r="AS105" i="26"/>
  <c r="AR105" i="26"/>
  <c r="AQ105" i="26"/>
  <c r="AP105" i="26"/>
  <c r="AO105" i="26"/>
  <c r="AN105" i="26"/>
  <c r="AM105" i="26"/>
  <c r="AL105" i="26"/>
  <c r="AK105" i="26"/>
  <c r="AJ105" i="26"/>
  <c r="AI105" i="26"/>
  <c r="AH105" i="26"/>
  <c r="AG105" i="26"/>
  <c r="AF105" i="26"/>
  <c r="AE105" i="26"/>
  <c r="AD105" i="26"/>
  <c r="AC105" i="26"/>
  <c r="AB105" i="26"/>
  <c r="AA105" i="26"/>
  <c r="Z105" i="26"/>
  <c r="Y105" i="26"/>
  <c r="X105" i="26"/>
  <c r="W105" i="26"/>
  <c r="V105" i="26"/>
  <c r="U105" i="26"/>
  <c r="T105" i="26"/>
  <c r="S105" i="26"/>
  <c r="R105" i="26"/>
  <c r="Q105" i="26"/>
  <c r="P105" i="26"/>
  <c r="O105" i="26"/>
  <c r="N105" i="26"/>
  <c r="M105" i="26"/>
  <c r="L105" i="26"/>
  <c r="K105" i="26"/>
  <c r="J105" i="26"/>
  <c r="I105" i="26"/>
  <c r="BO104" i="26"/>
  <c r="BN104" i="26"/>
  <c r="BM104" i="26"/>
  <c r="BL104" i="26"/>
  <c r="BK104" i="26"/>
  <c r="BJ104" i="26"/>
  <c r="BI104" i="26"/>
  <c r="BH104" i="26"/>
  <c r="BG104" i="26"/>
  <c r="BF104" i="26"/>
  <c r="BE104" i="26"/>
  <c r="BD104" i="26"/>
  <c r="BC104" i="26"/>
  <c r="BB104" i="26"/>
  <c r="BA104" i="26"/>
  <c r="AZ104" i="26"/>
  <c r="AY104" i="26"/>
  <c r="AX104" i="26"/>
  <c r="AW104" i="26"/>
  <c r="AV104" i="26"/>
  <c r="AU104" i="26"/>
  <c r="AT104" i="26"/>
  <c r="AS104" i="26"/>
  <c r="AR104" i="26"/>
  <c r="AQ104" i="26"/>
  <c r="AP104" i="26"/>
  <c r="AO104" i="26"/>
  <c r="AN104" i="26"/>
  <c r="AM104" i="26"/>
  <c r="AL104" i="26"/>
  <c r="AK104" i="26"/>
  <c r="AJ104" i="26"/>
  <c r="AI104" i="26"/>
  <c r="AH104" i="26"/>
  <c r="AG104" i="26"/>
  <c r="AF104" i="26"/>
  <c r="AE104" i="26"/>
  <c r="AD104" i="26"/>
  <c r="AC104" i="26"/>
  <c r="AB104" i="26"/>
  <c r="AA104" i="26"/>
  <c r="Z104" i="26"/>
  <c r="Y104" i="26"/>
  <c r="X104" i="26"/>
  <c r="W104" i="26"/>
  <c r="V104" i="26"/>
  <c r="U104" i="26"/>
  <c r="T104" i="26"/>
  <c r="S104" i="26"/>
  <c r="R104" i="26"/>
  <c r="Q104" i="26"/>
  <c r="P104" i="26"/>
  <c r="O104" i="26"/>
  <c r="N104" i="26"/>
  <c r="M104" i="26"/>
  <c r="L104" i="26"/>
  <c r="K104" i="26"/>
  <c r="J104" i="26"/>
  <c r="I104" i="26"/>
  <c r="BO103" i="26"/>
  <c r="BN103" i="26"/>
  <c r="BM103" i="26"/>
  <c r="BL103" i="26"/>
  <c r="BK103" i="26"/>
  <c r="BJ103" i="26"/>
  <c r="BI103" i="26"/>
  <c r="BH103" i="26"/>
  <c r="BG103" i="26"/>
  <c r="BF103" i="26"/>
  <c r="BE103" i="26"/>
  <c r="BD103" i="26"/>
  <c r="BC103" i="26"/>
  <c r="BB103" i="26"/>
  <c r="BA103" i="26"/>
  <c r="AZ103" i="26"/>
  <c r="AY103" i="26"/>
  <c r="AX103" i="26"/>
  <c r="AW103" i="26"/>
  <c r="AV103" i="26"/>
  <c r="AU103" i="26"/>
  <c r="AT103" i="26"/>
  <c r="AS103" i="26"/>
  <c r="AR103" i="26"/>
  <c r="AQ103" i="26"/>
  <c r="AP103" i="26"/>
  <c r="AO103" i="26"/>
  <c r="AN103" i="26"/>
  <c r="AM103" i="26"/>
  <c r="AL103" i="26"/>
  <c r="AK103" i="26"/>
  <c r="AJ103" i="26"/>
  <c r="AI103" i="26"/>
  <c r="AH103" i="26"/>
  <c r="AG103" i="26"/>
  <c r="AF103" i="26"/>
  <c r="AE103" i="26"/>
  <c r="AD103" i="26"/>
  <c r="AC103" i="26"/>
  <c r="AB103" i="26"/>
  <c r="AA103" i="26"/>
  <c r="Z103" i="26"/>
  <c r="Y103" i="26"/>
  <c r="X103" i="26"/>
  <c r="W103" i="26"/>
  <c r="V103" i="26"/>
  <c r="U103" i="26"/>
  <c r="T103" i="26"/>
  <c r="S103" i="26"/>
  <c r="R103" i="26"/>
  <c r="Q103" i="26"/>
  <c r="P103" i="26"/>
  <c r="O103" i="26"/>
  <c r="N103" i="26"/>
  <c r="M103" i="26"/>
  <c r="L103" i="26"/>
  <c r="K103" i="26"/>
  <c r="J103" i="26"/>
  <c r="I103" i="26"/>
  <c r="BO102" i="26"/>
  <c r="BN102" i="26"/>
  <c r="BM102" i="26"/>
  <c r="BL102" i="26"/>
  <c r="BK102" i="26"/>
  <c r="BJ102" i="26"/>
  <c r="BI102" i="26"/>
  <c r="BH102" i="26"/>
  <c r="BG102" i="26"/>
  <c r="BF102" i="26"/>
  <c r="BE102" i="26"/>
  <c r="BD102" i="26"/>
  <c r="BC102" i="26"/>
  <c r="BB102" i="26"/>
  <c r="BA102" i="26"/>
  <c r="AZ102" i="26"/>
  <c r="AY102" i="26"/>
  <c r="AX102" i="26"/>
  <c r="AW102" i="26"/>
  <c r="AV102" i="26"/>
  <c r="AU102" i="26"/>
  <c r="AT102" i="26"/>
  <c r="AS102" i="26"/>
  <c r="AR102" i="26"/>
  <c r="AQ102" i="26"/>
  <c r="AP102" i="26"/>
  <c r="AO102" i="26"/>
  <c r="AN102" i="26"/>
  <c r="AM102" i="26"/>
  <c r="AL102" i="26"/>
  <c r="AK102" i="26"/>
  <c r="AJ102" i="26"/>
  <c r="AI102" i="26"/>
  <c r="AH102" i="26"/>
  <c r="AG102" i="26"/>
  <c r="AF102" i="26"/>
  <c r="AE102" i="26"/>
  <c r="AD102" i="26"/>
  <c r="AC102" i="26"/>
  <c r="AB102" i="26"/>
  <c r="AA102" i="26"/>
  <c r="Z102" i="26"/>
  <c r="Y102" i="26"/>
  <c r="X102" i="26"/>
  <c r="W102" i="26"/>
  <c r="V102" i="26"/>
  <c r="U102" i="26"/>
  <c r="T102" i="26"/>
  <c r="S102" i="26"/>
  <c r="R102" i="26"/>
  <c r="Q102" i="26"/>
  <c r="P102" i="26"/>
  <c r="O102" i="26"/>
  <c r="N102" i="26"/>
  <c r="M102" i="26"/>
  <c r="L102" i="26"/>
  <c r="K102" i="26"/>
  <c r="J102" i="26"/>
  <c r="I102" i="26"/>
  <c r="BO101" i="26"/>
  <c r="BN101" i="26"/>
  <c r="BM101" i="26"/>
  <c r="BL101" i="26"/>
  <c r="BK101" i="26"/>
  <c r="BJ101" i="26"/>
  <c r="BI101" i="26"/>
  <c r="BH101" i="26"/>
  <c r="BG101" i="26"/>
  <c r="BF101" i="26"/>
  <c r="BE101" i="26"/>
  <c r="BD101" i="26"/>
  <c r="BC101" i="26"/>
  <c r="BB101" i="26"/>
  <c r="BA101" i="26"/>
  <c r="AZ101" i="26"/>
  <c r="AY101" i="26"/>
  <c r="AX101" i="26"/>
  <c r="AW101" i="26"/>
  <c r="AV101" i="26"/>
  <c r="AU101" i="26"/>
  <c r="AT101" i="26"/>
  <c r="AS101" i="26"/>
  <c r="AR101" i="26"/>
  <c r="AQ101" i="26"/>
  <c r="AP101" i="26"/>
  <c r="AO101" i="26"/>
  <c r="AN101" i="26"/>
  <c r="AM101" i="26"/>
  <c r="AL101" i="26"/>
  <c r="AK101" i="26"/>
  <c r="AJ101" i="26"/>
  <c r="AI101" i="26"/>
  <c r="AH101" i="26"/>
  <c r="AG101" i="26"/>
  <c r="AF101" i="26"/>
  <c r="AE101" i="26"/>
  <c r="AD101" i="26"/>
  <c r="AC101" i="26"/>
  <c r="AB101" i="26"/>
  <c r="AA101" i="26"/>
  <c r="Z101" i="26"/>
  <c r="Y101" i="26"/>
  <c r="X101" i="26"/>
  <c r="W101" i="26"/>
  <c r="V101" i="26"/>
  <c r="U101" i="26"/>
  <c r="T101" i="26"/>
  <c r="S101" i="26"/>
  <c r="R101" i="26"/>
  <c r="Q101" i="26"/>
  <c r="P101" i="26"/>
  <c r="O101" i="26"/>
  <c r="N101" i="26"/>
  <c r="M101" i="26"/>
  <c r="L101" i="26"/>
  <c r="K101" i="26"/>
  <c r="J101" i="26"/>
  <c r="I101" i="26"/>
  <c r="BO100" i="26"/>
  <c r="BN100" i="26"/>
  <c r="BM100" i="26"/>
  <c r="BL100" i="26"/>
  <c r="BK100" i="26"/>
  <c r="BJ100" i="26"/>
  <c r="BI100" i="26"/>
  <c r="BH100" i="26"/>
  <c r="BG100" i="26"/>
  <c r="BF100" i="26"/>
  <c r="BE100" i="26"/>
  <c r="BD100" i="26"/>
  <c r="BC100" i="26"/>
  <c r="BB100" i="26"/>
  <c r="BA100" i="26"/>
  <c r="AZ100" i="26"/>
  <c r="AY100" i="26"/>
  <c r="AX100" i="26"/>
  <c r="AW100" i="26"/>
  <c r="AV100" i="26"/>
  <c r="AU100" i="26"/>
  <c r="AT100" i="26"/>
  <c r="AS100" i="26"/>
  <c r="AR100" i="26"/>
  <c r="AQ100" i="26"/>
  <c r="AP100" i="26"/>
  <c r="AO100" i="26"/>
  <c r="AN100" i="26"/>
  <c r="AM100" i="26"/>
  <c r="AL100" i="26"/>
  <c r="AK100" i="26"/>
  <c r="AJ100" i="26"/>
  <c r="AI100" i="26"/>
  <c r="AH100" i="26"/>
  <c r="AG100" i="26"/>
  <c r="AF100" i="26"/>
  <c r="AE100" i="26"/>
  <c r="AD100" i="26"/>
  <c r="AC100" i="26"/>
  <c r="AB100" i="26"/>
  <c r="AA100" i="26"/>
  <c r="Z100" i="26"/>
  <c r="Y100" i="26"/>
  <c r="X100" i="26"/>
  <c r="W100" i="26"/>
  <c r="V100" i="26"/>
  <c r="U100" i="26"/>
  <c r="T100" i="26"/>
  <c r="S100" i="26"/>
  <c r="R100" i="26"/>
  <c r="Q100" i="26"/>
  <c r="P100" i="26"/>
  <c r="O100" i="26"/>
  <c r="N100" i="26"/>
  <c r="M100" i="26"/>
  <c r="L100" i="26"/>
  <c r="K100" i="26"/>
  <c r="J100" i="26"/>
  <c r="I100" i="26"/>
  <c r="BO99" i="26"/>
  <c r="BN99" i="26"/>
  <c r="BM99" i="26"/>
  <c r="BL99" i="26"/>
  <c r="BK99" i="26"/>
  <c r="BJ99" i="26"/>
  <c r="BI99" i="26"/>
  <c r="BH99" i="26"/>
  <c r="BG99" i="26"/>
  <c r="BF99" i="26"/>
  <c r="BE99" i="26"/>
  <c r="BD99" i="26"/>
  <c r="BC99" i="26"/>
  <c r="BB99" i="26"/>
  <c r="BA99" i="26"/>
  <c r="AZ99" i="26"/>
  <c r="AY99" i="26"/>
  <c r="AX99" i="26"/>
  <c r="AW99" i="26"/>
  <c r="AV99" i="26"/>
  <c r="AU99" i="26"/>
  <c r="AT99" i="26"/>
  <c r="AS99" i="26"/>
  <c r="AR99" i="26"/>
  <c r="AQ99" i="26"/>
  <c r="AP99" i="26"/>
  <c r="AO99" i="26"/>
  <c r="AN99" i="26"/>
  <c r="AM99" i="26"/>
  <c r="AL99" i="26"/>
  <c r="AK99" i="26"/>
  <c r="AJ99" i="26"/>
  <c r="AI99" i="26"/>
  <c r="AH99" i="26"/>
  <c r="AG99" i="26"/>
  <c r="AF99" i="26"/>
  <c r="AE99" i="26"/>
  <c r="AD99" i="26"/>
  <c r="AC99" i="26"/>
  <c r="AB99" i="26"/>
  <c r="AA99" i="26"/>
  <c r="Z99" i="26"/>
  <c r="Y99" i="26"/>
  <c r="X99" i="26"/>
  <c r="W99" i="26"/>
  <c r="V99" i="26"/>
  <c r="U99" i="26"/>
  <c r="T99" i="26"/>
  <c r="S99" i="26"/>
  <c r="R99" i="26"/>
  <c r="Q99" i="26"/>
  <c r="P99" i="26"/>
  <c r="O99" i="26"/>
  <c r="N99" i="26"/>
  <c r="M99" i="26"/>
  <c r="L99" i="26"/>
  <c r="K99" i="26"/>
  <c r="J99" i="26"/>
  <c r="I99" i="26"/>
  <c r="BO98" i="26"/>
  <c r="BN98" i="26"/>
  <c r="BM98" i="26"/>
  <c r="BL98" i="26"/>
  <c r="BK98" i="26"/>
  <c r="BJ98" i="26"/>
  <c r="BI98" i="26"/>
  <c r="BH98" i="26"/>
  <c r="BG98" i="26"/>
  <c r="BF98" i="26"/>
  <c r="BE98" i="26"/>
  <c r="BD98" i="26"/>
  <c r="BC98" i="26"/>
  <c r="BB98" i="26"/>
  <c r="BA98" i="26"/>
  <c r="AZ98" i="26"/>
  <c r="AY98" i="26"/>
  <c r="AX98" i="26"/>
  <c r="AW98" i="26"/>
  <c r="AV98" i="26"/>
  <c r="AU98" i="26"/>
  <c r="AT98" i="26"/>
  <c r="AS98" i="26"/>
  <c r="AR98" i="26"/>
  <c r="AQ98" i="26"/>
  <c r="AP98" i="26"/>
  <c r="AO98" i="26"/>
  <c r="AN98" i="26"/>
  <c r="AM98" i="26"/>
  <c r="AL98" i="26"/>
  <c r="AK98" i="26"/>
  <c r="AJ98" i="26"/>
  <c r="AI98" i="26"/>
  <c r="AH98" i="26"/>
  <c r="AG98" i="26"/>
  <c r="AF98" i="26"/>
  <c r="AE98" i="26"/>
  <c r="AD98" i="26"/>
  <c r="AC98" i="26"/>
  <c r="AB98" i="26"/>
  <c r="AA98" i="26"/>
  <c r="Z98" i="26"/>
  <c r="Y98" i="26"/>
  <c r="X98" i="26"/>
  <c r="W98" i="26"/>
  <c r="V98" i="26"/>
  <c r="U98" i="26"/>
  <c r="T98" i="26"/>
  <c r="S98" i="26"/>
  <c r="R98" i="26"/>
  <c r="Q98" i="26"/>
  <c r="P98" i="26"/>
  <c r="O98" i="26"/>
  <c r="N98" i="26"/>
  <c r="M98" i="26"/>
  <c r="L98" i="26"/>
  <c r="K98" i="26"/>
  <c r="J98" i="26"/>
  <c r="I98" i="26"/>
  <c r="BO97" i="26"/>
  <c r="BN97" i="26"/>
  <c r="BM97" i="26"/>
  <c r="BL97" i="26"/>
  <c r="BK97" i="26"/>
  <c r="BJ97" i="26"/>
  <c r="BI97" i="26"/>
  <c r="BH97" i="26"/>
  <c r="BG97" i="26"/>
  <c r="BF97" i="26"/>
  <c r="BE97" i="26"/>
  <c r="BD97" i="26"/>
  <c r="BC97" i="26"/>
  <c r="BB97" i="26"/>
  <c r="BA97" i="26"/>
  <c r="AZ97" i="26"/>
  <c r="AY97" i="26"/>
  <c r="AX97" i="26"/>
  <c r="AW97" i="26"/>
  <c r="AV97" i="26"/>
  <c r="AU97" i="26"/>
  <c r="AT97" i="26"/>
  <c r="AS97" i="26"/>
  <c r="AR97" i="26"/>
  <c r="AQ97" i="26"/>
  <c r="AP97" i="26"/>
  <c r="AO97" i="26"/>
  <c r="AN97" i="26"/>
  <c r="AM97" i="26"/>
  <c r="AL97" i="26"/>
  <c r="AK97" i="26"/>
  <c r="AJ97" i="26"/>
  <c r="AI97" i="26"/>
  <c r="AH97" i="26"/>
  <c r="AG97" i="26"/>
  <c r="AF97" i="26"/>
  <c r="AE97" i="26"/>
  <c r="AD97" i="26"/>
  <c r="AC97" i="26"/>
  <c r="AB97" i="26"/>
  <c r="AA97" i="26"/>
  <c r="Z97" i="26"/>
  <c r="Y97" i="26"/>
  <c r="X97" i="26"/>
  <c r="W97" i="26"/>
  <c r="V97" i="26"/>
  <c r="U97" i="26"/>
  <c r="T97" i="26"/>
  <c r="S97" i="26"/>
  <c r="R97" i="26"/>
  <c r="Q97" i="26"/>
  <c r="P97" i="26"/>
  <c r="O97" i="26"/>
  <c r="N97" i="26"/>
  <c r="M97" i="26"/>
  <c r="L97" i="26"/>
  <c r="K97" i="26"/>
  <c r="J97" i="26"/>
  <c r="I97" i="26"/>
  <c r="BO96" i="26"/>
  <c r="BN96" i="26"/>
  <c r="BM96" i="26"/>
  <c r="BL96" i="26"/>
  <c r="BK96" i="26"/>
  <c r="BJ96" i="26"/>
  <c r="BI96" i="26"/>
  <c r="BH96" i="26"/>
  <c r="BG96" i="26"/>
  <c r="BF96" i="26"/>
  <c r="BE96" i="26"/>
  <c r="BD96" i="26"/>
  <c r="BC96" i="26"/>
  <c r="BB96" i="26"/>
  <c r="BA96" i="26"/>
  <c r="AZ96" i="26"/>
  <c r="AY96" i="26"/>
  <c r="AX96" i="26"/>
  <c r="AW96" i="26"/>
  <c r="AV96" i="26"/>
  <c r="AU96" i="26"/>
  <c r="AT96" i="26"/>
  <c r="AS96" i="26"/>
  <c r="AR96" i="26"/>
  <c r="AQ96" i="26"/>
  <c r="AP96" i="26"/>
  <c r="AO96" i="26"/>
  <c r="AN96" i="26"/>
  <c r="AM96" i="26"/>
  <c r="AL96" i="26"/>
  <c r="AK96" i="26"/>
  <c r="AJ96" i="26"/>
  <c r="AI96" i="26"/>
  <c r="AH96" i="26"/>
  <c r="AG96" i="26"/>
  <c r="AF96" i="26"/>
  <c r="AE96" i="26"/>
  <c r="AD96" i="26"/>
  <c r="AC96" i="26"/>
  <c r="AB96" i="26"/>
  <c r="AA96" i="26"/>
  <c r="Z96" i="26"/>
  <c r="Y96" i="26"/>
  <c r="X96" i="26"/>
  <c r="W96" i="26"/>
  <c r="V96" i="26"/>
  <c r="U96" i="26"/>
  <c r="T96" i="26"/>
  <c r="S96" i="26"/>
  <c r="R96" i="26"/>
  <c r="Q96" i="26"/>
  <c r="P96" i="26"/>
  <c r="O96" i="26"/>
  <c r="N96" i="26"/>
  <c r="M96" i="26"/>
  <c r="L96" i="26"/>
  <c r="K96" i="26"/>
  <c r="J96" i="26"/>
  <c r="I96" i="26"/>
  <c r="BO95" i="26"/>
  <c r="BN95" i="26"/>
  <c r="BM95" i="26"/>
  <c r="BL95" i="26"/>
  <c r="BK95" i="26"/>
  <c r="BJ95" i="26"/>
  <c r="BI95" i="26"/>
  <c r="BH95" i="26"/>
  <c r="BG95" i="26"/>
  <c r="BF95" i="26"/>
  <c r="BE95" i="26"/>
  <c r="BD95" i="26"/>
  <c r="BC95" i="26"/>
  <c r="BB95" i="26"/>
  <c r="BA95" i="26"/>
  <c r="AZ95" i="26"/>
  <c r="AY95" i="26"/>
  <c r="AX95" i="26"/>
  <c r="AW95" i="26"/>
  <c r="AV95" i="26"/>
  <c r="AU95" i="26"/>
  <c r="AT95" i="26"/>
  <c r="AS95" i="26"/>
  <c r="AR95" i="26"/>
  <c r="AQ95" i="26"/>
  <c r="AP95" i="26"/>
  <c r="AO95" i="26"/>
  <c r="AN95" i="26"/>
  <c r="AM95" i="26"/>
  <c r="AL95" i="26"/>
  <c r="AK95" i="26"/>
  <c r="AJ95" i="26"/>
  <c r="AI95" i="26"/>
  <c r="AH95" i="26"/>
  <c r="AG95" i="26"/>
  <c r="AF95" i="26"/>
  <c r="AE95" i="26"/>
  <c r="AD95" i="26"/>
  <c r="AC95" i="26"/>
  <c r="AB95" i="26"/>
  <c r="AA95" i="26"/>
  <c r="Z95" i="26"/>
  <c r="Y95" i="26"/>
  <c r="X95" i="26"/>
  <c r="W95" i="26"/>
  <c r="V95" i="26"/>
  <c r="U95" i="26"/>
  <c r="T95" i="26"/>
  <c r="S95" i="26"/>
  <c r="R95" i="26"/>
  <c r="Q95" i="26"/>
  <c r="P95" i="26"/>
  <c r="O95" i="26"/>
  <c r="N95" i="26"/>
  <c r="M95" i="26"/>
  <c r="L95" i="26"/>
  <c r="K95" i="26"/>
  <c r="J95" i="26"/>
  <c r="I95" i="26"/>
  <c r="BO93" i="26"/>
  <c r="BN93" i="26"/>
  <c r="BM93" i="26"/>
  <c r="BL93" i="26"/>
  <c r="BK93" i="26"/>
  <c r="BJ93" i="26"/>
  <c r="BI93" i="26"/>
  <c r="BH93" i="26"/>
  <c r="BG93" i="26"/>
  <c r="BF93" i="26"/>
  <c r="BE93" i="26"/>
  <c r="BD93" i="26"/>
  <c r="BC93" i="26"/>
  <c r="BB93" i="26"/>
  <c r="BA93" i="26"/>
  <c r="AZ93" i="26"/>
  <c r="AY93" i="26"/>
  <c r="AX93" i="26"/>
  <c r="AW93" i="26"/>
  <c r="AV93" i="26"/>
  <c r="AU93" i="26"/>
  <c r="AT93" i="26"/>
  <c r="AS93" i="26"/>
  <c r="AR93" i="26"/>
  <c r="AQ93" i="26"/>
  <c r="AP93" i="26"/>
  <c r="AO93" i="26"/>
  <c r="AN93" i="26"/>
  <c r="AM93" i="26"/>
  <c r="AL93" i="26"/>
  <c r="AK93" i="26"/>
  <c r="AJ93" i="26"/>
  <c r="AI93" i="26"/>
  <c r="AH93" i="26"/>
  <c r="AG93" i="26"/>
  <c r="AF93" i="26"/>
  <c r="AE93" i="26"/>
  <c r="AD93" i="26"/>
  <c r="AC93" i="26"/>
  <c r="AB93" i="26"/>
  <c r="AA93" i="26"/>
  <c r="Z93" i="26"/>
  <c r="Y93" i="26"/>
  <c r="X93" i="26"/>
  <c r="W93" i="26"/>
  <c r="V93" i="26"/>
  <c r="U93" i="26"/>
  <c r="T93" i="26"/>
  <c r="S93" i="26"/>
  <c r="R93" i="26"/>
  <c r="Q93" i="26"/>
  <c r="P93" i="26"/>
  <c r="O93" i="26"/>
  <c r="N93" i="26"/>
  <c r="M93" i="26"/>
  <c r="L93" i="26"/>
  <c r="K93" i="26"/>
  <c r="J93" i="26"/>
  <c r="I93" i="26"/>
  <c r="BO92" i="26"/>
  <c r="BN92" i="26"/>
  <c r="BM92" i="26"/>
  <c r="BL92" i="26"/>
  <c r="BK92" i="26"/>
  <c r="BJ92" i="26"/>
  <c r="BI92" i="26"/>
  <c r="BH92" i="26"/>
  <c r="BG92" i="26"/>
  <c r="BF92" i="26"/>
  <c r="BE92" i="26"/>
  <c r="BD92" i="26"/>
  <c r="BC92" i="26"/>
  <c r="BB92" i="26"/>
  <c r="BA92" i="26"/>
  <c r="AZ92" i="26"/>
  <c r="AY92" i="26"/>
  <c r="AX92" i="26"/>
  <c r="AW92" i="26"/>
  <c r="AV92" i="26"/>
  <c r="AU92" i="26"/>
  <c r="AT92" i="26"/>
  <c r="AS92" i="26"/>
  <c r="AR92" i="26"/>
  <c r="AQ92" i="26"/>
  <c r="AP92" i="26"/>
  <c r="AO92" i="26"/>
  <c r="AN92" i="26"/>
  <c r="AM92" i="26"/>
  <c r="AL92" i="26"/>
  <c r="AK92" i="26"/>
  <c r="AJ92" i="26"/>
  <c r="AI92" i="26"/>
  <c r="AH92" i="26"/>
  <c r="AG92" i="26"/>
  <c r="AF92" i="26"/>
  <c r="AE92" i="26"/>
  <c r="AD92" i="26"/>
  <c r="AC92" i="26"/>
  <c r="AB92" i="26"/>
  <c r="AA92" i="26"/>
  <c r="Z92" i="26"/>
  <c r="Y92" i="26"/>
  <c r="X92" i="26"/>
  <c r="W92" i="26"/>
  <c r="V92" i="26"/>
  <c r="U92" i="26"/>
  <c r="T92" i="26"/>
  <c r="S92" i="26"/>
  <c r="R92" i="26"/>
  <c r="Q92" i="26"/>
  <c r="P92" i="26"/>
  <c r="O92" i="26"/>
  <c r="N92" i="26"/>
  <c r="M92" i="26"/>
  <c r="L92" i="26"/>
  <c r="K92" i="26"/>
  <c r="J92" i="26"/>
  <c r="I92" i="26"/>
  <c r="BO91" i="26"/>
  <c r="BN91" i="26"/>
  <c r="BM91" i="26"/>
  <c r="BL91" i="26"/>
  <c r="BK91" i="26"/>
  <c r="BJ91" i="26"/>
  <c r="BI91" i="26"/>
  <c r="BH91" i="26"/>
  <c r="BG91" i="26"/>
  <c r="BF91" i="26"/>
  <c r="BE91" i="26"/>
  <c r="BD91" i="26"/>
  <c r="BC91" i="26"/>
  <c r="BB91" i="26"/>
  <c r="BA91" i="26"/>
  <c r="AZ91" i="26"/>
  <c r="AY91" i="26"/>
  <c r="AX91" i="26"/>
  <c r="AW91" i="26"/>
  <c r="AV91" i="26"/>
  <c r="AU91" i="26"/>
  <c r="AT91" i="26"/>
  <c r="AS91" i="26"/>
  <c r="AR91" i="26"/>
  <c r="AQ91" i="26"/>
  <c r="AP91" i="26"/>
  <c r="AO91" i="26"/>
  <c r="AN91" i="26"/>
  <c r="AM91" i="26"/>
  <c r="AL91" i="26"/>
  <c r="AK91" i="26"/>
  <c r="AJ91" i="26"/>
  <c r="AI91" i="26"/>
  <c r="AH91" i="26"/>
  <c r="AG91" i="26"/>
  <c r="AF91" i="26"/>
  <c r="AE91" i="26"/>
  <c r="AD91" i="26"/>
  <c r="AC91" i="26"/>
  <c r="AB91" i="26"/>
  <c r="AA91" i="26"/>
  <c r="Z91" i="26"/>
  <c r="Y91" i="26"/>
  <c r="X91" i="26"/>
  <c r="W91" i="26"/>
  <c r="V91" i="26"/>
  <c r="U91" i="26"/>
  <c r="T91" i="26"/>
  <c r="S91" i="26"/>
  <c r="R91" i="26"/>
  <c r="Q91" i="26"/>
  <c r="P91" i="26"/>
  <c r="O91" i="26"/>
  <c r="N91" i="26"/>
  <c r="M91" i="26"/>
  <c r="L91" i="26"/>
  <c r="K91" i="26"/>
  <c r="J91" i="26"/>
  <c r="I91" i="26"/>
  <c r="BO89" i="26"/>
  <c r="BN89" i="26"/>
  <c r="BM89" i="26"/>
  <c r="BL89" i="26"/>
  <c r="BK89" i="26"/>
  <c r="BJ89" i="26"/>
  <c r="BI89" i="26"/>
  <c r="BH89" i="26"/>
  <c r="BG89" i="26"/>
  <c r="BF89" i="26"/>
  <c r="BE89" i="26"/>
  <c r="BD89" i="26"/>
  <c r="BC89" i="26"/>
  <c r="BB89" i="26"/>
  <c r="BA89" i="26"/>
  <c r="AZ89" i="26"/>
  <c r="AY89" i="26"/>
  <c r="AX89" i="26"/>
  <c r="AW89" i="26"/>
  <c r="AV89" i="26"/>
  <c r="AU89" i="26"/>
  <c r="AT89" i="26"/>
  <c r="AS89" i="26"/>
  <c r="AR89" i="26"/>
  <c r="AQ89" i="26"/>
  <c r="AP89" i="26"/>
  <c r="AO89" i="26"/>
  <c r="AN89" i="26"/>
  <c r="AM89" i="26"/>
  <c r="AL89" i="26"/>
  <c r="AK89" i="26"/>
  <c r="AJ89" i="26"/>
  <c r="AI89" i="26"/>
  <c r="AH89" i="26"/>
  <c r="AG89" i="26"/>
  <c r="AF89" i="26"/>
  <c r="AE89" i="26"/>
  <c r="AD89" i="26"/>
  <c r="AC89" i="26"/>
  <c r="AB89" i="26"/>
  <c r="AA89" i="26"/>
  <c r="Z89" i="26"/>
  <c r="Y89" i="26"/>
  <c r="X89" i="26"/>
  <c r="W89" i="26"/>
  <c r="V89" i="26"/>
  <c r="U89" i="26"/>
  <c r="T89" i="26"/>
  <c r="S89" i="26"/>
  <c r="R89" i="26"/>
  <c r="Q89" i="26"/>
  <c r="P89" i="26"/>
  <c r="O89" i="26"/>
  <c r="N89" i="26"/>
  <c r="M89" i="26"/>
  <c r="L89" i="26"/>
  <c r="K89" i="26"/>
  <c r="J89" i="26"/>
  <c r="I89" i="26"/>
  <c r="BO88" i="26"/>
  <c r="BN88" i="26"/>
  <c r="BM88" i="26"/>
  <c r="BL88" i="26"/>
  <c r="BK88" i="26"/>
  <c r="BJ88" i="26"/>
  <c r="BI88" i="26"/>
  <c r="BH88" i="26"/>
  <c r="BG88" i="26"/>
  <c r="BF88" i="26"/>
  <c r="BE88" i="26"/>
  <c r="BD88" i="26"/>
  <c r="BC88" i="26"/>
  <c r="BB88" i="26"/>
  <c r="BA88" i="26"/>
  <c r="AZ88" i="26"/>
  <c r="AY88" i="26"/>
  <c r="AX88" i="26"/>
  <c r="AW88" i="26"/>
  <c r="AV88" i="26"/>
  <c r="AU88" i="26"/>
  <c r="AT88" i="26"/>
  <c r="AS88" i="26"/>
  <c r="AR88" i="26"/>
  <c r="AQ88" i="26"/>
  <c r="AP88" i="26"/>
  <c r="AO88" i="26"/>
  <c r="AN88" i="26"/>
  <c r="AM88" i="26"/>
  <c r="AL88" i="26"/>
  <c r="AK88" i="26"/>
  <c r="AJ88" i="26"/>
  <c r="AI88" i="26"/>
  <c r="AH88" i="26"/>
  <c r="AG88" i="26"/>
  <c r="AF88" i="26"/>
  <c r="AE88" i="26"/>
  <c r="AD88" i="26"/>
  <c r="AC88" i="26"/>
  <c r="AB88" i="26"/>
  <c r="AA88" i="26"/>
  <c r="Z88" i="26"/>
  <c r="Y88" i="26"/>
  <c r="X88" i="26"/>
  <c r="W88" i="26"/>
  <c r="V88" i="26"/>
  <c r="U88" i="26"/>
  <c r="T88" i="26"/>
  <c r="S88" i="26"/>
  <c r="R88" i="26"/>
  <c r="Q88" i="26"/>
  <c r="P88" i="26"/>
  <c r="O88" i="26"/>
  <c r="N88" i="26"/>
  <c r="M88" i="26"/>
  <c r="L88" i="26"/>
  <c r="K88" i="26"/>
  <c r="J88" i="26"/>
  <c r="I88" i="26"/>
  <c r="BO87" i="26"/>
  <c r="BN87" i="26"/>
  <c r="BM87" i="26"/>
  <c r="BL87" i="26"/>
  <c r="BK87" i="26"/>
  <c r="BJ87" i="26"/>
  <c r="BI87" i="26"/>
  <c r="BH87" i="26"/>
  <c r="BG87" i="26"/>
  <c r="BF87" i="26"/>
  <c r="BE87" i="26"/>
  <c r="BD87" i="26"/>
  <c r="BC87" i="26"/>
  <c r="BB87" i="26"/>
  <c r="BA87" i="26"/>
  <c r="AZ87" i="26"/>
  <c r="AY87" i="26"/>
  <c r="AX87" i="26"/>
  <c r="AW87" i="26"/>
  <c r="AV87" i="26"/>
  <c r="AU87" i="26"/>
  <c r="AT87" i="26"/>
  <c r="AS87" i="26"/>
  <c r="AR87" i="26"/>
  <c r="AQ87" i="26"/>
  <c r="AP87" i="26"/>
  <c r="AO87" i="26"/>
  <c r="AN87" i="26"/>
  <c r="AM87" i="26"/>
  <c r="AL87" i="26"/>
  <c r="AK87" i="26"/>
  <c r="AJ87" i="26"/>
  <c r="AI87" i="26"/>
  <c r="AH87" i="26"/>
  <c r="AG87" i="26"/>
  <c r="AF87" i="26"/>
  <c r="AE87" i="26"/>
  <c r="AD87" i="26"/>
  <c r="AC87" i="26"/>
  <c r="AB87" i="26"/>
  <c r="AA87" i="26"/>
  <c r="Z87" i="26"/>
  <c r="Y87" i="26"/>
  <c r="X87" i="26"/>
  <c r="W87" i="26"/>
  <c r="V87" i="26"/>
  <c r="U87" i="26"/>
  <c r="T87" i="26"/>
  <c r="S87" i="26"/>
  <c r="R87" i="26"/>
  <c r="Q87" i="26"/>
  <c r="P87" i="26"/>
  <c r="O87" i="26"/>
  <c r="N87" i="26"/>
  <c r="M87" i="26"/>
  <c r="L87" i="26"/>
  <c r="K87" i="26"/>
  <c r="J87" i="26"/>
  <c r="I87" i="26"/>
  <c r="BO86" i="26"/>
  <c r="BN86" i="26"/>
  <c r="BM86" i="26"/>
  <c r="BL86" i="26"/>
  <c r="BK86" i="26"/>
  <c r="BJ86" i="26"/>
  <c r="BI86" i="26"/>
  <c r="BH86" i="26"/>
  <c r="BG86" i="26"/>
  <c r="BF86" i="26"/>
  <c r="BE86" i="26"/>
  <c r="BD86" i="26"/>
  <c r="BC86" i="26"/>
  <c r="BB86" i="26"/>
  <c r="BA86" i="26"/>
  <c r="AZ86" i="26"/>
  <c r="AY86" i="26"/>
  <c r="AX86" i="26"/>
  <c r="AW86" i="26"/>
  <c r="AV86" i="26"/>
  <c r="AU86" i="26"/>
  <c r="AT86" i="26"/>
  <c r="AS86" i="26"/>
  <c r="AR86" i="26"/>
  <c r="AQ86" i="26"/>
  <c r="AP86" i="26"/>
  <c r="AO86" i="26"/>
  <c r="AN86" i="26"/>
  <c r="AM86" i="26"/>
  <c r="AL86" i="26"/>
  <c r="AK86" i="26"/>
  <c r="AJ86" i="26"/>
  <c r="AI86" i="26"/>
  <c r="AH86" i="26"/>
  <c r="AG86" i="26"/>
  <c r="AF86" i="26"/>
  <c r="AE86" i="26"/>
  <c r="AD86" i="26"/>
  <c r="AC86" i="26"/>
  <c r="AB86" i="26"/>
  <c r="AA86" i="26"/>
  <c r="Z86" i="26"/>
  <c r="Y86" i="26"/>
  <c r="X86" i="26"/>
  <c r="W86" i="26"/>
  <c r="V86" i="26"/>
  <c r="U86" i="26"/>
  <c r="T86" i="26"/>
  <c r="S86" i="26"/>
  <c r="R86" i="26"/>
  <c r="Q86" i="26"/>
  <c r="P86" i="26"/>
  <c r="O86" i="26"/>
  <c r="N86" i="26"/>
  <c r="M86" i="26"/>
  <c r="L86" i="26"/>
  <c r="K86" i="26"/>
  <c r="J86" i="26"/>
  <c r="I86" i="26"/>
  <c r="BO85" i="26"/>
  <c r="BN85" i="26"/>
  <c r="BM85" i="26"/>
  <c r="BL85" i="26"/>
  <c r="BK85" i="26"/>
  <c r="BJ85" i="26"/>
  <c r="BI85" i="26"/>
  <c r="BH85" i="26"/>
  <c r="BG85" i="26"/>
  <c r="BF85" i="26"/>
  <c r="BE85" i="26"/>
  <c r="BD85" i="26"/>
  <c r="BC85" i="26"/>
  <c r="BB85" i="26"/>
  <c r="BA85" i="26"/>
  <c r="AZ85" i="26"/>
  <c r="AY85" i="26"/>
  <c r="AX85" i="26"/>
  <c r="AW85" i="26"/>
  <c r="AV85" i="26"/>
  <c r="AU85" i="26"/>
  <c r="AT85" i="26"/>
  <c r="AS85" i="26"/>
  <c r="AR85" i="26"/>
  <c r="AQ85" i="26"/>
  <c r="AP85" i="26"/>
  <c r="AO85" i="26"/>
  <c r="AN85" i="26"/>
  <c r="AM85" i="26"/>
  <c r="AL85" i="26"/>
  <c r="AK85" i="26"/>
  <c r="AJ85" i="26"/>
  <c r="AI85" i="26"/>
  <c r="AH85" i="26"/>
  <c r="AG85" i="26"/>
  <c r="AF85" i="26"/>
  <c r="AE85" i="26"/>
  <c r="AD85" i="26"/>
  <c r="AC85" i="26"/>
  <c r="AB85" i="26"/>
  <c r="AA85" i="26"/>
  <c r="Z85" i="26"/>
  <c r="Y85" i="26"/>
  <c r="X85" i="26"/>
  <c r="W85" i="26"/>
  <c r="V85" i="26"/>
  <c r="U85" i="26"/>
  <c r="T85" i="26"/>
  <c r="S85" i="26"/>
  <c r="R85" i="26"/>
  <c r="Q85" i="26"/>
  <c r="P85" i="26"/>
  <c r="O85" i="26"/>
  <c r="N85" i="26"/>
  <c r="M85" i="26"/>
  <c r="L85" i="26"/>
  <c r="K85" i="26"/>
  <c r="J85" i="26"/>
  <c r="I85" i="26"/>
  <c r="BO66" i="26"/>
  <c r="BN66" i="26"/>
  <c r="BM66" i="26"/>
  <c r="BL66" i="26"/>
  <c r="BK66" i="26"/>
  <c r="BJ66" i="26"/>
  <c r="BI66" i="26"/>
  <c r="BH66" i="26"/>
  <c r="BG66" i="26"/>
  <c r="BF66" i="26"/>
  <c r="BE66" i="26"/>
  <c r="BD66" i="26"/>
  <c r="BC66" i="26"/>
  <c r="BB66" i="26"/>
  <c r="BA66" i="26"/>
  <c r="AZ66" i="26"/>
  <c r="AY66" i="26"/>
  <c r="AX66" i="26"/>
  <c r="AW66" i="26"/>
  <c r="AV66" i="26"/>
  <c r="AU66" i="26"/>
  <c r="AT66" i="26"/>
  <c r="AS66" i="26"/>
  <c r="AR66" i="26"/>
  <c r="AQ66" i="26"/>
  <c r="AP66" i="26"/>
  <c r="AO66" i="26"/>
  <c r="AN66" i="26"/>
  <c r="AM66" i="26"/>
  <c r="AL66" i="26"/>
  <c r="AK66" i="26"/>
  <c r="AJ66" i="26"/>
  <c r="AI66" i="26"/>
  <c r="AH66" i="26"/>
  <c r="AG66" i="26"/>
  <c r="AF66" i="26"/>
  <c r="AE66" i="26"/>
  <c r="AD66" i="26"/>
  <c r="AC66" i="26"/>
  <c r="AB66" i="26"/>
  <c r="AA66" i="26"/>
  <c r="Z66" i="26"/>
  <c r="Y66" i="26"/>
  <c r="X66" i="26"/>
  <c r="W66" i="26"/>
  <c r="V66" i="26"/>
  <c r="U66" i="26"/>
  <c r="T66" i="26"/>
  <c r="S66" i="26"/>
  <c r="R66" i="26"/>
  <c r="Q66" i="26"/>
  <c r="P66" i="26"/>
  <c r="O66" i="26"/>
  <c r="N66" i="26"/>
  <c r="M66" i="26"/>
  <c r="L66" i="26"/>
  <c r="K66" i="26"/>
  <c r="J66" i="26"/>
  <c r="I66" i="26"/>
  <c r="BO63" i="26"/>
  <c r="BN63" i="26"/>
  <c r="BM63" i="26"/>
  <c r="BL63" i="26"/>
  <c r="BK63" i="26"/>
  <c r="BJ63" i="26"/>
  <c r="BI63" i="26"/>
  <c r="BH63" i="26"/>
  <c r="BG63" i="26"/>
  <c r="BF63" i="26"/>
  <c r="BE63" i="26"/>
  <c r="BD63" i="26"/>
  <c r="BC63" i="26"/>
  <c r="BB63" i="26"/>
  <c r="BA63" i="26"/>
  <c r="AZ63" i="26"/>
  <c r="AY63" i="26"/>
  <c r="AX63" i="26"/>
  <c r="AW63" i="26"/>
  <c r="AV63" i="26"/>
  <c r="AU63" i="26"/>
  <c r="AT63" i="26"/>
  <c r="AS63" i="26"/>
  <c r="AR63" i="26"/>
  <c r="AQ63" i="26"/>
  <c r="AP63" i="26"/>
  <c r="AO63" i="26"/>
  <c r="AN63" i="26"/>
  <c r="AM63" i="26"/>
  <c r="AL63" i="26"/>
  <c r="AK63" i="26"/>
  <c r="AJ63" i="26"/>
  <c r="AI63" i="26"/>
  <c r="AH63" i="26"/>
  <c r="AG63" i="26"/>
  <c r="AF63" i="26"/>
  <c r="AE63" i="26"/>
  <c r="AD63" i="26"/>
  <c r="AC63" i="26"/>
  <c r="AB63" i="26"/>
  <c r="AA63" i="26"/>
  <c r="Z63" i="26"/>
  <c r="Y63" i="26"/>
  <c r="X63" i="26"/>
  <c r="W63" i="26"/>
  <c r="V63" i="26"/>
  <c r="U63" i="26"/>
  <c r="T63" i="26"/>
  <c r="S63" i="26"/>
  <c r="R63" i="26"/>
  <c r="Q63" i="26"/>
  <c r="P63" i="26"/>
  <c r="O63" i="26"/>
  <c r="N63" i="26"/>
  <c r="M63" i="26"/>
  <c r="L63" i="26"/>
  <c r="K63" i="26"/>
  <c r="J63" i="26"/>
  <c r="I63" i="26"/>
  <c r="H110" i="26"/>
  <c r="H108" i="26"/>
  <c r="H107" i="26"/>
  <c r="H106" i="26"/>
  <c r="H105" i="26"/>
  <c r="H104" i="26"/>
  <c r="H103" i="26"/>
  <c r="H102" i="26"/>
  <c r="H101" i="26"/>
  <c r="H100" i="26"/>
  <c r="H99" i="26"/>
  <c r="H98" i="26"/>
  <c r="H97" i="26"/>
  <c r="H96" i="26"/>
  <c r="H95" i="26"/>
  <c r="H93" i="26"/>
  <c r="H92" i="26"/>
  <c r="H91" i="26"/>
  <c r="H89" i="26"/>
  <c r="H88" i="26"/>
  <c r="H87" i="26"/>
  <c r="H86" i="26"/>
  <c r="H85" i="26"/>
  <c r="H80" i="26"/>
  <c r="H68" i="26"/>
  <c r="H66" i="26"/>
  <c r="H63" i="26"/>
  <c r="H19" i="31"/>
  <c r="H18" i="31"/>
  <c r="H17" i="31"/>
  <c r="H16" i="31"/>
  <c r="H15" i="31"/>
  <c r="H14" i="31"/>
  <c r="H13" i="31"/>
  <c r="H12" i="31"/>
  <c r="H11" i="31"/>
  <c r="H10" i="31"/>
  <c r="L20" i="31"/>
  <c r="M20" i="31" s="1"/>
  <c r="N20" i="31" s="1"/>
  <c r="O20" i="31" s="1"/>
  <c r="P20" i="31" s="1"/>
  <c r="Q20" i="31" s="1"/>
  <c r="R20" i="31" s="1"/>
  <c r="S20" i="31" s="1"/>
  <c r="T20" i="31" s="1"/>
  <c r="U20" i="31" s="1"/>
  <c r="V20" i="31" s="1"/>
  <c r="W20" i="31" s="1"/>
  <c r="X20" i="31" s="1"/>
  <c r="Y20" i="31" s="1"/>
  <c r="Z20" i="31" s="1"/>
  <c r="AA20" i="31" s="1"/>
  <c r="AB20" i="31" s="1"/>
  <c r="AC20" i="31" s="1"/>
  <c r="AD20" i="31" s="1"/>
  <c r="AE20" i="31" s="1"/>
  <c r="AF20" i="31" s="1"/>
  <c r="AG20" i="31" s="1"/>
  <c r="AH20" i="31" s="1"/>
  <c r="AI20" i="31" s="1"/>
  <c r="AJ20" i="31" s="1"/>
  <c r="AK20" i="31" s="1"/>
  <c r="AL20" i="31" s="1"/>
  <c r="AM20" i="31" s="1"/>
  <c r="AN20" i="31" s="1"/>
  <c r="AO20" i="31" s="1"/>
  <c r="AP20" i="31" s="1"/>
  <c r="AQ20" i="31" s="1"/>
  <c r="AR20" i="31" s="1"/>
  <c r="AS20" i="31" s="1"/>
  <c r="AT20" i="31" s="1"/>
  <c r="AU20" i="31" s="1"/>
  <c r="AV20" i="31" s="1"/>
  <c r="AW20" i="31" s="1"/>
  <c r="AX20" i="31" s="1"/>
  <c r="AY20" i="31" s="1"/>
  <c r="AZ20" i="31" s="1"/>
  <c r="BA20" i="31" s="1"/>
  <c r="BB20" i="31" s="1"/>
  <c r="BC20" i="31" s="1"/>
  <c r="BD20" i="31" s="1"/>
  <c r="BE20" i="31" s="1"/>
  <c r="BF20" i="31" s="1"/>
  <c r="BG20" i="31" s="1"/>
  <c r="BH20" i="31" s="1"/>
  <c r="BI20" i="31" s="1"/>
  <c r="BJ20" i="31" s="1"/>
  <c r="BK20" i="31" s="1"/>
  <c r="BL20" i="31" s="1"/>
  <c r="BM20" i="31" s="1"/>
  <c r="BN20" i="31" s="1"/>
  <c r="BO20" i="31" s="1"/>
  <c r="BP20" i="31" s="1"/>
  <c r="BQ20" i="31" s="1"/>
  <c r="BR20" i="31" s="1"/>
  <c r="BS20" i="31" s="1"/>
  <c r="F19" i="31"/>
  <c r="G19" i="31" s="1"/>
  <c r="E19" i="31"/>
  <c r="D19" i="31"/>
  <c r="C19" i="31"/>
  <c r="F18" i="31"/>
  <c r="G18" i="31" s="1"/>
  <c r="E18" i="31"/>
  <c r="L18" i="31" s="1"/>
  <c r="M18" i="31" s="1"/>
  <c r="N18" i="31" s="1"/>
  <c r="O18" i="31" s="1"/>
  <c r="P18" i="31" s="1"/>
  <c r="Q18" i="31" s="1"/>
  <c r="R18" i="31" s="1"/>
  <c r="S18" i="31" s="1"/>
  <c r="T18" i="31" s="1"/>
  <c r="U18" i="31" s="1"/>
  <c r="V18" i="31" s="1"/>
  <c r="W18" i="31" s="1"/>
  <c r="X18" i="31" s="1"/>
  <c r="Y18" i="31" s="1"/>
  <c r="Z18" i="31" s="1"/>
  <c r="AA18" i="31" s="1"/>
  <c r="AB18" i="31" s="1"/>
  <c r="AC18" i="31" s="1"/>
  <c r="AD18" i="31" s="1"/>
  <c r="AE18" i="31" s="1"/>
  <c r="AF18" i="31" s="1"/>
  <c r="AG18" i="31" s="1"/>
  <c r="AH18" i="31" s="1"/>
  <c r="AI18" i="31" s="1"/>
  <c r="AJ18" i="31" s="1"/>
  <c r="AK18" i="31" s="1"/>
  <c r="AL18" i="31" s="1"/>
  <c r="AM18" i="31" s="1"/>
  <c r="AN18" i="31" s="1"/>
  <c r="AO18" i="31" s="1"/>
  <c r="AP18" i="31" s="1"/>
  <c r="AQ18" i="31" s="1"/>
  <c r="AR18" i="31" s="1"/>
  <c r="AS18" i="31" s="1"/>
  <c r="AT18" i="31" s="1"/>
  <c r="AU18" i="31" s="1"/>
  <c r="AV18" i="31" s="1"/>
  <c r="AW18" i="31" s="1"/>
  <c r="AX18" i="31" s="1"/>
  <c r="AY18" i="31" s="1"/>
  <c r="AZ18" i="31" s="1"/>
  <c r="BA18" i="31" s="1"/>
  <c r="BB18" i="31" s="1"/>
  <c r="BC18" i="31" s="1"/>
  <c r="BD18" i="31" s="1"/>
  <c r="BE18" i="31" s="1"/>
  <c r="BF18" i="31" s="1"/>
  <c r="BG18" i="31" s="1"/>
  <c r="BH18" i="31" s="1"/>
  <c r="BI18" i="31" s="1"/>
  <c r="BJ18" i="31" s="1"/>
  <c r="BK18" i="31" s="1"/>
  <c r="BL18" i="31" s="1"/>
  <c r="BM18" i="31" s="1"/>
  <c r="BN18" i="31" s="1"/>
  <c r="BO18" i="31" s="1"/>
  <c r="BP18" i="31" s="1"/>
  <c r="BQ18" i="31" s="1"/>
  <c r="BR18" i="31" s="1"/>
  <c r="BS18" i="31" s="1"/>
  <c r="D18" i="31"/>
  <c r="C18" i="31"/>
  <c r="F17" i="31"/>
  <c r="G17" i="31" s="1"/>
  <c r="E17" i="31"/>
  <c r="D17" i="31"/>
  <c r="C17" i="31"/>
  <c r="E16" i="31"/>
  <c r="D16" i="31"/>
  <c r="C16" i="31"/>
  <c r="E15" i="31"/>
  <c r="D15" i="31"/>
  <c r="C15" i="31"/>
  <c r="E14" i="31"/>
  <c r="D14" i="31"/>
  <c r="C14" i="31"/>
  <c r="E13" i="31"/>
  <c r="D13" i="31"/>
  <c r="C13" i="31"/>
  <c r="E12" i="31"/>
  <c r="D12" i="31"/>
  <c r="C12" i="31"/>
  <c r="E11" i="31"/>
  <c r="D11" i="31"/>
  <c r="C11" i="31"/>
  <c r="E10" i="31"/>
  <c r="D10" i="31"/>
  <c r="C10" i="31"/>
  <c r="E9" i="31"/>
  <c r="C9" i="31"/>
  <c r="E8" i="31"/>
  <c r="C8" i="31"/>
  <c r="E7" i="31"/>
  <c r="C7" i="31"/>
  <c r="L21" i="30"/>
  <c r="M21" i="30" s="1"/>
  <c r="N21" i="30" s="1"/>
  <c r="O21" i="30" s="1"/>
  <c r="P21" i="30" s="1"/>
  <c r="Q21" i="30" s="1"/>
  <c r="R21" i="30" s="1"/>
  <c r="S21" i="30" s="1"/>
  <c r="T21" i="30" s="1"/>
  <c r="U21" i="30" s="1"/>
  <c r="V21" i="30" s="1"/>
  <c r="W21" i="30" s="1"/>
  <c r="X21" i="30" s="1"/>
  <c r="Y21" i="30" s="1"/>
  <c r="Z21" i="30" s="1"/>
  <c r="AA21" i="30" s="1"/>
  <c r="AB21" i="30" s="1"/>
  <c r="AC21" i="30" s="1"/>
  <c r="AD21" i="30" s="1"/>
  <c r="AE21" i="30" s="1"/>
  <c r="AF21" i="30" s="1"/>
  <c r="AG21" i="30" s="1"/>
  <c r="AH21" i="30" s="1"/>
  <c r="AI21" i="30" s="1"/>
  <c r="AJ21" i="30" s="1"/>
  <c r="AK21" i="30" s="1"/>
  <c r="AL21" i="30" s="1"/>
  <c r="AM21" i="30" s="1"/>
  <c r="AN21" i="30" s="1"/>
  <c r="AO21" i="30" s="1"/>
  <c r="AP21" i="30" s="1"/>
  <c r="AQ21" i="30" s="1"/>
  <c r="AR21" i="30" s="1"/>
  <c r="AS21" i="30" s="1"/>
  <c r="AT21" i="30" s="1"/>
  <c r="AU21" i="30" s="1"/>
  <c r="AV21" i="30" s="1"/>
  <c r="AW21" i="30" s="1"/>
  <c r="AX21" i="30" s="1"/>
  <c r="AY21" i="30" s="1"/>
  <c r="AZ21" i="30" s="1"/>
  <c r="BA21" i="30" s="1"/>
  <c r="BB21" i="30" s="1"/>
  <c r="BC21" i="30" s="1"/>
  <c r="BD21" i="30" s="1"/>
  <c r="BE21" i="30" s="1"/>
  <c r="BF21" i="30" s="1"/>
  <c r="BG21" i="30" s="1"/>
  <c r="BH21" i="30" s="1"/>
  <c r="BI21" i="30" s="1"/>
  <c r="BJ21" i="30" s="1"/>
  <c r="BK21" i="30" s="1"/>
  <c r="BL21" i="30" s="1"/>
  <c r="BM21" i="30" s="1"/>
  <c r="BN21" i="30" s="1"/>
  <c r="BO21" i="30" s="1"/>
  <c r="BP21" i="30" s="1"/>
  <c r="BQ21" i="30" s="1"/>
  <c r="BR21" i="30" s="1"/>
  <c r="BS21" i="30" s="1"/>
  <c r="F20" i="30"/>
  <c r="G20" i="30" s="1"/>
  <c r="E20" i="30"/>
  <c r="L20" i="30" s="1"/>
  <c r="M20" i="30" s="1"/>
  <c r="N20" i="30" s="1"/>
  <c r="O20" i="30" s="1"/>
  <c r="P20" i="30" s="1"/>
  <c r="Q20" i="30" s="1"/>
  <c r="R20" i="30" s="1"/>
  <c r="S20" i="30" s="1"/>
  <c r="T20" i="30" s="1"/>
  <c r="U20" i="30" s="1"/>
  <c r="V20" i="30" s="1"/>
  <c r="W20" i="30" s="1"/>
  <c r="X20" i="30" s="1"/>
  <c r="Y20" i="30" s="1"/>
  <c r="Z20" i="30" s="1"/>
  <c r="AA20" i="30" s="1"/>
  <c r="AB20" i="30" s="1"/>
  <c r="AC20" i="30" s="1"/>
  <c r="AD20" i="30" s="1"/>
  <c r="AE20" i="30" s="1"/>
  <c r="AF20" i="30" s="1"/>
  <c r="AG20" i="30" s="1"/>
  <c r="AH20" i="30" s="1"/>
  <c r="AI20" i="30" s="1"/>
  <c r="AJ20" i="30" s="1"/>
  <c r="AK20" i="30" s="1"/>
  <c r="AL20" i="30" s="1"/>
  <c r="AM20" i="30" s="1"/>
  <c r="AN20" i="30" s="1"/>
  <c r="AO20" i="30" s="1"/>
  <c r="AP20" i="30" s="1"/>
  <c r="AQ20" i="30" s="1"/>
  <c r="AR20" i="30" s="1"/>
  <c r="AS20" i="30" s="1"/>
  <c r="AT20" i="30" s="1"/>
  <c r="AU20" i="30" s="1"/>
  <c r="AV20" i="30" s="1"/>
  <c r="AW20" i="30" s="1"/>
  <c r="AX20" i="30" s="1"/>
  <c r="AY20" i="30" s="1"/>
  <c r="AZ20" i="30" s="1"/>
  <c r="BA20" i="30" s="1"/>
  <c r="BB20" i="30" s="1"/>
  <c r="BC20" i="30" s="1"/>
  <c r="BD20" i="30" s="1"/>
  <c r="BE20" i="30" s="1"/>
  <c r="BF20" i="30" s="1"/>
  <c r="BG20" i="30" s="1"/>
  <c r="BH20" i="30" s="1"/>
  <c r="BI20" i="30" s="1"/>
  <c r="BJ20" i="30" s="1"/>
  <c r="BK20" i="30" s="1"/>
  <c r="BL20" i="30" s="1"/>
  <c r="BM20" i="30" s="1"/>
  <c r="BN20" i="30" s="1"/>
  <c r="BO20" i="30" s="1"/>
  <c r="BP20" i="30" s="1"/>
  <c r="BQ20" i="30" s="1"/>
  <c r="BR20" i="30" s="1"/>
  <c r="BS20" i="30" s="1"/>
  <c r="D20" i="30"/>
  <c r="F19" i="30"/>
  <c r="G19" i="30" s="1"/>
  <c r="E19" i="30"/>
  <c r="L19" i="30" s="1"/>
  <c r="M19" i="30" s="1"/>
  <c r="N19" i="30" s="1"/>
  <c r="O19" i="30" s="1"/>
  <c r="P19" i="30" s="1"/>
  <c r="Q19" i="30" s="1"/>
  <c r="R19" i="30" s="1"/>
  <c r="S19" i="30" s="1"/>
  <c r="T19" i="30" s="1"/>
  <c r="U19" i="30" s="1"/>
  <c r="V19" i="30" s="1"/>
  <c r="W19" i="30" s="1"/>
  <c r="X19" i="30" s="1"/>
  <c r="Y19" i="30" s="1"/>
  <c r="Z19" i="30" s="1"/>
  <c r="AA19" i="30" s="1"/>
  <c r="AB19" i="30" s="1"/>
  <c r="AC19" i="30" s="1"/>
  <c r="AD19" i="30" s="1"/>
  <c r="AE19" i="30" s="1"/>
  <c r="AF19" i="30" s="1"/>
  <c r="AG19" i="30" s="1"/>
  <c r="AH19" i="30" s="1"/>
  <c r="AI19" i="30" s="1"/>
  <c r="AJ19" i="30" s="1"/>
  <c r="AK19" i="30" s="1"/>
  <c r="AL19" i="30" s="1"/>
  <c r="AM19" i="30" s="1"/>
  <c r="AN19" i="30" s="1"/>
  <c r="AO19" i="30" s="1"/>
  <c r="AP19" i="30" s="1"/>
  <c r="AQ19" i="30" s="1"/>
  <c r="AR19" i="30" s="1"/>
  <c r="AS19" i="30" s="1"/>
  <c r="AT19" i="30" s="1"/>
  <c r="AU19" i="30" s="1"/>
  <c r="AV19" i="30" s="1"/>
  <c r="AW19" i="30" s="1"/>
  <c r="AX19" i="30" s="1"/>
  <c r="AY19" i="30" s="1"/>
  <c r="AZ19" i="30" s="1"/>
  <c r="BA19" i="30" s="1"/>
  <c r="BB19" i="30" s="1"/>
  <c r="BC19" i="30" s="1"/>
  <c r="BD19" i="30" s="1"/>
  <c r="BE19" i="30" s="1"/>
  <c r="BF19" i="30" s="1"/>
  <c r="BG19" i="30" s="1"/>
  <c r="BH19" i="30" s="1"/>
  <c r="BI19" i="30" s="1"/>
  <c r="BJ19" i="30" s="1"/>
  <c r="BK19" i="30" s="1"/>
  <c r="BL19" i="30" s="1"/>
  <c r="BM19" i="30" s="1"/>
  <c r="BN19" i="30" s="1"/>
  <c r="BO19" i="30" s="1"/>
  <c r="BP19" i="30" s="1"/>
  <c r="BQ19" i="30" s="1"/>
  <c r="BR19" i="30" s="1"/>
  <c r="BS19" i="30" s="1"/>
  <c r="D19" i="30"/>
  <c r="C19" i="30"/>
  <c r="F18" i="30"/>
  <c r="G18" i="30" s="1"/>
  <c r="E18" i="30"/>
  <c r="L18" i="30" s="1"/>
  <c r="M18" i="30" s="1"/>
  <c r="N18" i="30" s="1"/>
  <c r="O18" i="30" s="1"/>
  <c r="P18" i="30" s="1"/>
  <c r="Q18" i="30" s="1"/>
  <c r="R18" i="30" s="1"/>
  <c r="S18" i="30" s="1"/>
  <c r="T18" i="30" s="1"/>
  <c r="U18" i="30" s="1"/>
  <c r="V18" i="30" s="1"/>
  <c r="W18" i="30" s="1"/>
  <c r="X18" i="30" s="1"/>
  <c r="Y18" i="30" s="1"/>
  <c r="Z18" i="30" s="1"/>
  <c r="AA18" i="30" s="1"/>
  <c r="AB18" i="30" s="1"/>
  <c r="AC18" i="30" s="1"/>
  <c r="AD18" i="30" s="1"/>
  <c r="AE18" i="30" s="1"/>
  <c r="AF18" i="30" s="1"/>
  <c r="AG18" i="30" s="1"/>
  <c r="AH18" i="30" s="1"/>
  <c r="AI18" i="30" s="1"/>
  <c r="AJ18" i="30" s="1"/>
  <c r="AK18" i="30" s="1"/>
  <c r="AL18" i="30" s="1"/>
  <c r="AM18" i="30" s="1"/>
  <c r="AN18" i="30" s="1"/>
  <c r="AO18" i="30" s="1"/>
  <c r="AP18" i="30" s="1"/>
  <c r="AQ18" i="30" s="1"/>
  <c r="AR18" i="30" s="1"/>
  <c r="AS18" i="30" s="1"/>
  <c r="AT18" i="30" s="1"/>
  <c r="AU18" i="30" s="1"/>
  <c r="AV18" i="30" s="1"/>
  <c r="AW18" i="30" s="1"/>
  <c r="AX18" i="30" s="1"/>
  <c r="AY18" i="30" s="1"/>
  <c r="AZ18" i="30" s="1"/>
  <c r="BA18" i="30" s="1"/>
  <c r="BB18" i="30" s="1"/>
  <c r="BC18" i="30" s="1"/>
  <c r="BD18" i="30" s="1"/>
  <c r="BE18" i="30" s="1"/>
  <c r="BF18" i="30" s="1"/>
  <c r="BG18" i="30" s="1"/>
  <c r="BH18" i="30" s="1"/>
  <c r="BI18" i="30" s="1"/>
  <c r="BJ18" i="30" s="1"/>
  <c r="BK18" i="30" s="1"/>
  <c r="BL18" i="30" s="1"/>
  <c r="BM18" i="30" s="1"/>
  <c r="BN18" i="30" s="1"/>
  <c r="BO18" i="30" s="1"/>
  <c r="BP18" i="30" s="1"/>
  <c r="BQ18" i="30" s="1"/>
  <c r="BR18" i="30" s="1"/>
  <c r="BS18" i="30" s="1"/>
  <c r="D18" i="30"/>
  <c r="C18" i="30"/>
  <c r="E17" i="30"/>
  <c r="L17" i="30" s="1"/>
  <c r="M17" i="30" s="1"/>
  <c r="N17" i="30" s="1"/>
  <c r="O17" i="30" s="1"/>
  <c r="P17" i="30" s="1"/>
  <c r="Q17" i="30" s="1"/>
  <c r="R17" i="30" s="1"/>
  <c r="S17" i="30" s="1"/>
  <c r="T17" i="30" s="1"/>
  <c r="U17" i="30" s="1"/>
  <c r="V17" i="30" s="1"/>
  <c r="W17" i="30" s="1"/>
  <c r="X17" i="30" s="1"/>
  <c r="Y17" i="30" s="1"/>
  <c r="Z17" i="30" s="1"/>
  <c r="AA17" i="30" s="1"/>
  <c r="AB17" i="30" s="1"/>
  <c r="AC17" i="30" s="1"/>
  <c r="AD17" i="30" s="1"/>
  <c r="D17" i="30"/>
  <c r="C17" i="30"/>
  <c r="E16" i="30"/>
  <c r="L16" i="30" s="1"/>
  <c r="M16" i="30" s="1"/>
  <c r="N16" i="30" s="1"/>
  <c r="O16" i="30" s="1"/>
  <c r="P16" i="30" s="1"/>
  <c r="Q16" i="30" s="1"/>
  <c r="R16" i="30" s="1"/>
  <c r="S16" i="30" s="1"/>
  <c r="T16" i="30" s="1"/>
  <c r="U16" i="30" s="1"/>
  <c r="V16" i="30" s="1"/>
  <c r="W16" i="30" s="1"/>
  <c r="X16" i="30" s="1"/>
  <c r="Y16" i="30" s="1"/>
  <c r="Z16" i="30" s="1"/>
  <c r="AA16" i="30" s="1"/>
  <c r="AB16" i="30" s="1"/>
  <c r="D16" i="30"/>
  <c r="C16" i="30"/>
  <c r="E15" i="30"/>
  <c r="L15" i="30" s="1"/>
  <c r="M15" i="30" s="1"/>
  <c r="N15" i="30" s="1"/>
  <c r="O15" i="30" s="1"/>
  <c r="P15" i="30" s="1"/>
  <c r="Q15" i="30" s="1"/>
  <c r="R15" i="30" s="1"/>
  <c r="S15" i="30" s="1"/>
  <c r="T15" i="30" s="1"/>
  <c r="U15" i="30" s="1"/>
  <c r="V15" i="30" s="1"/>
  <c r="W15" i="30" s="1"/>
  <c r="X15" i="30" s="1"/>
  <c r="Y15" i="30" s="1"/>
  <c r="Z15" i="30" s="1"/>
  <c r="D15" i="30"/>
  <c r="C15" i="30"/>
  <c r="E14" i="30"/>
  <c r="L14" i="30" s="1"/>
  <c r="M14" i="30" s="1"/>
  <c r="N14" i="30" s="1"/>
  <c r="O14" i="30" s="1"/>
  <c r="P14" i="30" s="1"/>
  <c r="Q14" i="30" s="1"/>
  <c r="R14" i="30" s="1"/>
  <c r="S14" i="30" s="1"/>
  <c r="T14" i="30" s="1"/>
  <c r="U14" i="30" s="1"/>
  <c r="V14" i="30" s="1"/>
  <c r="W14" i="30" s="1"/>
  <c r="X14" i="30" s="1"/>
  <c r="D14" i="30"/>
  <c r="C14" i="30"/>
  <c r="E13" i="30"/>
  <c r="L13" i="30" s="1"/>
  <c r="M13" i="30" s="1"/>
  <c r="N13" i="30" s="1"/>
  <c r="O13" i="30" s="1"/>
  <c r="P13" i="30" s="1"/>
  <c r="Q13" i="30" s="1"/>
  <c r="R13" i="30" s="1"/>
  <c r="S13" i="30" s="1"/>
  <c r="T13" i="30" s="1"/>
  <c r="U13" i="30" s="1"/>
  <c r="V13" i="30" s="1"/>
  <c r="W13" i="30" s="1"/>
  <c r="X13" i="30" s="1"/>
  <c r="Y13" i="30" s="1"/>
  <c r="Z13" i="30" s="1"/>
  <c r="D13" i="30"/>
  <c r="C13" i="30"/>
  <c r="E12" i="30"/>
  <c r="L12" i="30" s="1"/>
  <c r="M12" i="30" s="1"/>
  <c r="N12" i="30" s="1"/>
  <c r="O12" i="30" s="1"/>
  <c r="P12" i="30" s="1"/>
  <c r="Q12" i="30" s="1"/>
  <c r="R12" i="30" s="1"/>
  <c r="S12" i="30" s="1"/>
  <c r="T12" i="30" s="1"/>
  <c r="U12" i="30" s="1"/>
  <c r="V12" i="30" s="1"/>
  <c r="D12" i="30"/>
  <c r="C12" i="30"/>
  <c r="E11" i="30"/>
  <c r="L11" i="30" s="1"/>
  <c r="M11" i="30" s="1"/>
  <c r="N11" i="30" s="1"/>
  <c r="O11" i="30" s="1"/>
  <c r="P11" i="30" s="1"/>
  <c r="D11" i="30"/>
  <c r="C11" i="30"/>
  <c r="E10" i="30"/>
  <c r="L10" i="30" s="1"/>
  <c r="M10" i="30" s="1"/>
  <c r="N10" i="30" s="1"/>
  <c r="O10" i="30" s="1"/>
  <c r="P10" i="30" s="1"/>
  <c r="C10" i="30"/>
  <c r="E9" i="30"/>
  <c r="L9" i="30" s="1"/>
  <c r="M9" i="30" s="1"/>
  <c r="N9" i="30" s="1"/>
  <c r="O9" i="30" s="1"/>
  <c r="P9" i="30" s="1"/>
  <c r="C9" i="30"/>
  <c r="E8" i="30"/>
  <c r="L8" i="30" s="1"/>
  <c r="C8" i="30"/>
  <c r="E10" i="29"/>
  <c r="L10" i="29" s="1"/>
  <c r="M10" i="29" s="1"/>
  <c r="N10" i="29" s="1"/>
  <c r="O10" i="29" s="1"/>
  <c r="P10" i="29" s="1"/>
  <c r="Q10" i="29" s="1"/>
  <c r="R10" i="29" s="1"/>
  <c r="S10" i="29" s="1"/>
  <c r="T10" i="29" s="1"/>
  <c r="U10" i="29" s="1"/>
  <c r="V10" i="29" s="1"/>
  <c r="W10" i="29" s="1"/>
  <c r="X10" i="29" s="1"/>
  <c r="Y10" i="29" s="1"/>
  <c r="Z10" i="29" s="1"/>
  <c r="AA10" i="29" s="1"/>
  <c r="AB10" i="29" s="1"/>
  <c r="AC10" i="29" s="1"/>
  <c r="AD10" i="29" s="1"/>
  <c r="AE10" i="29" s="1"/>
  <c r="AF10" i="29" s="1"/>
  <c r="AG10" i="29" s="1"/>
  <c r="AH10" i="29" s="1"/>
  <c r="AI10" i="29" s="1"/>
  <c r="AJ10" i="29" s="1"/>
  <c r="AK10" i="29" s="1"/>
  <c r="AL10" i="29" s="1"/>
  <c r="AM10" i="29" s="1"/>
  <c r="AN10" i="29" s="1"/>
  <c r="AO10" i="29" s="1"/>
  <c r="AP10" i="29" s="1"/>
  <c r="AQ10" i="29" s="1"/>
  <c r="AR10" i="29" s="1"/>
  <c r="AS10" i="29" s="1"/>
  <c r="AT10" i="29" s="1"/>
  <c r="AU10" i="29" s="1"/>
  <c r="AV10" i="29" s="1"/>
  <c r="AW10" i="29" s="1"/>
  <c r="AX10" i="29" s="1"/>
  <c r="AY10" i="29" s="1"/>
  <c r="AZ10" i="29" s="1"/>
  <c r="BA10" i="29" s="1"/>
  <c r="BB10" i="29" s="1"/>
  <c r="BC10" i="29" s="1"/>
  <c r="BD10" i="29" s="1"/>
  <c r="BE10" i="29" s="1"/>
  <c r="BF10" i="29" s="1"/>
  <c r="BG10" i="29" s="1"/>
  <c r="BH10" i="29" s="1"/>
  <c r="BI10" i="29" s="1"/>
  <c r="BJ10" i="29" s="1"/>
  <c r="BK10" i="29" s="1"/>
  <c r="BL10" i="29" s="1"/>
  <c r="BM10" i="29" s="1"/>
  <c r="BN10" i="29" s="1"/>
  <c r="BO10" i="29" s="1"/>
  <c r="BP10" i="29" s="1"/>
  <c r="BQ10" i="29" s="1"/>
  <c r="BR10" i="29" s="1"/>
  <c r="BS10" i="29" s="1"/>
  <c r="D10" i="29"/>
  <c r="C10" i="29"/>
  <c r="E9" i="29"/>
  <c r="L9" i="29" s="1"/>
  <c r="M9" i="29" s="1"/>
  <c r="N9" i="29" s="1"/>
  <c r="O9" i="29" s="1"/>
  <c r="P9" i="29" s="1"/>
  <c r="Q9" i="29" s="1"/>
  <c r="R9" i="29" s="1"/>
  <c r="S9" i="29" s="1"/>
  <c r="T9" i="29" s="1"/>
  <c r="U9" i="29" s="1"/>
  <c r="V9" i="29" s="1"/>
  <c r="W9" i="29" s="1"/>
  <c r="X9" i="29" s="1"/>
  <c r="Y9" i="29" s="1"/>
  <c r="Z9" i="29" s="1"/>
  <c r="AA9" i="29" s="1"/>
  <c r="AB9" i="29" s="1"/>
  <c r="AC9" i="29" s="1"/>
  <c r="AD9" i="29" s="1"/>
  <c r="AE9" i="29" s="1"/>
  <c r="AF9" i="29" s="1"/>
  <c r="AG9" i="29" s="1"/>
  <c r="AH9" i="29" s="1"/>
  <c r="AI9" i="29" s="1"/>
  <c r="AJ9" i="29" s="1"/>
  <c r="AK9" i="29" s="1"/>
  <c r="AL9" i="29" s="1"/>
  <c r="AM9" i="29" s="1"/>
  <c r="AN9" i="29" s="1"/>
  <c r="AO9" i="29" s="1"/>
  <c r="AP9" i="29" s="1"/>
  <c r="AQ9" i="29" s="1"/>
  <c r="AR9" i="29" s="1"/>
  <c r="AS9" i="29" s="1"/>
  <c r="AT9" i="29" s="1"/>
  <c r="AU9" i="29" s="1"/>
  <c r="AV9" i="29" s="1"/>
  <c r="AW9" i="29" s="1"/>
  <c r="AX9" i="29" s="1"/>
  <c r="AY9" i="29" s="1"/>
  <c r="AZ9" i="29" s="1"/>
  <c r="BA9" i="29" s="1"/>
  <c r="BB9" i="29" s="1"/>
  <c r="BC9" i="29" s="1"/>
  <c r="BD9" i="29" s="1"/>
  <c r="BE9" i="29" s="1"/>
  <c r="BF9" i="29" s="1"/>
  <c r="BG9" i="29" s="1"/>
  <c r="BH9" i="29" s="1"/>
  <c r="BI9" i="29" s="1"/>
  <c r="BJ9" i="29" s="1"/>
  <c r="BK9" i="29" s="1"/>
  <c r="BL9" i="29" s="1"/>
  <c r="BM9" i="29" s="1"/>
  <c r="BN9" i="29" s="1"/>
  <c r="BO9" i="29" s="1"/>
  <c r="BP9" i="29" s="1"/>
  <c r="BQ9" i="29" s="1"/>
  <c r="BR9" i="29" s="1"/>
  <c r="BS9" i="29" s="1"/>
  <c r="C9" i="29"/>
  <c r="E8" i="29"/>
  <c r="L8" i="29" s="1"/>
  <c r="M8" i="29" s="1"/>
  <c r="N8" i="29" s="1"/>
  <c r="O8" i="29" s="1"/>
  <c r="P8" i="29" s="1"/>
  <c r="Q8" i="29" s="1"/>
  <c r="R8" i="29" s="1"/>
  <c r="S8" i="29" s="1"/>
  <c r="T8" i="29" s="1"/>
  <c r="U8" i="29" s="1"/>
  <c r="V8" i="29" s="1"/>
  <c r="W8" i="29" s="1"/>
  <c r="X8" i="29" s="1"/>
  <c r="Y8" i="29" s="1"/>
  <c r="Z8" i="29" s="1"/>
  <c r="AA8" i="29" s="1"/>
  <c r="AB8" i="29" s="1"/>
  <c r="AC8" i="29" s="1"/>
  <c r="AD8" i="29" s="1"/>
  <c r="AE8" i="29" s="1"/>
  <c r="AF8" i="29" s="1"/>
  <c r="AG8" i="29" s="1"/>
  <c r="AH8" i="29" s="1"/>
  <c r="AI8" i="29" s="1"/>
  <c r="AJ8" i="29" s="1"/>
  <c r="AK8" i="29" s="1"/>
  <c r="AL8" i="29" s="1"/>
  <c r="AM8" i="29" s="1"/>
  <c r="AN8" i="29" s="1"/>
  <c r="AO8" i="29" s="1"/>
  <c r="AP8" i="29" s="1"/>
  <c r="AQ8" i="29" s="1"/>
  <c r="AR8" i="29" s="1"/>
  <c r="AS8" i="29" s="1"/>
  <c r="AT8" i="29" s="1"/>
  <c r="AU8" i="29" s="1"/>
  <c r="AV8" i="29" s="1"/>
  <c r="AW8" i="29" s="1"/>
  <c r="AX8" i="29" s="1"/>
  <c r="AY8" i="29" s="1"/>
  <c r="AZ8" i="29" s="1"/>
  <c r="BA8" i="29" s="1"/>
  <c r="BB8" i="29" s="1"/>
  <c r="BC8" i="29" s="1"/>
  <c r="BD8" i="29" s="1"/>
  <c r="BE8" i="29" s="1"/>
  <c r="BF8" i="29" s="1"/>
  <c r="BG8" i="29" s="1"/>
  <c r="BH8" i="29" s="1"/>
  <c r="BI8" i="29" s="1"/>
  <c r="BJ8" i="29" s="1"/>
  <c r="BK8" i="29" s="1"/>
  <c r="BL8" i="29" s="1"/>
  <c r="BM8" i="29" s="1"/>
  <c r="BN8" i="29" s="1"/>
  <c r="BO8" i="29" s="1"/>
  <c r="BP8" i="29" s="1"/>
  <c r="BQ8" i="29" s="1"/>
  <c r="BR8" i="29" s="1"/>
  <c r="BS8" i="29" s="1"/>
  <c r="C8" i="29"/>
  <c r="E7" i="29"/>
  <c r="L7" i="29" s="1"/>
  <c r="M7" i="29" s="1"/>
  <c r="N7" i="29" s="1"/>
  <c r="O7" i="29" s="1"/>
  <c r="P7" i="29" s="1"/>
  <c r="Q7" i="29" s="1"/>
  <c r="R7" i="29" s="1"/>
  <c r="S7" i="29" s="1"/>
  <c r="D7" i="28"/>
  <c r="BS115" i="28"/>
  <c r="BS100" i="28" s="1"/>
  <c r="BR115" i="28"/>
  <c r="BR100" i="28" s="1"/>
  <c r="BQ115" i="28"/>
  <c r="BQ100" i="28" s="1"/>
  <c r="BP115" i="28"/>
  <c r="BP100" i="28" s="1"/>
  <c r="BO115" i="28"/>
  <c r="BO100" i="28" s="1"/>
  <c r="BN115" i="28"/>
  <c r="BN100" i="28" s="1"/>
  <c r="BM115" i="28"/>
  <c r="BM100" i="28" s="1"/>
  <c r="BL115" i="28"/>
  <c r="BL100" i="28" s="1"/>
  <c r="BK115" i="28"/>
  <c r="BK100" i="28" s="1"/>
  <c r="BJ115" i="28"/>
  <c r="BJ100" i="28" s="1"/>
  <c r="BI115" i="28"/>
  <c r="BI100" i="28" s="1"/>
  <c r="BH115" i="28"/>
  <c r="BG115" i="28"/>
  <c r="BG100" i="28" s="1"/>
  <c r="BF115" i="28"/>
  <c r="BF100" i="28" s="1"/>
  <c r="BE115" i="28"/>
  <c r="BE100" i="28" s="1"/>
  <c r="BD115" i="28"/>
  <c r="AZ109" i="26" s="1"/>
  <c r="BC115" i="28"/>
  <c r="BC100" i="28" s="1"/>
  <c r="BB115" i="28"/>
  <c r="BB100" i="28" s="1"/>
  <c r="BA115" i="28"/>
  <c r="BA100" i="28" s="1"/>
  <c r="AZ115" i="28"/>
  <c r="AZ100" i="28" s="1"/>
  <c r="AY115" i="28"/>
  <c r="AY100" i="28" s="1"/>
  <c r="AX115" i="28"/>
  <c r="AX100" i="28" s="1"/>
  <c r="AW115" i="28"/>
  <c r="AW100" i="28" s="1"/>
  <c r="AV115" i="28"/>
  <c r="AU115" i="28"/>
  <c r="AU100" i="28" s="1"/>
  <c r="AT115" i="28"/>
  <c r="AT100" i="28" s="1"/>
  <c r="AS115" i="28"/>
  <c r="AS100" i="28" s="1"/>
  <c r="AR115" i="28"/>
  <c r="AR100" i="28" s="1"/>
  <c r="AQ115" i="28"/>
  <c r="AQ100" i="28" s="1"/>
  <c r="AP115" i="28"/>
  <c r="AP100" i="28" s="1"/>
  <c r="AO115" i="28"/>
  <c r="AO100" i="28" s="1"/>
  <c r="AN115" i="28"/>
  <c r="AJ109" i="26" s="1"/>
  <c r="AM115" i="28"/>
  <c r="AM100" i="28" s="1"/>
  <c r="AL115" i="28"/>
  <c r="AL100" i="28" s="1"/>
  <c r="AK115" i="28"/>
  <c r="AK100" i="28" s="1"/>
  <c r="AJ115" i="28"/>
  <c r="AI115" i="28"/>
  <c r="AI100" i="28" s="1"/>
  <c r="AH115" i="28"/>
  <c r="AH100" i="28" s="1"/>
  <c r="AG115" i="28"/>
  <c r="AG100" i="28" s="1"/>
  <c r="AF115" i="28"/>
  <c r="AF100" i="28" s="1"/>
  <c r="AE115" i="28"/>
  <c r="AE100" i="28" s="1"/>
  <c r="AD115" i="28"/>
  <c r="AD100" i="28" s="1"/>
  <c r="AC115" i="28"/>
  <c r="AC100" i="28" s="1"/>
  <c r="AB115" i="28"/>
  <c r="AB100" i="28" s="1"/>
  <c r="AA115" i="28"/>
  <c r="AA100" i="28" s="1"/>
  <c r="Z115" i="28"/>
  <c r="Z100" i="28" s="1"/>
  <c r="Y115" i="28"/>
  <c r="Y100" i="28" s="1"/>
  <c r="X115" i="28"/>
  <c r="W115" i="28"/>
  <c r="W100" i="28" s="1"/>
  <c r="V115" i="28"/>
  <c r="V100" i="28" s="1"/>
  <c r="U115" i="28"/>
  <c r="U100" i="28" s="1"/>
  <c r="T115" i="28"/>
  <c r="T100" i="28" s="1"/>
  <c r="S115" i="28"/>
  <c r="S100" i="28" s="1"/>
  <c r="R115" i="28"/>
  <c r="R100" i="28" s="1"/>
  <c r="Q115" i="28"/>
  <c r="Q100" i="28" s="1"/>
  <c r="P115" i="28"/>
  <c r="P100" i="28" s="1"/>
  <c r="O115" i="28"/>
  <c r="O100" i="28" s="1"/>
  <c r="N115" i="28"/>
  <c r="N100" i="28" s="1"/>
  <c r="M115" i="28"/>
  <c r="M100" i="28" s="1"/>
  <c r="L115" i="28"/>
  <c r="BS83" i="28"/>
  <c r="BO78" i="26" s="1"/>
  <c r="BR83" i="28"/>
  <c r="BN78" i="26" s="1"/>
  <c r="BQ83" i="28"/>
  <c r="BM78" i="26" s="1"/>
  <c r="BP83" i="28"/>
  <c r="BL78" i="26" s="1"/>
  <c r="BO83" i="28"/>
  <c r="BK78" i="26" s="1"/>
  <c r="BN83" i="28"/>
  <c r="BJ78" i="26" s="1"/>
  <c r="BM83" i="28"/>
  <c r="BI78" i="26" s="1"/>
  <c r="BL83" i="28"/>
  <c r="BH78" i="26" s="1"/>
  <c r="BK83" i="28"/>
  <c r="BG78" i="26" s="1"/>
  <c r="BJ83" i="28"/>
  <c r="BF78" i="26" s="1"/>
  <c r="BI83" i="28"/>
  <c r="BE78" i="26" s="1"/>
  <c r="BH83" i="28"/>
  <c r="BG83" i="28"/>
  <c r="BC78" i="26" s="1"/>
  <c r="BF83" i="28"/>
  <c r="BB78" i="26" s="1"/>
  <c r="BE83" i="28"/>
  <c r="BA78" i="26" s="1"/>
  <c r="BD83" i="28"/>
  <c r="AZ78" i="26" s="1"/>
  <c r="BC83" i="28"/>
  <c r="AY78" i="26" s="1"/>
  <c r="BB83" i="28"/>
  <c r="AX78" i="26" s="1"/>
  <c r="BA83" i="28"/>
  <c r="AW78" i="26" s="1"/>
  <c r="AZ83" i="28"/>
  <c r="AV78" i="26" s="1"/>
  <c r="AY83" i="28"/>
  <c r="AU78" i="26" s="1"/>
  <c r="AX83" i="28"/>
  <c r="AT78" i="26" s="1"/>
  <c r="AW83" i="28"/>
  <c r="AS78" i="26" s="1"/>
  <c r="AV83" i="28"/>
  <c r="AU83" i="28"/>
  <c r="AQ78" i="26" s="1"/>
  <c r="AT83" i="28"/>
  <c r="AP78" i="26" s="1"/>
  <c r="AS83" i="28"/>
  <c r="AO78" i="26" s="1"/>
  <c r="AR83" i="28"/>
  <c r="AN78" i="26" s="1"/>
  <c r="AQ83" i="28"/>
  <c r="AM78" i="26" s="1"/>
  <c r="AP83" i="28"/>
  <c r="AL78" i="26" s="1"/>
  <c r="AO83" i="28"/>
  <c r="AK78" i="26" s="1"/>
  <c r="AN83" i="28"/>
  <c r="AJ78" i="26" s="1"/>
  <c r="AM83" i="28"/>
  <c r="AI78" i="26" s="1"/>
  <c r="AL83" i="28"/>
  <c r="AH78" i="26" s="1"/>
  <c r="AK83" i="28"/>
  <c r="AG78" i="26" s="1"/>
  <c r="AJ83" i="28"/>
  <c r="AI83" i="28"/>
  <c r="AE78" i="26" s="1"/>
  <c r="AH83" i="28"/>
  <c r="AD78" i="26" s="1"/>
  <c r="AG83" i="28"/>
  <c r="AC78" i="26" s="1"/>
  <c r="AF83" i="28"/>
  <c r="AB78" i="26" s="1"/>
  <c r="AE83" i="28"/>
  <c r="AA78" i="26" s="1"/>
  <c r="AD83" i="28"/>
  <c r="Z78" i="26" s="1"/>
  <c r="AC83" i="28"/>
  <c r="Y78" i="26" s="1"/>
  <c r="AB83" i="28"/>
  <c r="X78" i="26" s="1"/>
  <c r="AA83" i="28"/>
  <c r="W78" i="26" s="1"/>
  <c r="Z83" i="28"/>
  <c r="V78" i="26" s="1"/>
  <c r="Y83" i="28"/>
  <c r="U78" i="26" s="1"/>
  <c r="X83" i="28"/>
  <c r="W83" i="28"/>
  <c r="S78" i="26" s="1"/>
  <c r="V83" i="28"/>
  <c r="R78" i="26" s="1"/>
  <c r="U83" i="28"/>
  <c r="Q78" i="26" s="1"/>
  <c r="T83" i="28"/>
  <c r="P78" i="26" s="1"/>
  <c r="S83" i="28"/>
  <c r="O78" i="26" s="1"/>
  <c r="R83" i="28"/>
  <c r="N78" i="26" s="1"/>
  <c r="Q83" i="28"/>
  <c r="M78" i="26" s="1"/>
  <c r="P83" i="28"/>
  <c r="L78" i="26" s="1"/>
  <c r="O83" i="28"/>
  <c r="K78" i="26" s="1"/>
  <c r="N83" i="28"/>
  <c r="J78" i="26" s="1"/>
  <c r="M83" i="28"/>
  <c r="I78" i="26" s="1"/>
  <c r="L83" i="28"/>
  <c r="B17" i="15"/>
  <c r="BR96" i="28"/>
  <c r="BQ96" i="28"/>
  <c r="BP96" i="28"/>
  <c r="BO96" i="28"/>
  <c r="BN96" i="28"/>
  <c r="BM96" i="28"/>
  <c r="BL96" i="28"/>
  <c r="BK96" i="28"/>
  <c r="BJ96" i="28"/>
  <c r="BI96" i="28"/>
  <c r="BH96" i="28"/>
  <c r="BG96" i="28"/>
  <c r="BF96" i="28"/>
  <c r="BE96" i="28"/>
  <c r="BD96" i="28"/>
  <c r="BC96" i="28"/>
  <c r="BB96" i="28"/>
  <c r="BA96" i="28"/>
  <c r="AZ96" i="28"/>
  <c r="AY96" i="28"/>
  <c r="AX96" i="28"/>
  <c r="AW96" i="28"/>
  <c r="AV96" i="28"/>
  <c r="AU96" i="28"/>
  <c r="AT96" i="28"/>
  <c r="AS96" i="28"/>
  <c r="AR96" i="28"/>
  <c r="AQ96" i="28"/>
  <c r="AP96" i="28"/>
  <c r="AO96" i="28"/>
  <c r="AN96" i="28"/>
  <c r="AM96" i="28"/>
  <c r="AL96" i="28"/>
  <c r="AK96" i="28"/>
  <c r="AJ96" i="28"/>
  <c r="AI96" i="28"/>
  <c r="AH96" i="28"/>
  <c r="AG96" i="28"/>
  <c r="AF96" i="28"/>
  <c r="AE96" i="28"/>
  <c r="AD96" i="28"/>
  <c r="AC96" i="28"/>
  <c r="AB96" i="28"/>
  <c r="AA96" i="28"/>
  <c r="Z96" i="28"/>
  <c r="Y96" i="28"/>
  <c r="X96" i="28"/>
  <c r="W96" i="28"/>
  <c r="V96" i="28"/>
  <c r="U96" i="28"/>
  <c r="T96" i="28"/>
  <c r="S96" i="28"/>
  <c r="R96" i="28"/>
  <c r="Q96" i="28"/>
  <c r="P96" i="28"/>
  <c r="O96" i="28"/>
  <c r="N96" i="28"/>
  <c r="M96" i="28"/>
  <c r="L96" i="28"/>
  <c r="BS96" i="28"/>
  <c r="BR90" i="28"/>
  <c r="BQ90" i="28"/>
  <c r="BP90" i="28"/>
  <c r="BO90" i="28"/>
  <c r="BN90" i="28"/>
  <c r="BM90" i="28"/>
  <c r="BL90" i="28"/>
  <c r="BK90" i="28"/>
  <c r="BJ90" i="28"/>
  <c r="BI90" i="28"/>
  <c r="BH90" i="28"/>
  <c r="BG90" i="28"/>
  <c r="BF90" i="28"/>
  <c r="BE90" i="28"/>
  <c r="BD90" i="28"/>
  <c r="BC90" i="28"/>
  <c r="BB90" i="28"/>
  <c r="BA90" i="28"/>
  <c r="AZ90" i="28"/>
  <c r="AY90" i="28"/>
  <c r="AX90" i="28"/>
  <c r="AW90" i="28"/>
  <c r="AV90" i="28"/>
  <c r="AU90" i="28"/>
  <c r="AT90" i="28"/>
  <c r="AS90" i="28"/>
  <c r="AR90" i="28"/>
  <c r="AQ90" i="28"/>
  <c r="AP90" i="28"/>
  <c r="AO90" i="28"/>
  <c r="AN90" i="28"/>
  <c r="AM90" i="28"/>
  <c r="AL90" i="28"/>
  <c r="AK90" i="28"/>
  <c r="AJ90" i="28"/>
  <c r="AI90" i="28"/>
  <c r="AH90" i="28"/>
  <c r="AG90" i="28"/>
  <c r="AF90" i="28"/>
  <c r="AE90" i="28"/>
  <c r="AD90" i="28"/>
  <c r="AC90" i="28"/>
  <c r="AB90" i="28"/>
  <c r="AA90" i="28"/>
  <c r="Z90" i="28"/>
  <c r="Y90" i="28"/>
  <c r="X90" i="28"/>
  <c r="W90" i="28"/>
  <c r="V90" i="28"/>
  <c r="U90" i="28"/>
  <c r="T90" i="28"/>
  <c r="S90" i="28"/>
  <c r="R90" i="28"/>
  <c r="Q90" i="28"/>
  <c r="P90" i="28"/>
  <c r="O90" i="28"/>
  <c r="N90" i="28"/>
  <c r="M90" i="28"/>
  <c r="L90" i="28"/>
  <c r="BS90" i="28"/>
  <c r="M85" i="28"/>
  <c r="BS81" i="28"/>
  <c r="BO76" i="26" s="1"/>
  <c r="BR81" i="28"/>
  <c r="BN76" i="26" s="1"/>
  <c r="BQ81" i="28"/>
  <c r="BM76" i="26" s="1"/>
  <c r="BP81" i="28"/>
  <c r="BL76" i="26" s="1"/>
  <c r="BO81" i="28"/>
  <c r="BK76" i="26" s="1"/>
  <c r="BN81" i="28"/>
  <c r="BJ76" i="26" s="1"/>
  <c r="BM81" i="28"/>
  <c r="BI76" i="26" s="1"/>
  <c r="BL81" i="28"/>
  <c r="BH76" i="26" s="1"/>
  <c r="BK81" i="28"/>
  <c r="BG76" i="26" s="1"/>
  <c r="BJ81" i="28"/>
  <c r="BF76" i="26" s="1"/>
  <c r="BI81" i="28"/>
  <c r="BE76" i="26" s="1"/>
  <c r="BS78" i="28"/>
  <c r="BO73" i="26" s="1"/>
  <c r="BR78" i="28"/>
  <c r="BN73" i="26" s="1"/>
  <c r="BQ78" i="28"/>
  <c r="BM73" i="26" s="1"/>
  <c r="BP78" i="28"/>
  <c r="BL73" i="26" s="1"/>
  <c r="BO78" i="28"/>
  <c r="BK73" i="26" s="1"/>
  <c r="BN78" i="28"/>
  <c r="BJ73" i="26" s="1"/>
  <c r="BM78" i="28"/>
  <c r="BI73" i="26" s="1"/>
  <c r="BL78" i="28"/>
  <c r="BH73" i="26" s="1"/>
  <c r="BK78" i="28"/>
  <c r="BG73" i="26" s="1"/>
  <c r="BJ78" i="28"/>
  <c r="BF73" i="26" s="1"/>
  <c r="BI78" i="28"/>
  <c r="BE73" i="26" s="1"/>
  <c r="BS77" i="28"/>
  <c r="BO72" i="26" s="1"/>
  <c r="BR77" i="28"/>
  <c r="BN72" i="26" s="1"/>
  <c r="BQ77" i="28"/>
  <c r="BM72" i="26" s="1"/>
  <c r="BP77" i="28"/>
  <c r="BL72" i="26" s="1"/>
  <c r="BO77" i="28"/>
  <c r="BK72" i="26" s="1"/>
  <c r="BN77" i="28"/>
  <c r="BJ72" i="26" s="1"/>
  <c r="BM77" i="28"/>
  <c r="BI72" i="26" s="1"/>
  <c r="BL77" i="28"/>
  <c r="BH72" i="26" s="1"/>
  <c r="BK77" i="28"/>
  <c r="BG72" i="26" s="1"/>
  <c r="BJ77" i="28"/>
  <c r="BF72" i="26" s="1"/>
  <c r="BI77" i="28"/>
  <c r="BE72" i="26" s="1"/>
  <c r="BS76" i="28"/>
  <c r="BO71" i="26" s="1"/>
  <c r="BR76" i="28"/>
  <c r="BN71" i="26" s="1"/>
  <c r="BQ76" i="28"/>
  <c r="BM71" i="26" s="1"/>
  <c r="BP76" i="28"/>
  <c r="BL71" i="26" s="1"/>
  <c r="BO76" i="28"/>
  <c r="BK71" i="26" s="1"/>
  <c r="BN76" i="28"/>
  <c r="BJ71" i="26" s="1"/>
  <c r="BM76" i="28"/>
  <c r="BI71" i="26" s="1"/>
  <c r="BL76" i="28"/>
  <c r="BH71" i="26" s="1"/>
  <c r="BK76" i="28"/>
  <c r="BG71" i="26" s="1"/>
  <c r="BJ76" i="28"/>
  <c r="BF71" i="26" s="1"/>
  <c r="BI76" i="28"/>
  <c r="BE71" i="26" s="1"/>
  <c r="BS75" i="28"/>
  <c r="BO70" i="26" s="1"/>
  <c r="BR75" i="28"/>
  <c r="BN70" i="26" s="1"/>
  <c r="BQ75" i="28"/>
  <c r="BM70" i="26" s="1"/>
  <c r="BP75" i="28"/>
  <c r="BL70" i="26" s="1"/>
  <c r="BO75" i="28"/>
  <c r="BK70" i="26" s="1"/>
  <c r="BN75" i="28"/>
  <c r="BJ70" i="26" s="1"/>
  <c r="BM75" i="28"/>
  <c r="BI70" i="26" s="1"/>
  <c r="BL75" i="28"/>
  <c r="BH70" i="26" s="1"/>
  <c r="BK75" i="28"/>
  <c r="BG70" i="26" s="1"/>
  <c r="BJ75" i="28"/>
  <c r="BF70" i="26" s="1"/>
  <c r="BI75" i="28"/>
  <c r="BE70" i="26" s="1"/>
  <c r="BO69" i="26"/>
  <c r="BN69" i="26"/>
  <c r="BM69" i="26"/>
  <c r="BL69" i="26"/>
  <c r="BK69" i="26"/>
  <c r="BJ69" i="26"/>
  <c r="BI69" i="26"/>
  <c r="BH69" i="26"/>
  <c r="BG69" i="26"/>
  <c r="BF69" i="26"/>
  <c r="BE69" i="26"/>
  <c r="BH81" i="28"/>
  <c r="BH78" i="28"/>
  <c r="BH77" i="28"/>
  <c r="BH76" i="28"/>
  <c r="BH75" i="28"/>
  <c r="BG81" i="28"/>
  <c r="BC76" i="26" s="1"/>
  <c r="BF81" i="28"/>
  <c r="BB76" i="26" s="1"/>
  <c r="BE81" i="28"/>
  <c r="BA76" i="26" s="1"/>
  <c r="BD81" i="28"/>
  <c r="AZ76" i="26" s="1"/>
  <c r="BC81" i="28"/>
  <c r="AY76" i="26" s="1"/>
  <c r="BB81" i="28"/>
  <c r="AX76" i="26" s="1"/>
  <c r="BA81" i="28"/>
  <c r="AW76" i="26" s="1"/>
  <c r="AZ81" i="28"/>
  <c r="AV76" i="26" s="1"/>
  <c r="AY81" i="28"/>
  <c r="AU76" i="26" s="1"/>
  <c r="AX81" i="28"/>
  <c r="AT76" i="26" s="1"/>
  <c r="AW81" i="28"/>
  <c r="AS76" i="26" s="1"/>
  <c r="BG78" i="28"/>
  <c r="BC73" i="26" s="1"/>
  <c r="BF78" i="28"/>
  <c r="BB73" i="26" s="1"/>
  <c r="BE78" i="28"/>
  <c r="BA73" i="26" s="1"/>
  <c r="BD78" i="28"/>
  <c r="AZ73" i="26" s="1"/>
  <c r="BC78" i="28"/>
  <c r="AY73" i="26" s="1"/>
  <c r="BB78" i="28"/>
  <c r="AX73" i="26" s="1"/>
  <c r="BA78" i="28"/>
  <c r="AW73" i="26" s="1"/>
  <c r="AZ78" i="28"/>
  <c r="AV73" i="26" s="1"/>
  <c r="AY78" i="28"/>
  <c r="AU73" i="26" s="1"/>
  <c r="AX78" i="28"/>
  <c r="AT73" i="26" s="1"/>
  <c r="AW78" i="28"/>
  <c r="AS73" i="26" s="1"/>
  <c r="BG77" i="28"/>
  <c r="BC72" i="26" s="1"/>
  <c r="BF77" i="28"/>
  <c r="BB72" i="26" s="1"/>
  <c r="BE77" i="28"/>
  <c r="BA72" i="26" s="1"/>
  <c r="BD77" i="28"/>
  <c r="AZ72" i="26" s="1"/>
  <c r="BC77" i="28"/>
  <c r="AY72" i="26" s="1"/>
  <c r="BB77" i="28"/>
  <c r="AX72" i="26" s="1"/>
  <c r="BA77" i="28"/>
  <c r="AW72" i="26" s="1"/>
  <c r="AZ77" i="28"/>
  <c r="AV72" i="26" s="1"/>
  <c r="AY77" i="28"/>
  <c r="AU72" i="26" s="1"/>
  <c r="AX77" i="28"/>
  <c r="AT72" i="26" s="1"/>
  <c r="AW77" i="28"/>
  <c r="AS72" i="26" s="1"/>
  <c r="BG76" i="28"/>
  <c r="BC71" i="26" s="1"/>
  <c r="BF76" i="28"/>
  <c r="BB71" i="26" s="1"/>
  <c r="BE76" i="28"/>
  <c r="BA71" i="26" s="1"/>
  <c r="BD76" i="28"/>
  <c r="AZ71" i="26" s="1"/>
  <c r="BC76" i="28"/>
  <c r="AY71" i="26" s="1"/>
  <c r="BB76" i="28"/>
  <c r="AX71" i="26" s="1"/>
  <c r="BA76" i="28"/>
  <c r="AW71" i="26" s="1"/>
  <c r="AZ76" i="28"/>
  <c r="AV71" i="26" s="1"/>
  <c r="AY76" i="28"/>
  <c r="AU71" i="26" s="1"/>
  <c r="AX76" i="28"/>
  <c r="AT71" i="26" s="1"/>
  <c r="AW76" i="28"/>
  <c r="AS71" i="26" s="1"/>
  <c r="BG75" i="28"/>
  <c r="BC70" i="26" s="1"/>
  <c r="BF75" i="28"/>
  <c r="BB70" i="26" s="1"/>
  <c r="BE75" i="28"/>
  <c r="BA70" i="26" s="1"/>
  <c r="BD75" i="28"/>
  <c r="AZ70" i="26" s="1"/>
  <c r="BC75" i="28"/>
  <c r="AY70" i="26" s="1"/>
  <c r="BB75" i="28"/>
  <c r="AX70" i="26" s="1"/>
  <c r="BA75" i="28"/>
  <c r="AW70" i="26" s="1"/>
  <c r="AZ75" i="28"/>
  <c r="AV70" i="26" s="1"/>
  <c r="AY75" i="28"/>
  <c r="AU70" i="26" s="1"/>
  <c r="AX75" i="28"/>
  <c r="AT70" i="26" s="1"/>
  <c r="AW75" i="28"/>
  <c r="AS70" i="26" s="1"/>
  <c r="BC69" i="26"/>
  <c r="BB69" i="26"/>
  <c r="BA69" i="26"/>
  <c r="AZ69" i="26"/>
  <c r="AY69" i="26"/>
  <c r="AX69" i="26"/>
  <c r="AW69" i="26"/>
  <c r="AV69" i="26"/>
  <c r="AU69" i="26"/>
  <c r="AT69" i="26"/>
  <c r="AS69" i="26"/>
  <c r="AV81" i="28"/>
  <c r="AV78" i="28"/>
  <c r="AV77" i="28"/>
  <c r="AV76" i="28"/>
  <c r="AV75" i="28"/>
  <c r="AU81" i="28"/>
  <c r="AQ76" i="26" s="1"/>
  <c r="AT81" i="28"/>
  <c r="AP76" i="26" s="1"/>
  <c r="AS81" i="28"/>
  <c r="AO76" i="26" s="1"/>
  <c r="AR81" i="28"/>
  <c r="AN76" i="26" s="1"/>
  <c r="AQ81" i="28"/>
  <c r="AM76" i="26" s="1"/>
  <c r="AP81" i="28"/>
  <c r="AL76" i="26" s="1"/>
  <c r="AO81" i="28"/>
  <c r="AK76" i="26" s="1"/>
  <c r="AN81" i="28"/>
  <c r="AJ76" i="26" s="1"/>
  <c r="AM81" i="28"/>
  <c r="AI76" i="26" s="1"/>
  <c r="AL81" i="28"/>
  <c r="AH76" i="26" s="1"/>
  <c r="AK81" i="28"/>
  <c r="AG76" i="26" s="1"/>
  <c r="AU78" i="28"/>
  <c r="AQ73" i="26" s="1"/>
  <c r="AT78" i="28"/>
  <c r="AP73" i="26" s="1"/>
  <c r="AS78" i="28"/>
  <c r="AO73" i="26" s="1"/>
  <c r="AR78" i="28"/>
  <c r="AN73" i="26" s="1"/>
  <c r="AQ78" i="28"/>
  <c r="AM73" i="26" s="1"/>
  <c r="AP78" i="28"/>
  <c r="AL73" i="26" s="1"/>
  <c r="AO78" i="28"/>
  <c r="AK73" i="26" s="1"/>
  <c r="AN78" i="28"/>
  <c r="AJ73" i="26" s="1"/>
  <c r="AM78" i="28"/>
  <c r="AI73" i="26" s="1"/>
  <c r="AL78" i="28"/>
  <c r="AH73" i="26" s="1"/>
  <c r="AK78" i="28"/>
  <c r="AG73" i="26" s="1"/>
  <c r="AU77" i="28"/>
  <c r="AQ72" i="26" s="1"/>
  <c r="AT77" i="28"/>
  <c r="AP72" i="26" s="1"/>
  <c r="AS77" i="28"/>
  <c r="AO72" i="26" s="1"/>
  <c r="AR77" i="28"/>
  <c r="AN72" i="26" s="1"/>
  <c r="AQ77" i="28"/>
  <c r="AM72" i="26" s="1"/>
  <c r="AP77" i="28"/>
  <c r="AL72" i="26" s="1"/>
  <c r="AO77" i="28"/>
  <c r="AK72" i="26" s="1"/>
  <c r="AN77" i="28"/>
  <c r="AJ72" i="26" s="1"/>
  <c r="AM77" i="28"/>
  <c r="AI72" i="26" s="1"/>
  <c r="AL77" i="28"/>
  <c r="AH72" i="26" s="1"/>
  <c r="AK77" i="28"/>
  <c r="AG72" i="26" s="1"/>
  <c r="AU76" i="28"/>
  <c r="AQ71" i="26" s="1"/>
  <c r="AT76" i="28"/>
  <c r="AP71" i="26" s="1"/>
  <c r="AS76" i="28"/>
  <c r="AO71" i="26" s="1"/>
  <c r="AR76" i="28"/>
  <c r="AN71" i="26" s="1"/>
  <c r="AQ76" i="28"/>
  <c r="AM71" i="26" s="1"/>
  <c r="AP76" i="28"/>
  <c r="AL71" i="26" s="1"/>
  <c r="AO76" i="28"/>
  <c r="AK71" i="26" s="1"/>
  <c r="AN76" i="28"/>
  <c r="AJ71" i="26" s="1"/>
  <c r="AM76" i="28"/>
  <c r="AI71" i="26" s="1"/>
  <c r="AL76" i="28"/>
  <c r="AH71" i="26" s="1"/>
  <c r="AK76" i="28"/>
  <c r="AG71" i="26" s="1"/>
  <c r="AU75" i="28"/>
  <c r="AQ70" i="26" s="1"/>
  <c r="AT75" i="28"/>
  <c r="AP70" i="26" s="1"/>
  <c r="AS75" i="28"/>
  <c r="AO70" i="26" s="1"/>
  <c r="AR75" i="28"/>
  <c r="AN70" i="26" s="1"/>
  <c r="AQ75" i="28"/>
  <c r="AM70" i="26" s="1"/>
  <c r="AP75" i="28"/>
  <c r="AL70" i="26" s="1"/>
  <c r="AO75" i="28"/>
  <c r="AK70" i="26" s="1"/>
  <c r="AN75" i="28"/>
  <c r="AJ70" i="26" s="1"/>
  <c r="AM75" i="28"/>
  <c r="AI70" i="26" s="1"/>
  <c r="AL75" i="28"/>
  <c r="AH70" i="26" s="1"/>
  <c r="AK75" i="28"/>
  <c r="AG70" i="26" s="1"/>
  <c r="AQ69" i="26"/>
  <c r="AP69" i="26"/>
  <c r="AO69" i="26"/>
  <c r="AN69" i="26"/>
  <c r="AM69" i="26"/>
  <c r="AL69" i="26"/>
  <c r="AK69" i="26"/>
  <c r="AJ69" i="26"/>
  <c r="AI69" i="26"/>
  <c r="AH69" i="26"/>
  <c r="AG69" i="26"/>
  <c r="AJ81" i="28"/>
  <c r="AJ78" i="28"/>
  <c r="AJ77" i="28"/>
  <c r="AJ76" i="28"/>
  <c r="AJ75" i="28"/>
  <c r="AI81" i="28"/>
  <c r="AE76" i="26" s="1"/>
  <c r="AH81" i="28"/>
  <c r="AD76" i="26" s="1"/>
  <c r="AG81" i="28"/>
  <c r="AC76" i="26" s="1"/>
  <c r="AF81" i="28"/>
  <c r="AB76" i="26" s="1"/>
  <c r="AE81" i="28"/>
  <c r="AA76" i="26" s="1"/>
  <c r="AD81" i="28"/>
  <c r="Z76" i="26" s="1"/>
  <c r="AC81" i="28"/>
  <c r="Y76" i="26" s="1"/>
  <c r="AB81" i="28"/>
  <c r="X76" i="26" s="1"/>
  <c r="AA81" i="28"/>
  <c r="W76" i="26" s="1"/>
  <c r="Z81" i="28"/>
  <c r="V76" i="26" s="1"/>
  <c r="Y81" i="28"/>
  <c r="U76" i="26" s="1"/>
  <c r="AI78" i="28"/>
  <c r="AE73" i="26" s="1"/>
  <c r="AH78" i="28"/>
  <c r="AD73" i="26" s="1"/>
  <c r="AG78" i="28"/>
  <c r="AC73" i="26" s="1"/>
  <c r="AF78" i="28"/>
  <c r="AB73" i="26" s="1"/>
  <c r="AE78" i="28"/>
  <c r="AA73" i="26" s="1"/>
  <c r="AD78" i="28"/>
  <c r="Z73" i="26" s="1"/>
  <c r="AC78" i="28"/>
  <c r="Y73" i="26" s="1"/>
  <c r="AB78" i="28"/>
  <c r="X73" i="26" s="1"/>
  <c r="AA78" i="28"/>
  <c r="W73" i="26" s="1"/>
  <c r="Z78" i="28"/>
  <c r="V73" i="26" s="1"/>
  <c r="Y78" i="28"/>
  <c r="U73" i="26" s="1"/>
  <c r="AI77" i="28"/>
  <c r="AE72" i="26" s="1"/>
  <c r="AH77" i="28"/>
  <c r="AD72" i="26" s="1"/>
  <c r="AG77" i="28"/>
  <c r="AC72" i="26" s="1"/>
  <c r="AF77" i="28"/>
  <c r="AB72" i="26" s="1"/>
  <c r="AE77" i="28"/>
  <c r="AA72" i="26" s="1"/>
  <c r="AD77" i="28"/>
  <c r="Z72" i="26" s="1"/>
  <c r="AC77" i="28"/>
  <c r="Y72" i="26" s="1"/>
  <c r="AB77" i="28"/>
  <c r="X72" i="26" s="1"/>
  <c r="AA77" i="28"/>
  <c r="W72" i="26" s="1"/>
  <c r="Z77" i="28"/>
  <c r="V72" i="26" s="1"/>
  <c r="Y77" i="28"/>
  <c r="U72" i="26" s="1"/>
  <c r="AI76" i="28"/>
  <c r="AE71" i="26" s="1"/>
  <c r="AH76" i="28"/>
  <c r="AD71" i="26" s="1"/>
  <c r="AG76" i="28"/>
  <c r="AC71" i="26" s="1"/>
  <c r="AF76" i="28"/>
  <c r="AB71" i="26" s="1"/>
  <c r="AE76" i="28"/>
  <c r="AA71" i="26" s="1"/>
  <c r="AD76" i="28"/>
  <c r="Z71" i="26" s="1"/>
  <c r="AC76" i="28"/>
  <c r="Y71" i="26" s="1"/>
  <c r="AB76" i="28"/>
  <c r="X71" i="26" s="1"/>
  <c r="AA76" i="28"/>
  <c r="W71" i="26" s="1"/>
  <c r="Z76" i="28"/>
  <c r="V71" i="26" s="1"/>
  <c r="Y76" i="28"/>
  <c r="U71" i="26" s="1"/>
  <c r="AI75" i="28"/>
  <c r="AE70" i="26" s="1"/>
  <c r="AH75" i="28"/>
  <c r="AD70" i="26" s="1"/>
  <c r="AG75" i="28"/>
  <c r="AC70" i="26" s="1"/>
  <c r="AF75" i="28"/>
  <c r="AB70" i="26" s="1"/>
  <c r="AE75" i="28"/>
  <c r="AA70" i="26" s="1"/>
  <c r="AD75" i="28"/>
  <c r="Z70" i="26" s="1"/>
  <c r="AC75" i="28"/>
  <c r="Y70" i="26" s="1"/>
  <c r="AB75" i="28"/>
  <c r="X70" i="26" s="1"/>
  <c r="AA75" i="28"/>
  <c r="W70" i="26" s="1"/>
  <c r="Z75" i="28"/>
  <c r="V70" i="26" s="1"/>
  <c r="Y75" i="28"/>
  <c r="U70" i="26" s="1"/>
  <c r="AE69" i="26"/>
  <c r="AD69" i="26"/>
  <c r="AC69" i="26"/>
  <c r="AB69" i="26"/>
  <c r="AA69" i="26"/>
  <c r="Z69" i="26"/>
  <c r="Y69" i="26"/>
  <c r="X69" i="26"/>
  <c r="W69" i="26"/>
  <c r="V69" i="26"/>
  <c r="U69" i="26"/>
  <c r="X81" i="28"/>
  <c r="X78" i="28"/>
  <c r="X77" i="28"/>
  <c r="X76" i="28"/>
  <c r="X75" i="28"/>
  <c r="S69" i="26"/>
  <c r="W81" i="28"/>
  <c r="S76" i="26" s="1"/>
  <c r="V81" i="28"/>
  <c r="R76" i="26" s="1"/>
  <c r="U81" i="28"/>
  <c r="Q76" i="26" s="1"/>
  <c r="T81" i="28"/>
  <c r="P76" i="26" s="1"/>
  <c r="S81" i="28"/>
  <c r="O76" i="26" s="1"/>
  <c r="R81" i="28"/>
  <c r="N76" i="26" s="1"/>
  <c r="Q81" i="28"/>
  <c r="M76" i="26" s="1"/>
  <c r="P81" i="28"/>
  <c r="L76" i="26" s="1"/>
  <c r="O81" i="28"/>
  <c r="K76" i="26" s="1"/>
  <c r="N81" i="28"/>
  <c r="J76" i="26" s="1"/>
  <c r="M81" i="28"/>
  <c r="I76" i="26" s="1"/>
  <c r="L81" i="28"/>
  <c r="W78" i="28"/>
  <c r="S73" i="26" s="1"/>
  <c r="V78" i="28"/>
  <c r="R73" i="26" s="1"/>
  <c r="U78" i="28"/>
  <c r="Q73" i="26" s="1"/>
  <c r="T78" i="28"/>
  <c r="P73" i="26" s="1"/>
  <c r="S78" i="28"/>
  <c r="O73" i="26" s="1"/>
  <c r="R78" i="28"/>
  <c r="N73" i="26" s="1"/>
  <c r="Q78" i="28"/>
  <c r="M73" i="26" s="1"/>
  <c r="P78" i="28"/>
  <c r="L73" i="26" s="1"/>
  <c r="O78" i="28"/>
  <c r="K73" i="26" s="1"/>
  <c r="N78" i="28"/>
  <c r="J73" i="26" s="1"/>
  <c r="M78" i="28"/>
  <c r="I73" i="26" s="1"/>
  <c r="L78" i="28"/>
  <c r="W77" i="28"/>
  <c r="S72" i="26" s="1"/>
  <c r="V77" i="28"/>
  <c r="R72" i="26" s="1"/>
  <c r="U77" i="28"/>
  <c r="Q72" i="26" s="1"/>
  <c r="T77" i="28"/>
  <c r="P72" i="26" s="1"/>
  <c r="S77" i="28"/>
  <c r="O72" i="26" s="1"/>
  <c r="R77" i="28"/>
  <c r="N72" i="26" s="1"/>
  <c r="Q77" i="28"/>
  <c r="M72" i="26" s="1"/>
  <c r="P77" i="28"/>
  <c r="L72" i="26" s="1"/>
  <c r="O77" i="28"/>
  <c r="K72" i="26" s="1"/>
  <c r="N77" i="28"/>
  <c r="J72" i="26" s="1"/>
  <c r="M77" i="28"/>
  <c r="I72" i="26" s="1"/>
  <c r="L77" i="28"/>
  <c r="W76" i="28"/>
  <c r="S71" i="26" s="1"/>
  <c r="V76" i="28"/>
  <c r="R71" i="26" s="1"/>
  <c r="U76" i="28"/>
  <c r="Q71" i="26" s="1"/>
  <c r="T76" i="28"/>
  <c r="P71" i="26" s="1"/>
  <c r="S76" i="28"/>
  <c r="O71" i="26" s="1"/>
  <c r="R76" i="28"/>
  <c r="N71" i="26" s="1"/>
  <c r="Q76" i="28"/>
  <c r="M71" i="26" s="1"/>
  <c r="P76" i="28"/>
  <c r="L71" i="26" s="1"/>
  <c r="O76" i="28"/>
  <c r="K71" i="26" s="1"/>
  <c r="N76" i="28"/>
  <c r="J71" i="26" s="1"/>
  <c r="M76" i="28"/>
  <c r="I71" i="26" s="1"/>
  <c r="L76" i="28"/>
  <c r="W75" i="28"/>
  <c r="S70" i="26" s="1"/>
  <c r="V75" i="28"/>
  <c r="R70" i="26" s="1"/>
  <c r="U75" i="28"/>
  <c r="Q70" i="26" s="1"/>
  <c r="T75" i="28"/>
  <c r="P70" i="26" s="1"/>
  <c r="S75" i="28"/>
  <c r="O70" i="26" s="1"/>
  <c r="R75" i="28"/>
  <c r="N70" i="26" s="1"/>
  <c r="Q75" i="28"/>
  <c r="M70" i="26" s="1"/>
  <c r="P75" i="28"/>
  <c r="L70" i="26" s="1"/>
  <c r="O75" i="28"/>
  <c r="K70" i="26" s="1"/>
  <c r="N75" i="28"/>
  <c r="J70" i="26" s="1"/>
  <c r="M75" i="28"/>
  <c r="I70" i="26" s="1"/>
  <c r="L75" i="28"/>
  <c r="R69" i="26"/>
  <c r="Q69" i="26"/>
  <c r="P69" i="26"/>
  <c r="O69" i="26"/>
  <c r="N69" i="26"/>
  <c r="M69" i="26"/>
  <c r="L69" i="26"/>
  <c r="K69" i="26"/>
  <c r="J69" i="26"/>
  <c r="I69" i="26"/>
  <c r="M73" i="28"/>
  <c r="I68" i="26" l="1"/>
  <c r="BU90" i="28"/>
  <c r="BV90" i="28"/>
  <c r="BW90" i="28"/>
  <c r="BX90" i="28"/>
  <c r="BY90" i="28"/>
  <c r="BU96" i="28"/>
  <c r="BV96" i="28"/>
  <c r="BW96" i="28"/>
  <c r="BX96" i="28"/>
  <c r="BY96" i="28"/>
  <c r="BO124" i="26"/>
  <c r="BU124" i="26" s="1"/>
  <c r="BU125" i="26"/>
  <c r="T69" i="26"/>
  <c r="BV74" i="28"/>
  <c r="T73" i="26"/>
  <c r="BV78" i="28"/>
  <c r="AF69" i="26"/>
  <c r="BW74" i="28"/>
  <c r="AF73" i="26"/>
  <c r="BW78" i="28"/>
  <c r="AR69" i="26"/>
  <c r="BX74" i="28"/>
  <c r="AR73" i="26"/>
  <c r="BX78" i="28"/>
  <c r="BD69" i="26"/>
  <c r="BY74" i="28"/>
  <c r="BD73" i="26"/>
  <c r="BY78" i="28"/>
  <c r="T70" i="26"/>
  <c r="BV75" i="28"/>
  <c r="AF70" i="26"/>
  <c r="BW75" i="28"/>
  <c r="AR70" i="26"/>
  <c r="BX75" i="28"/>
  <c r="BD70" i="26"/>
  <c r="BY75" i="28"/>
  <c r="T71" i="26"/>
  <c r="BV76" i="28"/>
  <c r="AF71" i="26"/>
  <c r="BW76" i="28"/>
  <c r="AR71" i="26"/>
  <c r="BX76" i="28"/>
  <c r="BD71" i="26"/>
  <c r="BY76" i="28"/>
  <c r="H78" i="26"/>
  <c r="BU83" i="28"/>
  <c r="T78" i="26"/>
  <c r="BV83" i="28"/>
  <c r="AF78" i="26"/>
  <c r="BW83" i="28"/>
  <c r="AR78" i="26"/>
  <c r="BX83" i="28"/>
  <c r="BD78" i="26"/>
  <c r="BY83" i="28"/>
  <c r="L100" i="28"/>
  <c r="BU100" i="28" s="1"/>
  <c r="BU115" i="28"/>
  <c r="T109" i="26"/>
  <c r="T94" i="26" s="1"/>
  <c r="BV115" i="28"/>
  <c r="AJ100" i="28"/>
  <c r="BW115" i="28"/>
  <c r="AR109" i="26"/>
  <c r="AR94" i="26" s="1"/>
  <c r="BX115" i="28"/>
  <c r="BH100" i="28"/>
  <c r="BY100" i="28" s="1"/>
  <c r="BY115" i="28"/>
  <c r="H70" i="26"/>
  <c r="BU75" i="28"/>
  <c r="H71" i="26"/>
  <c r="BU76" i="28"/>
  <c r="H72" i="26"/>
  <c r="BU77" i="28"/>
  <c r="H73" i="26"/>
  <c r="BU78" i="28"/>
  <c r="H76" i="26"/>
  <c r="BU81" i="28"/>
  <c r="T72" i="26"/>
  <c r="BV77" i="28"/>
  <c r="T76" i="26"/>
  <c r="BV81" i="28"/>
  <c r="AF72" i="26"/>
  <c r="BW77" i="28"/>
  <c r="AF76" i="26"/>
  <c r="BW81" i="28"/>
  <c r="AR72" i="26"/>
  <c r="BX77" i="28"/>
  <c r="AR76" i="26"/>
  <c r="BX81" i="28"/>
  <c r="BD72" i="26"/>
  <c r="BY77" i="28"/>
  <c r="BD76" i="26"/>
  <c r="BY81" i="28"/>
  <c r="Y14" i="30"/>
  <c r="Z14" i="30" s="1"/>
  <c r="AA14" i="30" s="1"/>
  <c r="AB14" i="30" s="1"/>
  <c r="AC14" i="30" s="1"/>
  <c r="AD14" i="30" s="1"/>
  <c r="AE14" i="30" s="1"/>
  <c r="AF14" i="30" s="1"/>
  <c r="AG14" i="30" s="1"/>
  <c r="AH14" i="30" s="1"/>
  <c r="AI14" i="30" s="1"/>
  <c r="L12" i="31"/>
  <c r="M12" i="31" s="1"/>
  <c r="N12" i="31" s="1"/>
  <c r="O12" i="31" s="1"/>
  <c r="P12" i="31" s="1"/>
  <c r="Q12" i="31" s="1"/>
  <c r="R12" i="31" s="1"/>
  <c r="S12" i="31" s="1"/>
  <c r="T12" i="31" s="1"/>
  <c r="U12" i="31" s="1"/>
  <c r="V12" i="31" s="1"/>
  <c r="W12" i="31" s="1"/>
  <c r="X12" i="31" s="1"/>
  <c r="Y12" i="31" s="1"/>
  <c r="Z12" i="31" s="1"/>
  <c r="L16" i="31"/>
  <c r="M16" i="31" s="1"/>
  <c r="N16" i="31" s="1"/>
  <c r="O16" i="31" s="1"/>
  <c r="P16" i="31" s="1"/>
  <c r="Q16" i="31" s="1"/>
  <c r="R16" i="31" s="1"/>
  <c r="S16" i="31" s="1"/>
  <c r="T16" i="31" s="1"/>
  <c r="U16" i="31" s="1"/>
  <c r="V16" i="31" s="1"/>
  <c r="W16" i="31" s="1"/>
  <c r="X16" i="31" s="1"/>
  <c r="Y16" i="31" s="1"/>
  <c r="Z16" i="31" s="1"/>
  <c r="AA16" i="31" s="1"/>
  <c r="AB16" i="31" s="1"/>
  <c r="AC16" i="31" s="1"/>
  <c r="AD16" i="31" s="1"/>
  <c r="L10" i="31"/>
  <c r="M10" i="31" s="1"/>
  <c r="N10" i="31" s="1"/>
  <c r="O10" i="31" s="1"/>
  <c r="P10" i="31" s="1"/>
  <c r="L13" i="31"/>
  <c r="M13" i="31" s="1"/>
  <c r="N13" i="31" s="1"/>
  <c r="O13" i="31" s="1"/>
  <c r="P13" i="31" s="1"/>
  <c r="Q13" i="31" s="1"/>
  <c r="R13" i="31" s="1"/>
  <c r="S13" i="31" s="1"/>
  <c r="T13" i="31" s="1"/>
  <c r="U13" i="31" s="1"/>
  <c r="V13" i="31" s="1"/>
  <c r="W13" i="31" s="1"/>
  <c r="X13" i="31" s="1"/>
  <c r="Y13" i="31" s="1"/>
  <c r="Z13" i="31" s="1"/>
  <c r="AA13" i="31" s="1"/>
  <c r="AB13" i="31" s="1"/>
  <c r="AC13" i="31" s="1"/>
  <c r="AD13" i="31" s="1"/>
  <c r="AE13" i="31" s="1"/>
  <c r="AF13" i="31" s="1"/>
  <c r="AG13" i="31" s="1"/>
  <c r="AH13" i="31" s="1"/>
  <c r="AI13" i="31" s="1"/>
  <c r="L17" i="31"/>
  <c r="M17" i="31" s="1"/>
  <c r="N17" i="31" s="1"/>
  <c r="O17" i="31" s="1"/>
  <c r="P17" i="31" s="1"/>
  <c r="Q17" i="31" s="1"/>
  <c r="R17" i="31" s="1"/>
  <c r="S17" i="31" s="1"/>
  <c r="T17" i="31" s="1"/>
  <c r="U17" i="31" s="1"/>
  <c r="V17" i="31" s="1"/>
  <c r="W17" i="31" s="1"/>
  <c r="X17" i="31" s="1"/>
  <c r="Y17" i="31" s="1"/>
  <c r="Z17" i="31" s="1"/>
  <c r="AA17" i="31" s="1"/>
  <c r="AB17" i="31" s="1"/>
  <c r="AC17" i="31" s="1"/>
  <c r="AD17" i="31" s="1"/>
  <c r="AE17" i="31" s="1"/>
  <c r="AF17" i="31" s="1"/>
  <c r="AG17" i="31" s="1"/>
  <c r="AH17" i="31" s="1"/>
  <c r="AI17" i="31" s="1"/>
  <c r="AJ17" i="31" s="1"/>
  <c r="AK17" i="31" s="1"/>
  <c r="AL17" i="31" s="1"/>
  <c r="AM17" i="31" s="1"/>
  <c r="AN17" i="31" s="1"/>
  <c r="AO17" i="31" s="1"/>
  <c r="AP17" i="31" s="1"/>
  <c r="AQ17" i="31" s="1"/>
  <c r="AR17" i="31" s="1"/>
  <c r="AS17" i="31" s="1"/>
  <c r="AT17" i="31" s="1"/>
  <c r="AU17" i="31" s="1"/>
  <c r="AV17" i="31" s="1"/>
  <c r="AW17" i="31" s="1"/>
  <c r="AX17" i="31" s="1"/>
  <c r="AY17" i="31" s="1"/>
  <c r="AZ17" i="31" s="1"/>
  <c r="BA17" i="31" s="1"/>
  <c r="BB17" i="31" s="1"/>
  <c r="BC17" i="31" s="1"/>
  <c r="BD17" i="31" s="1"/>
  <c r="BE17" i="31" s="1"/>
  <c r="BF17" i="31" s="1"/>
  <c r="BG17" i="31" s="1"/>
  <c r="BH17" i="31" s="1"/>
  <c r="BI17" i="31" s="1"/>
  <c r="BJ17" i="31" s="1"/>
  <c r="BK17" i="31" s="1"/>
  <c r="BL17" i="31" s="1"/>
  <c r="BM17" i="31" s="1"/>
  <c r="BN17" i="31" s="1"/>
  <c r="BO17" i="31" s="1"/>
  <c r="BP17" i="31" s="1"/>
  <c r="BQ17" i="31" s="1"/>
  <c r="BR17" i="31" s="1"/>
  <c r="BS17" i="31" s="1"/>
  <c r="L19" i="31"/>
  <c r="M19" i="31" s="1"/>
  <c r="N19" i="31" s="1"/>
  <c r="O19" i="31" s="1"/>
  <c r="P19" i="31" s="1"/>
  <c r="Q19" i="31" s="1"/>
  <c r="R19" i="31" s="1"/>
  <c r="S19" i="31" s="1"/>
  <c r="T19" i="31" s="1"/>
  <c r="U19" i="31" s="1"/>
  <c r="V19" i="31" s="1"/>
  <c r="W19" i="31" s="1"/>
  <c r="X19" i="31" s="1"/>
  <c r="Y19" i="31" s="1"/>
  <c r="Z19" i="31" s="1"/>
  <c r="AA19" i="31" s="1"/>
  <c r="AB19" i="31" s="1"/>
  <c r="AC19" i="31" s="1"/>
  <c r="AD19" i="31" s="1"/>
  <c r="AE19" i="31" s="1"/>
  <c r="AF19" i="31" s="1"/>
  <c r="AG19" i="31" s="1"/>
  <c r="AH19" i="31" s="1"/>
  <c r="AI19" i="31" s="1"/>
  <c r="AJ19" i="31" s="1"/>
  <c r="AK19" i="31" s="1"/>
  <c r="AL19" i="31" s="1"/>
  <c r="AM19" i="31" s="1"/>
  <c r="AN19" i="31" s="1"/>
  <c r="AO19" i="31" s="1"/>
  <c r="AP19" i="31" s="1"/>
  <c r="AQ19" i="31" s="1"/>
  <c r="AR19" i="31" s="1"/>
  <c r="AS19" i="31" s="1"/>
  <c r="AT19" i="31" s="1"/>
  <c r="AU19" i="31" s="1"/>
  <c r="AV19" i="31" s="1"/>
  <c r="AW19" i="31" s="1"/>
  <c r="AX19" i="31" s="1"/>
  <c r="AY19" i="31" s="1"/>
  <c r="AZ19" i="31" s="1"/>
  <c r="BA19" i="31" s="1"/>
  <c r="BB19" i="31" s="1"/>
  <c r="BC19" i="31" s="1"/>
  <c r="BD19" i="31" s="1"/>
  <c r="BE19" i="31" s="1"/>
  <c r="BF19" i="31" s="1"/>
  <c r="BG19" i="31" s="1"/>
  <c r="BH19" i="31" s="1"/>
  <c r="BI19" i="31" s="1"/>
  <c r="BJ19" i="31" s="1"/>
  <c r="BK19" i="31" s="1"/>
  <c r="BL19" i="31" s="1"/>
  <c r="BM19" i="31" s="1"/>
  <c r="BN19" i="31" s="1"/>
  <c r="BO19" i="31" s="1"/>
  <c r="BP19" i="31" s="1"/>
  <c r="BQ19" i="31" s="1"/>
  <c r="BR19" i="31" s="1"/>
  <c r="BS19" i="31" s="1"/>
  <c r="L15" i="31"/>
  <c r="M15" i="31" s="1"/>
  <c r="N15" i="31" s="1"/>
  <c r="O15" i="31" s="1"/>
  <c r="P15" i="31" s="1"/>
  <c r="Q15" i="31" s="1"/>
  <c r="R15" i="31" s="1"/>
  <c r="S15" i="31" s="1"/>
  <c r="T15" i="31" s="1"/>
  <c r="U15" i="31" s="1"/>
  <c r="V15" i="31" s="1"/>
  <c r="W15" i="31" s="1"/>
  <c r="X15" i="31" s="1"/>
  <c r="Y15" i="31" s="1"/>
  <c r="Z15" i="31" s="1"/>
  <c r="AA15" i="31" s="1"/>
  <c r="AB15" i="31" s="1"/>
  <c r="L7" i="30"/>
  <c r="L11" i="28" s="1"/>
  <c r="M8" i="30"/>
  <c r="N85" i="28"/>
  <c r="I80" i="26"/>
  <c r="AN100" i="28"/>
  <c r="L11" i="31"/>
  <c r="M11" i="31" s="1"/>
  <c r="N11" i="31" s="1"/>
  <c r="O11" i="31" s="1"/>
  <c r="P11" i="31" s="1"/>
  <c r="Q11" i="31" s="1"/>
  <c r="R11" i="31" s="1"/>
  <c r="S11" i="31" s="1"/>
  <c r="T11" i="31" s="1"/>
  <c r="U11" i="31" s="1"/>
  <c r="V11" i="31" s="1"/>
  <c r="L14" i="31"/>
  <c r="M14" i="31" s="1"/>
  <c r="N14" i="31" s="1"/>
  <c r="O14" i="31" s="1"/>
  <c r="P14" i="31" s="1"/>
  <c r="Q14" i="31" s="1"/>
  <c r="R14" i="31" s="1"/>
  <c r="S14" i="31" s="1"/>
  <c r="T14" i="31" s="1"/>
  <c r="U14" i="31" s="1"/>
  <c r="V14" i="31" s="1"/>
  <c r="W14" i="31" s="1"/>
  <c r="X14" i="31" s="1"/>
  <c r="Y14" i="31" s="1"/>
  <c r="Z14" i="31" s="1"/>
  <c r="P84" i="26"/>
  <c r="X84" i="26"/>
  <c r="AF84" i="26"/>
  <c r="AN84" i="26"/>
  <c r="AV84" i="26"/>
  <c r="BD84" i="26"/>
  <c r="BL84" i="26"/>
  <c r="I90" i="26"/>
  <c r="Q90" i="26"/>
  <c r="Y90" i="26"/>
  <c r="AG90" i="26"/>
  <c r="AO90" i="26"/>
  <c r="AW90" i="26"/>
  <c r="BE90" i="26"/>
  <c r="BM90" i="26"/>
  <c r="AE109" i="26"/>
  <c r="AE94" i="26" s="1"/>
  <c r="AM109" i="26"/>
  <c r="AM94" i="26" s="1"/>
  <c r="AD84" i="26"/>
  <c r="AU109" i="26"/>
  <c r="AU94" i="26" s="1"/>
  <c r="BC109" i="26"/>
  <c r="BC94" i="26" s="1"/>
  <c r="BK109" i="26"/>
  <c r="BK94" i="26" s="1"/>
  <c r="O109" i="26"/>
  <c r="O94" i="26" s="1"/>
  <c r="W109" i="26"/>
  <c r="W94" i="26" s="1"/>
  <c r="J90" i="26"/>
  <c r="R90" i="26"/>
  <c r="Z90" i="26"/>
  <c r="AH90" i="26"/>
  <c r="AP90" i="26"/>
  <c r="AX90" i="26"/>
  <c r="BF90" i="26"/>
  <c r="BN90" i="26"/>
  <c r="O84" i="26"/>
  <c r="W84" i="26"/>
  <c r="AE84" i="26"/>
  <c r="AM84" i="26"/>
  <c r="AU84" i="26"/>
  <c r="BC84" i="26"/>
  <c r="BK84" i="26"/>
  <c r="M84" i="26"/>
  <c r="U84" i="26"/>
  <c r="AC84" i="26"/>
  <c r="AK84" i="26"/>
  <c r="AS84" i="26"/>
  <c r="BA84" i="26"/>
  <c r="BI84" i="26"/>
  <c r="J84" i="26"/>
  <c r="R84" i="26"/>
  <c r="Z84" i="26"/>
  <c r="AH84" i="26"/>
  <c r="AP84" i="26"/>
  <c r="AX84" i="26"/>
  <c r="BF84" i="26"/>
  <c r="L90" i="26"/>
  <c r="T90" i="26"/>
  <c r="AB90" i="26"/>
  <c r="AJ90" i="26"/>
  <c r="AR90" i="26"/>
  <c r="AZ90" i="26"/>
  <c r="BH90" i="26"/>
  <c r="M90" i="26"/>
  <c r="U90" i="26"/>
  <c r="AC90" i="26"/>
  <c r="AK90" i="26"/>
  <c r="AS90" i="26"/>
  <c r="BA90" i="26"/>
  <c r="BI90" i="26"/>
  <c r="H109" i="26"/>
  <c r="H94" i="26" s="1"/>
  <c r="P109" i="26"/>
  <c r="P94" i="26" s="1"/>
  <c r="X109" i="26"/>
  <c r="X94" i="26" s="1"/>
  <c r="AF109" i="26"/>
  <c r="AF94" i="26" s="1"/>
  <c r="AN109" i="26"/>
  <c r="AN94" i="26" s="1"/>
  <c r="AV109" i="26"/>
  <c r="AV94" i="26" s="1"/>
  <c r="BD109" i="26"/>
  <c r="BD94" i="26" s="1"/>
  <c r="BL109" i="26"/>
  <c r="BL94" i="26" s="1"/>
  <c r="X100" i="28"/>
  <c r="BV100" i="28" s="1"/>
  <c r="I109" i="26"/>
  <c r="I94" i="26" s="1"/>
  <c r="Q109" i="26"/>
  <c r="Q94" i="26" s="1"/>
  <c r="Y109" i="26"/>
  <c r="Y94" i="26" s="1"/>
  <c r="AG109" i="26"/>
  <c r="AG94" i="26" s="1"/>
  <c r="AO109" i="26"/>
  <c r="AO94" i="26" s="1"/>
  <c r="AW109" i="26"/>
  <c r="AW94" i="26" s="1"/>
  <c r="BE109" i="26"/>
  <c r="BE94" i="26" s="1"/>
  <c r="BM109" i="26"/>
  <c r="BM94" i="26" s="1"/>
  <c r="J109" i="26"/>
  <c r="J94" i="26" s="1"/>
  <c r="R109" i="26"/>
  <c r="R94" i="26" s="1"/>
  <c r="Z109" i="26"/>
  <c r="Z94" i="26" s="1"/>
  <c r="AH109" i="26"/>
  <c r="AH94" i="26" s="1"/>
  <c r="AP109" i="26"/>
  <c r="AP94" i="26" s="1"/>
  <c r="AX109" i="26"/>
  <c r="AX94" i="26" s="1"/>
  <c r="BF109" i="26"/>
  <c r="BF94" i="26" s="1"/>
  <c r="BN109" i="26"/>
  <c r="BN94" i="26" s="1"/>
  <c r="AV100" i="28"/>
  <c r="K109" i="26"/>
  <c r="K94" i="26" s="1"/>
  <c r="S109" i="26"/>
  <c r="S94" i="26" s="1"/>
  <c r="AA109" i="26"/>
  <c r="AA94" i="26" s="1"/>
  <c r="AI109" i="26"/>
  <c r="AI94" i="26" s="1"/>
  <c r="AQ109" i="26"/>
  <c r="AQ94" i="26" s="1"/>
  <c r="AY109" i="26"/>
  <c r="AY94" i="26" s="1"/>
  <c r="BG109" i="26"/>
  <c r="BG94" i="26" s="1"/>
  <c r="BO109" i="26"/>
  <c r="BO94" i="26" s="1"/>
  <c r="BD100" i="28"/>
  <c r="L109" i="26"/>
  <c r="L94" i="26" s="1"/>
  <c r="AB109" i="26"/>
  <c r="AB94" i="26" s="1"/>
  <c r="BH109" i="26"/>
  <c r="BH94" i="26" s="1"/>
  <c r="M109" i="26"/>
  <c r="M94" i="26" s="1"/>
  <c r="U109" i="26"/>
  <c r="U94" i="26" s="1"/>
  <c r="AC109" i="26"/>
  <c r="AC94" i="26" s="1"/>
  <c r="AK109" i="26"/>
  <c r="AK94" i="26" s="1"/>
  <c r="AS109" i="26"/>
  <c r="AS94" i="26" s="1"/>
  <c r="BA109" i="26"/>
  <c r="BA94" i="26" s="1"/>
  <c r="BI109" i="26"/>
  <c r="BI94" i="26" s="1"/>
  <c r="N109" i="26"/>
  <c r="N94" i="26" s="1"/>
  <c r="V109" i="26"/>
  <c r="V94" i="26" s="1"/>
  <c r="AD109" i="26"/>
  <c r="AD94" i="26" s="1"/>
  <c r="AL109" i="26"/>
  <c r="AL94" i="26" s="1"/>
  <c r="AT109" i="26"/>
  <c r="AT94" i="26" s="1"/>
  <c r="BB109" i="26"/>
  <c r="BB94" i="26" s="1"/>
  <c r="BJ109" i="26"/>
  <c r="BJ94" i="26" s="1"/>
  <c r="N84" i="26"/>
  <c r="V84" i="26"/>
  <c r="AL84" i="26"/>
  <c r="AT84" i="26"/>
  <c r="BB84" i="26"/>
  <c r="BJ84" i="26"/>
  <c r="K84" i="26"/>
  <c r="S84" i="26"/>
  <c r="AA84" i="26"/>
  <c r="AI84" i="26"/>
  <c r="AQ84" i="26"/>
  <c r="AY84" i="26"/>
  <c r="BG84" i="26"/>
  <c r="BO84" i="26"/>
  <c r="H90" i="26"/>
  <c r="H84" i="26"/>
  <c r="L84" i="26"/>
  <c r="T84" i="26"/>
  <c r="AB84" i="26"/>
  <c r="AJ84" i="26"/>
  <c r="AR84" i="26"/>
  <c r="AZ84" i="26"/>
  <c r="BH84" i="26"/>
  <c r="AJ94" i="26"/>
  <c r="AZ94" i="26"/>
  <c r="I84" i="26"/>
  <c r="Q84" i="26"/>
  <c r="Y84" i="26"/>
  <c r="AG84" i="26"/>
  <c r="AO84" i="26"/>
  <c r="AW84" i="26"/>
  <c r="BE84" i="26"/>
  <c r="BM84" i="26"/>
  <c r="BN84" i="26"/>
  <c r="N90" i="26"/>
  <c r="V90" i="26"/>
  <c r="AD90" i="26"/>
  <c r="AL90" i="26"/>
  <c r="AT90" i="26"/>
  <c r="BB90" i="26"/>
  <c r="BJ90" i="26"/>
  <c r="K90" i="26"/>
  <c r="S90" i="26"/>
  <c r="AA90" i="26"/>
  <c r="AI90" i="26"/>
  <c r="AQ90" i="26"/>
  <c r="AY90" i="26"/>
  <c r="BG90" i="26"/>
  <c r="BO90" i="26"/>
  <c r="P90" i="26"/>
  <c r="X90" i="26"/>
  <c r="AF90" i="26"/>
  <c r="AN90" i="26"/>
  <c r="AV90" i="26"/>
  <c r="BD90" i="26"/>
  <c r="BL90" i="26"/>
  <c r="O90" i="26"/>
  <c r="W90" i="26"/>
  <c r="AE90" i="26"/>
  <c r="AM90" i="26"/>
  <c r="AU90" i="26"/>
  <c r="BC90" i="26"/>
  <c r="BK90" i="26"/>
  <c r="T7" i="29"/>
  <c r="U7" i="29" s="1"/>
  <c r="V7" i="29" s="1"/>
  <c r="W7" i="29" s="1"/>
  <c r="X7" i="29" s="1"/>
  <c r="Y7" i="29" s="1"/>
  <c r="Z7" i="29" s="1"/>
  <c r="AA7" i="29" s="1"/>
  <c r="N73" i="28"/>
  <c r="J68" i="26" s="1"/>
  <c r="CA124" i="26" l="1"/>
  <c r="BX100" i="28"/>
  <c r="BW100" i="28"/>
  <c r="L159" i="28"/>
  <c r="L12" i="28"/>
  <c r="N8" i="30"/>
  <c r="M7" i="30"/>
  <c r="M11" i="28" s="1"/>
  <c r="O85" i="28"/>
  <c r="J80" i="26"/>
  <c r="BU84" i="26"/>
  <c r="BS84" i="26"/>
  <c r="BR90" i="26"/>
  <c r="BT90" i="26"/>
  <c r="BQ90" i="26"/>
  <c r="BQ94" i="26"/>
  <c r="BR94" i="26"/>
  <c r="BU94" i="26"/>
  <c r="BT94" i="26"/>
  <c r="BQ84" i="26"/>
  <c r="BR84" i="26"/>
  <c r="BU90" i="26"/>
  <c r="BS94" i="26"/>
  <c r="BS90" i="26"/>
  <c r="BT84" i="26"/>
  <c r="AB7" i="29"/>
  <c r="O73" i="28"/>
  <c r="K68" i="26" s="1"/>
  <c r="BY94" i="26" l="1"/>
  <c r="BZ94" i="26"/>
  <c r="CA94" i="26"/>
  <c r="BX94" i="26"/>
  <c r="L160" i="28"/>
  <c r="L29" i="28"/>
  <c r="L10" i="28"/>
  <c r="P85" i="28"/>
  <c r="K80" i="26"/>
  <c r="M12" i="28"/>
  <c r="M160" i="28" s="1"/>
  <c r="M30" i="28" s="1"/>
  <c r="M159" i="28"/>
  <c r="M29" i="28" s="1"/>
  <c r="O8" i="30"/>
  <c r="N7" i="30"/>
  <c r="N11" i="28" s="1"/>
  <c r="AC7" i="29"/>
  <c r="P73" i="28"/>
  <c r="L68" i="26" s="1"/>
  <c r="L30" i="28" l="1"/>
  <c r="N12" i="28"/>
  <c r="N159" i="28"/>
  <c r="N29" i="28" s="1"/>
  <c r="P8" i="30"/>
  <c r="O7" i="30"/>
  <c r="O11" i="28" s="1"/>
  <c r="M10" i="28"/>
  <c r="Q85" i="28"/>
  <c r="L80" i="26"/>
  <c r="AD7" i="29"/>
  <c r="Q73" i="28"/>
  <c r="M68" i="26" s="1"/>
  <c r="N160" i="28" l="1"/>
  <c r="N10" i="28"/>
  <c r="R85" i="28"/>
  <c r="M80" i="26"/>
  <c r="P7" i="30"/>
  <c r="P11" i="28" s="1"/>
  <c r="O12" i="28"/>
  <c r="O160" i="28" s="1"/>
  <c r="O30" i="28" s="1"/>
  <c r="O159" i="28"/>
  <c r="O29" i="28" s="1"/>
  <c r="AE7" i="29"/>
  <c r="R73" i="28"/>
  <c r="N68" i="26" s="1"/>
  <c r="N30" i="28" l="1"/>
  <c r="O10" i="28"/>
  <c r="P12" i="28"/>
  <c r="P160" i="28" s="1"/>
  <c r="P30" i="28" s="1"/>
  <c r="P159" i="28"/>
  <c r="P29" i="28" s="1"/>
  <c r="S85" i="28"/>
  <c r="N80" i="26"/>
  <c r="AF7" i="29"/>
  <c r="S73" i="28"/>
  <c r="O68" i="26" s="1"/>
  <c r="P10" i="28" l="1"/>
  <c r="T85" i="28"/>
  <c r="O80" i="26"/>
  <c r="AG7" i="29"/>
  <c r="T73" i="28"/>
  <c r="P68" i="26" s="1"/>
  <c r="U85" i="28" l="1"/>
  <c r="P80" i="26"/>
  <c r="AH7" i="29"/>
  <c r="U73" i="28"/>
  <c r="Q68" i="26" s="1"/>
  <c r="V85" i="28" l="1"/>
  <c r="Q80" i="26"/>
  <c r="AI7" i="29"/>
  <c r="V73" i="28"/>
  <c r="R68" i="26" s="1"/>
  <c r="W85" i="28" l="1"/>
  <c r="BU85" i="28" s="1"/>
  <c r="R80" i="26"/>
  <c r="AJ7" i="29"/>
  <c r="W73" i="28"/>
  <c r="S68" i="26" l="1"/>
  <c r="BU73" i="28"/>
  <c r="X85" i="28"/>
  <c r="S80" i="26"/>
  <c r="AK7" i="29"/>
  <c r="X73" i="28"/>
  <c r="T68" i="26" l="1"/>
  <c r="Y85" i="28"/>
  <c r="T80" i="26"/>
  <c r="AL7" i="29"/>
  <c r="Y73" i="28"/>
  <c r="U68" i="26" s="1"/>
  <c r="Z85" i="28" l="1"/>
  <c r="U80" i="26"/>
  <c r="AM7" i="29"/>
  <c r="Z73" i="28"/>
  <c r="V68" i="26" s="1"/>
  <c r="AA85" i="28" l="1"/>
  <c r="V80" i="26"/>
  <c r="AN7" i="29"/>
  <c r="AA73" i="28"/>
  <c r="W68" i="26" s="1"/>
  <c r="AB85" i="28" l="1"/>
  <c r="W80" i="26"/>
  <c r="AO7" i="29"/>
  <c r="AB73" i="28"/>
  <c r="X68" i="26" s="1"/>
  <c r="AC85" i="28" l="1"/>
  <c r="X80" i="26"/>
  <c r="AP7" i="29"/>
  <c r="AC73" i="28"/>
  <c r="Y68" i="26" s="1"/>
  <c r="AD85" i="28" l="1"/>
  <c r="Y80" i="26"/>
  <c r="AQ7" i="29"/>
  <c r="AD73" i="28"/>
  <c r="Z68" i="26" s="1"/>
  <c r="AE85" i="28" l="1"/>
  <c r="Z80" i="26"/>
  <c r="AR7" i="29"/>
  <c r="AE73" i="28"/>
  <c r="AA68" i="26" s="1"/>
  <c r="AF85" i="28" l="1"/>
  <c r="AA80" i="26"/>
  <c r="AS7" i="29"/>
  <c r="AF73" i="28"/>
  <c r="AB68" i="26" s="1"/>
  <c r="AG85" i="28" l="1"/>
  <c r="AB80" i="26"/>
  <c r="AT7" i="29"/>
  <c r="AG73" i="28"/>
  <c r="AC68" i="26" s="1"/>
  <c r="AH85" i="28" l="1"/>
  <c r="AC80" i="26"/>
  <c r="AU7" i="29"/>
  <c r="AH73" i="28"/>
  <c r="AD68" i="26" s="1"/>
  <c r="AI85" i="28" l="1"/>
  <c r="BV85" i="28" s="1"/>
  <c r="AD80" i="26"/>
  <c r="AV7" i="29"/>
  <c r="AI73" i="28"/>
  <c r="AE68" i="26" l="1"/>
  <c r="BV73" i="28"/>
  <c r="AJ85" i="28"/>
  <c r="AE80" i="26"/>
  <c r="AW7" i="29"/>
  <c r="AJ73" i="28"/>
  <c r="AF68" i="26" l="1"/>
  <c r="AK85" i="28"/>
  <c r="AF80" i="26"/>
  <c r="AX7" i="29"/>
  <c r="AK73" i="28"/>
  <c r="AG68" i="26" s="1"/>
  <c r="AL85" i="28" l="1"/>
  <c r="AG80" i="26"/>
  <c r="AY7" i="29"/>
  <c r="AL73" i="28"/>
  <c r="AH68" i="26" s="1"/>
  <c r="AM85" i="28" l="1"/>
  <c r="AH80" i="26"/>
  <c r="AZ7" i="29"/>
  <c r="AM73" i="28"/>
  <c r="AI68" i="26" s="1"/>
  <c r="AN85" i="28" l="1"/>
  <c r="AI80" i="26"/>
  <c r="BA7" i="29"/>
  <c r="AN73" i="28"/>
  <c r="AJ68" i="26" s="1"/>
  <c r="AO85" i="28" l="1"/>
  <c r="AJ80" i="26"/>
  <c r="BB7" i="29"/>
  <c r="AO73" i="28"/>
  <c r="AK68" i="26" s="1"/>
  <c r="AP85" i="28" l="1"/>
  <c r="AK80" i="26"/>
  <c r="BC7" i="29"/>
  <c r="AP73" i="28"/>
  <c r="AL68" i="26" s="1"/>
  <c r="AQ85" i="28" l="1"/>
  <c r="AL80" i="26"/>
  <c r="BD7" i="29"/>
  <c r="AQ73" i="28"/>
  <c r="AM68" i="26" s="1"/>
  <c r="AR85" i="28" l="1"/>
  <c r="AM80" i="26"/>
  <c r="BE7" i="29"/>
  <c r="AR73" i="28"/>
  <c r="AN68" i="26" s="1"/>
  <c r="AS85" i="28" l="1"/>
  <c r="AN80" i="26"/>
  <c r="BF7" i="29"/>
  <c r="AS73" i="28"/>
  <c r="AO68" i="26" s="1"/>
  <c r="AT85" i="28" l="1"/>
  <c r="AO80" i="26"/>
  <c r="BG7" i="29"/>
  <c r="AT73" i="28"/>
  <c r="AP68" i="26" s="1"/>
  <c r="AU85" i="28" l="1"/>
  <c r="BW85" i="28" s="1"/>
  <c r="AP80" i="26"/>
  <c r="BH7" i="29"/>
  <c r="AU73" i="28"/>
  <c r="AQ68" i="26" l="1"/>
  <c r="BW73" i="28"/>
  <c r="AV85" i="28"/>
  <c r="AQ80" i="26"/>
  <c r="BI7" i="29"/>
  <c r="AV73" i="28"/>
  <c r="AR68" i="26" l="1"/>
  <c r="AW85" i="28"/>
  <c r="AR80" i="26"/>
  <c r="BJ7" i="29"/>
  <c r="AW73" i="28"/>
  <c r="AS68" i="26" s="1"/>
  <c r="AX85" i="28" l="1"/>
  <c r="AS80" i="26"/>
  <c r="BK7" i="29"/>
  <c r="AX73" i="28"/>
  <c r="AT68" i="26" s="1"/>
  <c r="AY85" i="28" l="1"/>
  <c r="AT80" i="26"/>
  <c r="BL7" i="29"/>
  <c r="AY73" i="28"/>
  <c r="AU68" i="26" s="1"/>
  <c r="AZ85" i="28" l="1"/>
  <c r="AU80" i="26"/>
  <c r="BM7" i="29"/>
  <c r="AZ73" i="28"/>
  <c r="AV68" i="26" s="1"/>
  <c r="BA85" i="28" l="1"/>
  <c r="AV80" i="26"/>
  <c r="BN7" i="29"/>
  <c r="BA73" i="28"/>
  <c r="AW68" i="26" s="1"/>
  <c r="BB85" i="28" l="1"/>
  <c r="AW80" i="26"/>
  <c r="BO7" i="29"/>
  <c r="BB73" i="28"/>
  <c r="AX68" i="26" s="1"/>
  <c r="BC85" i="28" l="1"/>
  <c r="AX80" i="26"/>
  <c r="BP7" i="29"/>
  <c r="BC73" i="28"/>
  <c r="AY68" i="26" s="1"/>
  <c r="BD85" i="28" l="1"/>
  <c r="AY80" i="26"/>
  <c r="BQ7" i="29"/>
  <c r="BD73" i="28"/>
  <c r="AZ68" i="26" s="1"/>
  <c r="BE85" i="28" l="1"/>
  <c r="AZ80" i="26"/>
  <c r="BR7" i="29"/>
  <c r="BE73" i="28"/>
  <c r="BA68" i="26" s="1"/>
  <c r="BF85" i="28" l="1"/>
  <c r="BA80" i="26"/>
  <c r="BS7" i="29"/>
  <c r="BF73" i="28"/>
  <c r="BB68" i="26" s="1"/>
  <c r="BG85" i="28" l="1"/>
  <c r="BX85" i="28" s="1"/>
  <c r="BB80" i="26"/>
  <c r="BG73" i="28"/>
  <c r="BC68" i="26" l="1"/>
  <c r="BX73" i="28"/>
  <c r="BH85" i="28"/>
  <c r="BC80" i="26"/>
  <c r="BH73" i="28"/>
  <c r="BD68" i="26" l="1"/>
  <c r="BI85" i="28"/>
  <c r="BD80" i="26"/>
  <c r="BI73" i="28"/>
  <c r="BE68" i="26" s="1"/>
  <c r="BJ85" i="28" l="1"/>
  <c r="BE80" i="26"/>
  <c r="BJ73" i="28"/>
  <c r="BF68" i="26" s="1"/>
  <c r="BK85" i="28" l="1"/>
  <c r="BF80" i="26"/>
  <c r="BK73" i="28"/>
  <c r="BG68" i="26" l="1"/>
  <c r="BL85" i="28"/>
  <c r="BG80" i="26"/>
  <c r="BL73" i="28"/>
  <c r="BH68" i="26" s="1"/>
  <c r="BM85" i="28" l="1"/>
  <c r="BH80" i="26"/>
  <c r="BM73" i="28"/>
  <c r="BI68" i="26" s="1"/>
  <c r="BN85" i="28" l="1"/>
  <c r="BI80" i="26"/>
  <c r="BN73" i="28"/>
  <c r="BJ68" i="26" s="1"/>
  <c r="BO85" i="28" l="1"/>
  <c r="BJ80" i="26"/>
  <c r="BO73" i="28"/>
  <c r="BK68" i="26" s="1"/>
  <c r="BP85" i="28" l="1"/>
  <c r="BK80" i="26"/>
  <c r="BP73" i="28"/>
  <c r="BL68" i="26" s="1"/>
  <c r="BQ85" i="28" l="1"/>
  <c r="BL80" i="26"/>
  <c r="BQ73" i="28"/>
  <c r="BM68" i="26" s="1"/>
  <c r="BR85" i="28" l="1"/>
  <c r="BM80" i="26"/>
  <c r="BR73" i="28"/>
  <c r="BN68" i="26" s="1"/>
  <c r="BS85" i="28" l="1"/>
  <c r="BN80" i="26"/>
  <c r="BS73" i="28"/>
  <c r="BO68" i="26" l="1"/>
  <c r="BY73" i="28"/>
  <c r="BO80" i="26"/>
  <c r="BY85" i="28"/>
  <c r="BS55" i="28"/>
  <c r="BS64" i="28"/>
  <c r="BR64" i="28"/>
  <c r="BQ64" i="28"/>
  <c r="BP64" i="28"/>
  <c r="BO64" i="28"/>
  <c r="BN64" i="28"/>
  <c r="BM64" i="28"/>
  <c r="BL64" i="28"/>
  <c r="BK64" i="28"/>
  <c r="BJ64" i="28"/>
  <c r="BI64" i="28"/>
  <c r="BH64" i="28"/>
  <c r="BG64" i="28"/>
  <c r="BF64" i="28"/>
  <c r="BE64" i="28"/>
  <c r="BD64" i="28"/>
  <c r="BC64" i="28"/>
  <c r="BB64" i="28"/>
  <c r="BA64" i="28"/>
  <c r="AZ64" i="28"/>
  <c r="AY64" i="28"/>
  <c r="AX64" i="28"/>
  <c r="AW64" i="28"/>
  <c r="AV64" i="28"/>
  <c r="AU64" i="28"/>
  <c r="AT64" i="28"/>
  <c r="AS64" i="28"/>
  <c r="AR64" i="28"/>
  <c r="AQ64" i="28"/>
  <c r="AP64" i="28"/>
  <c r="AO64" i="28"/>
  <c r="AN64" i="28"/>
  <c r="AM64" i="28"/>
  <c r="AL64" i="28"/>
  <c r="AK64" i="28"/>
  <c r="AJ64" i="28"/>
  <c r="AI64" i="28"/>
  <c r="AH64" i="28"/>
  <c r="AG64" i="28"/>
  <c r="AF64" i="28"/>
  <c r="AE64" i="28"/>
  <c r="AD64" i="28"/>
  <c r="AC64" i="28"/>
  <c r="AB64" i="28"/>
  <c r="AA64" i="28"/>
  <c r="Z64" i="28"/>
  <c r="Y64" i="28"/>
  <c r="X64" i="28"/>
  <c r="W64" i="28"/>
  <c r="V64" i="28"/>
  <c r="U64" i="28"/>
  <c r="T64" i="28"/>
  <c r="S64" i="28"/>
  <c r="R64" i="28"/>
  <c r="Q64" i="28"/>
  <c r="P64" i="28"/>
  <c r="O64" i="28"/>
  <c r="N64" i="28"/>
  <c r="M64" i="28"/>
  <c r="L64" i="28"/>
  <c r="BS58" i="28"/>
  <c r="BR58" i="28"/>
  <c r="BQ58" i="28"/>
  <c r="BP58" i="28"/>
  <c r="BO58" i="28"/>
  <c r="BN58" i="28"/>
  <c r="BM58" i="28"/>
  <c r="BL58" i="28"/>
  <c r="BK58" i="28"/>
  <c r="BJ58" i="28"/>
  <c r="BI58" i="28"/>
  <c r="BH58" i="28"/>
  <c r="BG58" i="28"/>
  <c r="BF58" i="28"/>
  <c r="BE58" i="28"/>
  <c r="BD58" i="28"/>
  <c r="BC58" i="28"/>
  <c r="BB58" i="28"/>
  <c r="BA58" i="28"/>
  <c r="AZ58" i="28"/>
  <c r="AY58" i="28"/>
  <c r="AX58" i="28"/>
  <c r="AW58" i="28"/>
  <c r="AV58" i="28"/>
  <c r="AU58" i="28"/>
  <c r="AT58" i="28"/>
  <c r="AS58" i="28"/>
  <c r="AR58" i="28"/>
  <c r="AQ58" i="28"/>
  <c r="AP58" i="28"/>
  <c r="AO58" i="28"/>
  <c r="AN58" i="28"/>
  <c r="AM58" i="28"/>
  <c r="AL58" i="28"/>
  <c r="AK58" i="28"/>
  <c r="AJ58" i="28"/>
  <c r="AI58" i="28"/>
  <c r="AH58" i="28"/>
  <c r="AG58" i="28"/>
  <c r="AF58" i="28"/>
  <c r="AE58" i="28"/>
  <c r="AD58" i="28"/>
  <c r="AC58" i="28"/>
  <c r="AB58" i="28"/>
  <c r="AA58" i="28"/>
  <c r="Z58" i="28"/>
  <c r="Y58" i="28"/>
  <c r="X58" i="28"/>
  <c r="W58" i="28"/>
  <c r="V58" i="28"/>
  <c r="U58" i="28"/>
  <c r="T58" i="28"/>
  <c r="S58" i="28"/>
  <c r="R58" i="28"/>
  <c r="Q58" i="28"/>
  <c r="P58" i="28"/>
  <c r="O58" i="28"/>
  <c r="N58" i="28"/>
  <c r="M58" i="28"/>
  <c r="L58" i="28"/>
  <c r="BS57" i="28"/>
  <c r="BR57" i="28"/>
  <c r="BQ57" i="28"/>
  <c r="BP57" i="28"/>
  <c r="BO57" i="28"/>
  <c r="BN57" i="28"/>
  <c r="BM57" i="28"/>
  <c r="BL57" i="28"/>
  <c r="BK57" i="28"/>
  <c r="BJ57" i="28"/>
  <c r="BI57" i="28"/>
  <c r="BH57" i="28"/>
  <c r="BG57" i="28"/>
  <c r="BF57" i="28"/>
  <c r="BE57" i="28"/>
  <c r="BD57" i="28"/>
  <c r="BC57" i="28"/>
  <c r="BB57" i="28"/>
  <c r="BA57" i="28"/>
  <c r="AZ57" i="28"/>
  <c r="AY57" i="28"/>
  <c r="AX57" i="28"/>
  <c r="AW57" i="28"/>
  <c r="AV57" i="28"/>
  <c r="AU57" i="28"/>
  <c r="AT57" i="28"/>
  <c r="AS57" i="28"/>
  <c r="AR57" i="28"/>
  <c r="AQ57" i="28"/>
  <c r="AP57" i="28"/>
  <c r="AO57" i="28"/>
  <c r="AN57" i="28"/>
  <c r="AM57" i="28"/>
  <c r="AL57" i="28"/>
  <c r="AK57" i="28"/>
  <c r="AJ57" i="28"/>
  <c r="AI57" i="28"/>
  <c r="AH57" i="28"/>
  <c r="AG57" i="28"/>
  <c r="AF57" i="28"/>
  <c r="AE57" i="28"/>
  <c r="AD57" i="28"/>
  <c r="AC57" i="28"/>
  <c r="AB57" i="28"/>
  <c r="AA57" i="28"/>
  <c r="Z57" i="28"/>
  <c r="Y57" i="28"/>
  <c r="X57" i="28"/>
  <c r="W57" i="28"/>
  <c r="V57" i="28"/>
  <c r="U57" i="28"/>
  <c r="T57" i="28"/>
  <c r="S57" i="28"/>
  <c r="R57" i="28"/>
  <c r="Q57" i="28"/>
  <c r="P57" i="28"/>
  <c r="O57" i="28"/>
  <c r="N57" i="28"/>
  <c r="M57" i="28"/>
  <c r="L57" i="28"/>
  <c r="BR55" i="28"/>
  <c r="BQ55" i="28"/>
  <c r="BP55" i="28"/>
  <c r="BO55" i="28"/>
  <c r="BN55" i="28"/>
  <c r="BM55" i="28"/>
  <c r="BL55" i="28"/>
  <c r="BK55" i="28"/>
  <c r="BJ55" i="28"/>
  <c r="BI55" i="28"/>
  <c r="BH55" i="28"/>
  <c r="BG55" i="28"/>
  <c r="BF55" i="28"/>
  <c r="BE55" i="28"/>
  <c r="BD55" i="28"/>
  <c r="BC55" i="28"/>
  <c r="BB55" i="28"/>
  <c r="BA55" i="28"/>
  <c r="AZ55" i="28"/>
  <c r="AY55" i="28"/>
  <c r="AX55" i="28"/>
  <c r="AW55" i="28"/>
  <c r="AV55" i="28"/>
  <c r="AU55" i="28"/>
  <c r="AT55" i="28"/>
  <c r="AS55" i="28"/>
  <c r="AR55" i="28"/>
  <c r="AQ55" i="28"/>
  <c r="AP55" i="28"/>
  <c r="AO55" i="28"/>
  <c r="AN55" i="28"/>
  <c r="AM55" i="28"/>
  <c r="AL55" i="28"/>
  <c r="AK55" i="28"/>
  <c r="AJ55" i="28"/>
  <c r="AI55" i="28"/>
  <c r="AH55" i="28"/>
  <c r="AG55" i="28"/>
  <c r="AF55" i="28"/>
  <c r="AE55" i="28"/>
  <c r="AD55" i="28"/>
  <c r="AC55" i="28"/>
  <c r="AB55" i="28"/>
  <c r="AA55" i="28"/>
  <c r="Z55" i="28"/>
  <c r="Y55" i="28"/>
  <c r="X55" i="28"/>
  <c r="W55" i="28"/>
  <c r="V55" i="28"/>
  <c r="U55" i="28"/>
  <c r="T55" i="28"/>
  <c r="S55" i="28"/>
  <c r="R55" i="28"/>
  <c r="Q55" i="28"/>
  <c r="P55" i="28"/>
  <c r="O55" i="28"/>
  <c r="N55" i="28"/>
  <c r="M55" i="28"/>
  <c r="L55" i="28"/>
  <c r="BS50" i="28"/>
  <c r="BR50" i="28"/>
  <c r="BQ50" i="28"/>
  <c r="BP50" i="28"/>
  <c r="BO50" i="28"/>
  <c r="BN50" i="28"/>
  <c r="BM50" i="28"/>
  <c r="BL50" i="28"/>
  <c r="BK50" i="28"/>
  <c r="BJ50" i="28"/>
  <c r="BI50" i="28"/>
  <c r="BH50" i="28"/>
  <c r="BY50" i="28" s="1"/>
  <c r="BG50" i="28"/>
  <c r="BF50" i="28"/>
  <c r="BE50" i="28"/>
  <c r="BD50" i="28"/>
  <c r="BC50" i="28"/>
  <c r="BB50" i="28"/>
  <c r="BA50" i="28"/>
  <c r="AZ50" i="28"/>
  <c r="AY50" i="28"/>
  <c r="AX50" i="28"/>
  <c r="AW50" i="28"/>
  <c r="AV50" i="28"/>
  <c r="AU50" i="28"/>
  <c r="AT50" i="28"/>
  <c r="AS50" i="28"/>
  <c r="AR50" i="28"/>
  <c r="AQ50" i="28"/>
  <c r="AP50" i="28"/>
  <c r="AO50" i="28"/>
  <c r="AN50" i="28"/>
  <c r="AM50" i="28"/>
  <c r="AL50" i="28"/>
  <c r="AK50" i="28"/>
  <c r="AJ50" i="28"/>
  <c r="BW50" i="28" s="1"/>
  <c r="AI50" i="28"/>
  <c r="AH50" i="28"/>
  <c r="AG50" i="28"/>
  <c r="AF50" i="28"/>
  <c r="AE50" i="28"/>
  <c r="AD50" i="28"/>
  <c r="AC50" i="28"/>
  <c r="AB50" i="28"/>
  <c r="AA50" i="28"/>
  <c r="Z50" i="28"/>
  <c r="Y50" i="28"/>
  <c r="X50" i="28"/>
  <c r="W50" i="28"/>
  <c r="V50" i="28"/>
  <c r="U50" i="28"/>
  <c r="T50" i="28"/>
  <c r="S50" i="28"/>
  <c r="R50" i="28"/>
  <c r="Q50" i="28"/>
  <c r="P50" i="28"/>
  <c r="O50" i="28"/>
  <c r="N50" i="28"/>
  <c r="M50" i="28"/>
  <c r="L50" i="28"/>
  <c r="BU50" i="28" s="1"/>
  <c r="BS49" i="28"/>
  <c r="BR49" i="28"/>
  <c r="BQ49" i="28"/>
  <c r="BP49" i="28"/>
  <c r="BO49" i="28"/>
  <c r="BN49" i="28"/>
  <c r="BM49" i="28"/>
  <c r="BL49" i="28"/>
  <c r="BK49" i="28"/>
  <c r="BJ49" i="28"/>
  <c r="BI49" i="28"/>
  <c r="BH49" i="28"/>
  <c r="BG49" i="28"/>
  <c r="BF49" i="28"/>
  <c r="BE49" i="28"/>
  <c r="BD49" i="28"/>
  <c r="BC49" i="28"/>
  <c r="BB49" i="28"/>
  <c r="BA49" i="28"/>
  <c r="AZ49" i="28"/>
  <c r="AY49" i="28"/>
  <c r="AX49" i="28"/>
  <c r="AW49" i="28"/>
  <c r="AV49" i="28"/>
  <c r="BX49" i="28" s="1"/>
  <c r="AU49" i="28"/>
  <c r="AT49" i="28"/>
  <c r="AS49" i="28"/>
  <c r="AR49" i="28"/>
  <c r="AQ49" i="28"/>
  <c r="AP49" i="28"/>
  <c r="AO49" i="28"/>
  <c r="AN49" i="28"/>
  <c r="AM49" i="28"/>
  <c r="AL49" i="28"/>
  <c r="AK49" i="28"/>
  <c r="AJ49" i="28"/>
  <c r="AI49" i="28"/>
  <c r="AH49" i="28"/>
  <c r="AG49" i="28"/>
  <c r="AF49" i="28"/>
  <c r="AE49" i="28"/>
  <c r="AD49" i="28"/>
  <c r="AC49" i="28"/>
  <c r="AB49" i="28"/>
  <c r="AA49" i="28"/>
  <c r="Z49" i="28"/>
  <c r="Y49" i="28"/>
  <c r="X49" i="28"/>
  <c r="BV49" i="28" s="1"/>
  <c r="W49" i="28"/>
  <c r="V49" i="28"/>
  <c r="U49" i="28"/>
  <c r="T49" i="28"/>
  <c r="S49" i="28"/>
  <c r="R49" i="28"/>
  <c r="Q49" i="28"/>
  <c r="P49" i="28"/>
  <c r="O49" i="28"/>
  <c r="N49" i="28"/>
  <c r="M49" i="28"/>
  <c r="L49" i="28"/>
  <c r="BS48" i="28"/>
  <c r="BR48" i="28"/>
  <c r="BQ48" i="28"/>
  <c r="BP48" i="28"/>
  <c r="BO48" i="28"/>
  <c r="BN48" i="28"/>
  <c r="BM48" i="28"/>
  <c r="BL48" i="28"/>
  <c r="BK48" i="28"/>
  <c r="BJ48" i="28"/>
  <c r="BI48" i="28"/>
  <c r="BH48" i="28"/>
  <c r="BY48" i="28" s="1"/>
  <c r="BG48" i="28"/>
  <c r="BF48" i="28"/>
  <c r="BE48" i="28"/>
  <c r="BD48" i="28"/>
  <c r="BC48" i="28"/>
  <c r="BB48" i="28"/>
  <c r="BA48" i="28"/>
  <c r="AZ48" i="28"/>
  <c r="AY48" i="28"/>
  <c r="AX48" i="28"/>
  <c r="AW48" i="28"/>
  <c r="AV48" i="28"/>
  <c r="AU48" i="28"/>
  <c r="AT48" i="28"/>
  <c r="AS48" i="28"/>
  <c r="AR48" i="28"/>
  <c r="AQ48" i="28"/>
  <c r="AP48" i="28"/>
  <c r="AO48" i="28"/>
  <c r="AN48" i="28"/>
  <c r="AM48" i="28"/>
  <c r="AL48" i="28"/>
  <c r="AK48" i="28"/>
  <c r="AJ48" i="28"/>
  <c r="BW48" i="28" s="1"/>
  <c r="AI48" i="28"/>
  <c r="AH48" i="28"/>
  <c r="AG48" i="28"/>
  <c r="AF48" i="28"/>
  <c r="AE48" i="28"/>
  <c r="AD48" i="28"/>
  <c r="AC48" i="28"/>
  <c r="AB48" i="28"/>
  <c r="AA48" i="28"/>
  <c r="Z48" i="28"/>
  <c r="Y48" i="28"/>
  <c r="X48" i="28"/>
  <c r="W48" i="28"/>
  <c r="V48" i="28"/>
  <c r="U48" i="28"/>
  <c r="T48" i="28"/>
  <c r="S48" i="28"/>
  <c r="R48" i="28"/>
  <c r="Q48" i="28"/>
  <c r="P48" i="28"/>
  <c r="O48" i="28"/>
  <c r="N48" i="28"/>
  <c r="M48" i="28"/>
  <c r="L48" i="28"/>
  <c r="BU48" i="28" s="1"/>
  <c r="BS46" i="28"/>
  <c r="BR46" i="28"/>
  <c r="BQ46" i="28"/>
  <c r="BP46" i="28"/>
  <c r="BO46" i="28"/>
  <c r="BN46" i="28"/>
  <c r="BM46" i="28"/>
  <c r="BL46" i="28"/>
  <c r="BK46" i="28"/>
  <c r="BJ46" i="28"/>
  <c r="BI46" i="28"/>
  <c r="BH46" i="28"/>
  <c r="BG46" i="28"/>
  <c r="BF46" i="28"/>
  <c r="BE46" i="28"/>
  <c r="BD46" i="28"/>
  <c r="BC46" i="28"/>
  <c r="BB46" i="28"/>
  <c r="BA46" i="28"/>
  <c r="AZ46" i="28"/>
  <c r="AY46" i="28"/>
  <c r="AX46" i="28"/>
  <c r="AW46" i="28"/>
  <c r="AV46" i="28"/>
  <c r="BX46" i="28" s="1"/>
  <c r="AU46" i="28"/>
  <c r="AT46" i="28"/>
  <c r="AS46" i="28"/>
  <c r="AR46" i="28"/>
  <c r="AQ46" i="28"/>
  <c r="AP46" i="28"/>
  <c r="AO46" i="28"/>
  <c r="AN46" i="28"/>
  <c r="AM46" i="28"/>
  <c r="AL46" i="28"/>
  <c r="AK46" i="28"/>
  <c r="AJ46" i="28"/>
  <c r="AI46" i="28"/>
  <c r="AH46" i="28"/>
  <c r="AG46" i="28"/>
  <c r="AF46" i="28"/>
  <c r="AE46" i="28"/>
  <c r="AD46" i="28"/>
  <c r="AC46" i="28"/>
  <c r="AB46" i="28"/>
  <c r="AA46" i="28"/>
  <c r="Z46" i="28"/>
  <c r="Y46" i="28"/>
  <c r="X46" i="28"/>
  <c r="BV46" i="28" s="1"/>
  <c r="W46" i="28"/>
  <c r="V46" i="28"/>
  <c r="U46" i="28"/>
  <c r="T46" i="28"/>
  <c r="S46" i="28"/>
  <c r="R46" i="28"/>
  <c r="Q46" i="28"/>
  <c r="P46" i="28"/>
  <c r="O46" i="28"/>
  <c r="N46" i="28"/>
  <c r="M46" i="28"/>
  <c r="L46" i="28"/>
  <c r="BS42" i="28"/>
  <c r="BR42" i="28"/>
  <c r="BQ42" i="28"/>
  <c r="BP42" i="28"/>
  <c r="BO42" i="28"/>
  <c r="BN42" i="28"/>
  <c r="BM42" i="28"/>
  <c r="BL42" i="28"/>
  <c r="BK42" i="28"/>
  <c r="BJ42" i="28"/>
  <c r="BI42" i="28"/>
  <c r="BH42" i="28"/>
  <c r="BY42" i="28" s="1"/>
  <c r="BG42" i="28"/>
  <c r="BF42" i="28"/>
  <c r="BE42" i="28"/>
  <c r="BD42" i="28"/>
  <c r="BC42" i="28"/>
  <c r="BB42" i="28"/>
  <c r="BA42" i="28"/>
  <c r="AZ42" i="28"/>
  <c r="AY42" i="28"/>
  <c r="AX42" i="28"/>
  <c r="AW42" i="28"/>
  <c r="AV42" i="28"/>
  <c r="AU42" i="28"/>
  <c r="AT42" i="28"/>
  <c r="AS42" i="28"/>
  <c r="AR42" i="28"/>
  <c r="AQ42" i="28"/>
  <c r="AP42" i="28"/>
  <c r="AO42" i="28"/>
  <c r="AN42" i="28"/>
  <c r="AM42" i="28"/>
  <c r="AL42" i="28"/>
  <c r="AK42" i="28"/>
  <c r="AJ42" i="28"/>
  <c r="AI42" i="28"/>
  <c r="AH42" i="28"/>
  <c r="AG42" i="28"/>
  <c r="AF42" i="28"/>
  <c r="AE42" i="28"/>
  <c r="AD42" i="28"/>
  <c r="AC42" i="28"/>
  <c r="AB42" i="28"/>
  <c r="AA42" i="28"/>
  <c r="Z42" i="28"/>
  <c r="Y42" i="28"/>
  <c r="X42" i="28"/>
  <c r="W42" i="28"/>
  <c r="V42" i="28"/>
  <c r="U42" i="28"/>
  <c r="T42" i="28"/>
  <c r="S42" i="28"/>
  <c r="R42" i="28"/>
  <c r="Q42" i="28"/>
  <c r="P42" i="28"/>
  <c r="O42" i="28"/>
  <c r="N42" i="28"/>
  <c r="M42" i="28"/>
  <c r="L42" i="28"/>
  <c r="BU42" i="28" s="1"/>
  <c r="AJ38" i="28"/>
  <c r="AI38" i="28"/>
  <c r="AH38" i="28"/>
  <c r="AG38" i="28"/>
  <c r="AF38" i="28"/>
  <c r="AE38" i="28"/>
  <c r="AD38" i="28"/>
  <c r="AC38" i="28"/>
  <c r="AB38" i="28"/>
  <c r="AA38" i="28"/>
  <c r="Z38" i="28"/>
  <c r="Y38" i="28"/>
  <c r="X38" i="28"/>
  <c r="W38" i="28"/>
  <c r="V38" i="28"/>
  <c r="U38" i="28"/>
  <c r="T38" i="28"/>
  <c r="S38" i="28"/>
  <c r="R38" i="28"/>
  <c r="Q38" i="28"/>
  <c r="P38" i="28"/>
  <c r="O38" i="28"/>
  <c r="N38" i="28"/>
  <c r="M38" i="28"/>
  <c r="L38" i="28"/>
  <c r="L37" i="28"/>
  <c r="L34" i="28"/>
  <c r="L33" i="28"/>
  <c r="L32" i="28"/>
  <c r="L31" i="28"/>
  <c r="BS26" i="28"/>
  <c r="BR26" i="28"/>
  <c r="BQ26" i="28"/>
  <c r="BP26" i="28"/>
  <c r="BO26" i="28"/>
  <c r="BN26" i="28"/>
  <c r="BM26" i="28"/>
  <c r="BL26" i="28"/>
  <c r="BK26" i="28"/>
  <c r="BJ26" i="28"/>
  <c r="BI26" i="28"/>
  <c r="BH26" i="28"/>
  <c r="BG26" i="28"/>
  <c r="BF26" i="28"/>
  <c r="BE26" i="28"/>
  <c r="BD26" i="28"/>
  <c r="BC26" i="28"/>
  <c r="BB26" i="28"/>
  <c r="BA26" i="28"/>
  <c r="AZ26" i="28"/>
  <c r="AY26" i="28"/>
  <c r="AX26" i="28"/>
  <c r="AW26" i="28"/>
  <c r="AV26" i="28"/>
  <c r="AU26" i="28"/>
  <c r="AT26" i="28"/>
  <c r="AS26" i="28"/>
  <c r="AR26" i="28"/>
  <c r="AQ26" i="28"/>
  <c r="AP26" i="28"/>
  <c r="AO26" i="28"/>
  <c r="AN26" i="28"/>
  <c r="AM26" i="28"/>
  <c r="AL26" i="28"/>
  <c r="AK26" i="28"/>
  <c r="AJ26" i="28"/>
  <c r="AI26" i="28"/>
  <c r="AH26" i="28"/>
  <c r="AG26" i="28"/>
  <c r="AF26" i="28"/>
  <c r="AE26" i="28"/>
  <c r="AD26" i="28"/>
  <c r="BV26" i="28" s="1"/>
  <c r="BR153" i="28"/>
  <c r="BQ153" i="28"/>
  <c r="BP153" i="28"/>
  <c r="BO153" i="28"/>
  <c r="BN153" i="28"/>
  <c r="BM153" i="28"/>
  <c r="BL153" i="28"/>
  <c r="BK153" i="28"/>
  <c r="BJ153" i="28"/>
  <c r="BI153" i="28"/>
  <c r="BH153" i="28"/>
  <c r="BG153" i="28"/>
  <c r="BF153" i="28"/>
  <c r="BE153" i="28"/>
  <c r="BD153" i="28"/>
  <c r="BC153" i="28"/>
  <c r="BB153" i="28"/>
  <c r="BA153" i="28"/>
  <c r="AZ153" i="28"/>
  <c r="AY153" i="28"/>
  <c r="AX153" i="28"/>
  <c r="AW153" i="28"/>
  <c r="AV153" i="28"/>
  <c r="AU153" i="28"/>
  <c r="AT153" i="28"/>
  <c r="AS153" i="28"/>
  <c r="AR153" i="28"/>
  <c r="AQ153" i="28"/>
  <c r="AP153" i="28"/>
  <c r="AO153" i="28"/>
  <c r="AN153" i="28"/>
  <c r="AM153" i="28"/>
  <c r="AL153" i="28"/>
  <c r="AK153" i="28"/>
  <c r="AJ153" i="28"/>
  <c r="AI153" i="28"/>
  <c r="AH153" i="28"/>
  <c r="AG153" i="28"/>
  <c r="AF153" i="28"/>
  <c r="AE153" i="28"/>
  <c r="AD153" i="28"/>
  <c r="AC153" i="28"/>
  <c r="AB153" i="28"/>
  <c r="AA153" i="28"/>
  <c r="Z153" i="28"/>
  <c r="Y153" i="28"/>
  <c r="X153" i="28"/>
  <c r="W153" i="28"/>
  <c r="V153" i="28"/>
  <c r="U153" i="28"/>
  <c r="T153" i="28"/>
  <c r="S153" i="28"/>
  <c r="R153" i="28"/>
  <c r="Q153" i="28"/>
  <c r="P153" i="28"/>
  <c r="O153" i="28"/>
  <c r="N153" i="28"/>
  <c r="M153" i="28"/>
  <c r="L153" i="28"/>
  <c r="BS153" i="28"/>
  <c r="AK168" i="28"/>
  <c r="M167" i="28"/>
  <c r="M164" i="28"/>
  <c r="M163" i="28"/>
  <c r="M162" i="28"/>
  <c r="M161" i="28"/>
  <c r="M158" i="28"/>
  <c r="BW46" i="28" l="1"/>
  <c r="BY46" i="28"/>
  <c r="BV48" i="28"/>
  <c r="BW49" i="28"/>
  <c r="BX50" i="28"/>
  <c r="BW42" i="28"/>
  <c r="BV42" i="28"/>
  <c r="BX42" i="28"/>
  <c r="BU46" i="28"/>
  <c r="BX48" i="28"/>
  <c r="BU49" i="28"/>
  <c r="BY49" i="28"/>
  <c r="BV50" i="28"/>
  <c r="BU153" i="28"/>
  <c r="BV153" i="28"/>
  <c r="BW153" i="28"/>
  <c r="BX153" i="28"/>
  <c r="BY153" i="28"/>
  <c r="M28" i="28"/>
  <c r="M37" i="28"/>
  <c r="AK38" i="28"/>
  <c r="BU58" i="28"/>
  <c r="BV58" i="28"/>
  <c r="BU64" i="28"/>
  <c r="BV64" i="28"/>
  <c r="BW64" i="28"/>
  <c r="BX64" i="28"/>
  <c r="BY64" i="28"/>
  <c r="BU38" i="28"/>
  <c r="BV38" i="28"/>
  <c r="BW26" i="28"/>
  <c r="BX26" i="28"/>
  <c r="BY26" i="28"/>
  <c r="BW58" i="28"/>
  <c r="BX58" i="28"/>
  <c r="BY58" i="28"/>
  <c r="BV57" i="28"/>
  <c r="BW57" i="28"/>
  <c r="BX57" i="28"/>
  <c r="BU57" i="28"/>
  <c r="BY57" i="28"/>
  <c r="BU55" i="28"/>
  <c r="BV55" i="28"/>
  <c r="BW55" i="28"/>
  <c r="BX55" i="28"/>
  <c r="BY55" i="28"/>
  <c r="Q23" i="28"/>
  <c r="M55" i="26" s="1"/>
  <c r="Y23" i="28"/>
  <c r="U55" i="26" s="1"/>
  <c r="AG23" i="28"/>
  <c r="AC55" i="26" s="1"/>
  <c r="AO23" i="28"/>
  <c r="AK55" i="26" s="1"/>
  <c r="AE23" i="28"/>
  <c r="AA55" i="26" s="1"/>
  <c r="R23" i="28"/>
  <c r="N55" i="26" s="1"/>
  <c r="Z23" i="28"/>
  <c r="V55" i="26" s="1"/>
  <c r="AH23" i="28"/>
  <c r="AD55" i="26" s="1"/>
  <c r="AP23" i="28"/>
  <c r="AL55" i="26" s="1"/>
  <c r="AX23" i="28"/>
  <c r="AT55" i="26" s="1"/>
  <c r="BF23" i="28"/>
  <c r="BB55" i="26" s="1"/>
  <c r="BN23" i="28"/>
  <c r="BJ55" i="26" s="1"/>
  <c r="M23" i="28"/>
  <c r="I55" i="26" s="1"/>
  <c r="U23" i="28"/>
  <c r="Q55" i="26" s="1"/>
  <c r="BA23" i="28"/>
  <c r="AW55" i="26" s="1"/>
  <c r="N23" i="28"/>
  <c r="J55" i="26" s="1"/>
  <c r="V23" i="28"/>
  <c r="R55" i="26" s="1"/>
  <c r="AT23" i="28"/>
  <c r="AP55" i="26" s="1"/>
  <c r="BB23" i="28"/>
  <c r="AX55" i="26" s="1"/>
  <c r="BJ23" i="28"/>
  <c r="BF55" i="26" s="1"/>
  <c r="BR23" i="28"/>
  <c r="BN55" i="26" s="1"/>
  <c r="O23" i="28"/>
  <c r="K55" i="26" s="1"/>
  <c r="W23" i="28"/>
  <c r="S55" i="26" s="1"/>
  <c r="AM23" i="28"/>
  <c r="AI55" i="26" s="1"/>
  <c r="AU23" i="28"/>
  <c r="AQ55" i="26" s="1"/>
  <c r="BC23" i="28"/>
  <c r="AY55" i="26" s="1"/>
  <c r="BK23" i="28"/>
  <c r="BG55" i="26" s="1"/>
  <c r="AL168" i="28"/>
  <c r="AM168" i="28" s="1"/>
  <c r="AN168" i="28" s="1"/>
  <c r="AD23" i="28"/>
  <c r="Z55" i="26" s="1"/>
  <c r="AL23" i="28"/>
  <c r="AH55" i="26" s="1"/>
  <c r="L23" i="28"/>
  <c r="T23" i="28"/>
  <c r="P55" i="26" s="1"/>
  <c r="AB23" i="28"/>
  <c r="X55" i="26" s="1"/>
  <c r="AJ23" i="28"/>
  <c r="AR23" i="28"/>
  <c r="AN55" i="26" s="1"/>
  <c r="AZ23" i="28"/>
  <c r="AV55" i="26" s="1"/>
  <c r="BH23" i="28"/>
  <c r="BP23" i="28"/>
  <c r="BL55" i="26" s="1"/>
  <c r="P23" i="28"/>
  <c r="L55" i="26" s="1"/>
  <c r="X23" i="28"/>
  <c r="AF23" i="28"/>
  <c r="AB55" i="26" s="1"/>
  <c r="AN23" i="28"/>
  <c r="AJ55" i="26" s="1"/>
  <c r="AV23" i="28"/>
  <c r="BD23" i="28"/>
  <c r="AZ55" i="26" s="1"/>
  <c r="BL23" i="28"/>
  <c r="BH55" i="26" s="1"/>
  <c r="AC23" i="28"/>
  <c r="Y55" i="26" s="1"/>
  <c r="AK23" i="28"/>
  <c r="AG55" i="26" s="1"/>
  <c r="AS23" i="28"/>
  <c r="AO55" i="26" s="1"/>
  <c r="BI23" i="28"/>
  <c r="BE55" i="26" s="1"/>
  <c r="BQ23" i="28"/>
  <c r="BM55" i="26" s="1"/>
  <c r="BS23" i="28"/>
  <c r="BO55" i="26" s="1"/>
  <c r="N164" i="28"/>
  <c r="M34" i="28"/>
  <c r="N158" i="28"/>
  <c r="N28" i="28" s="1"/>
  <c r="N167" i="28"/>
  <c r="AW23" i="28"/>
  <c r="AS55" i="26" s="1"/>
  <c r="BE23" i="28"/>
  <c r="BA55" i="26" s="1"/>
  <c r="BM23" i="28"/>
  <c r="BI55" i="26" s="1"/>
  <c r="S23" i="28"/>
  <c r="O55" i="26" s="1"/>
  <c r="AA23" i="28"/>
  <c r="W55" i="26" s="1"/>
  <c r="AI23" i="28"/>
  <c r="AE55" i="26" s="1"/>
  <c r="AQ23" i="28"/>
  <c r="AM55" i="26" s="1"/>
  <c r="AY23" i="28"/>
  <c r="AU55" i="26" s="1"/>
  <c r="BG23" i="28"/>
  <c r="BC55" i="26" s="1"/>
  <c r="BO23" i="28"/>
  <c r="BK55" i="26" s="1"/>
  <c r="N161" i="28"/>
  <c r="M31" i="28"/>
  <c r="N162" i="28"/>
  <c r="M32" i="28"/>
  <c r="N163" i="28"/>
  <c r="M33" i="28"/>
  <c r="AR55" i="26" l="1"/>
  <c r="BX23" i="28"/>
  <c r="H55" i="26"/>
  <c r="BU23" i="28"/>
  <c r="AF55" i="26"/>
  <c r="BW23" i="28"/>
  <c r="BD55" i="26"/>
  <c r="BY23" i="28"/>
  <c r="T55" i="26"/>
  <c r="BV23" i="28"/>
  <c r="AM38" i="28"/>
  <c r="AL38" i="28"/>
  <c r="O162" i="28"/>
  <c r="N32" i="28"/>
  <c r="O158" i="28"/>
  <c r="O164" i="28"/>
  <c r="N34" i="28"/>
  <c r="AO168" i="28"/>
  <c r="AN38" i="28"/>
  <c r="O163" i="28"/>
  <c r="N33" i="28"/>
  <c r="O161" i="28"/>
  <c r="N31" i="28"/>
  <c r="N37" i="28"/>
  <c r="O167" i="28"/>
  <c r="O28" i="28" l="1"/>
  <c r="P161" i="28"/>
  <c r="O31" i="28"/>
  <c r="P164" i="28"/>
  <c r="O34" i="28"/>
  <c r="AP168" i="28"/>
  <c r="AO38" i="28"/>
  <c r="P162" i="28"/>
  <c r="O32" i="28"/>
  <c r="P163" i="28"/>
  <c r="O33" i="28"/>
  <c r="P158" i="28"/>
  <c r="P28" i="28" s="1"/>
  <c r="P167" i="28"/>
  <c r="O37" i="28"/>
  <c r="Q158" i="28" l="1"/>
  <c r="AQ168" i="28"/>
  <c r="AP38" i="28"/>
  <c r="Q163" i="28"/>
  <c r="P33" i="28"/>
  <c r="Q162" i="28"/>
  <c r="P32" i="28"/>
  <c r="Q164" i="28"/>
  <c r="P34" i="28"/>
  <c r="Q167" i="28"/>
  <c r="P37" i="28"/>
  <c r="Q161" i="28"/>
  <c r="P31" i="28"/>
  <c r="Q28" i="28" l="1"/>
  <c r="R167" i="28"/>
  <c r="Q37" i="28"/>
  <c r="R164" i="28"/>
  <c r="Q34" i="28"/>
  <c r="R158" i="28"/>
  <c r="R28" i="28" s="1"/>
  <c r="R163" i="28"/>
  <c r="Q33" i="28"/>
  <c r="R161" i="28"/>
  <c r="Q31" i="28"/>
  <c r="AR168" i="28"/>
  <c r="AQ38" i="28"/>
  <c r="R162" i="28"/>
  <c r="Q32" i="28"/>
  <c r="S164" i="28" l="1"/>
  <c r="R34" i="28"/>
  <c r="S162" i="28"/>
  <c r="R32" i="28"/>
  <c r="S163" i="28"/>
  <c r="R33" i="28"/>
  <c r="S167" i="28"/>
  <c r="R37" i="28"/>
  <c r="AS168" i="28"/>
  <c r="AR38" i="28"/>
  <c r="S158" i="28"/>
  <c r="S161" i="28"/>
  <c r="R31" i="28"/>
  <c r="S28" i="28" l="1"/>
  <c r="T167" i="28"/>
  <c r="S37" i="28"/>
  <c r="T163" i="28"/>
  <c r="S33" i="28"/>
  <c r="T161" i="28"/>
  <c r="S31" i="28"/>
  <c r="T162" i="28"/>
  <c r="S32" i="28"/>
  <c r="T158" i="28"/>
  <c r="T28" i="28" s="1"/>
  <c r="AT168" i="28"/>
  <c r="AS38" i="28"/>
  <c r="T164" i="28"/>
  <c r="S34" i="28"/>
  <c r="AU168" i="28" l="1"/>
  <c r="BW168" i="28" s="1"/>
  <c r="AT38" i="28"/>
  <c r="U162" i="28"/>
  <c r="T32" i="28"/>
  <c r="U167" i="28"/>
  <c r="T37" i="28"/>
  <c r="U163" i="28"/>
  <c r="T33" i="28"/>
  <c r="U164" i="28"/>
  <c r="T34" i="28"/>
  <c r="U158" i="28"/>
  <c r="U161" i="28"/>
  <c r="T31" i="28"/>
  <c r="U28" i="28" l="1"/>
  <c r="V167" i="28"/>
  <c r="U37" i="28"/>
  <c r="V161" i="28"/>
  <c r="U31" i="28"/>
  <c r="V158" i="28"/>
  <c r="V28" i="28" s="1"/>
  <c r="V162" i="28"/>
  <c r="U32" i="28"/>
  <c r="V164" i="28"/>
  <c r="U34" i="28"/>
  <c r="V163" i="28"/>
  <c r="U33" i="28"/>
  <c r="AV168" i="28"/>
  <c r="AU38" i="28"/>
  <c r="BW38" i="28" s="1"/>
  <c r="W161" i="28" l="1"/>
  <c r="BU161" i="28" s="1"/>
  <c r="V31" i="28"/>
  <c r="W158" i="28"/>
  <c r="W167" i="28"/>
  <c r="BU167" i="28" s="1"/>
  <c r="V37" i="28"/>
  <c r="W163" i="28"/>
  <c r="BU163" i="28" s="1"/>
  <c r="V33" i="28"/>
  <c r="W162" i="28"/>
  <c r="BU162" i="28" s="1"/>
  <c r="V32" i="28"/>
  <c r="AW168" i="28"/>
  <c r="AV38" i="28"/>
  <c r="W164" i="28"/>
  <c r="BU164" i="28" s="1"/>
  <c r="V34" i="28"/>
  <c r="W28" i="28" l="1"/>
  <c r="BU28" i="28" s="1"/>
  <c r="BU158" i="28"/>
  <c r="X158" i="28"/>
  <c r="X28" i="28" s="1"/>
  <c r="X163" i="28"/>
  <c r="W33" i="28"/>
  <c r="BU33" i="28" s="1"/>
  <c r="X164" i="28"/>
  <c r="W34" i="28"/>
  <c r="BU34" i="28" s="1"/>
  <c r="X167" i="28"/>
  <c r="W37" i="28"/>
  <c r="BU37" i="28" s="1"/>
  <c r="AX168" i="28"/>
  <c r="AW38" i="28"/>
  <c r="X162" i="28"/>
  <c r="W32" i="28"/>
  <c r="BU32" i="28" s="1"/>
  <c r="X161" i="28"/>
  <c r="W31" i="28"/>
  <c r="BU31" i="28" s="1"/>
  <c r="Y167" i="28" l="1"/>
  <c r="X37" i="28"/>
  <c r="Y163" i="28"/>
  <c r="X33" i="28"/>
  <c r="Y158" i="28"/>
  <c r="Y28" i="28" s="1"/>
  <c r="Y164" i="28"/>
  <c r="X34" i="28"/>
  <c r="Y162" i="28"/>
  <c r="X32" i="28"/>
  <c r="AY168" i="28"/>
  <c r="AX38" i="28"/>
  <c r="Y161" i="28"/>
  <c r="X31" i="28"/>
  <c r="Z167" i="28" l="1"/>
  <c r="Y37" i="28"/>
  <c r="Z161" i="28"/>
  <c r="Y31" i="28"/>
  <c r="Z164" i="28"/>
  <c r="Y34" i="28"/>
  <c r="AZ168" i="28"/>
  <c r="AY38" i="28"/>
  <c r="Z163" i="28"/>
  <c r="Y33" i="28"/>
  <c r="Z158" i="28"/>
  <c r="Z28" i="28" s="1"/>
  <c r="Z162" i="28"/>
  <c r="Y32" i="28"/>
  <c r="AA164" i="28" l="1"/>
  <c r="Z34" i="28"/>
  <c r="AA158" i="28"/>
  <c r="AA28" i="28" s="1"/>
  <c r="AA161" i="28"/>
  <c r="Z31" i="28"/>
  <c r="AA163" i="28"/>
  <c r="Z33" i="28"/>
  <c r="BA168" i="28"/>
  <c r="AZ38" i="28"/>
  <c r="AA167" i="28"/>
  <c r="Z37" i="28"/>
  <c r="AA162" i="28"/>
  <c r="Z32" i="28"/>
  <c r="AB158" i="28" l="1"/>
  <c r="AB28" i="28" s="1"/>
  <c r="BB168" i="28"/>
  <c r="BA38" i="28"/>
  <c r="AB161" i="28"/>
  <c r="AA31" i="28"/>
  <c r="AB164" i="28"/>
  <c r="AA34" i="28"/>
  <c r="AB163" i="28"/>
  <c r="AA33" i="28"/>
  <c r="AB167" i="28"/>
  <c r="AA37" i="28"/>
  <c r="AB162" i="28"/>
  <c r="AA32" i="28"/>
  <c r="AC162" i="28" l="1"/>
  <c r="AB32" i="28"/>
  <c r="AC164" i="28"/>
  <c r="AB34" i="28"/>
  <c r="AC167" i="28"/>
  <c r="AB37" i="28"/>
  <c r="AC161" i="28"/>
  <c r="AB31" i="28"/>
  <c r="AC158" i="28"/>
  <c r="AC28" i="28" s="1"/>
  <c r="BC168" i="28"/>
  <c r="BB38" i="28"/>
  <c r="AC163" i="28"/>
  <c r="AB33" i="28"/>
  <c r="AD161" i="28" l="1"/>
  <c r="AC31" i="28"/>
  <c r="AD162" i="28"/>
  <c r="AC32" i="28"/>
  <c r="AD167" i="28"/>
  <c r="AC37" i="28"/>
  <c r="AD164" i="28"/>
  <c r="AC34" i="28"/>
  <c r="AD163" i="28"/>
  <c r="AC33" i="28"/>
  <c r="AD28" i="28"/>
  <c r="BD168" i="28"/>
  <c r="BC38" i="28"/>
  <c r="AE164" i="28" l="1"/>
  <c r="AD34" i="28"/>
  <c r="AE158" i="28"/>
  <c r="AE167" i="28"/>
  <c r="AD37" i="28"/>
  <c r="AE163" i="28"/>
  <c r="AD33" i="28"/>
  <c r="AE162" i="28"/>
  <c r="AD32" i="28"/>
  <c r="BE168" i="28"/>
  <c r="BD38" i="28"/>
  <c r="AE161" i="28"/>
  <c r="AD31" i="28"/>
  <c r="AE28" i="28" l="1"/>
  <c r="AF161" i="28"/>
  <c r="AE31" i="28"/>
  <c r="AF167" i="28"/>
  <c r="AE37" i="28"/>
  <c r="AF162" i="28"/>
  <c r="AE32" i="28"/>
  <c r="AF158" i="28"/>
  <c r="AF28" i="28" s="1"/>
  <c r="AF164" i="28"/>
  <c r="AE34" i="28"/>
  <c r="BF168" i="28"/>
  <c r="BE38" i="28"/>
  <c r="AF163" i="28"/>
  <c r="AE33" i="28"/>
  <c r="BG168" i="28" l="1"/>
  <c r="BX168" i="28" s="1"/>
  <c r="BF38" i="28"/>
  <c r="AG162" i="28"/>
  <c r="AF32" i="28"/>
  <c r="AG158" i="28"/>
  <c r="AG167" i="28"/>
  <c r="AF37" i="28"/>
  <c r="AG164" i="28"/>
  <c r="AF34" i="28"/>
  <c r="AG163" i="28"/>
  <c r="AF33" i="28"/>
  <c r="AG161" i="28"/>
  <c r="AF31" i="28"/>
  <c r="AG28" i="28" l="1"/>
  <c r="AH162" i="28"/>
  <c r="AG32" i="28"/>
  <c r="AH167" i="28"/>
  <c r="AG37" i="28"/>
  <c r="BH168" i="28"/>
  <c r="BG38" i="28"/>
  <c r="BX38" i="28" s="1"/>
  <c r="AH163" i="28"/>
  <c r="AG33" i="28"/>
  <c r="AH158" i="28"/>
  <c r="AH28" i="28" s="1"/>
  <c r="AH161" i="28"/>
  <c r="AG31" i="28"/>
  <c r="AH164" i="28"/>
  <c r="AG34" i="28"/>
  <c r="AI164" i="28" l="1"/>
  <c r="BV164" i="28" s="1"/>
  <c r="AH34" i="28"/>
  <c r="AI167" i="28"/>
  <c r="BV167" i="28" s="1"/>
  <c r="AH37" i="28"/>
  <c r="AI161" i="28"/>
  <c r="BV161" i="28" s="1"/>
  <c r="AH31" i="28"/>
  <c r="AI158" i="28"/>
  <c r="AI163" i="28"/>
  <c r="BV163" i="28" s="1"/>
  <c r="AH33" i="28"/>
  <c r="BI168" i="28"/>
  <c r="BH38" i="28"/>
  <c r="AI162" i="28"/>
  <c r="BV162" i="28" s="1"/>
  <c r="AH32" i="28"/>
  <c r="AI28" i="28" l="1"/>
  <c r="BV28" i="28" s="1"/>
  <c r="BV158" i="28"/>
  <c r="BJ168" i="28"/>
  <c r="BI38" i="28"/>
  <c r="AJ158" i="28"/>
  <c r="AJ164" i="28"/>
  <c r="AI34" i="28"/>
  <c r="BV34" i="28" s="1"/>
  <c r="AJ163" i="28"/>
  <c r="AI33" i="28"/>
  <c r="BV33" i="28" s="1"/>
  <c r="AJ161" i="28"/>
  <c r="AI31" i="28"/>
  <c r="BV31" i="28" s="1"/>
  <c r="AJ162" i="28"/>
  <c r="AI32" i="28"/>
  <c r="BV32" i="28" s="1"/>
  <c r="AJ167" i="28"/>
  <c r="AI37" i="28"/>
  <c r="BV37" i="28" s="1"/>
  <c r="AJ28" i="28" l="1"/>
  <c r="AK162" i="28"/>
  <c r="AJ32" i="28"/>
  <c r="AK164" i="28"/>
  <c r="AJ34" i="28"/>
  <c r="AK161" i="28"/>
  <c r="AJ31" i="28"/>
  <c r="AK158" i="28"/>
  <c r="AK28" i="28" s="1"/>
  <c r="AK167" i="28"/>
  <c r="AJ37" i="28"/>
  <c r="AK163" i="28"/>
  <c r="AJ33" i="28"/>
  <c r="BK168" i="28"/>
  <c r="BJ38" i="28"/>
  <c r="AL163" i="28" l="1"/>
  <c r="AK33" i="28"/>
  <c r="AL164" i="28"/>
  <c r="AK34" i="28"/>
  <c r="AL167" i="28"/>
  <c r="AK37" i="28"/>
  <c r="AL162" i="28"/>
  <c r="AK32" i="28"/>
  <c r="AL158" i="28"/>
  <c r="BL168" i="28"/>
  <c r="BK38" i="28"/>
  <c r="AL161" i="28"/>
  <c r="AK31" i="28"/>
  <c r="AL28" i="28" l="1"/>
  <c r="AM161" i="28"/>
  <c r="AL31" i="28"/>
  <c r="AM158" i="28"/>
  <c r="AM28" i="28" s="1"/>
  <c r="AM167" i="28"/>
  <c r="AL37" i="28"/>
  <c r="BM168" i="28"/>
  <c r="BL38" i="28"/>
  <c r="AM162" i="28"/>
  <c r="AL32" i="28"/>
  <c r="AM163" i="28"/>
  <c r="AL33" i="28"/>
  <c r="AM164" i="28"/>
  <c r="AL34" i="28"/>
  <c r="AN162" i="28" l="1"/>
  <c r="AM32" i="28"/>
  <c r="BN168" i="28"/>
  <c r="BM38" i="28"/>
  <c r="AN158" i="28"/>
  <c r="AN164" i="28"/>
  <c r="AM34" i="28"/>
  <c r="AN161" i="28"/>
  <c r="AM31" i="28"/>
  <c r="AN167" i="28"/>
  <c r="AM37" i="28"/>
  <c r="AN163" i="28"/>
  <c r="AM33" i="28"/>
  <c r="AN28" i="28" l="1"/>
  <c r="AO158" i="28"/>
  <c r="AO28" i="28" s="1"/>
  <c r="AO167" i="28"/>
  <c r="AN37" i="28"/>
  <c r="BO168" i="28"/>
  <c r="BN38" i="28"/>
  <c r="AO164" i="28"/>
  <c r="AN34" i="28"/>
  <c r="AO162" i="28"/>
  <c r="AN32" i="28"/>
  <c r="AO161" i="28"/>
  <c r="AN31" i="28"/>
  <c r="AO163" i="28"/>
  <c r="AN33" i="28"/>
  <c r="AP163" i="28" l="1"/>
  <c r="AO33" i="28"/>
  <c r="BP168" i="28"/>
  <c r="BO38" i="28"/>
  <c r="AP161" i="28"/>
  <c r="AO31" i="28"/>
  <c r="AP167" i="28"/>
  <c r="AO37" i="28"/>
  <c r="AP162" i="28"/>
  <c r="AO32" i="28"/>
  <c r="AP164" i="28"/>
  <c r="AO34" i="28"/>
  <c r="AP158" i="28"/>
  <c r="AP28" i="28" l="1"/>
  <c r="AQ163" i="28"/>
  <c r="AP33" i="28"/>
  <c r="AQ162" i="28"/>
  <c r="AP32" i="28"/>
  <c r="AQ167" i="28"/>
  <c r="AP37" i="28"/>
  <c r="AQ164" i="28"/>
  <c r="AP34" i="28"/>
  <c r="AQ161" i="28"/>
  <c r="AP31" i="28"/>
  <c r="BQ168" i="28"/>
  <c r="BP38" i="28"/>
  <c r="AQ158" i="28"/>
  <c r="AQ28" i="28" s="1"/>
  <c r="AR167" i="28" l="1"/>
  <c r="AQ37" i="28"/>
  <c r="AR162" i="28"/>
  <c r="AQ32" i="28"/>
  <c r="AR161" i="28"/>
  <c r="AQ31" i="28"/>
  <c r="AR158" i="28"/>
  <c r="AR163" i="28"/>
  <c r="AQ33" i="28"/>
  <c r="BR168" i="28"/>
  <c r="BQ38" i="28"/>
  <c r="AR164" i="28"/>
  <c r="AQ34" i="28"/>
  <c r="AR28" i="28" l="1"/>
  <c r="AS161" i="28"/>
  <c r="AR31" i="28"/>
  <c r="AS164" i="28"/>
  <c r="AR34" i="28"/>
  <c r="AS158" i="28"/>
  <c r="AS28" i="28" s="1"/>
  <c r="AS162" i="28"/>
  <c r="AR32" i="28"/>
  <c r="BS168" i="28"/>
  <c r="BR38" i="28"/>
  <c r="AS167" i="28"/>
  <c r="AR37" i="28"/>
  <c r="AS163" i="28"/>
  <c r="AR33" i="28"/>
  <c r="BS38" i="28" l="1"/>
  <c r="BY168" i="28"/>
  <c r="BY38" i="28"/>
  <c r="AT167" i="28"/>
  <c r="AS37" i="28"/>
  <c r="AT158" i="28"/>
  <c r="AT28" i="28" s="1"/>
  <c r="AT162" i="28"/>
  <c r="AS32" i="28"/>
  <c r="AT163" i="28"/>
  <c r="AS33" i="28"/>
  <c r="AT164" i="28"/>
  <c r="AS34" i="28"/>
  <c r="AT161" i="28"/>
  <c r="AS31" i="28"/>
  <c r="AU163" i="28" l="1"/>
  <c r="BW163" i="28" s="1"/>
  <c r="AT33" i="28"/>
  <c r="AU158" i="28"/>
  <c r="AU162" i="28"/>
  <c r="BW162" i="28" s="1"/>
  <c r="AT32" i="28"/>
  <c r="AU161" i="28"/>
  <c r="BW161" i="28" s="1"/>
  <c r="AT31" i="28"/>
  <c r="AU164" i="28"/>
  <c r="BW164" i="28" s="1"/>
  <c r="AT34" i="28"/>
  <c r="AU167" i="28"/>
  <c r="BW167" i="28" s="1"/>
  <c r="AT37" i="28"/>
  <c r="AU28" i="28" l="1"/>
  <c r="BW28" i="28" s="1"/>
  <c r="BW158" i="28"/>
  <c r="AV164" i="28"/>
  <c r="AU34" i="28"/>
  <c r="BW34" i="28" s="1"/>
  <c r="AV162" i="28"/>
  <c r="AU32" i="28"/>
  <c r="BW32" i="28" s="1"/>
  <c r="AV161" i="28"/>
  <c r="AU31" i="28"/>
  <c r="BW31" i="28" s="1"/>
  <c r="AV158" i="28"/>
  <c r="AV167" i="28"/>
  <c r="AU37" i="28"/>
  <c r="BW37" i="28" s="1"/>
  <c r="AV163" i="28"/>
  <c r="AU33" i="28"/>
  <c r="BW33" i="28" s="1"/>
  <c r="AV28" i="28" l="1"/>
  <c r="AW162" i="28"/>
  <c r="AV32" i="28"/>
  <c r="AW167" i="28"/>
  <c r="AV37" i="28"/>
  <c r="AW158" i="28"/>
  <c r="AW28" i="28" s="1"/>
  <c r="AW164" i="28"/>
  <c r="AV34" i="28"/>
  <c r="AW161" i="28"/>
  <c r="AV31" i="28"/>
  <c r="AW163" i="28"/>
  <c r="AV33" i="28"/>
  <c r="AX158" i="28" l="1"/>
  <c r="AX167" i="28"/>
  <c r="AW37" i="28"/>
  <c r="AX164" i="28"/>
  <c r="AW34" i="28"/>
  <c r="AX162" i="28"/>
  <c r="AW32" i="28"/>
  <c r="AX161" i="28"/>
  <c r="AW31" i="28"/>
  <c r="AX163" i="28"/>
  <c r="AW33" i="28"/>
  <c r="AX28" i="28" l="1"/>
  <c r="AY161" i="28"/>
  <c r="AX31" i="28"/>
  <c r="AY164" i="28"/>
  <c r="AX34" i="28"/>
  <c r="AY163" i="28"/>
  <c r="AX33" i="28"/>
  <c r="AY162" i="28"/>
  <c r="AX32" i="28"/>
  <c r="AY167" i="28"/>
  <c r="AX37" i="28"/>
  <c r="AY158" i="28"/>
  <c r="AY28" i="28" s="1"/>
  <c r="AZ162" i="28" l="1"/>
  <c r="AY32" i="28"/>
  <c r="AZ158" i="28"/>
  <c r="AZ164" i="28"/>
  <c r="AY34" i="28"/>
  <c r="AZ167" i="28"/>
  <c r="AY37" i="28"/>
  <c r="AZ163" i="28"/>
  <c r="AY33" i="28"/>
  <c r="AZ161" i="28"/>
  <c r="AY31" i="28"/>
  <c r="AZ28" i="28" l="1"/>
  <c r="BA163" i="28"/>
  <c r="AZ33" i="28"/>
  <c r="BA158" i="28"/>
  <c r="BA28" i="28" s="1"/>
  <c r="BA164" i="28"/>
  <c r="AZ34" i="28"/>
  <c r="BA167" i="28"/>
  <c r="AZ37" i="28"/>
  <c r="BA161" i="28"/>
  <c r="AZ31" i="28"/>
  <c r="BA162" i="28"/>
  <c r="AZ32" i="28"/>
  <c r="BB162" i="28" l="1"/>
  <c r="BA32" i="28"/>
  <c r="BB167" i="28"/>
  <c r="BA37" i="28"/>
  <c r="BB158" i="28"/>
  <c r="BB163" i="28"/>
  <c r="BA33" i="28"/>
  <c r="BB161" i="28"/>
  <c r="BA31" i="28"/>
  <c r="BB164" i="28"/>
  <c r="BA34" i="28"/>
  <c r="BB28" i="28" l="1"/>
  <c r="BC167" i="28"/>
  <c r="BB37" i="28"/>
  <c r="BC163" i="28"/>
  <c r="BB33" i="28"/>
  <c r="BC161" i="28"/>
  <c r="BB31" i="28"/>
  <c r="BC162" i="28"/>
  <c r="BB32" i="28"/>
  <c r="BC164" i="28"/>
  <c r="BB34" i="28"/>
  <c r="BC158" i="28"/>
  <c r="BC28" i="28" s="1"/>
  <c r="BD161" i="28" l="1"/>
  <c r="BC31" i="28"/>
  <c r="BD164" i="28"/>
  <c r="BC34" i="28"/>
  <c r="BD158" i="28"/>
  <c r="BD28" i="28" s="1"/>
  <c r="BD163" i="28"/>
  <c r="BC33" i="28"/>
  <c r="BD162" i="28"/>
  <c r="BC32" i="28"/>
  <c r="BD167" i="28"/>
  <c r="BC37" i="28"/>
  <c r="BE158" i="28" l="1"/>
  <c r="BE28" i="28" s="1"/>
  <c r="BE164" i="28"/>
  <c r="BD34" i="28"/>
  <c r="BE163" i="28"/>
  <c r="BD33" i="28"/>
  <c r="BE162" i="28"/>
  <c r="BD32" i="28"/>
  <c r="BE167" i="28"/>
  <c r="BD37" i="28"/>
  <c r="BE161" i="28"/>
  <c r="BD31" i="28"/>
  <c r="BF161" i="28" l="1"/>
  <c r="BE31" i="28"/>
  <c r="BF158" i="28"/>
  <c r="BF28" i="28" s="1"/>
  <c r="BF163" i="28"/>
  <c r="BE33" i="28"/>
  <c r="BF164" i="28"/>
  <c r="BE34" i="28"/>
  <c r="BF162" i="28"/>
  <c r="BE32" i="28"/>
  <c r="BF167" i="28"/>
  <c r="BE37" i="28"/>
  <c r="BG167" i="28" l="1"/>
  <c r="BX167" i="28" s="1"/>
  <c r="BF37" i="28"/>
  <c r="BG158" i="28"/>
  <c r="BG163" i="28"/>
  <c r="BX163" i="28" s="1"/>
  <c r="BF33" i="28"/>
  <c r="BG161" i="28"/>
  <c r="BX161" i="28" s="1"/>
  <c r="BF31" i="28"/>
  <c r="BG162" i="28"/>
  <c r="BX162" i="28" s="1"/>
  <c r="BF32" i="28"/>
  <c r="BG164" i="28"/>
  <c r="BX164" i="28" s="1"/>
  <c r="BF34" i="28"/>
  <c r="BG28" i="28" l="1"/>
  <c r="BX28" i="28" s="1"/>
  <c r="BX158" i="28"/>
  <c r="BH158" i="28"/>
  <c r="BH164" i="28"/>
  <c r="BG34" i="28"/>
  <c r="BX34" i="28" s="1"/>
  <c r="BH161" i="28"/>
  <c r="BG31" i="28"/>
  <c r="BX31" i="28" s="1"/>
  <c r="BH162" i="28"/>
  <c r="BG32" i="28"/>
  <c r="BX32" i="28" s="1"/>
  <c r="BH163" i="28"/>
  <c r="BG33" i="28"/>
  <c r="BX33" i="28" s="1"/>
  <c r="BH167" i="28"/>
  <c r="BG37" i="28"/>
  <c r="BX37" i="28" s="1"/>
  <c r="BH28" i="28" l="1"/>
  <c r="BI158" i="28"/>
  <c r="BI28" i="28" s="1"/>
  <c r="BI164" i="28"/>
  <c r="BH34" i="28"/>
  <c r="BI163" i="28"/>
  <c r="BH33" i="28"/>
  <c r="BI162" i="28"/>
  <c r="BH32" i="28"/>
  <c r="BI167" i="28"/>
  <c r="BH37" i="28"/>
  <c r="BI161" i="28"/>
  <c r="BH31" i="28"/>
  <c r="BJ162" i="28" l="1"/>
  <c r="BI32" i="28"/>
  <c r="BJ158" i="28"/>
  <c r="BJ161" i="28"/>
  <c r="BI31" i="28"/>
  <c r="BJ163" i="28"/>
  <c r="BI33" i="28"/>
  <c r="BJ167" i="28"/>
  <c r="BI37" i="28"/>
  <c r="BJ164" i="28"/>
  <c r="BI34" i="28"/>
  <c r="BJ28" i="28" l="1"/>
  <c r="BK167" i="28"/>
  <c r="BJ37" i="28"/>
  <c r="BK161" i="28"/>
  <c r="BJ31" i="28"/>
  <c r="BK163" i="28"/>
  <c r="BJ33" i="28"/>
  <c r="BK158" i="28"/>
  <c r="BK28" i="28" s="1"/>
  <c r="BK164" i="28"/>
  <c r="BJ34" i="28"/>
  <c r="BK162" i="28"/>
  <c r="BJ32" i="28"/>
  <c r="BL162" i="28" l="1"/>
  <c r="BK32" i="28"/>
  <c r="BL163" i="28"/>
  <c r="BK33" i="28"/>
  <c r="BL164" i="28"/>
  <c r="BK34" i="28"/>
  <c r="BL158" i="28"/>
  <c r="BL161" i="28"/>
  <c r="BK31" i="28"/>
  <c r="BL167" i="28"/>
  <c r="BK37" i="28"/>
  <c r="BL28" i="28" l="1"/>
  <c r="BM161" i="28"/>
  <c r="BL31" i="28"/>
  <c r="BM167" i="28"/>
  <c r="BL37" i="28"/>
  <c r="BM158" i="28"/>
  <c r="BM28" i="28" s="1"/>
  <c r="BM164" i="28"/>
  <c r="BL34" i="28"/>
  <c r="BM162" i="28"/>
  <c r="BL32" i="28"/>
  <c r="BM163" i="28"/>
  <c r="BL33" i="28"/>
  <c r="BN163" i="28" l="1"/>
  <c r="BM33" i="28"/>
  <c r="BN164" i="28"/>
  <c r="BM34" i="28"/>
  <c r="BN158" i="28"/>
  <c r="BN28" i="28" s="1"/>
  <c r="BN162" i="28"/>
  <c r="BM32" i="28"/>
  <c r="BN167" i="28"/>
  <c r="BM37" i="28"/>
  <c r="BN161" i="28"/>
  <c r="BM31" i="28"/>
  <c r="BO162" i="28" l="1"/>
  <c r="BN32" i="28"/>
  <c r="BO158" i="28"/>
  <c r="BO28" i="28" s="1"/>
  <c r="BO167" i="28"/>
  <c r="BN37" i="28"/>
  <c r="BO164" i="28"/>
  <c r="BN34" i="28"/>
  <c r="BO161" i="28"/>
  <c r="BN31" i="28"/>
  <c r="BO163" i="28"/>
  <c r="BN33" i="28"/>
  <c r="BP161" i="28" l="1"/>
  <c r="BO31" i="28"/>
  <c r="BP163" i="28"/>
  <c r="BO33" i="28"/>
  <c r="BP164" i="28"/>
  <c r="BO34" i="28"/>
  <c r="BP167" i="28"/>
  <c r="BO37" i="28"/>
  <c r="BP162" i="28"/>
  <c r="BO32" i="28"/>
  <c r="BP158" i="28"/>
  <c r="BP28" i="28" s="1"/>
  <c r="BQ162" i="28" l="1"/>
  <c r="BP32" i="28"/>
  <c r="BQ158" i="28"/>
  <c r="BQ28" i="28" s="1"/>
  <c r="BQ164" i="28"/>
  <c r="BP34" i="28"/>
  <c r="BQ167" i="28"/>
  <c r="BP37" i="28"/>
  <c r="BQ163" i="28"/>
  <c r="BP33" i="28"/>
  <c r="BQ161" i="28"/>
  <c r="BP31" i="28"/>
  <c r="BR167" i="28" l="1"/>
  <c r="BQ37" i="28"/>
  <c r="BR163" i="28"/>
  <c r="BQ33" i="28"/>
  <c r="BR164" i="28"/>
  <c r="BQ34" i="28"/>
  <c r="BR158" i="28"/>
  <c r="BR28" i="28" s="1"/>
  <c r="BR161" i="28"/>
  <c r="BQ31" i="28"/>
  <c r="BR162" i="28"/>
  <c r="BQ32" i="28"/>
  <c r="BS164" i="28" l="1"/>
  <c r="BR34" i="28"/>
  <c r="BS167" i="28"/>
  <c r="BR37" i="28"/>
  <c r="BS162" i="28"/>
  <c r="BR32" i="28"/>
  <c r="BS161" i="28"/>
  <c r="BR31" i="28"/>
  <c r="BS158" i="28"/>
  <c r="BS163" i="28"/>
  <c r="BR33" i="28"/>
  <c r="BS34" i="28" l="1"/>
  <c r="BY164" i="28"/>
  <c r="BS31" i="28"/>
  <c r="BY31" i="28" s="1"/>
  <c r="BY161" i="28"/>
  <c r="BS37" i="28"/>
  <c r="BY37" i="28" s="1"/>
  <c r="BY167" i="28"/>
  <c r="BS32" i="28"/>
  <c r="BY32" i="28" s="1"/>
  <c r="BY162" i="28"/>
  <c r="BS33" i="28"/>
  <c r="BY33" i="28" s="1"/>
  <c r="BY163" i="28"/>
  <c r="BY34" i="28"/>
  <c r="BS28" i="28"/>
  <c r="BY28" i="28" s="1"/>
  <c r="BY158" i="28"/>
  <c r="B9" i="15"/>
  <c r="B6" i="15"/>
  <c r="C10" i="26" l="1"/>
  <c r="C24" i="26" s="1"/>
  <c r="C37" i="26" s="1"/>
  <c r="C11" i="26"/>
  <c r="C25" i="26" s="1"/>
  <c r="C38" i="26" s="1"/>
  <c r="E10" i="26"/>
  <c r="H19" i="22"/>
  <c r="I19" i="22"/>
  <c r="E12" i="26"/>
  <c r="H12" i="26" s="1"/>
  <c r="C12" i="26"/>
  <c r="C26" i="26" s="1"/>
  <c r="C39" i="26" s="1"/>
  <c r="E11" i="26"/>
  <c r="E25" i="26" s="1"/>
  <c r="E24" i="26" l="1"/>
  <c r="H24" i="26" s="1"/>
  <c r="H10" i="26"/>
  <c r="E26" i="26"/>
  <c r="E39" i="26" s="1"/>
  <c r="I12" i="26"/>
  <c r="H11" i="26"/>
  <c r="H25" i="26"/>
  <c r="I25" i="26" s="1"/>
  <c r="J25" i="26" s="1"/>
  <c r="K25" i="26" s="1"/>
  <c r="L25" i="26" s="1"/>
  <c r="E38" i="26"/>
  <c r="H7" i="26" l="1"/>
  <c r="E37" i="26"/>
  <c r="I24" i="26"/>
  <c r="H26" i="26"/>
  <c r="I26" i="26" s="1"/>
  <c r="J26" i="26" s="1"/>
  <c r="K26" i="26" s="1"/>
  <c r="L26" i="26" s="1"/>
  <c r="I11" i="26"/>
  <c r="H38" i="26"/>
  <c r="I10" i="26"/>
  <c r="H37" i="26"/>
  <c r="J12" i="26"/>
  <c r="I7" i="26" l="1"/>
  <c r="I21" i="26"/>
  <c r="H21" i="26"/>
  <c r="I39" i="26"/>
  <c r="H39" i="26"/>
  <c r="J24" i="26"/>
  <c r="J21" i="26" s="1"/>
  <c r="K12" i="26"/>
  <c r="J39" i="26"/>
  <c r="I37" i="26"/>
  <c r="J10" i="26"/>
  <c r="J11" i="26"/>
  <c r="I38" i="26"/>
  <c r="J7" i="26" l="1"/>
  <c r="H35" i="26"/>
  <c r="I35" i="26"/>
  <c r="K24" i="26"/>
  <c r="K21" i="26" s="1"/>
  <c r="K11" i="26"/>
  <c r="J38" i="26"/>
  <c r="K10" i="26"/>
  <c r="J37" i="26"/>
  <c r="L12" i="26"/>
  <c r="K39" i="26"/>
  <c r="K7" i="26" l="1"/>
  <c r="J35" i="26"/>
  <c r="L24" i="26"/>
  <c r="L21" i="26" s="1"/>
  <c r="L39" i="26"/>
  <c r="L10" i="26"/>
  <c r="K37" i="26"/>
  <c r="L11" i="26"/>
  <c r="K38" i="26"/>
  <c r="L7" i="26" l="1"/>
  <c r="K35" i="26"/>
  <c r="L38" i="26"/>
  <c r="L37" i="26"/>
  <c r="L35" i="26" l="1"/>
  <c r="B18" i="17" l="1"/>
  <c r="B17" i="17"/>
  <c r="B16" i="17"/>
  <c r="B15" i="17"/>
  <c r="J85" i="12"/>
  <c r="J50" i="12" s="1"/>
  <c r="C50" i="12"/>
  <c r="L23" i="10"/>
  <c r="H116" i="12" s="1"/>
  <c r="L116" i="12" s="1"/>
  <c r="L22" i="10"/>
  <c r="H104" i="12" s="1"/>
  <c r="L104" i="12" s="1"/>
  <c r="L103" i="12" s="1"/>
  <c r="L53" i="12" s="1"/>
  <c r="L21" i="10"/>
  <c r="H92" i="12" s="1"/>
  <c r="L92" i="12" s="1"/>
  <c r="L91" i="12" s="1"/>
  <c r="L51" i="12" s="1"/>
  <c r="L20" i="10"/>
  <c r="H123" i="12" s="1"/>
  <c r="L123" i="12" s="1"/>
  <c r="L19" i="10"/>
  <c r="L18" i="10"/>
  <c r="H128" i="12" s="1"/>
  <c r="L128" i="12" s="1"/>
  <c r="L17" i="10"/>
  <c r="H110" i="12" s="1"/>
  <c r="L110" i="12" s="1"/>
  <c r="L109" i="12" s="1"/>
  <c r="L54" i="12" s="1"/>
  <c r="L16" i="10"/>
  <c r="H88" i="12" s="1"/>
  <c r="L88" i="12" s="1"/>
  <c r="L15" i="10"/>
  <c r="H87" i="12" s="1"/>
  <c r="L87" i="12" s="1"/>
  <c r="L14" i="10"/>
  <c r="H86" i="12" s="1"/>
  <c r="L86" i="12" s="1"/>
  <c r="L13" i="10"/>
  <c r="H80" i="12" s="1"/>
  <c r="L80" i="12" s="1"/>
  <c r="L12" i="10"/>
  <c r="H99" i="12" s="1"/>
  <c r="L99" i="12" s="1"/>
  <c r="L11" i="10"/>
  <c r="H98" i="12" s="1"/>
  <c r="L98" i="12" s="1"/>
  <c r="L10" i="10"/>
  <c r="L9" i="10"/>
  <c r="H89" i="12" s="1"/>
  <c r="L89" i="12" s="1"/>
  <c r="L8" i="10"/>
  <c r="H82" i="12" s="1"/>
  <c r="L82" i="12" s="1"/>
  <c r="L7" i="10"/>
  <c r="H81" i="12" s="1"/>
  <c r="L81" i="12" s="1"/>
  <c r="L6" i="10"/>
  <c r="H75" i="12" s="1"/>
  <c r="L75" i="12" s="1"/>
  <c r="L5" i="10"/>
  <c r="H74" i="12" s="1"/>
  <c r="L74" i="12" s="1"/>
  <c r="K23" i="10"/>
  <c r="K22" i="10"/>
  <c r="K21" i="10"/>
  <c r="K20" i="10"/>
  <c r="K19" i="10"/>
  <c r="G117" i="12" s="1"/>
  <c r="K18" i="10"/>
  <c r="K17" i="10"/>
  <c r="G110" i="12" s="1"/>
  <c r="K16" i="10"/>
  <c r="K15" i="10"/>
  <c r="K14" i="10"/>
  <c r="K13" i="10"/>
  <c r="K12" i="10"/>
  <c r="K11" i="10"/>
  <c r="K10" i="10"/>
  <c r="K9" i="10"/>
  <c r="G89" i="12" s="1"/>
  <c r="K8" i="10"/>
  <c r="K7" i="10"/>
  <c r="K6" i="10"/>
  <c r="G75" i="12" s="1"/>
  <c r="K5" i="10"/>
  <c r="G74" i="12" s="1"/>
  <c r="H122" i="12" l="1"/>
  <c r="L122" i="12" s="1"/>
  <c r="L121" i="12" s="1"/>
  <c r="L56" i="12" s="1"/>
  <c r="H117" i="12"/>
  <c r="L117" i="12" s="1"/>
  <c r="L115" i="12" s="1"/>
  <c r="L55" i="12" s="1"/>
  <c r="K117" i="12"/>
  <c r="I110" i="12"/>
  <c r="M110" i="12" s="1"/>
  <c r="K110" i="12"/>
  <c r="K109" i="12" s="1"/>
  <c r="K54" i="12" s="1"/>
  <c r="L97" i="12"/>
  <c r="L52" i="12" s="1"/>
  <c r="M23" i="10"/>
  <c r="N23" i="10" s="1"/>
  <c r="G116" i="12"/>
  <c r="M14" i="10"/>
  <c r="N14" i="10" s="1"/>
  <c r="G86" i="12"/>
  <c r="M18" i="10"/>
  <c r="N18" i="10" s="1"/>
  <c r="G128" i="12"/>
  <c r="M22" i="10"/>
  <c r="N22" i="10" s="1"/>
  <c r="G104" i="12"/>
  <c r="I75" i="12"/>
  <c r="M75" i="12" s="1"/>
  <c r="K66" i="40" s="1"/>
  <c r="K75" i="12"/>
  <c r="M7" i="10"/>
  <c r="N7" i="10" s="1"/>
  <c r="G81" i="12"/>
  <c r="M11" i="10"/>
  <c r="N11" i="10" s="1"/>
  <c r="G98" i="12"/>
  <c r="M15" i="10"/>
  <c r="N15" i="10" s="1"/>
  <c r="G87" i="12"/>
  <c r="M19" i="10"/>
  <c r="N19" i="10" s="1"/>
  <c r="G122" i="12"/>
  <c r="M8" i="10"/>
  <c r="N8" i="10" s="1"/>
  <c r="G82" i="12"/>
  <c r="M12" i="10"/>
  <c r="N12" i="10" s="1"/>
  <c r="G99" i="12"/>
  <c r="M16" i="10"/>
  <c r="N16" i="10" s="1"/>
  <c r="G88" i="12"/>
  <c r="M20" i="10"/>
  <c r="G123" i="12"/>
  <c r="K74" i="12"/>
  <c r="I74" i="12"/>
  <c r="M74" i="12" s="1"/>
  <c r="K65" i="40" s="1"/>
  <c r="I89" i="12"/>
  <c r="M89" i="12" s="1"/>
  <c r="K80" i="40" s="1"/>
  <c r="K89" i="12"/>
  <c r="M13" i="10"/>
  <c r="N13" i="10" s="1"/>
  <c r="G80" i="12"/>
  <c r="M17" i="10"/>
  <c r="N17" i="10" s="1"/>
  <c r="G129" i="12"/>
  <c r="G130" i="12"/>
  <c r="M21" i="10"/>
  <c r="N21" i="10" s="1"/>
  <c r="G92" i="12"/>
  <c r="H130" i="12"/>
  <c r="L130" i="12" s="1"/>
  <c r="H129" i="12"/>
  <c r="L129" i="12" s="1"/>
  <c r="M9" i="10"/>
  <c r="N9" i="10" s="1"/>
  <c r="M5" i="10"/>
  <c r="D12" i="26"/>
  <c r="D26" i="26" s="1"/>
  <c r="D39" i="26" s="1"/>
  <c r="D32" i="29"/>
  <c r="D9" i="31"/>
  <c r="D9" i="29"/>
  <c r="D10" i="30"/>
  <c r="M6" i="10"/>
  <c r="N6" i="10" s="1"/>
  <c r="M10" i="10"/>
  <c r="N10" i="10" s="1"/>
  <c r="N85" i="12"/>
  <c r="N50" i="12" s="1"/>
  <c r="H9" i="31" s="1"/>
  <c r="L9" i="31" s="1"/>
  <c r="M9" i="31" s="1"/>
  <c r="N9" i="31" s="1"/>
  <c r="O9" i="31" s="1"/>
  <c r="P9" i="31" s="1"/>
  <c r="B9" i="17"/>
  <c r="B8" i="17"/>
  <c r="B7" i="17"/>
  <c r="B6" i="17"/>
  <c r="F12" i="20"/>
  <c r="F13" i="20" s="1"/>
  <c r="E12" i="20"/>
  <c r="E13" i="20" s="1"/>
  <c r="I20" i="22"/>
  <c r="I17" i="22" s="1"/>
  <c r="H20" i="22"/>
  <c r="H17" i="22" s="1"/>
  <c r="I30" i="22"/>
  <c r="H30" i="22"/>
  <c r="H53" i="22"/>
  <c r="I29" i="22"/>
  <c r="H29" i="22"/>
  <c r="H52" i="22"/>
  <c r="I13" i="22"/>
  <c r="H13" i="22"/>
  <c r="L8" i="18"/>
  <c r="I11" i="22"/>
  <c r="H11" i="22"/>
  <c r="I52" i="22"/>
  <c r="L9" i="18"/>
  <c r="I45" i="22"/>
  <c r="H45" i="22"/>
  <c r="I61" i="22"/>
  <c r="H61" i="22"/>
  <c r="I57" i="22"/>
  <c r="H57" i="22"/>
  <c r="I56" i="22"/>
  <c r="H56" i="22"/>
  <c r="I53" i="22"/>
  <c r="I51" i="22"/>
  <c r="H51" i="22"/>
  <c r="I50" i="22"/>
  <c r="H50" i="22"/>
  <c r="I46" i="22"/>
  <c r="H46" i="22"/>
  <c r="I43" i="22"/>
  <c r="H43" i="22"/>
  <c r="B16" i="15"/>
  <c r="B15" i="15"/>
  <c r="B14" i="15"/>
  <c r="B13" i="15"/>
  <c r="B12" i="15"/>
  <c r="B11" i="15"/>
  <c r="B10" i="15"/>
  <c r="B8" i="15"/>
  <c r="B7" i="15"/>
  <c r="N10" i="12"/>
  <c r="B5" i="17"/>
  <c r="B4" i="17"/>
  <c r="J79" i="12"/>
  <c r="J49" i="12" s="1"/>
  <c r="C49" i="12"/>
  <c r="P5" i="10"/>
  <c r="P6" i="10"/>
  <c r="P7" i="10"/>
  <c r="P8" i="10"/>
  <c r="P9" i="10"/>
  <c r="P10" i="10"/>
  <c r="P11" i="10"/>
  <c r="P12" i="10"/>
  <c r="P13" i="10"/>
  <c r="P14" i="10"/>
  <c r="P15" i="10"/>
  <c r="P16" i="10"/>
  <c r="P17" i="10"/>
  <c r="P18" i="10"/>
  <c r="P19" i="10"/>
  <c r="P20" i="10"/>
  <c r="P21" i="10"/>
  <c r="P22" i="10"/>
  <c r="P23" i="10"/>
  <c r="B5" i="15"/>
  <c r="I9" i="11"/>
  <c r="H44" i="22"/>
  <c r="H24" i="11"/>
  <c r="H60" i="22" s="1"/>
  <c r="I24" i="11"/>
  <c r="I60" i="22" s="1"/>
  <c r="B4" i="15"/>
  <c r="U69" i="12"/>
  <c r="T69" i="12"/>
  <c r="S69" i="12"/>
  <c r="C69" i="12"/>
  <c r="Q74" i="12" s="1"/>
  <c r="O74" i="12" s="1"/>
  <c r="N20" i="10"/>
  <c r="N14" i="12"/>
  <c r="E11" i="12"/>
  <c r="N11" i="12" s="1"/>
  <c r="J73" i="12"/>
  <c r="J48" i="12" s="1"/>
  <c r="I117" i="12" l="1"/>
  <c r="M117" i="12" s="1"/>
  <c r="K108" i="40" s="1"/>
  <c r="K101" i="40"/>
  <c r="K100" i="40" s="1"/>
  <c r="M109" i="12"/>
  <c r="M54" i="12" s="1"/>
  <c r="K64" i="40"/>
  <c r="L127" i="12"/>
  <c r="L57" i="12" s="1"/>
  <c r="K80" i="12"/>
  <c r="I80" i="12"/>
  <c r="M80" i="12" s="1"/>
  <c r="K71" i="40" s="1"/>
  <c r="K87" i="12"/>
  <c r="I87" i="12"/>
  <c r="M87" i="12" s="1"/>
  <c r="K78" i="40" s="1"/>
  <c r="K104" i="12"/>
  <c r="K103" i="12" s="1"/>
  <c r="K53" i="12" s="1"/>
  <c r="I104" i="12"/>
  <c r="M104" i="12" s="1"/>
  <c r="K86" i="12"/>
  <c r="I86" i="12"/>
  <c r="M86" i="12" s="1"/>
  <c r="K77" i="40" s="1"/>
  <c r="K88" i="12"/>
  <c r="I88" i="12"/>
  <c r="M88" i="12" s="1"/>
  <c r="K79" i="40" s="1"/>
  <c r="I81" i="12"/>
  <c r="M81" i="12" s="1"/>
  <c r="K72" i="40" s="1"/>
  <c r="K81" i="12"/>
  <c r="K129" i="12"/>
  <c r="I129" i="12"/>
  <c r="M129" i="12" s="1"/>
  <c r="K120" i="40" s="1"/>
  <c r="K123" i="12"/>
  <c r="I123" i="12"/>
  <c r="M123" i="12" s="1"/>
  <c r="K99" i="12"/>
  <c r="I99" i="12"/>
  <c r="M99" i="12" s="1"/>
  <c r="K90" i="40" s="1"/>
  <c r="K122" i="12"/>
  <c r="I122" i="12"/>
  <c r="M122" i="12" s="1"/>
  <c r="K98" i="12"/>
  <c r="I98" i="12"/>
  <c r="M98" i="12" s="1"/>
  <c r="I82" i="12"/>
  <c r="M82" i="12" s="1"/>
  <c r="K73" i="40" s="1"/>
  <c r="K82" i="12"/>
  <c r="K130" i="12"/>
  <c r="I130" i="12"/>
  <c r="M130" i="12" s="1"/>
  <c r="K92" i="12"/>
  <c r="K91" i="12" s="1"/>
  <c r="K51" i="12" s="1"/>
  <c r="I92" i="12"/>
  <c r="M92" i="12" s="1"/>
  <c r="K128" i="12"/>
  <c r="I128" i="12"/>
  <c r="M128" i="12" s="1"/>
  <c r="K119" i="40" s="1"/>
  <c r="K116" i="12"/>
  <c r="K115" i="12" s="1"/>
  <c r="K55" i="12" s="1"/>
  <c r="I116" i="12"/>
  <c r="M116" i="12" s="1"/>
  <c r="K107" i="40" s="1"/>
  <c r="R82" i="12"/>
  <c r="R123" i="12"/>
  <c r="R112" i="12"/>
  <c r="R81" i="12"/>
  <c r="R92" i="12"/>
  <c r="R129" i="12"/>
  <c r="R83" i="12"/>
  <c r="R122" i="12"/>
  <c r="R111" i="12"/>
  <c r="R99" i="12"/>
  <c r="R106" i="12"/>
  <c r="R100" i="12"/>
  <c r="R125" i="12"/>
  <c r="R124" i="12"/>
  <c r="R93" i="12"/>
  <c r="R95" i="12"/>
  <c r="R107" i="12"/>
  <c r="R130" i="12"/>
  <c r="R104" i="12"/>
  <c r="R87" i="12"/>
  <c r="R105" i="12"/>
  <c r="R128" i="12"/>
  <c r="R113" i="12"/>
  <c r="R101" i="12"/>
  <c r="R80" i="12"/>
  <c r="R94" i="12"/>
  <c r="R119" i="12"/>
  <c r="R131" i="12"/>
  <c r="R98" i="12"/>
  <c r="R89" i="12"/>
  <c r="R110" i="12"/>
  <c r="R88" i="12"/>
  <c r="R86" i="12"/>
  <c r="R117" i="12"/>
  <c r="R75" i="12"/>
  <c r="R116" i="12"/>
  <c r="R118" i="12"/>
  <c r="R77" i="12"/>
  <c r="R76" i="12"/>
  <c r="L73" i="12"/>
  <c r="L48" i="12" s="1"/>
  <c r="K73" i="12"/>
  <c r="K48" i="12" s="1"/>
  <c r="L85" i="12"/>
  <c r="L50" i="12" s="1"/>
  <c r="L79" i="12"/>
  <c r="L49" i="12" s="1"/>
  <c r="D11" i="26"/>
  <c r="D25" i="26" s="1"/>
  <c r="D38" i="26" s="1"/>
  <c r="D31" i="29"/>
  <c r="D8" i="31"/>
  <c r="D9" i="30"/>
  <c r="D8" i="29"/>
  <c r="I10" i="22"/>
  <c r="I7" i="22" s="1"/>
  <c r="H16" i="22"/>
  <c r="H8" i="22" s="1"/>
  <c r="H10" i="22"/>
  <c r="H7" i="22" s="1"/>
  <c r="I16" i="22"/>
  <c r="I8" i="22" s="1"/>
  <c r="I42" i="22"/>
  <c r="D69" i="12"/>
  <c r="I44" i="22"/>
  <c r="H48" i="22"/>
  <c r="I48" i="22"/>
  <c r="H9" i="11"/>
  <c r="N79" i="12"/>
  <c r="N49" i="12" s="1"/>
  <c r="H8" i="31" s="1"/>
  <c r="L8" i="31" s="1"/>
  <c r="M8" i="31" s="1"/>
  <c r="N8" i="31" s="1"/>
  <c r="O8" i="31" s="1"/>
  <c r="P8" i="31" s="1"/>
  <c r="N5" i="10"/>
  <c r="N73" i="12"/>
  <c r="N48" i="12" s="1"/>
  <c r="H7" i="31" s="1"/>
  <c r="L7" i="31" s="1"/>
  <c r="X50" i="12" l="1"/>
  <c r="X53" i="12"/>
  <c r="X55" i="12"/>
  <c r="X51" i="12"/>
  <c r="X57" i="12"/>
  <c r="X56" i="12"/>
  <c r="X54" i="12"/>
  <c r="X52" i="12"/>
  <c r="K121" i="12"/>
  <c r="K56" i="12" s="1"/>
  <c r="F13" i="31"/>
  <c r="G13" i="31" s="1"/>
  <c r="AJ13" i="31" s="1"/>
  <c r="AK13" i="31" s="1"/>
  <c r="AL13" i="31" s="1"/>
  <c r="AM13" i="31" s="1"/>
  <c r="AN13" i="31" s="1"/>
  <c r="AO13" i="31" s="1"/>
  <c r="AP13" i="31" s="1"/>
  <c r="AQ13" i="31" s="1"/>
  <c r="AR13" i="31" s="1"/>
  <c r="AS13" i="31" s="1"/>
  <c r="AT13" i="31" s="1"/>
  <c r="AU13" i="31" s="1"/>
  <c r="AV13" i="31" s="1"/>
  <c r="AW13" i="31" s="1"/>
  <c r="AX13" i="31" s="1"/>
  <c r="AY13" i="31" s="1"/>
  <c r="AZ13" i="31" s="1"/>
  <c r="BA13" i="31" s="1"/>
  <c r="BB13" i="31" s="1"/>
  <c r="BC13" i="31" s="1"/>
  <c r="BD13" i="31" s="1"/>
  <c r="BE13" i="31" s="1"/>
  <c r="BF13" i="31" s="1"/>
  <c r="BG13" i="31" s="1"/>
  <c r="BH13" i="31" s="1"/>
  <c r="BI13" i="31" s="1"/>
  <c r="BJ13" i="31" s="1"/>
  <c r="BK13" i="31" s="1"/>
  <c r="BL13" i="31" s="1"/>
  <c r="BM13" i="31" s="1"/>
  <c r="BN13" i="31" s="1"/>
  <c r="BO13" i="31" s="1"/>
  <c r="BP13" i="31" s="1"/>
  <c r="BQ13" i="31" s="1"/>
  <c r="BR13" i="31" s="1"/>
  <c r="BS13" i="31" s="1"/>
  <c r="F14" i="30"/>
  <c r="G14" i="30" s="1"/>
  <c r="AJ14" i="30" s="1"/>
  <c r="AK14" i="30" s="1"/>
  <c r="AL14" i="30" s="1"/>
  <c r="AM14" i="30" s="1"/>
  <c r="AN14" i="30" s="1"/>
  <c r="AO14" i="30" s="1"/>
  <c r="AP14" i="30" s="1"/>
  <c r="AQ14" i="30" s="1"/>
  <c r="AR14" i="30" s="1"/>
  <c r="AS14" i="30" s="1"/>
  <c r="AT14" i="30" s="1"/>
  <c r="AU14" i="30" s="1"/>
  <c r="AV14" i="30" s="1"/>
  <c r="AW14" i="30" s="1"/>
  <c r="AX14" i="30" s="1"/>
  <c r="AY14" i="30" s="1"/>
  <c r="AZ14" i="30" s="1"/>
  <c r="BA14" i="30" s="1"/>
  <c r="BB14" i="30" s="1"/>
  <c r="BC14" i="30" s="1"/>
  <c r="BD14" i="30" s="1"/>
  <c r="BE14" i="30" s="1"/>
  <c r="BF14" i="30" s="1"/>
  <c r="BG14" i="30" s="1"/>
  <c r="BH14" i="30" s="1"/>
  <c r="BI14" i="30" s="1"/>
  <c r="BJ14" i="30" s="1"/>
  <c r="BK14" i="30" s="1"/>
  <c r="BL14" i="30" s="1"/>
  <c r="BM14" i="30" s="1"/>
  <c r="BN14" i="30" s="1"/>
  <c r="BO14" i="30" s="1"/>
  <c r="BP14" i="30" s="1"/>
  <c r="BQ14" i="30" s="1"/>
  <c r="BR14" i="30" s="1"/>
  <c r="BS14" i="30" s="1"/>
  <c r="K97" i="12"/>
  <c r="K52" i="12" s="1"/>
  <c r="K127" i="12"/>
  <c r="K57" i="12" s="1"/>
  <c r="K76" i="40"/>
  <c r="K85" i="12"/>
  <c r="K50" i="12" s="1"/>
  <c r="K79" i="12"/>
  <c r="K49" i="12" s="1"/>
  <c r="K106" i="40"/>
  <c r="M115" i="12"/>
  <c r="M55" i="12" s="1"/>
  <c r="K83" i="40"/>
  <c r="K82" i="40" s="1"/>
  <c r="M91" i="12"/>
  <c r="M51" i="12" s="1"/>
  <c r="K113" i="40"/>
  <c r="K112" i="40" s="1"/>
  <c r="M121" i="12"/>
  <c r="M56" i="12" s="1"/>
  <c r="K118" i="40"/>
  <c r="M127" i="12"/>
  <c r="M57" i="12" s="1"/>
  <c r="K89" i="40"/>
  <c r="K88" i="40" s="1"/>
  <c r="M97" i="12"/>
  <c r="M52" i="12" s="1"/>
  <c r="K95" i="40"/>
  <c r="K94" i="40" s="1"/>
  <c r="M103" i="12"/>
  <c r="M53" i="12" s="1"/>
  <c r="K70" i="40"/>
  <c r="W50" i="12"/>
  <c r="W51" i="12"/>
  <c r="V51" i="12" s="1"/>
  <c r="M27" i="26" s="1"/>
  <c r="N27" i="26" s="1"/>
  <c r="O27" i="26" s="1"/>
  <c r="P27" i="26" s="1"/>
  <c r="Q27" i="26" s="1"/>
  <c r="R27" i="26" s="1"/>
  <c r="W55" i="12"/>
  <c r="W57" i="12"/>
  <c r="V57" i="12" s="1"/>
  <c r="W53" i="12"/>
  <c r="V53" i="12" s="1"/>
  <c r="W29" i="26" s="1"/>
  <c r="X29" i="26" s="1"/>
  <c r="Y29" i="26" s="1"/>
  <c r="Z29" i="26" s="1"/>
  <c r="AA29" i="26" s="1"/>
  <c r="AB29" i="26" s="1"/>
  <c r="AC29" i="26" s="1"/>
  <c r="AD29" i="26" s="1"/>
  <c r="AE29" i="26" s="1"/>
  <c r="AF29" i="26" s="1"/>
  <c r="AG29" i="26" s="1"/>
  <c r="AH29" i="26" s="1"/>
  <c r="AI29" i="26" s="1"/>
  <c r="AJ29" i="26" s="1"/>
  <c r="AK29" i="26" s="1"/>
  <c r="AL29" i="26" s="1"/>
  <c r="AM29" i="26" s="1"/>
  <c r="AN29" i="26" s="1"/>
  <c r="AO29" i="26" s="1"/>
  <c r="AP29" i="26" s="1"/>
  <c r="AQ29" i="26" s="1"/>
  <c r="AR29" i="26" s="1"/>
  <c r="AS29" i="26" s="1"/>
  <c r="AT29" i="26" s="1"/>
  <c r="AU29" i="26" s="1"/>
  <c r="AV29" i="26" s="1"/>
  <c r="AW29" i="26" s="1"/>
  <c r="AX29" i="26" s="1"/>
  <c r="AY29" i="26" s="1"/>
  <c r="AZ29" i="26" s="1"/>
  <c r="BA29" i="26" s="1"/>
  <c r="BB29" i="26" s="1"/>
  <c r="BC29" i="26" s="1"/>
  <c r="BD29" i="26" s="1"/>
  <c r="BE29" i="26" s="1"/>
  <c r="BF29" i="26" s="1"/>
  <c r="BG29" i="26" s="1"/>
  <c r="BH29" i="26" s="1"/>
  <c r="BI29" i="26" s="1"/>
  <c r="BJ29" i="26" s="1"/>
  <c r="BK29" i="26" s="1"/>
  <c r="BL29" i="26" s="1"/>
  <c r="BM29" i="26" s="1"/>
  <c r="BN29" i="26" s="1"/>
  <c r="BO29" i="26" s="1"/>
  <c r="W52" i="12"/>
  <c r="W56" i="12"/>
  <c r="W54" i="12"/>
  <c r="Q82" i="12"/>
  <c r="O82" i="12" s="1"/>
  <c r="Q81" i="12"/>
  <c r="O81" i="12" s="1"/>
  <c r="Q112" i="12"/>
  <c r="O112" i="12" s="1"/>
  <c r="Q92" i="12"/>
  <c r="O92" i="12" s="1"/>
  <c r="Q128" i="12"/>
  <c r="O128" i="12" s="1"/>
  <c r="Q99" i="12"/>
  <c r="O99" i="12" s="1"/>
  <c r="Q80" i="12"/>
  <c r="O80" i="12" s="1"/>
  <c r="Q131" i="12"/>
  <c r="O131" i="12" s="1"/>
  <c r="Q113" i="12"/>
  <c r="O113" i="12" s="1"/>
  <c r="Q104" i="12"/>
  <c r="O104" i="12" s="1"/>
  <c r="Q111" i="12"/>
  <c r="O111" i="12" s="1"/>
  <c r="Q106" i="12"/>
  <c r="O106" i="12" s="1"/>
  <c r="Q125" i="12"/>
  <c r="O125" i="12" s="1"/>
  <c r="Q129" i="12"/>
  <c r="O129" i="12" s="1"/>
  <c r="Q123" i="12"/>
  <c r="O123" i="12" s="1"/>
  <c r="Q83" i="12"/>
  <c r="O83" i="12" s="1"/>
  <c r="Q100" i="12"/>
  <c r="O100" i="12" s="1"/>
  <c r="Q124" i="12"/>
  <c r="O124" i="12" s="1"/>
  <c r="Q122" i="12"/>
  <c r="O122" i="12" s="1"/>
  <c r="Q119" i="12"/>
  <c r="O119" i="12" s="1"/>
  <c r="Q95" i="12"/>
  <c r="O95" i="12" s="1"/>
  <c r="Q107" i="12"/>
  <c r="O107" i="12" s="1"/>
  <c r="Q130" i="12"/>
  <c r="O130" i="12" s="1"/>
  <c r="Q87" i="12"/>
  <c r="O87" i="12" s="1"/>
  <c r="Q105" i="12"/>
  <c r="O105" i="12" s="1"/>
  <c r="Q101" i="12"/>
  <c r="O101" i="12" s="1"/>
  <c r="Q93" i="12"/>
  <c r="O93" i="12" s="1"/>
  <c r="Q94" i="12"/>
  <c r="O94" i="12" s="1"/>
  <c r="Q88" i="12"/>
  <c r="O88" i="12" s="1"/>
  <c r="Q89" i="12"/>
  <c r="O89" i="12" s="1"/>
  <c r="Q98" i="12"/>
  <c r="O98" i="12" s="1"/>
  <c r="Q110" i="12"/>
  <c r="O110" i="12" s="1"/>
  <c r="Q86" i="12"/>
  <c r="O86" i="12" s="1"/>
  <c r="Q75" i="12"/>
  <c r="O75" i="12" s="1"/>
  <c r="Q118" i="12"/>
  <c r="O118" i="12" s="1"/>
  <c r="Q116" i="12"/>
  <c r="O116" i="12" s="1"/>
  <c r="Q117" i="12"/>
  <c r="O117" i="12" s="1"/>
  <c r="Q76" i="12"/>
  <c r="O76" i="12" s="1"/>
  <c r="Q77" i="12"/>
  <c r="O77" i="12" s="1"/>
  <c r="M85" i="12"/>
  <c r="M50" i="12" s="1"/>
  <c r="F9" i="31" s="1"/>
  <c r="G9" i="31" s="1"/>
  <c r="Q9" i="31" s="1"/>
  <c r="R9" i="31" s="1"/>
  <c r="S9" i="31" s="1"/>
  <c r="T9" i="31" s="1"/>
  <c r="M79" i="12"/>
  <c r="M49" i="12" s="1"/>
  <c r="F8" i="31" s="1"/>
  <c r="G8" i="31" s="1"/>
  <c r="Q8" i="31" s="1"/>
  <c r="R8" i="31" s="1"/>
  <c r="M73" i="12"/>
  <c r="M48" i="12" s="1"/>
  <c r="F7" i="31" s="1"/>
  <c r="G7" i="31" s="1"/>
  <c r="M7" i="31"/>
  <c r="L6" i="31"/>
  <c r="L14" i="28" s="1"/>
  <c r="L18" i="28" s="1"/>
  <c r="H42" i="22"/>
  <c r="X49" i="12"/>
  <c r="V55" i="12" l="1"/>
  <c r="V54" i="12"/>
  <c r="V56" i="12"/>
  <c r="V52" i="12"/>
  <c r="F136" i="40"/>
  <c r="L17" i="28" s="1"/>
  <c r="H49" i="26" s="1"/>
  <c r="S28" i="26"/>
  <c r="T28" i="26" s="1"/>
  <c r="U28" i="26" s="1"/>
  <c r="V28" i="26" s="1"/>
  <c r="W28" i="26" s="1"/>
  <c r="X28" i="26" s="1"/>
  <c r="Y28" i="26" s="1"/>
  <c r="Z28" i="26" s="1"/>
  <c r="AA28" i="26" s="1"/>
  <c r="AB28" i="26" s="1"/>
  <c r="AC28" i="26" s="1"/>
  <c r="AD28" i="26" s="1"/>
  <c r="AE28" i="26" s="1"/>
  <c r="AF28" i="26" s="1"/>
  <c r="AG28" i="26" s="1"/>
  <c r="AH28" i="26" s="1"/>
  <c r="AI28" i="26" s="1"/>
  <c r="AJ28" i="26" s="1"/>
  <c r="AK28" i="26" s="1"/>
  <c r="AL28" i="26" s="1"/>
  <c r="AM28" i="26" s="1"/>
  <c r="AN28" i="26" s="1"/>
  <c r="AO28" i="26" s="1"/>
  <c r="AP28" i="26" s="1"/>
  <c r="AQ28" i="26" s="1"/>
  <c r="AR28" i="26" s="1"/>
  <c r="AS28" i="26" s="1"/>
  <c r="AT28" i="26" s="1"/>
  <c r="AU28" i="26" s="1"/>
  <c r="AV28" i="26" s="1"/>
  <c r="AW28" i="26" s="1"/>
  <c r="AX28" i="26" s="1"/>
  <c r="AY28" i="26" s="1"/>
  <c r="AZ28" i="26" s="1"/>
  <c r="BA28" i="26" s="1"/>
  <c r="BB28" i="26" s="1"/>
  <c r="BC28" i="26" s="1"/>
  <c r="BD28" i="26" s="1"/>
  <c r="BE28" i="26" s="1"/>
  <c r="BF28" i="26" s="1"/>
  <c r="BG28" i="26" s="1"/>
  <c r="BH28" i="26" s="1"/>
  <c r="BI28" i="26" s="1"/>
  <c r="BJ28" i="26" s="1"/>
  <c r="BK28" i="26" s="1"/>
  <c r="BL28" i="26" s="1"/>
  <c r="BM28" i="26" s="1"/>
  <c r="BN28" i="26" s="1"/>
  <c r="BO28" i="26" s="1"/>
  <c r="AA33" i="26"/>
  <c r="AB33" i="26" s="1"/>
  <c r="AC33" i="26" s="1"/>
  <c r="AD33" i="26" s="1"/>
  <c r="AE33" i="26" s="1"/>
  <c r="AF33" i="26" s="1"/>
  <c r="AG33" i="26" s="1"/>
  <c r="AH33" i="26" s="1"/>
  <c r="AI33" i="26" s="1"/>
  <c r="AJ33" i="26" s="1"/>
  <c r="AK33" i="26" s="1"/>
  <c r="AL33" i="26" s="1"/>
  <c r="AM33" i="26" s="1"/>
  <c r="AN33" i="26" s="1"/>
  <c r="AO33" i="26" s="1"/>
  <c r="AP33" i="26" s="1"/>
  <c r="AQ33" i="26" s="1"/>
  <c r="AR33" i="26" s="1"/>
  <c r="AS33" i="26" s="1"/>
  <c r="AT33" i="26" s="1"/>
  <c r="AU33" i="26" s="1"/>
  <c r="AV33" i="26" s="1"/>
  <c r="AW33" i="26" s="1"/>
  <c r="AX33" i="26" s="1"/>
  <c r="AY33" i="26" s="1"/>
  <c r="AZ33" i="26" s="1"/>
  <c r="BA33" i="26" s="1"/>
  <c r="BB33" i="26" s="1"/>
  <c r="BC33" i="26" s="1"/>
  <c r="BD33" i="26" s="1"/>
  <c r="BE33" i="26" s="1"/>
  <c r="BF33" i="26" s="1"/>
  <c r="BG33" i="26" s="1"/>
  <c r="BH33" i="26" s="1"/>
  <c r="BI33" i="26" s="1"/>
  <c r="BJ33" i="26" s="1"/>
  <c r="BK33" i="26" s="1"/>
  <c r="BL33" i="26" s="1"/>
  <c r="BM33" i="26" s="1"/>
  <c r="BN33" i="26" s="1"/>
  <c r="BO33" i="26" s="1"/>
  <c r="Y32" i="26"/>
  <c r="Z32" i="26" s="1"/>
  <c r="AA32" i="26" s="1"/>
  <c r="AB32" i="26" s="1"/>
  <c r="AC32" i="26" s="1"/>
  <c r="AD32" i="26" s="1"/>
  <c r="AE32" i="26" s="1"/>
  <c r="AF32" i="26" s="1"/>
  <c r="AG32" i="26" s="1"/>
  <c r="AH32" i="26" s="1"/>
  <c r="AI32" i="26" s="1"/>
  <c r="AJ32" i="26" s="1"/>
  <c r="AK32" i="26" s="1"/>
  <c r="AL32" i="26" s="1"/>
  <c r="AM32" i="26" s="1"/>
  <c r="AN32" i="26" s="1"/>
  <c r="AO32" i="26" s="1"/>
  <c r="AP32" i="26" s="1"/>
  <c r="AQ32" i="26" s="1"/>
  <c r="W31" i="26"/>
  <c r="X31" i="26" s="1"/>
  <c r="Y31" i="26" s="1"/>
  <c r="Z31" i="26" s="1"/>
  <c r="AA31" i="26" s="1"/>
  <c r="AB31" i="26" s="1"/>
  <c r="AC31" i="26" s="1"/>
  <c r="AD31" i="26" s="1"/>
  <c r="AE31" i="26" s="1"/>
  <c r="AF31" i="26" s="1"/>
  <c r="AG31" i="26" s="1"/>
  <c r="AH31" i="26" s="1"/>
  <c r="AI31" i="26" s="1"/>
  <c r="AJ31" i="26" s="1"/>
  <c r="AK31" i="26" s="1"/>
  <c r="AL31" i="26" s="1"/>
  <c r="AM31" i="26" s="1"/>
  <c r="AN31" i="26" s="1"/>
  <c r="AO31" i="26" s="1"/>
  <c r="AP31" i="26" s="1"/>
  <c r="AQ31" i="26" s="1"/>
  <c r="AR31" i="26" s="1"/>
  <c r="AS31" i="26" s="1"/>
  <c r="AT31" i="26" s="1"/>
  <c r="AU31" i="26" s="1"/>
  <c r="AV31" i="26" s="1"/>
  <c r="AW31" i="26" s="1"/>
  <c r="AX31" i="26" s="1"/>
  <c r="AY31" i="26" s="1"/>
  <c r="AZ31" i="26" s="1"/>
  <c r="BA31" i="26" s="1"/>
  <c r="BB31" i="26" s="1"/>
  <c r="BC31" i="26" s="1"/>
  <c r="BD31" i="26" s="1"/>
  <c r="BE31" i="26" s="1"/>
  <c r="BF31" i="26" s="1"/>
  <c r="BG31" i="26" s="1"/>
  <c r="BH31" i="26" s="1"/>
  <c r="BI31" i="26" s="1"/>
  <c r="BJ31" i="26" s="1"/>
  <c r="BK31" i="26" s="1"/>
  <c r="BL31" i="26" s="1"/>
  <c r="BM31" i="26" s="1"/>
  <c r="BN31" i="26" s="1"/>
  <c r="BO31" i="26" s="1"/>
  <c r="U30" i="26"/>
  <c r="V30" i="26" s="1"/>
  <c r="W30" i="26" s="1"/>
  <c r="X30" i="26" s="1"/>
  <c r="Y30" i="26" s="1"/>
  <c r="Z30" i="26" s="1"/>
  <c r="AA30" i="26" s="1"/>
  <c r="AB30" i="26" s="1"/>
  <c r="AC30" i="26" s="1"/>
  <c r="AD30" i="26" s="1"/>
  <c r="AE30" i="26" s="1"/>
  <c r="AF30" i="26" s="1"/>
  <c r="AG30" i="26" s="1"/>
  <c r="AH30" i="26" s="1"/>
  <c r="AI30" i="26" s="1"/>
  <c r="AJ30" i="26" s="1"/>
  <c r="AK30" i="26" s="1"/>
  <c r="AL30" i="26" s="1"/>
  <c r="AM30" i="26" s="1"/>
  <c r="AN30" i="26" s="1"/>
  <c r="AO30" i="26" s="1"/>
  <c r="AP30" i="26" s="1"/>
  <c r="AQ30" i="26" s="1"/>
  <c r="AR30" i="26" s="1"/>
  <c r="AS30" i="26" s="1"/>
  <c r="AT30" i="26" s="1"/>
  <c r="AU30" i="26" s="1"/>
  <c r="AV30" i="26" s="1"/>
  <c r="AW30" i="26" s="1"/>
  <c r="AX30" i="26" s="1"/>
  <c r="AY30" i="26" s="1"/>
  <c r="AZ30" i="26" s="1"/>
  <c r="BA30" i="26" s="1"/>
  <c r="BB30" i="26" s="1"/>
  <c r="BC30" i="26" s="1"/>
  <c r="BD30" i="26" s="1"/>
  <c r="BE30" i="26" s="1"/>
  <c r="BF30" i="26" s="1"/>
  <c r="BG30" i="26" s="1"/>
  <c r="BH30" i="26" s="1"/>
  <c r="BI30" i="26" s="1"/>
  <c r="BJ30" i="26" s="1"/>
  <c r="BK30" i="26" s="1"/>
  <c r="BL30" i="26" s="1"/>
  <c r="BM30" i="26" s="1"/>
  <c r="BN30" i="26" s="1"/>
  <c r="BO30" i="26" s="1"/>
  <c r="V50" i="12"/>
  <c r="M26" i="26" s="1"/>
  <c r="N26" i="26" s="1"/>
  <c r="O26" i="26" s="1"/>
  <c r="P26" i="26" s="1"/>
  <c r="Q26" i="26" s="1"/>
  <c r="F11" i="31"/>
  <c r="G11" i="31" s="1"/>
  <c r="F12" i="30"/>
  <c r="G12" i="30" s="1"/>
  <c r="F15" i="31"/>
  <c r="G15" i="31" s="1"/>
  <c r="F16" i="30"/>
  <c r="G16" i="30" s="1"/>
  <c r="F14" i="31"/>
  <c r="G14" i="31" s="1"/>
  <c r="F15" i="30"/>
  <c r="G15" i="30" s="1"/>
  <c r="F12" i="31"/>
  <c r="G12" i="31" s="1"/>
  <c r="AA12" i="31" s="1"/>
  <c r="AB12" i="31" s="1"/>
  <c r="AC12" i="31" s="1"/>
  <c r="AD12" i="31" s="1"/>
  <c r="AE12" i="31" s="1"/>
  <c r="AF12" i="31" s="1"/>
  <c r="AG12" i="31" s="1"/>
  <c r="AH12" i="31" s="1"/>
  <c r="AI12" i="31" s="1"/>
  <c r="AJ12" i="31" s="1"/>
  <c r="AK12" i="31" s="1"/>
  <c r="AL12" i="31" s="1"/>
  <c r="AM12" i="31" s="1"/>
  <c r="AN12" i="31" s="1"/>
  <c r="AO12" i="31" s="1"/>
  <c r="AP12" i="31" s="1"/>
  <c r="AQ12" i="31" s="1"/>
  <c r="AR12" i="31" s="1"/>
  <c r="AS12" i="31" s="1"/>
  <c r="AT12" i="31" s="1"/>
  <c r="AU12" i="31" s="1"/>
  <c r="AV12" i="31" s="1"/>
  <c r="AW12" i="31" s="1"/>
  <c r="AX12" i="31" s="1"/>
  <c r="AY12" i="31" s="1"/>
  <c r="AZ12" i="31" s="1"/>
  <c r="BA12" i="31" s="1"/>
  <c r="BB12" i="31" s="1"/>
  <c r="BC12" i="31" s="1"/>
  <c r="BD12" i="31" s="1"/>
  <c r="BE12" i="31" s="1"/>
  <c r="BF12" i="31" s="1"/>
  <c r="BG12" i="31" s="1"/>
  <c r="BH12" i="31" s="1"/>
  <c r="BI12" i="31" s="1"/>
  <c r="BJ12" i="31" s="1"/>
  <c r="BK12" i="31" s="1"/>
  <c r="BL12" i="31" s="1"/>
  <c r="BM12" i="31" s="1"/>
  <c r="BN12" i="31" s="1"/>
  <c r="BO12" i="31" s="1"/>
  <c r="BP12" i="31" s="1"/>
  <c r="BQ12" i="31" s="1"/>
  <c r="BR12" i="31" s="1"/>
  <c r="BS12" i="31" s="1"/>
  <c r="F13" i="30"/>
  <c r="G13" i="30" s="1"/>
  <c r="F16" i="31"/>
  <c r="G16" i="31" s="1"/>
  <c r="F17" i="30"/>
  <c r="G17" i="30" s="1"/>
  <c r="F10" i="31"/>
  <c r="G10" i="31" s="1"/>
  <c r="F11" i="30"/>
  <c r="G11" i="30" s="1"/>
  <c r="O115" i="12"/>
  <c r="O55" i="12" s="1"/>
  <c r="O109" i="12"/>
  <c r="O54" i="12" s="1"/>
  <c r="O103" i="12"/>
  <c r="O53" i="12" s="1"/>
  <c r="Y53" i="12" s="1"/>
  <c r="O121" i="12"/>
  <c r="O56" i="12" s="1"/>
  <c r="O97" i="12"/>
  <c r="O52" i="12" s="1"/>
  <c r="S14" i="26" s="1"/>
  <c r="O127" i="12"/>
  <c r="O57" i="12" s="1"/>
  <c r="AA19" i="26" s="1"/>
  <c r="S27" i="26"/>
  <c r="T27" i="26" s="1"/>
  <c r="U27" i="26" s="1"/>
  <c r="V27" i="26" s="1"/>
  <c r="W27" i="26" s="1"/>
  <c r="X27" i="26" s="1"/>
  <c r="Y27" i="26" s="1"/>
  <c r="Z27" i="26" s="1"/>
  <c r="AA27" i="26" s="1"/>
  <c r="AB27" i="26" s="1"/>
  <c r="AC27" i="26" s="1"/>
  <c r="AD27" i="26" s="1"/>
  <c r="AE27" i="26" s="1"/>
  <c r="AF27" i="26" s="1"/>
  <c r="AG27" i="26" s="1"/>
  <c r="AH27" i="26" s="1"/>
  <c r="AI27" i="26" s="1"/>
  <c r="AJ27" i="26" s="1"/>
  <c r="AK27" i="26" s="1"/>
  <c r="AL27" i="26" s="1"/>
  <c r="AM27" i="26" s="1"/>
  <c r="AN27" i="26" s="1"/>
  <c r="AO27" i="26" s="1"/>
  <c r="AP27" i="26" s="1"/>
  <c r="AQ27" i="26" s="1"/>
  <c r="AR27" i="26" s="1"/>
  <c r="AS27" i="26" s="1"/>
  <c r="AT27" i="26" s="1"/>
  <c r="AU27" i="26" s="1"/>
  <c r="AV27" i="26" s="1"/>
  <c r="AW27" i="26" s="1"/>
  <c r="AX27" i="26" s="1"/>
  <c r="AY27" i="26" s="1"/>
  <c r="AZ27" i="26" s="1"/>
  <c r="BA27" i="26" s="1"/>
  <c r="BB27" i="26" s="1"/>
  <c r="BC27" i="26" s="1"/>
  <c r="BD27" i="26" s="1"/>
  <c r="BE27" i="26" s="1"/>
  <c r="BF27" i="26" s="1"/>
  <c r="BG27" i="26" s="1"/>
  <c r="BH27" i="26" s="1"/>
  <c r="BI27" i="26" s="1"/>
  <c r="BJ27" i="26" s="1"/>
  <c r="BK27" i="26" s="1"/>
  <c r="BL27" i="26" s="1"/>
  <c r="BM27" i="26" s="1"/>
  <c r="BN27" i="26" s="1"/>
  <c r="BO27" i="26" s="1"/>
  <c r="O91" i="12"/>
  <c r="O51" i="12" s="1"/>
  <c r="U9" i="31"/>
  <c r="V9" i="31" s="1"/>
  <c r="W9" i="31" s="1"/>
  <c r="X9" i="31" s="1"/>
  <c r="Y9" i="31" s="1"/>
  <c r="Z9" i="31" s="1"/>
  <c r="AA9" i="31" s="1"/>
  <c r="AB9" i="31" s="1"/>
  <c r="AC9" i="31" s="1"/>
  <c r="AD9" i="31" s="1"/>
  <c r="AE9" i="31" s="1"/>
  <c r="AF9" i="31" s="1"/>
  <c r="AG9" i="31" s="1"/>
  <c r="AH9" i="31" s="1"/>
  <c r="AI9" i="31" s="1"/>
  <c r="AJ9" i="31" s="1"/>
  <c r="AK9" i="31" s="1"/>
  <c r="AL9" i="31" s="1"/>
  <c r="AM9" i="31" s="1"/>
  <c r="AN9" i="31" s="1"/>
  <c r="AO9" i="31" s="1"/>
  <c r="AP9" i="31" s="1"/>
  <c r="AQ9" i="31" s="1"/>
  <c r="AR9" i="31" s="1"/>
  <c r="AS9" i="31" s="1"/>
  <c r="AT9" i="31" s="1"/>
  <c r="AU9" i="31" s="1"/>
  <c r="AV9" i="31" s="1"/>
  <c r="AW9" i="31" s="1"/>
  <c r="AX9" i="31" s="1"/>
  <c r="AY9" i="31" s="1"/>
  <c r="AZ9" i="31" s="1"/>
  <c r="BA9" i="31" s="1"/>
  <c r="BB9" i="31" s="1"/>
  <c r="BC9" i="31" s="1"/>
  <c r="BD9" i="31" s="1"/>
  <c r="BE9" i="31" s="1"/>
  <c r="BF9" i="31" s="1"/>
  <c r="BG9" i="31" s="1"/>
  <c r="BH9" i="31" s="1"/>
  <c r="BI9" i="31" s="1"/>
  <c r="BJ9" i="31" s="1"/>
  <c r="BK9" i="31" s="1"/>
  <c r="BL9" i="31" s="1"/>
  <c r="BM9" i="31" s="1"/>
  <c r="BN9" i="31" s="1"/>
  <c r="BO9" i="31" s="1"/>
  <c r="BP9" i="31" s="1"/>
  <c r="BQ9" i="31" s="1"/>
  <c r="BR9" i="31" s="1"/>
  <c r="BS9" i="31" s="1"/>
  <c r="S8" i="31"/>
  <c r="T8" i="31" s="1"/>
  <c r="U8" i="31" s="1"/>
  <c r="V8" i="31" s="1"/>
  <c r="W8" i="31" s="1"/>
  <c r="X8" i="31" s="1"/>
  <c r="Y8" i="31" s="1"/>
  <c r="Z8" i="31" s="1"/>
  <c r="AA8" i="31" s="1"/>
  <c r="AB8" i="31" s="1"/>
  <c r="AC8" i="31" s="1"/>
  <c r="AD8" i="31" s="1"/>
  <c r="AE8" i="31" s="1"/>
  <c r="AF8" i="31" s="1"/>
  <c r="AG8" i="31" s="1"/>
  <c r="AH8" i="31" s="1"/>
  <c r="AI8" i="31" s="1"/>
  <c r="AJ8" i="31" s="1"/>
  <c r="AK8" i="31" s="1"/>
  <c r="AL8" i="31" s="1"/>
  <c r="AM8" i="31" s="1"/>
  <c r="AN8" i="31" s="1"/>
  <c r="AO8" i="31" s="1"/>
  <c r="AP8" i="31" s="1"/>
  <c r="AQ8" i="31" s="1"/>
  <c r="AR8" i="31" s="1"/>
  <c r="AS8" i="31" s="1"/>
  <c r="AT8" i="31" s="1"/>
  <c r="AU8" i="31" s="1"/>
  <c r="AV8" i="31" s="1"/>
  <c r="AW8" i="31" s="1"/>
  <c r="AX8" i="31" s="1"/>
  <c r="AY8" i="31" s="1"/>
  <c r="AZ8" i="31" s="1"/>
  <c r="BA8" i="31" s="1"/>
  <c r="BB8" i="31" s="1"/>
  <c r="BC8" i="31" s="1"/>
  <c r="BD8" i="31" s="1"/>
  <c r="BE8" i="31" s="1"/>
  <c r="BF8" i="31" s="1"/>
  <c r="BG8" i="31" s="1"/>
  <c r="BH8" i="31" s="1"/>
  <c r="BI8" i="31" s="1"/>
  <c r="BJ8" i="31" s="1"/>
  <c r="BK8" i="31" s="1"/>
  <c r="BL8" i="31" s="1"/>
  <c r="BM8" i="31" s="1"/>
  <c r="BN8" i="31" s="1"/>
  <c r="BO8" i="31" s="1"/>
  <c r="BP8" i="31" s="1"/>
  <c r="BQ8" i="31" s="1"/>
  <c r="BR8" i="31" s="1"/>
  <c r="BS8" i="31" s="1"/>
  <c r="F10" i="30"/>
  <c r="G10" i="30" s="1"/>
  <c r="F9" i="30"/>
  <c r="G9" i="30" s="1"/>
  <c r="F8" i="30"/>
  <c r="G8" i="30" s="1"/>
  <c r="H50" i="26"/>
  <c r="N7" i="31"/>
  <c r="M6" i="31"/>
  <c r="M14" i="28" s="1"/>
  <c r="M18" i="28" s="1"/>
  <c r="O85" i="12"/>
  <c r="O50" i="12" s="1"/>
  <c r="M12" i="26" s="1"/>
  <c r="O79" i="12"/>
  <c r="O49" i="12" s="1"/>
  <c r="M11" i="26" s="1"/>
  <c r="W49" i="12"/>
  <c r="AR32" i="26" l="1"/>
  <c r="AS32" i="26" s="1"/>
  <c r="AT32" i="26" s="1"/>
  <c r="AU32" i="26" s="1"/>
  <c r="AV32" i="26" s="1"/>
  <c r="AW32" i="26" s="1"/>
  <c r="AX32" i="26" s="1"/>
  <c r="AY32" i="26" s="1"/>
  <c r="AZ32" i="26" s="1"/>
  <c r="BA32" i="26" s="1"/>
  <c r="BB32" i="26" s="1"/>
  <c r="BC32" i="26" s="1"/>
  <c r="BD32" i="26" s="1"/>
  <c r="BE32" i="26" s="1"/>
  <c r="BF32" i="26" s="1"/>
  <c r="BG32" i="26" s="1"/>
  <c r="BH32" i="26" s="1"/>
  <c r="BI32" i="26" s="1"/>
  <c r="BJ32" i="26" s="1"/>
  <c r="BK32" i="26" s="1"/>
  <c r="BL32" i="26" s="1"/>
  <c r="BM32" i="26" s="1"/>
  <c r="BN32" i="26" s="1"/>
  <c r="BO32" i="26" s="1"/>
  <c r="O17" i="28"/>
  <c r="K49" i="26" s="1"/>
  <c r="N17" i="28"/>
  <c r="J49" i="26" s="1"/>
  <c r="M17" i="28"/>
  <c r="I49" i="26" s="1"/>
  <c r="P17" i="28"/>
  <c r="L49" i="26" s="1"/>
  <c r="Q9" i="30"/>
  <c r="Q10" i="30"/>
  <c r="AA13" i="30"/>
  <c r="AB13" i="30" s="1"/>
  <c r="AC13" i="30" s="1"/>
  <c r="T14" i="26"/>
  <c r="T41" i="26" s="1"/>
  <c r="S41" i="26"/>
  <c r="W11" i="31"/>
  <c r="X11" i="31" s="1"/>
  <c r="Y11" i="31" s="1"/>
  <c r="Z11" i="31" s="1"/>
  <c r="AA11" i="31" s="1"/>
  <c r="AB11" i="31" s="1"/>
  <c r="AC11" i="31" s="1"/>
  <c r="AD11" i="31" s="1"/>
  <c r="AE11" i="31" s="1"/>
  <c r="AF11" i="31" s="1"/>
  <c r="AG11" i="31" s="1"/>
  <c r="AH11" i="31" s="1"/>
  <c r="AI11" i="31" s="1"/>
  <c r="AJ11" i="31" s="1"/>
  <c r="AK11" i="31" s="1"/>
  <c r="AL11" i="31" s="1"/>
  <c r="AM11" i="31" s="1"/>
  <c r="AN11" i="31" s="1"/>
  <c r="AO11" i="31" s="1"/>
  <c r="AP11" i="31" s="1"/>
  <c r="AQ11" i="31" s="1"/>
  <c r="AR11" i="31" s="1"/>
  <c r="AS11" i="31" s="1"/>
  <c r="AT11" i="31" s="1"/>
  <c r="AU11" i="31" s="1"/>
  <c r="AV11" i="31" s="1"/>
  <c r="AW11" i="31" s="1"/>
  <c r="AX11" i="31" s="1"/>
  <c r="AY11" i="31" s="1"/>
  <c r="AZ11" i="31" s="1"/>
  <c r="BA11" i="31" s="1"/>
  <c r="BB11" i="31" s="1"/>
  <c r="BC11" i="31" s="1"/>
  <c r="BD11" i="31" s="1"/>
  <c r="BE11" i="31" s="1"/>
  <c r="BF11" i="31" s="1"/>
  <c r="BG11" i="31" s="1"/>
  <c r="BH11" i="31" s="1"/>
  <c r="BI11" i="31" s="1"/>
  <c r="BJ11" i="31" s="1"/>
  <c r="BK11" i="31" s="1"/>
  <c r="BL11" i="31" s="1"/>
  <c r="BM11" i="31" s="1"/>
  <c r="BN11" i="31" s="1"/>
  <c r="BO11" i="31" s="1"/>
  <c r="BP11" i="31" s="1"/>
  <c r="BQ11" i="31" s="1"/>
  <c r="BR11" i="31" s="1"/>
  <c r="BS11" i="31" s="1"/>
  <c r="M13" i="26"/>
  <c r="N11" i="26"/>
  <c r="O11" i="26" s="1"/>
  <c r="Q10" i="31"/>
  <c r="R10" i="31" s="1"/>
  <c r="S10" i="31" s="1"/>
  <c r="T10" i="31" s="1"/>
  <c r="U10" i="31" s="1"/>
  <c r="V10" i="31" s="1"/>
  <c r="W10" i="31" s="1"/>
  <c r="X10" i="31" s="1"/>
  <c r="Y10" i="31" s="1"/>
  <c r="Z10" i="31" s="1"/>
  <c r="AA10" i="31" s="1"/>
  <c r="AB10" i="31" s="1"/>
  <c r="AC10" i="31" s="1"/>
  <c r="AD10" i="31" s="1"/>
  <c r="AE10" i="31" s="1"/>
  <c r="AF10" i="31" s="1"/>
  <c r="AG10" i="31" s="1"/>
  <c r="AH10" i="31" s="1"/>
  <c r="AI10" i="31" s="1"/>
  <c r="AJ10" i="31" s="1"/>
  <c r="AK10" i="31" s="1"/>
  <c r="AL10" i="31" s="1"/>
  <c r="AM10" i="31" s="1"/>
  <c r="AN10" i="31" s="1"/>
  <c r="AO10" i="31" s="1"/>
  <c r="AP10" i="31" s="1"/>
  <c r="AQ10" i="31" s="1"/>
  <c r="AR10" i="31" s="1"/>
  <c r="AS10" i="31" s="1"/>
  <c r="AT10" i="31" s="1"/>
  <c r="AU10" i="31" s="1"/>
  <c r="AV10" i="31" s="1"/>
  <c r="AW10" i="31" s="1"/>
  <c r="AX10" i="31" s="1"/>
  <c r="AY10" i="31" s="1"/>
  <c r="AZ10" i="31" s="1"/>
  <c r="BA10" i="31" s="1"/>
  <c r="BB10" i="31" s="1"/>
  <c r="BC10" i="31" s="1"/>
  <c r="BD10" i="31" s="1"/>
  <c r="BE10" i="31" s="1"/>
  <c r="BF10" i="31" s="1"/>
  <c r="BG10" i="31" s="1"/>
  <c r="BH10" i="31" s="1"/>
  <c r="BI10" i="31" s="1"/>
  <c r="BJ10" i="31" s="1"/>
  <c r="BK10" i="31" s="1"/>
  <c r="BL10" i="31" s="1"/>
  <c r="BM10" i="31" s="1"/>
  <c r="BN10" i="31" s="1"/>
  <c r="BO10" i="31" s="1"/>
  <c r="BP10" i="31" s="1"/>
  <c r="BQ10" i="31" s="1"/>
  <c r="BR10" i="31" s="1"/>
  <c r="BS10" i="31" s="1"/>
  <c r="Q11" i="30"/>
  <c r="R11" i="30" s="1"/>
  <c r="S11" i="30" s="1"/>
  <c r="T11" i="30" s="1"/>
  <c r="U11" i="30" s="1"/>
  <c r="V11" i="30" s="1"/>
  <c r="W11" i="30" s="1"/>
  <c r="X11" i="30" s="1"/>
  <c r="Y11" i="30" s="1"/>
  <c r="Z11" i="30" s="1"/>
  <c r="AA11" i="30" s="1"/>
  <c r="AB11" i="30" s="1"/>
  <c r="AC11" i="30" s="1"/>
  <c r="AD11" i="30" s="1"/>
  <c r="AE11" i="30" s="1"/>
  <c r="AF11" i="30" s="1"/>
  <c r="AG11" i="30" s="1"/>
  <c r="AH11" i="30" s="1"/>
  <c r="AI11" i="30" s="1"/>
  <c r="AJ11" i="30" s="1"/>
  <c r="AK11" i="30" s="1"/>
  <c r="AL11" i="30" s="1"/>
  <c r="AM11" i="30" s="1"/>
  <c r="AN11" i="30" s="1"/>
  <c r="AO11" i="30" s="1"/>
  <c r="AP11" i="30" s="1"/>
  <c r="AQ11" i="30" s="1"/>
  <c r="AR11" i="30" s="1"/>
  <c r="AS11" i="30" s="1"/>
  <c r="AT11" i="30" s="1"/>
  <c r="AU11" i="30" s="1"/>
  <c r="AV11" i="30" s="1"/>
  <c r="AW11" i="30" s="1"/>
  <c r="AX11" i="30" s="1"/>
  <c r="AY11" i="30" s="1"/>
  <c r="AZ11" i="30" s="1"/>
  <c r="BA11" i="30" s="1"/>
  <c r="BB11" i="30" s="1"/>
  <c r="BC11" i="30" s="1"/>
  <c r="BD11" i="30" s="1"/>
  <c r="BE11" i="30" s="1"/>
  <c r="BF11" i="30" s="1"/>
  <c r="BG11" i="30" s="1"/>
  <c r="BH11" i="30" s="1"/>
  <c r="BI11" i="30" s="1"/>
  <c r="BJ11" i="30" s="1"/>
  <c r="BK11" i="30" s="1"/>
  <c r="BL11" i="30" s="1"/>
  <c r="BM11" i="30" s="1"/>
  <c r="BN11" i="30" s="1"/>
  <c r="BO11" i="30" s="1"/>
  <c r="BP11" i="30" s="1"/>
  <c r="BQ11" i="30" s="1"/>
  <c r="BR11" i="30" s="1"/>
  <c r="BS11" i="30" s="1"/>
  <c r="N12" i="26"/>
  <c r="M39" i="26"/>
  <c r="W12" i="30"/>
  <c r="X12" i="30" s="1"/>
  <c r="Y12" i="30" s="1"/>
  <c r="Z12" i="30" s="1"/>
  <c r="AA12" i="30" s="1"/>
  <c r="AB12" i="30" s="1"/>
  <c r="AC12" i="30" s="1"/>
  <c r="AD12" i="30" s="1"/>
  <c r="AE12" i="30" s="1"/>
  <c r="AF12" i="30" s="1"/>
  <c r="AG12" i="30" s="1"/>
  <c r="AH12" i="30" s="1"/>
  <c r="AI12" i="30" s="1"/>
  <c r="AJ12" i="30" s="1"/>
  <c r="AK12" i="30" s="1"/>
  <c r="AL12" i="30" s="1"/>
  <c r="AM12" i="30" s="1"/>
  <c r="AN12" i="30" s="1"/>
  <c r="AO12" i="30" s="1"/>
  <c r="AP12" i="30" s="1"/>
  <c r="AQ12" i="30" s="1"/>
  <c r="AR12" i="30" s="1"/>
  <c r="AS12" i="30" s="1"/>
  <c r="AT12" i="30" s="1"/>
  <c r="AU12" i="30" s="1"/>
  <c r="AV12" i="30" s="1"/>
  <c r="AW12" i="30" s="1"/>
  <c r="AX12" i="30" s="1"/>
  <c r="AY12" i="30" s="1"/>
  <c r="AZ12" i="30" s="1"/>
  <c r="BA12" i="30" s="1"/>
  <c r="BB12" i="30" s="1"/>
  <c r="BC12" i="30" s="1"/>
  <c r="BD12" i="30" s="1"/>
  <c r="BE12" i="30" s="1"/>
  <c r="BF12" i="30" s="1"/>
  <c r="BG12" i="30" s="1"/>
  <c r="BH12" i="30" s="1"/>
  <c r="BI12" i="30" s="1"/>
  <c r="BJ12" i="30" s="1"/>
  <c r="BK12" i="30" s="1"/>
  <c r="BL12" i="30" s="1"/>
  <c r="BM12" i="30" s="1"/>
  <c r="BN12" i="30" s="1"/>
  <c r="BO12" i="30" s="1"/>
  <c r="BP12" i="30" s="1"/>
  <c r="BQ12" i="30" s="1"/>
  <c r="BR12" i="30" s="1"/>
  <c r="BS12" i="30" s="1"/>
  <c r="AB19" i="26"/>
  <c r="AA46" i="26"/>
  <c r="AE17" i="30"/>
  <c r="AF17" i="30" s="1"/>
  <c r="AG17" i="30" s="1"/>
  <c r="AH17" i="30" s="1"/>
  <c r="AI17" i="30" s="1"/>
  <c r="AJ17" i="30" s="1"/>
  <c r="AK17" i="30" s="1"/>
  <c r="AL17" i="30" s="1"/>
  <c r="AM17" i="30" s="1"/>
  <c r="AN17" i="30" s="1"/>
  <c r="AO17" i="30" s="1"/>
  <c r="AP17" i="30" s="1"/>
  <c r="AQ17" i="30" s="1"/>
  <c r="AR17" i="30" s="1"/>
  <c r="AS17" i="30" s="1"/>
  <c r="AT17" i="30" s="1"/>
  <c r="AU17" i="30" s="1"/>
  <c r="AV17" i="30" s="1"/>
  <c r="AW17" i="30" s="1"/>
  <c r="AX17" i="30" s="1"/>
  <c r="AY17" i="30" s="1"/>
  <c r="AZ17" i="30" s="1"/>
  <c r="BA17" i="30" s="1"/>
  <c r="BB17" i="30" s="1"/>
  <c r="BC17" i="30" s="1"/>
  <c r="BD17" i="30" s="1"/>
  <c r="BE17" i="30" s="1"/>
  <c r="BF17" i="30" s="1"/>
  <c r="BG17" i="30" s="1"/>
  <c r="BH17" i="30" s="1"/>
  <c r="BI17" i="30" s="1"/>
  <c r="BJ17" i="30" s="1"/>
  <c r="BK17" i="30" s="1"/>
  <c r="BL17" i="30" s="1"/>
  <c r="BM17" i="30" s="1"/>
  <c r="BN17" i="30" s="1"/>
  <c r="BO17" i="30" s="1"/>
  <c r="BP17" i="30" s="1"/>
  <c r="BQ17" i="30" s="1"/>
  <c r="BR17" i="30" s="1"/>
  <c r="BS17" i="30" s="1"/>
  <c r="AE16" i="31"/>
  <c r="AF16" i="31" s="1"/>
  <c r="AG16" i="31" s="1"/>
  <c r="AH16" i="31" s="1"/>
  <c r="AI16" i="31" s="1"/>
  <c r="AJ16" i="31" s="1"/>
  <c r="AK16" i="31" s="1"/>
  <c r="AL16" i="31" s="1"/>
  <c r="AM16" i="31" s="1"/>
  <c r="AN16" i="31" s="1"/>
  <c r="AO16" i="31" s="1"/>
  <c r="AP16" i="31" s="1"/>
  <c r="AQ16" i="31" s="1"/>
  <c r="AR16" i="31" s="1"/>
  <c r="AS16" i="31" s="1"/>
  <c r="AT16" i="31" s="1"/>
  <c r="AU16" i="31" s="1"/>
  <c r="AV16" i="31" s="1"/>
  <c r="AW16" i="31" s="1"/>
  <c r="AX16" i="31" s="1"/>
  <c r="AY16" i="31" s="1"/>
  <c r="AZ16" i="31" s="1"/>
  <c r="BA16" i="31" s="1"/>
  <c r="BB16" i="31" s="1"/>
  <c r="BC16" i="31" s="1"/>
  <c r="BD16" i="31" s="1"/>
  <c r="BE16" i="31" s="1"/>
  <c r="BF16" i="31" s="1"/>
  <c r="BG16" i="31" s="1"/>
  <c r="BH16" i="31" s="1"/>
  <c r="BI16" i="31" s="1"/>
  <c r="BJ16" i="31" s="1"/>
  <c r="BK16" i="31" s="1"/>
  <c r="BL16" i="31" s="1"/>
  <c r="BM16" i="31" s="1"/>
  <c r="BN16" i="31" s="1"/>
  <c r="BO16" i="31" s="1"/>
  <c r="BP16" i="31" s="1"/>
  <c r="BQ16" i="31" s="1"/>
  <c r="BR16" i="31" s="1"/>
  <c r="BS16" i="31" s="1"/>
  <c r="AC15" i="31"/>
  <c r="AD15" i="31" s="1"/>
  <c r="AE15" i="31" s="1"/>
  <c r="AF15" i="31" s="1"/>
  <c r="AG15" i="31" s="1"/>
  <c r="AH15" i="31" s="1"/>
  <c r="AI15" i="31" s="1"/>
  <c r="AJ15" i="31" s="1"/>
  <c r="AK15" i="31" s="1"/>
  <c r="AL15" i="31" s="1"/>
  <c r="AM15" i="31" s="1"/>
  <c r="AN15" i="31" s="1"/>
  <c r="AO15" i="31" s="1"/>
  <c r="AP15" i="31" s="1"/>
  <c r="AQ15" i="31" s="1"/>
  <c r="AR15" i="31" s="1"/>
  <c r="AS15" i="31" s="1"/>
  <c r="AT15" i="31" s="1"/>
  <c r="AU15" i="31" s="1"/>
  <c r="AV15" i="31" s="1"/>
  <c r="AW15" i="31" s="1"/>
  <c r="AX15" i="31" s="1"/>
  <c r="AY15" i="31" s="1"/>
  <c r="AZ15" i="31" s="1"/>
  <c r="BA15" i="31" s="1"/>
  <c r="BB15" i="31" s="1"/>
  <c r="BC15" i="31" s="1"/>
  <c r="BD15" i="31" s="1"/>
  <c r="BE15" i="31" s="1"/>
  <c r="BF15" i="31" s="1"/>
  <c r="BG15" i="31" s="1"/>
  <c r="BH15" i="31" s="1"/>
  <c r="BI15" i="31" s="1"/>
  <c r="BJ15" i="31" s="1"/>
  <c r="BK15" i="31" s="1"/>
  <c r="BL15" i="31" s="1"/>
  <c r="BM15" i="31" s="1"/>
  <c r="BN15" i="31" s="1"/>
  <c r="BO15" i="31" s="1"/>
  <c r="BP15" i="31" s="1"/>
  <c r="BQ15" i="31" s="1"/>
  <c r="BR15" i="31" s="1"/>
  <c r="BS15" i="31" s="1"/>
  <c r="Y56" i="12"/>
  <c r="Y18" i="26"/>
  <c r="AC16" i="30"/>
  <c r="AD16" i="30" s="1"/>
  <c r="AE16" i="30" s="1"/>
  <c r="AF16" i="30" s="1"/>
  <c r="AG16" i="30" s="1"/>
  <c r="AH16" i="30" s="1"/>
  <c r="AI16" i="30" s="1"/>
  <c r="AJ16" i="30" s="1"/>
  <c r="AK16" i="30" s="1"/>
  <c r="AL16" i="30" s="1"/>
  <c r="AM16" i="30" s="1"/>
  <c r="AN16" i="30" s="1"/>
  <c r="AO16" i="30" s="1"/>
  <c r="AP16" i="30" s="1"/>
  <c r="AQ16" i="30" s="1"/>
  <c r="AR16" i="30" s="1"/>
  <c r="AS16" i="30" s="1"/>
  <c r="AT16" i="30" s="1"/>
  <c r="AU16" i="30" s="1"/>
  <c r="AV16" i="30" s="1"/>
  <c r="AW16" i="30" s="1"/>
  <c r="AX16" i="30" s="1"/>
  <c r="AY16" i="30" s="1"/>
  <c r="AZ16" i="30" s="1"/>
  <c r="BA16" i="30" s="1"/>
  <c r="BB16" i="30" s="1"/>
  <c r="BC16" i="30" s="1"/>
  <c r="BD16" i="30" s="1"/>
  <c r="BE16" i="30" s="1"/>
  <c r="BF16" i="30" s="1"/>
  <c r="BG16" i="30" s="1"/>
  <c r="BH16" i="30" s="1"/>
  <c r="BI16" i="30" s="1"/>
  <c r="BJ16" i="30" s="1"/>
  <c r="BK16" i="30" s="1"/>
  <c r="BL16" i="30" s="1"/>
  <c r="BM16" i="30" s="1"/>
  <c r="BN16" i="30" s="1"/>
  <c r="BO16" i="30" s="1"/>
  <c r="BP16" i="30" s="1"/>
  <c r="BQ16" i="30" s="1"/>
  <c r="BR16" i="30" s="1"/>
  <c r="BS16" i="30" s="1"/>
  <c r="AA15" i="30"/>
  <c r="AB15" i="30" s="1"/>
  <c r="AC15" i="30" s="1"/>
  <c r="AD15" i="30" s="1"/>
  <c r="AE15" i="30" s="1"/>
  <c r="AF15" i="30" s="1"/>
  <c r="AG15" i="30" s="1"/>
  <c r="AH15" i="30" s="1"/>
  <c r="AI15" i="30" s="1"/>
  <c r="AJ15" i="30" s="1"/>
  <c r="AK15" i="30" s="1"/>
  <c r="AL15" i="30" s="1"/>
  <c r="AM15" i="30" s="1"/>
  <c r="AN15" i="30" s="1"/>
  <c r="AO15" i="30" s="1"/>
  <c r="AP15" i="30" s="1"/>
  <c r="AQ15" i="30" s="1"/>
  <c r="AR15" i="30" s="1"/>
  <c r="AS15" i="30" s="1"/>
  <c r="AT15" i="30" s="1"/>
  <c r="AU15" i="30" s="1"/>
  <c r="AV15" i="30" s="1"/>
  <c r="AW15" i="30" s="1"/>
  <c r="AX15" i="30" s="1"/>
  <c r="AY15" i="30" s="1"/>
  <c r="AZ15" i="30" s="1"/>
  <c r="BA15" i="30" s="1"/>
  <c r="BB15" i="30" s="1"/>
  <c r="BC15" i="30" s="1"/>
  <c r="BD15" i="30" s="1"/>
  <c r="BE15" i="30" s="1"/>
  <c r="BF15" i="30" s="1"/>
  <c r="BG15" i="30" s="1"/>
  <c r="BH15" i="30" s="1"/>
  <c r="BI15" i="30" s="1"/>
  <c r="BJ15" i="30" s="1"/>
  <c r="BK15" i="30" s="1"/>
  <c r="BL15" i="30" s="1"/>
  <c r="BM15" i="30" s="1"/>
  <c r="BN15" i="30" s="1"/>
  <c r="BO15" i="30" s="1"/>
  <c r="BP15" i="30" s="1"/>
  <c r="BQ15" i="30" s="1"/>
  <c r="BR15" i="30" s="1"/>
  <c r="BS15" i="30" s="1"/>
  <c r="W17" i="26"/>
  <c r="AA14" i="31"/>
  <c r="AB14" i="31" s="1"/>
  <c r="AC14" i="31" s="1"/>
  <c r="AD14" i="31" s="1"/>
  <c r="AE14" i="31" s="1"/>
  <c r="AF14" i="31" s="1"/>
  <c r="AG14" i="31" s="1"/>
  <c r="AH14" i="31" s="1"/>
  <c r="AI14" i="31" s="1"/>
  <c r="AJ14" i="31" s="1"/>
  <c r="AK14" i="31" s="1"/>
  <c r="AL14" i="31" s="1"/>
  <c r="AM14" i="31" s="1"/>
  <c r="AN14" i="31" s="1"/>
  <c r="AO14" i="31" s="1"/>
  <c r="AP14" i="31" s="1"/>
  <c r="AQ14" i="31" s="1"/>
  <c r="AR14" i="31" s="1"/>
  <c r="AS14" i="31" s="1"/>
  <c r="AT14" i="31" s="1"/>
  <c r="AU14" i="31" s="1"/>
  <c r="AV14" i="31" s="1"/>
  <c r="AW14" i="31" s="1"/>
  <c r="AX14" i="31" s="1"/>
  <c r="AY14" i="31" s="1"/>
  <c r="AZ14" i="31" s="1"/>
  <c r="BA14" i="31" s="1"/>
  <c r="BB14" i="31" s="1"/>
  <c r="BC14" i="31" s="1"/>
  <c r="BD14" i="31" s="1"/>
  <c r="BE14" i="31" s="1"/>
  <c r="BF14" i="31" s="1"/>
  <c r="BG14" i="31" s="1"/>
  <c r="BH14" i="31" s="1"/>
  <c r="BI14" i="31" s="1"/>
  <c r="BJ14" i="31" s="1"/>
  <c r="BK14" i="31" s="1"/>
  <c r="BL14" i="31" s="1"/>
  <c r="BM14" i="31" s="1"/>
  <c r="BN14" i="31" s="1"/>
  <c r="BO14" i="31" s="1"/>
  <c r="BP14" i="31" s="1"/>
  <c r="BQ14" i="31" s="1"/>
  <c r="BR14" i="31" s="1"/>
  <c r="BS14" i="31" s="1"/>
  <c r="Y54" i="12"/>
  <c r="U16" i="26"/>
  <c r="Y55" i="12"/>
  <c r="Q8" i="30"/>
  <c r="W15" i="26"/>
  <c r="W42" i="26" s="1"/>
  <c r="Y51" i="12"/>
  <c r="Y52" i="12"/>
  <c r="Y57" i="12"/>
  <c r="V49" i="12"/>
  <c r="R26" i="26"/>
  <c r="O7" i="31"/>
  <c r="N6" i="31"/>
  <c r="N14" i="28" s="1"/>
  <c r="N18" i="28" s="1"/>
  <c r="I50" i="26"/>
  <c r="Y50" i="12"/>
  <c r="U14" i="26" l="1"/>
  <c r="V14" i="26" s="1"/>
  <c r="AD13" i="30"/>
  <c r="AE13" i="30" s="1"/>
  <c r="AF13" i="30" s="1"/>
  <c r="AG13" i="30" s="1"/>
  <c r="AH13" i="30" s="1"/>
  <c r="AI13" i="30" s="1"/>
  <c r="AJ13" i="30" s="1"/>
  <c r="AK13" i="30" s="1"/>
  <c r="AL13" i="30" s="1"/>
  <c r="AM13" i="30" s="1"/>
  <c r="AN13" i="30" s="1"/>
  <c r="AO13" i="30" s="1"/>
  <c r="AP13" i="30" s="1"/>
  <c r="AQ13" i="30" s="1"/>
  <c r="AR13" i="30" s="1"/>
  <c r="AS13" i="30" s="1"/>
  <c r="AT13" i="30" s="1"/>
  <c r="AU13" i="30" s="1"/>
  <c r="AV13" i="30" s="1"/>
  <c r="AW13" i="30" s="1"/>
  <c r="AX13" i="30" s="1"/>
  <c r="AY13" i="30" s="1"/>
  <c r="AZ13" i="30" s="1"/>
  <c r="BA13" i="30" s="1"/>
  <c r="BB13" i="30" s="1"/>
  <c r="BC13" i="30" s="1"/>
  <c r="BD13" i="30" s="1"/>
  <c r="BE13" i="30" s="1"/>
  <c r="BF13" i="30" s="1"/>
  <c r="BG13" i="30" s="1"/>
  <c r="BH13" i="30" s="1"/>
  <c r="BI13" i="30" s="1"/>
  <c r="BJ13" i="30" s="1"/>
  <c r="BK13" i="30" s="1"/>
  <c r="BL13" i="30" s="1"/>
  <c r="BM13" i="30" s="1"/>
  <c r="BN13" i="30" s="1"/>
  <c r="BO13" i="30" s="1"/>
  <c r="BP13" i="30" s="1"/>
  <c r="BQ13" i="30" s="1"/>
  <c r="BR13" i="30" s="1"/>
  <c r="BS13" i="30" s="1"/>
  <c r="R9" i="30"/>
  <c r="S9" i="30" s="1"/>
  <c r="T9" i="30" s="1"/>
  <c r="U9" i="30" s="1"/>
  <c r="V9" i="30" s="1"/>
  <c r="W9" i="30" s="1"/>
  <c r="X9" i="30" s="1"/>
  <c r="Y9" i="30" s="1"/>
  <c r="Z9" i="30" s="1"/>
  <c r="AA9" i="30" s="1"/>
  <c r="AB9" i="30" s="1"/>
  <c r="AC9" i="30" s="1"/>
  <c r="AD9" i="30" s="1"/>
  <c r="AE9" i="30" s="1"/>
  <c r="AF9" i="30" s="1"/>
  <c r="AG9" i="30" s="1"/>
  <c r="AH9" i="30" s="1"/>
  <c r="AI9" i="30" s="1"/>
  <c r="AJ9" i="30" s="1"/>
  <c r="AK9" i="30" s="1"/>
  <c r="AL9" i="30" s="1"/>
  <c r="AM9" i="30" s="1"/>
  <c r="AN9" i="30" s="1"/>
  <c r="AO9" i="30" s="1"/>
  <c r="AP9" i="30" s="1"/>
  <c r="AQ9" i="30" s="1"/>
  <c r="AR9" i="30" s="1"/>
  <c r="AS9" i="30" s="1"/>
  <c r="AT9" i="30" s="1"/>
  <c r="AU9" i="30" s="1"/>
  <c r="AV9" i="30" s="1"/>
  <c r="AW9" i="30" s="1"/>
  <c r="AX9" i="30" s="1"/>
  <c r="AY9" i="30" s="1"/>
  <c r="AZ9" i="30" s="1"/>
  <c r="BA9" i="30" s="1"/>
  <c r="BB9" i="30" s="1"/>
  <c r="BC9" i="30" s="1"/>
  <c r="BD9" i="30" s="1"/>
  <c r="BE9" i="30" s="1"/>
  <c r="BF9" i="30" s="1"/>
  <c r="BG9" i="30" s="1"/>
  <c r="BH9" i="30" s="1"/>
  <c r="BI9" i="30" s="1"/>
  <c r="BJ9" i="30" s="1"/>
  <c r="BK9" i="30" s="1"/>
  <c r="BL9" i="30" s="1"/>
  <c r="BM9" i="30" s="1"/>
  <c r="BN9" i="30" s="1"/>
  <c r="BO9" i="30" s="1"/>
  <c r="BP9" i="30" s="1"/>
  <c r="BQ9" i="30" s="1"/>
  <c r="BR9" i="30" s="1"/>
  <c r="BS9" i="30" s="1"/>
  <c r="R10" i="30"/>
  <c r="S10" i="30" s="1"/>
  <c r="T10" i="30" s="1"/>
  <c r="U10" i="30" s="1"/>
  <c r="V10" i="30" s="1"/>
  <c r="W10" i="30" s="1"/>
  <c r="X10" i="30" s="1"/>
  <c r="Y10" i="30" s="1"/>
  <c r="Z10" i="30" s="1"/>
  <c r="AA10" i="30" s="1"/>
  <c r="AB10" i="30" s="1"/>
  <c r="AC10" i="30" s="1"/>
  <c r="AD10" i="30" s="1"/>
  <c r="AE10" i="30" s="1"/>
  <c r="AF10" i="30" s="1"/>
  <c r="AG10" i="30" s="1"/>
  <c r="AH10" i="30" s="1"/>
  <c r="AI10" i="30" s="1"/>
  <c r="AJ10" i="30" s="1"/>
  <c r="AK10" i="30" s="1"/>
  <c r="AL10" i="30" s="1"/>
  <c r="AM10" i="30" s="1"/>
  <c r="AN10" i="30" s="1"/>
  <c r="AO10" i="30" s="1"/>
  <c r="AP10" i="30" s="1"/>
  <c r="AQ10" i="30" s="1"/>
  <c r="AR10" i="30" s="1"/>
  <c r="AS10" i="30" s="1"/>
  <c r="AT10" i="30" s="1"/>
  <c r="AU10" i="30" s="1"/>
  <c r="AV10" i="30" s="1"/>
  <c r="AW10" i="30" s="1"/>
  <c r="AX10" i="30" s="1"/>
  <c r="AY10" i="30" s="1"/>
  <c r="AZ10" i="30" s="1"/>
  <c r="BA10" i="30" s="1"/>
  <c r="BB10" i="30" s="1"/>
  <c r="BC10" i="30" s="1"/>
  <c r="BD10" i="30" s="1"/>
  <c r="BE10" i="30" s="1"/>
  <c r="BF10" i="30" s="1"/>
  <c r="BG10" i="30" s="1"/>
  <c r="BH10" i="30" s="1"/>
  <c r="BI10" i="30" s="1"/>
  <c r="BJ10" i="30" s="1"/>
  <c r="BK10" i="30" s="1"/>
  <c r="BL10" i="30" s="1"/>
  <c r="BM10" i="30" s="1"/>
  <c r="BN10" i="30" s="1"/>
  <c r="BO10" i="30" s="1"/>
  <c r="BP10" i="30" s="1"/>
  <c r="BQ10" i="30" s="1"/>
  <c r="BR10" i="30" s="1"/>
  <c r="BS10" i="30" s="1"/>
  <c r="Q7" i="30"/>
  <c r="Q11" i="28" s="1"/>
  <c r="Q159" i="28" s="1"/>
  <c r="Q29" i="28" s="1"/>
  <c r="N13" i="26"/>
  <c r="M40" i="26"/>
  <c r="M25" i="26"/>
  <c r="N39" i="26"/>
  <c r="O12" i="26"/>
  <c r="AC19" i="26"/>
  <c r="AB46" i="26"/>
  <c r="Y45" i="26"/>
  <c r="Z18" i="26"/>
  <c r="W44" i="26"/>
  <c r="X17" i="26"/>
  <c r="V16" i="26"/>
  <c r="U43" i="26"/>
  <c r="R8" i="30"/>
  <c r="X15" i="26"/>
  <c r="X42" i="26" s="1"/>
  <c r="P11" i="26"/>
  <c r="Y49" i="12"/>
  <c r="S26" i="26"/>
  <c r="J50" i="26"/>
  <c r="P7" i="31"/>
  <c r="O6" i="31"/>
  <c r="O14" i="28" s="1"/>
  <c r="O18" i="28" s="1"/>
  <c r="U41" i="26" l="1"/>
  <c r="R7" i="30"/>
  <c r="R11" i="28" s="1"/>
  <c r="R12" i="28" s="1"/>
  <c r="R160" i="28" s="1"/>
  <c r="R30" i="28" s="1"/>
  <c r="Q12" i="28"/>
  <c r="Q10" i="28" s="1"/>
  <c r="P12" i="26"/>
  <c r="O39" i="26"/>
  <c r="N25" i="26"/>
  <c r="M38" i="26"/>
  <c r="O13" i="26"/>
  <c r="N40" i="26"/>
  <c r="AD19" i="26"/>
  <c r="AC46" i="26"/>
  <c r="AA18" i="26"/>
  <c r="Z45" i="26"/>
  <c r="Y17" i="26"/>
  <c r="X44" i="26"/>
  <c r="V43" i="26"/>
  <c r="W16" i="26"/>
  <c r="S8" i="30"/>
  <c r="S7" i="30" s="1"/>
  <c r="S11" i="28" s="1"/>
  <c r="S12" i="28" s="1"/>
  <c r="S160" i="28" s="1"/>
  <c r="S30" i="28" s="1"/>
  <c r="Y15" i="26"/>
  <c r="Y42" i="26" s="1"/>
  <c r="W14" i="26"/>
  <c r="V41" i="26"/>
  <c r="Q11" i="26"/>
  <c r="T26" i="26"/>
  <c r="K50" i="26"/>
  <c r="Q7" i="31"/>
  <c r="Q6" i="31" s="1"/>
  <c r="Q14" i="28" s="1"/>
  <c r="P6" i="31"/>
  <c r="P14" i="28" s="1"/>
  <c r="P18" i="28" s="1"/>
  <c r="R10" i="28" l="1"/>
  <c r="R17" i="28" s="1"/>
  <c r="N49" i="26" s="1"/>
  <c r="R159" i="28"/>
  <c r="R29" i="28" s="1"/>
  <c r="Q17" i="28"/>
  <c r="M49" i="26" s="1"/>
  <c r="Q18" i="28"/>
  <c r="M50" i="26" s="1"/>
  <c r="Q160" i="28"/>
  <c r="T8" i="30"/>
  <c r="T7" i="30" s="1"/>
  <c r="T11" i="28" s="1"/>
  <c r="T159" i="28" s="1"/>
  <c r="O25" i="26"/>
  <c r="N38" i="26"/>
  <c r="P13" i="26"/>
  <c r="O40" i="26"/>
  <c r="P39" i="26"/>
  <c r="Q12" i="26"/>
  <c r="AD46" i="26"/>
  <c r="AE19" i="26"/>
  <c r="AB18" i="26"/>
  <c r="AA45" i="26"/>
  <c r="Y44" i="26"/>
  <c r="Z17" i="26"/>
  <c r="W43" i="26"/>
  <c r="X16" i="26"/>
  <c r="S159" i="28"/>
  <c r="S29" i="28" s="1"/>
  <c r="Z15" i="26"/>
  <c r="Z42" i="26" s="1"/>
  <c r="W41" i="26"/>
  <c r="X14" i="26"/>
  <c r="R11" i="26"/>
  <c r="U26" i="26"/>
  <c r="S10" i="28"/>
  <c r="R7" i="31"/>
  <c r="L50" i="26"/>
  <c r="S17" i="28" l="1"/>
  <c r="O49" i="26" s="1"/>
  <c r="U8" i="30"/>
  <c r="U7" i="30" s="1"/>
  <c r="U11" i="28" s="1"/>
  <c r="U12" i="28" s="1"/>
  <c r="U160" i="28" s="1"/>
  <c r="U30" i="28" s="1"/>
  <c r="T12" i="28"/>
  <c r="T160" i="28" s="1"/>
  <c r="T30" i="28" s="1"/>
  <c r="Q30" i="28"/>
  <c r="Q13" i="26"/>
  <c r="P40" i="26"/>
  <c r="R12" i="26"/>
  <c r="Q39" i="26"/>
  <c r="P25" i="26"/>
  <c r="O38" i="26"/>
  <c r="AF19" i="26"/>
  <c r="AE46" i="26"/>
  <c r="AB45" i="26"/>
  <c r="AC18" i="26"/>
  <c r="Z44" i="26"/>
  <c r="AA17" i="26"/>
  <c r="X43" i="26"/>
  <c r="Y16" i="26"/>
  <c r="AA15" i="26"/>
  <c r="AA42" i="26" s="1"/>
  <c r="Y14" i="26"/>
  <c r="X41" i="26"/>
  <c r="S11" i="26"/>
  <c r="V26" i="26"/>
  <c r="T29" i="28"/>
  <c r="S7" i="31"/>
  <c r="R6" i="31"/>
  <c r="R14" i="28" s="1"/>
  <c r="R18" i="28" s="1"/>
  <c r="V8" i="30" l="1"/>
  <c r="W8" i="30" s="1"/>
  <c r="W7" i="30" s="1"/>
  <c r="W11" i="28" s="1"/>
  <c r="U159" i="28"/>
  <c r="U29" i="28" s="1"/>
  <c r="T10" i="28"/>
  <c r="S12" i="26"/>
  <c r="R39" i="26"/>
  <c r="Q25" i="26"/>
  <c r="P38" i="26"/>
  <c r="R13" i="26"/>
  <c r="Q40" i="26"/>
  <c r="AG19" i="26"/>
  <c r="AF46" i="26"/>
  <c r="AC45" i="26"/>
  <c r="AD18" i="26"/>
  <c r="AB17" i="26"/>
  <c r="AA44" i="26"/>
  <c r="Z16" i="26"/>
  <c r="Y43" i="26"/>
  <c r="AB15" i="26"/>
  <c r="AC15" i="26" s="1"/>
  <c r="Y41" i="26"/>
  <c r="Z14" i="26"/>
  <c r="T11" i="26"/>
  <c r="W26" i="26"/>
  <c r="U10" i="28"/>
  <c r="T7" i="31"/>
  <c r="S6" i="31"/>
  <c r="S14" i="28" s="1"/>
  <c r="S18" i="28" s="1"/>
  <c r="N50" i="26"/>
  <c r="X8" i="30" l="1"/>
  <c r="Y8" i="30" s="1"/>
  <c r="V7" i="30"/>
  <c r="V11" i="28" s="1"/>
  <c r="V12" i="28" s="1"/>
  <c r="V160" i="28" s="1"/>
  <c r="V30" i="28" s="1"/>
  <c r="U17" i="28"/>
  <c r="Q49" i="26" s="1"/>
  <c r="T17" i="28"/>
  <c r="P49" i="26" s="1"/>
  <c r="R25" i="26"/>
  <c r="Q38" i="26"/>
  <c r="R40" i="26"/>
  <c r="S13" i="26"/>
  <c r="T12" i="26"/>
  <c r="S39" i="26"/>
  <c r="AH19" i="26"/>
  <c r="AG46" i="26"/>
  <c r="AE18" i="26"/>
  <c r="AD45" i="26"/>
  <c r="AC17" i="26"/>
  <c r="AB44" i="26"/>
  <c r="AA16" i="26"/>
  <c r="Z43" i="26"/>
  <c r="AB42" i="26"/>
  <c r="Z41" i="26"/>
  <c r="AA14" i="26"/>
  <c r="AD15" i="26"/>
  <c r="AC42" i="26"/>
  <c r="U11" i="26"/>
  <c r="X26" i="26"/>
  <c r="W12" i="28"/>
  <c r="W159" i="28"/>
  <c r="U7" i="31"/>
  <c r="T6" i="31"/>
  <c r="T14" i="28" s="1"/>
  <c r="T18" i="28" s="1"/>
  <c r="O50" i="26"/>
  <c r="X7" i="30" l="1"/>
  <c r="X11" i="28" s="1"/>
  <c r="X12" i="28" s="1"/>
  <c r="V10" i="28"/>
  <c r="V17" i="28" s="1"/>
  <c r="V159" i="28"/>
  <c r="V29" i="28" s="1"/>
  <c r="BU11" i="28"/>
  <c r="P50" i="26"/>
  <c r="W160" i="28"/>
  <c r="BU12" i="28"/>
  <c r="S40" i="26"/>
  <c r="T13" i="26"/>
  <c r="U12" i="26"/>
  <c r="T39" i="26"/>
  <c r="S25" i="26"/>
  <c r="R38" i="26"/>
  <c r="AI19" i="26"/>
  <c r="AH46" i="26"/>
  <c r="AF18" i="26"/>
  <c r="AE45" i="26"/>
  <c r="AC44" i="26"/>
  <c r="AD17" i="26"/>
  <c r="AB16" i="26"/>
  <c r="AA43" i="26"/>
  <c r="AA41" i="26"/>
  <c r="AB14" i="26"/>
  <c r="AD42" i="26"/>
  <c r="AE15" i="26"/>
  <c r="V11" i="26"/>
  <c r="Y26" i="26"/>
  <c r="W10" i="28"/>
  <c r="W29" i="28"/>
  <c r="Z8" i="30"/>
  <c r="Y7" i="30"/>
  <c r="Y11" i="28" s="1"/>
  <c r="V7" i="31"/>
  <c r="U6" i="31"/>
  <c r="U14" i="28" s="1"/>
  <c r="U18" i="28" s="1"/>
  <c r="BU29" i="28" l="1"/>
  <c r="X159" i="28"/>
  <c r="BU159" i="28"/>
  <c r="W17" i="28"/>
  <c r="BU17" i="28" s="1"/>
  <c r="BU10" i="28"/>
  <c r="X160" i="28"/>
  <c r="W30" i="28"/>
  <c r="BU30" i="28" s="1"/>
  <c r="BU160" i="28"/>
  <c r="U13" i="26"/>
  <c r="T40" i="26"/>
  <c r="V12" i="26"/>
  <c r="U39" i="26"/>
  <c r="T25" i="26"/>
  <c r="S38" i="26"/>
  <c r="AJ19" i="26"/>
  <c r="AI46" i="26"/>
  <c r="AG18" i="26"/>
  <c r="AF45" i="26"/>
  <c r="AD44" i="26"/>
  <c r="AE17" i="26"/>
  <c r="AB43" i="26"/>
  <c r="AC16" i="26"/>
  <c r="AF15" i="26"/>
  <c r="AE42" i="26"/>
  <c r="AC14" i="26"/>
  <c r="AB41" i="26"/>
  <c r="W11" i="26"/>
  <c r="Z26" i="26"/>
  <c r="X10" i="28"/>
  <c r="R49" i="26"/>
  <c r="AA8" i="30"/>
  <c r="Z7" i="30"/>
  <c r="Z11" i="28" s="1"/>
  <c r="Q50" i="26"/>
  <c r="W7" i="31"/>
  <c r="V6" i="31"/>
  <c r="V14" i="28" s="1"/>
  <c r="V18" i="28" s="1"/>
  <c r="Y12" i="28"/>
  <c r="Y160" i="28" s="1"/>
  <c r="Y30" i="28" s="1"/>
  <c r="Y159" i="28"/>
  <c r="X29" i="28"/>
  <c r="X17" i="28" l="1"/>
  <c r="T49" i="26" s="1"/>
  <c r="R50" i="26"/>
  <c r="S49" i="26"/>
  <c r="X30" i="28"/>
  <c r="W12" i="26"/>
  <c r="V39" i="26"/>
  <c r="U25" i="26"/>
  <c r="T38" i="26"/>
  <c r="V13" i="26"/>
  <c r="U40" i="26"/>
  <c r="AK19" i="26"/>
  <c r="AJ46" i="26"/>
  <c r="AH18" i="26"/>
  <c r="AG45" i="26"/>
  <c r="AF17" i="26"/>
  <c r="AE44" i="26"/>
  <c r="AD16" i="26"/>
  <c r="AC43" i="26"/>
  <c r="AD14" i="26"/>
  <c r="AC41" i="26"/>
  <c r="AG15" i="26"/>
  <c r="AF42" i="26"/>
  <c r="X11" i="26"/>
  <c r="AA26" i="26"/>
  <c r="Y10" i="28"/>
  <c r="Y29" i="28"/>
  <c r="Z12" i="28"/>
  <c r="Z160" i="28" s="1"/>
  <c r="Z30" i="28" s="1"/>
  <c r="Z159" i="28"/>
  <c r="X7" i="31"/>
  <c r="W6" i="31"/>
  <c r="W14" i="28" s="1"/>
  <c r="AB8" i="30"/>
  <c r="AA7" i="30"/>
  <c r="AA11" i="28" s="1"/>
  <c r="W18" i="28" l="1"/>
  <c r="BU18" i="28" s="1"/>
  <c r="Y17" i="28"/>
  <c r="U49" i="26" s="1"/>
  <c r="BU14" i="28"/>
  <c r="V25" i="26"/>
  <c r="U38" i="26"/>
  <c r="V40" i="26"/>
  <c r="W13" i="26"/>
  <c r="X12" i="26"/>
  <c r="W39" i="26"/>
  <c r="AL19" i="26"/>
  <c r="AK46" i="26"/>
  <c r="AH45" i="26"/>
  <c r="AI18" i="26"/>
  <c r="AG17" i="26"/>
  <c r="AF44" i="26"/>
  <c r="AD43" i="26"/>
  <c r="AE16" i="26"/>
  <c r="AD41" i="26"/>
  <c r="AE14" i="26"/>
  <c r="AH15" i="26"/>
  <c r="AG42" i="26"/>
  <c r="Y11" i="26"/>
  <c r="AB26" i="26"/>
  <c r="Z10" i="28"/>
  <c r="Y7" i="31"/>
  <c r="X6" i="31"/>
  <c r="X14" i="28" s="1"/>
  <c r="X18" i="28" s="1"/>
  <c r="AC8" i="30"/>
  <c r="AB7" i="30"/>
  <c r="AB11" i="28" s="1"/>
  <c r="Z29" i="28"/>
  <c r="AA12" i="28"/>
  <c r="AA160" i="28" s="1"/>
  <c r="AA30" i="28" s="1"/>
  <c r="AA159" i="28"/>
  <c r="Z17" i="28" l="1"/>
  <c r="V49" i="26" s="1"/>
  <c r="S50" i="26"/>
  <c r="T50" i="26"/>
  <c r="W40" i="26"/>
  <c r="X13" i="26"/>
  <c r="Y12" i="26"/>
  <c r="X39" i="26"/>
  <c r="W25" i="26"/>
  <c r="V38" i="26"/>
  <c r="AM19" i="26"/>
  <c r="AL46" i="26"/>
  <c r="AI45" i="26"/>
  <c r="AJ18" i="26"/>
  <c r="AH17" i="26"/>
  <c r="AG44" i="26"/>
  <c r="AF16" i="26"/>
  <c r="AE43" i="26"/>
  <c r="AF14" i="26"/>
  <c r="AE41" i="26"/>
  <c r="AI15" i="26"/>
  <c r="AH42" i="26"/>
  <c r="Z11" i="26"/>
  <c r="AC26" i="26"/>
  <c r="AA10" i="28"/>
  <c r="AD8" i="30"/>
  <c r="AC7" i="30"/>
  <c r="AC11" i="28" s="1"/>
  <c r="AA29" i="28"/>
  <c r="AB12" i="28"/>
  <c r="AB160" i="28" s="1"/>
  <c r="AB30" i="28" s="1"/>
  <c r="AB159" i="28"/>
  <c r="Z7" i="31"/>
  <c r="Y6" i="31"/>
  <c r="Y14" i="28" s="1"/>
  <c r="Y18" i="28" s="1"/>
  <c r="AA17" i="28" l="1"/>
  <c r="Z12" i="26"/>
  <c r="Y39" i="26"/>
  <c r="X40" i="26"/>
  <c r="Y13" i="26"/>
  <c r="X25" i="26"/>
  <c r="W38" i="26"/>
  <c r="AN19" i="26"/>
  <c r="AM46" i="26"/>
  <c r="AK18" i="26"/>
  <c r="AJ45" i="26"/>
  <c r="AI17" i="26"/>
  <c r="AH44" i="26"/>
  <c r="AF43" i="26"/>
  <c r="AG16" i="26"/>
  <c r="AG14" i="26"/>
  <c r="AF41" i="26"/>
  <c r="AJ15" i="26"/>
  <c r="AI42" i="26"/>
  <c r="AA11" i="26"/>
  <c r="AD26" i="26"/>
  <c r="U50" i="26"/>
  <c r="AB10" i="28"/>
  <c r="AC12" i="28"/>
  <c r="AC160" i="28" s="1"/>
  <c r="AC30" i="28" s="1"/>
  <c r="AC159" i="28"/>
  <c r="AA7" i="31"/>
  <c r="Z6" i="31"/>
  <c r="Z14" i="28" s="1"/>
  <c r="Z18" i="28" s="1"/>
  <c r="AB29" i="28"/>
  <c r="AE8" i="30"/>
  <c r="AD7" i="30"/>
  <c r="AD11" i="28" s="1"/>
  <c r="AB17" i="28" l="1"/>
  <c r="Y40" i="26"/>
  <c r="Z13" i="26"/>
  <c r="Y25" i="26"/>
  <c r="X38" i="26"/>
  <c r="AA12" i="26"/>
  <c r="Z39" i="26"/>
  <c r="AO19" i="26"/>
  <c r="AN46" i="26"/>
  <c r="AK45" i="26"/>
  <c r="AL18" i="26"/>
  <c r="AJ17" i="26"/>
  <c r="AI44" i="26"/>
  <c r="AH16" i="26"/>
  <c r="AG43" i="26"/>
  <c r="AK15" i="26"/>
  <c r="AJ42" i="26"/>
  <c r="AH14" i="26"/>
  <c r="AG41" i="26"/>
  <c r="AB11" i="26"/>
  <c r="AE26" i="26"/>
  <c r="AC10" i="28"/>
  <c r="AD12" i="28"/>
  <c r="AD160" i="28" s="1"/>
  <c r="AD30" i="28" s="1"/>
  <c r="AD159" i="28"/>
  <c r="AB7" i="31"/>
  <c r="AA6" i="31"/>
  <c r="AA14" i="28" s="1"/>
  <c r="AA18" i="28" s="1"/>
  <c r="W49" i="26"/>
  <c r="V50" i="26"/>
  <c r="AF8" i="30"/>
  <c r="AE7" i="30"/>
  <c r="AE11" i="28" s="1"/>
  <c r="AC29" i="28"/>
  <c r="AC17" i="28" l="1"/>
  <c r="Z25" i="26"/>
  <c r="Y38" i="26"/>
  <c r="Z40" i="26"/>
  <c r="AA13" i="26"/>
  <c r="AB12" i="26"/>
  <c r="AA39" i="26"/>
  <c r="AP19" i="26"/>
  <c r="AO46" i="26"/>
  <c r="AM18" i="26"/>
  <c r="AL45" i="26"/>
  <c r="AK17" i="26"/>
  <c r="AJ44" i="26"/>
  <c r="AH43" i="26"/>
  <c r="AI16" i="26"/>
  <c r="AI14" i="26"/>
  <c r="AH41" i="26"/>
  <c r="AL15" i="26"/>
  <c r="AK42" i="26"/>
  <c r="AC11" i="26"/>
  <c r="AF26" i="26"/>
  <c r="AD10" i="28"/>
  <c r="X49" i="26"/>
  <c r="AE12" i="28"/>
  <c r="AE160" i="28" s="1"/>
  <c r="AE30" i="28" s="1"/>
  <c r="AE159" i="28"/>
  <c r="AG8" i="30"/>
  <c r="AF7" i="30"/>
  <c r="AF11" i="28" s="1"/>
  <c r="AC7" i="31"/>
  <c r="AB6" i="31"/>
  <c r="AB14" i="28" s="1"/>
  <c r="AB18" i="28" s="1"/>
  <c r="AD29" i="28"/>
  <c r="AD17" i="28" l="1"/>
  <c r="Z49" i="26" s="1"/>
  <c r="W50" i="26"/>
  <c r="AB13" i="26"/>
  <c r="AA40" i="26"/>
  <c r="AC12" i="26"/>
  <c r="AB39" i="26"/>
  <c r="AA25" i="26"/>
  <c r="Z38" i="26"/>
  <c r="AQ19" i="26"/>
  <c r="AP46" i="26"/>
  <c r="AN18" i="26"/>
  <c r="AM45" i="26"/>
  <c r="AL17" i="26"/>
  <c r="AK44" i="26"/>
  <c r="AJ16" i="26"/>
  <c r="AI43" i="26"/>
  <c r="AM15" i="26"/>
  <c r="AL42" i="26"/>
  <c r="AJ14" i="26"/>
  <c r="AI41" i="26"/>
  <c r="AD11" i="26"/>
  <c r="AG26" i="26"/>
  <c r="AF12" i="28"/>
  <c r="AF160" i="28" s="1"/>
  <c r="AF30" i="28" s="1"/>
  <c r="AF159" i="28"/>
  <c r="AE10" i="28"/>
  <c r="AH8" i="30"/>
  <c r="AG7" i="30"/>
  <c r="AG11" i="28" s="1"/>
  <c r="AD7" i="31"/>
  <c r="AC6" i="31"/>
  <c r="AC14" i="28" s="1"/>
  <c r="AC18" i="28" s="1"/>
  <c r="AE29" i="28"/>
  <c r="Y49" i="26"/>
  <c r="AE17" i="28" l="1"/>
  <c r="Y50" i="26"/>
  <c r="X50" i="26"/>
  <c r="AD12" i="26"/>
  <c r="AC39" i="26"/>
  <c r="AB25" i="26"/>
  <c r="AA38" i="26"/>
  <c r="AB40" i="26"/>
  <c r="AC13" i="26"/>
  <c r="AR19" i="26"/>
  <c r="AQ46" i="26"/>
  <c r="AO18" i="26"/>
  <c r="AN45" i="26"/>
  <c r="AM17" i="26"/>
  <c r="AL44" i="26"/>
  <c r="AJ43" i="26"/>
  <c r="AK16" i="26"/>
  <c r="AN15" i="26"/>
  <c r="AM42" i="26"/>
  <c r="AK14" i="26"/>
  <c r="AJ41" i="26"/>
  <c r="AE11" i="26"/>
  <c r="AH26" i="26"/>
  <c r="AF10" i="28"/>
  <c r="AG12" i="28"/>
  <c r="AG160" i="28" s="1"/>
  <c r="AG30" i="28" s="1"/>
  <c r="AG159" i="28"/>
  <c r="AF29" i="28"/>
  <c r="AI8" i="30"/>
  <c r="AH7" i="30"/>
  <c r="AH11" i="28" s="1"/>
  <c r="AE7" i="31"/>
  <c r="AD6" i="31"/>
  <c r="AD14" i="28" s="1"/>
  <c r="AD18" i="28" s="1"/>
  <c r="AF17" i="28" l="1"/>
  <c r="AB49" i="26" s="1"/>
  <c r="AC25" i="26"/>
  <c r="AB38" i="26"/>
  <c r="AD13" i="26"/>
  <c r="AC40" i="26"/>
  <c r="AE12" i="26"/>
  <c r="AD39" i="26"/>
  <c r="AS19" i="26"/>
  <c r="AR46" i="26"/>
  <c r="AP18" i="26"/>
  <c r="AO45" i="26"/>
  <c r="AN17" i="26"/>
  <c r="AM44" i="26"/>
  <c r="AK43" i="26"/>
  <c r="AL16" i="26"/>
  <c r="AL14" i="26"/>
  <c r="AK41" i="26"/>
  <c r="AO15" i="26"/>
  <c r="AN42" i="26"/>
  <c r="AF11" i="26"/>
  <c r="AI26" i="26"/>
  <c r="AG10" i="28"/>
  <c r="Z50" i="26"/>
  <c r="AJ8" i="30"/>
  <c r="AI7" i="30"/>
  <c r="AI11" i="28" s="1"/>
  <c r="BV11" i="28" s="1"/>
  <c r="AA49" i="26"/>
  <c r="AF7" i="31"/>
  <c r="AE6" i="31"/>
  <c r="AE14" i="28" s="1"/>
  <c r="AE18" i="28" s="1"/>
  <c r="AG29" i="28"/>
  <c r="AH12" i="28"/>
  <c r="AH160" i="28" s="1"/>
  <c r="AH30" i="28" s="1"/>
  <c r="AH159" i="28"/>
  <c r="AG17" i="28" l="1"/>
  <c r="AC49" i="26" s="1"/>
  <c r="AA50" i="26"/>
  <c r="AE13" i="26"/>
  <c r="AD40" i="26"/>
  <c r="AF12" i="26"/>
  <c r="AE39" i="26"/>
  <c r="AD25" i="26"/>
  <c r="AC38" i="26"/>
  <c r="AS46" i="26"/>
  <c r="AT19" i="26"/>
  <c r="AQ18" i="26"/>
  <c r="AP45" i="26"/>
  <c r="AO17" i="26"/>
  <c r="AN44" i="26"/>
  <c r="AM16" i="26"/>
  <c r="AL43" i="26"/>
  <c r="AP15" i="26"/>
  <c r="AO42" i="26"/>
  <c r="AM14" i="26"/>
  <c r="AL41" i="26"/>
  <c r="AG11" i="26"/>
  <c r="AJ26" i="26"/>
  <c r="AH10" i="28"/>
  <c r="AG7" i="31"/>
  <c r="AF6" i="31"/>
  <c r="AF14" i="28" s="1"/>
  <c r="AF18" i="28" s="1"/>
  <c r="AH29" i="28"/>
  <c r="AI12" i="28"/>
  <c r="AI159" i="28"/>
  <c r="BV159" i="28" s="1"/>
  <c r="AK8" i="30"/>
  <c r="AJ7" i="30"/>
  <c r="AJ11" i="28" s="1"/>
  <c r="AH17" i="28" l="1"/>
  <c r="AI160" i="28"/>
  <c r="BV12" i="28"/>
  <c r="AG12" i="26"/>
  <c r="AF39" i="26"/>
  <c r="AE25" i="26"/>
  <c r="AD38" i="26"/>
  <c r="AF13" i="26"/>
  <c r="AE40" i="26"/>
  <c r="AU19" i="26"/>
  <c r="AT46" i="26"/>
  <c r="AQ45" i="26"/>
  <c r="AR18" i="26"/>
  <c r="AP17" i="26"/>
  <c r="AO44" i="26"/>
  <c r="AN16" i="26"/>
  <c r="AM43" i="26"/>
  <c r="AQ15" i="26"/>
  <c r="AP42" i="26"/>
  <c r="AN14" i="26"/>
  <c r="AM41" i="26"/>
  <c r="AH11" i="26"/>
  <c r="AK26" i="26"/>
  <c r="AJ12" i="28"/>
  <c r="AJ159" i="28"/>
  <c r="AL8" i="30"/>
  <c r="AK7" i="30"/>
  <c r="AK11" i="28" s="1"/>
  <c r="AI29" i="28"/>
  <c r="BV29" i="28" s="1"/>
  <c r="AB50" i="26"/>
  <c r="AI10" i="28"/>
  <c r="AH7" i="31"/>
  <c r="AG6" i="31"/>
  <c r="AG14" i="28" s="1"/>
  <c r="AG18" i="28" s="1"/>
  <c r="AI17" i="28" l="1"/>
  <c r="BV17" i="28" s="1"/>
  <c r="AJ160" i="28"/>
  <c r="BV10" i="28"/>
  <c r="AI30" i="28"/>
  <c r="BV30" i="28" s="1"/>
  <c r="BV160" i="28"/>
  <c r="AF25" i="26"/>
  <c r="AE38" i="26"/>
  <c r="AG13" i="26"/>
  <c r="AF40" i="26"/>
  <c r="AH12" i="26"/>
  <c r="AG39" i="26"/>
  <c r="AV19" i="26"/>
  <c r="AU46" i="26"/>
  <c r="AR45" i="26"/>
  <c r="AS18" i="26"/>
  <c r="AQ17" i="26"/>
  <c r="AP44" i="26"/>
  <c r="AO16" i="26"/>
  <c r="AN43" i="26"/>
  <c r="AO14" i="26"/>
  <c r="AN41" i="26"/>
  <c r="AR15" i="26"/>
  <c r="AQ42" i="26"/>
  <c r="AI11" i="26"/>
  <c r="AL26" i="26"/>
  <c r="AJ10" i="28"/>
  <c r="AI7" i="31"/>
  <c r="AH6" i="31"/>
  <c r="AH14" i="28" s="1"/>
  <c r="AH18" i="28" s="1"/>
  <c r="AJ29" i="28"/>
  <c r="AC50" i="26"/>
  <c r="AK12" i="28"/>
  <c r="AK160" i="28" s="1"/>
  <c r="AK30" i="28" s="1"/>
  <c r="AK159" i="28"/>
  <c r="AD49" i="26"/>
  <c r="AM8" i="30"/>
  <c r="AL7" i="30"/>
  <c r="AL11" i="28" s="1"/>
  <c r="AJ17" i="28" l="1"/>
  <c r="AF49" i="26" s="1"/>
  <c r="AD50" i="26"/>
  <c r="AJ30" i="28"/>
  <c r="AH13" i="26"/>
  <c r="AG40" i="26"/>
  <c r="AI12" i="26"/>
  <c r="AH39" i="26"/>
  <c r="AG25" i="26"/>
  <c r="AF38" i="26"/>
  <c r="AW19" i="26"/>
  <c r="AV46" i="26"/>
  <c r="AT18" i="26"/>
  <c r="AS45" i="26"/>
  <c r="AR17" i="26"/>
  <c r="AQ44" i="26"/>
  <c r="AP16" i="26"/>
  <c r="AO43" i="26"/>
  <c r="AP14" i="26"/>
  <c r="AO41" i="26"/>
  <c r="AS15" i="26"/>
  <c r="AR42" i="26"/>
  <c r="AJ11" i="26"/>
  <c r="AM26" i="26"/>
  <c r="AK10" i="28"/>
  <c r="AL12" i="28"/>
  <c r="AL159" i="28"/>
  <c r="AN8" i="30"/>
  <c r="AM7" i="30"/>
  <c r="AM11" i="28" s="1"/>
  <c r="AE49" i="26"/>
  <c r="AK29" i="28"/>
  <c r="AJ7" i="31"/>
  <c r="AI6" i="31"/>
  <c r="AI14" i="28" s="1"/>
  <c r="AI18" i="28" s="1"/>
  <c r="AK17" i="28" l="1"/>
  <c r="AG49" i="26" s="1"/>
  <c r="BV18" i="28"/>
  <c r="AE50" i="26"/>
  <c r="BV14" i="28"/>
  <c r="AL160" i="28"/>
  <c r="AJ12" i="26"/>
  <c r="AI39" i="26"/>
  <c r="AH25" i="26"/>
  <c r="AG38" i="26"/>
  <c r="AI13" i="26"/>
  <c r="AH40" i="26"/>
  <c r="AX19" i="26"/>
  <c r="AW46" i="26"/>
  <c r="AU18" i="26"/>
  <c r="AT45" i="26"/>
  <c r="AR44" i="26"/>
  <c r="AS17" i="26"/>
  <c r="AP43" i="26"/>
  <c r="AQ16" i="26"/>
  <c r="AQ14" i="26"/>
  <c r="AP41" i="26"/>
  <c r="AT15" i="26"/>
  <c r="AS42" i="26"/>
  <c r="AK11" i="26"/>
  <c r="AN26" i="26"/>
  <c r="AK7" i="31"/>
  <c r="AJ6" i="31"/>
  <c r="AJ14" i="28" s="1"/>
  <c r="AJ18" i="28" s="1"/>
  <c r="AM12" i="28"/>
  <c r="AM160" i="28" s="1"/>
  <c r="AM30" i="28" s="1"/>
  <c r="AM159" i="28"/>
  <c r="AL29" i="28"/>
  <c r="AO8" i="30"/>
  <c r="AN7" i="30"/>
  <c r="AN11" i="28" s="1"/>
  <c r="AL10" i="28"/>
  <c r="AL17" i="28" l="1"/>
  <c r="AF50" i="26"/>
  <c r="AL30" i="28"/>
  <c r="AI25" i="26"/>
  <c r="AH38" i="26"/>
  <c r="AI40" i="26"/>
  <c r="AJ13" i="26"/>
  <c r="AK12" i="26"/>
  <c r="AJ39" i="26"/>
  <c r="AY19" i="26"/>
  <c r="AX46" i="26"/>
  <c r="AV18" i="26"/>
  <c r="AU45" i="26"/>
  <c r="AT17" i="26"/>
  <c r="AS44" i="26"/>
  <c r="AR16" i="26"/>
  <c r="AQ43" i="26"/>
  <c r="AT42" i="26"/>
  <c r="AU15" i="26"/>
  <c r="AR14" i="26"/>
  <c r="AQ41" i="26"/>
  <c r="AL11" i="26"/>
  <c r="AO26" i="26"/>
  <c r="AM29" i="28"/>
  <c r="AN12" i="28"/>
  <c r="AN159" i="28"/>
  <c r="AP8" i="30"/>
  <c r="AO7" i="30"/>
  <c r="AO11" i="28" s="1"/>
  <c r="AM10" i="28"/>
  <c r="AL7" i="31"/>
  <c r="AK6" i="31"/>
  <c r="AK14" i="28" s="1"/>
  <c r="AK18" i="28" s="1"/>
  <c r="AM17" i="28" l="1"/>
  <c r="AN160" i="28"/>
  <c r="AK13" i="26"/>
  <c r="AJ40" i="26"/>
  <c r="AL12" i="26"/>
  <c r="AK39" i="26"/>
  <c r="AJ25" i="26"/>
  <c r="AI38" i="26"/>
  <c r="AZ19" i="26"/>
  <c r="AY46" i="26"/>
  <c r="AW18" i="26"/>
  <c r="AV45" i="26"/>
  <c r="AU17" i="26"/>
  <c r="AT44" i="26"/>
  <c r="AS16" i="26"/>
  <c r="AR43" i="26"/>
  <c r="AV15" i="26"/>
  <c r="AU42" i="26"/>
  <c r="AS14" i="26"/>
  <c r="AR41" i="26"/>
  <c r="AM11" i="26"/>
  <c r="AP26" i="26"/>
  <c r="AO12" i="28"/>
  <c r="AO160" i="28" s="1"/>
  <c r="AO30" i="28" s="1"/>
  <c r="AO159" i="28"/>
  <c r="AG50" i="26"/>
  <c r="AN10" i="28"/>
  <c r="AM7" i="31"/>
  <c r="AL6" i="31"/>
  <c r="AL14" i="28" s="1"/>
  <c r="AL18" i="28" s="1"/>
  <c r="AQ8" i="30"/>
  <c r="AP7" i="30"/>
  <c r="AP11" i="28" s="1"/>
  <c r="AN29" i="28"/>
  <c r="AH49" i="26"/>
  <c r="AN17" i="28" l="1"/>
  <c r="AH50" i="26"/>
  <c r="AN30" i="28"/>
  <c r="AM12" i="26"/>
  <c r="AL39" i="26"/>
  <c r="AK25" i="26"/>
  <c r="AJ38" i="26"/>
  <c r="AL13" i="26"/>
  <c r="AK40" i="26"/>
  <c r="BA19" i="26"/>
  <c r="AZ46" i="26"/>
  <c r="AX18" i="26"/>
  <c r="AW45" i="26"/>
  <c r="AV17" i="26"/>
  <c r="AU44" i="26"/>
  <c r="AS43" i="26"/>
  <c r="AT16" i="26"/>
  <c r="AW15" i="26"/>
  <c r="AV42" i="26"/>
  <c r="AT14" i="26"/>
  <c r="AS41" i="26"/>
  <c r="AN11" i="26"/>
  <c r="AQ26" i="26"/>
  <c r="AO10" i="28"/>
  <c r="AP159" i="28"/>
  <c r="AP12" i="28"/>
  <c r="AP160" i="28" s="1"/>
  <c r="AP30" i="28" s="1"/>
  <c r="AN7" i="31"/>
  <c r="AM6" i="31"/>
  <c r="AM14" i="28" s="1"/>
  <c r="AM18" i="28" s="1"/>
  <c r="AR8" i="30"/>
  <c r="AQ7" i="30"/>
  <c r="AQ11" i="28" s="1"/>
  <c r="AO29" i="28"/>
  <c r="AI49" i="26"/>
  <c r="AO17" i="28" l="1"/>
  <c r="AK49" i="26" s="1"/>
  <c r="AI50" i="26"/>
  <c r="AL25" i="26"/>
  <c r="AK38" i="26"/>
  <c r="AM13" i="26"/>
  <c r="AL40" i="26"/>
  <c r="AN12" i="26"/>
  <c r="AM39" i="26"/>
  <c r="BA46" i="26"/>
  <c r="BB19" i="26"/>
  <c r="AY18" i="26"/>
  <c r="AX45" i="26"/>
  <c r="AW17" i="26"/>
  <c r="AV44" i="26"/>
  <c r="AU16" i="26"/>
  <c r="AT43" i="26"/>
  <c r="AU14" i="26"/>
  <c r="AT41" i="26"/>
  <c r="AX15" i="26"/>
  <c r="AW42" i="26"/>
  <c r="AO11" i="26"/>
  <c r="AR26" i="26"/>
  <c r="AJ49" i="26"/>
  <c r="AP29" i="28"/>
  <c r="AS8" i="30"/>
  <c r="AR7" i="30"/>
  <c r="AR11" i="28" s="1"/>
  <c r="AO7" i="31"/>
  <c r="AN6" i="31"/>
  <c r="AN14" i="28" s="1"/>
  <c r="AN18" i="28" s="1"/>
  <c r="AQ12" i="28"/>
  <c r="AQ160" i="28" s="1"/>
  <c r="AQ30" i="28" s="1"/>
  <c r="AQ159" i="28"/>
  <c r="AP10" i="28"/>
  <c r="AP17" i="28" l="1"/>
  <c r="AJ50" i="26"/>
  <c r="AN13" i="26"/>
  <c r="AM40" i="26"/>
  <c r="AO12" i="26"/>
  <c r="AN39" i="26"/>
  <c r="AM25" i="26"/>
  <c r="AL38" i="26"/>
  <c r="BC19" i="26"/>
  <c r="BB46" i="26"/>
  <c r="AZ18" i="26"/>
  <c r="AY45" i="26"/>
  <c r="AX17" i="26"/>
  <c r="AW44" i="26"/>
  <c r="AU43" i="26"/>
  <c r="AV16" i="26"/>
  <c r="AX42" i="26"/>
  <c r="AY15" i="26"/>
  <c r="AV14" i="26"/>
  <c r="AU41" i="26"/>
  <c r="AP11" i="26"/>
  <c r="AS26" i="26"/>
  <c r="AQ29" i="28"/>
  <c r="AR12" i="28"/>
  <c r="AR160" i="28" s="1"/>
  <c r="AR30" i="28" s="1"/>
  <c r="AR159" i="28"/>
  <c r="AQ10" i="28"/>
  <c r="AT8" i="30"/>
  <c r="AS7" i="30"/>
  <c r="AS11" i="28" s="1"/>
  <c r="AP7" i="31"/>
  <c r="AO6" i="31"/>
  <c r="AO14" i="28" s="1"/>
  <c r="AO18" i="28" s="1"/>
  <c r="AQ17" i="28" l="1"/>
  <c r="AP12" i="26"/>
  <c r="AO39" i="26"/>
  <c r="AN25" i="26"/>
  <c r="AM38" i="26"/>
  <c r="AO13" i="26"/>
  <c r="AN40" i="26"/>
  <c r="BC46" i="26"/>
  <c r="BD19" i="26"/>
  <c r="BA18" i="26"/>
  <c r="AZ45" i="26"/>
  <c r="AY17" i="26"/>
  <c r="AX44" i="26"/>
  <c r="AW16" i="26"/>
  <c r="AV43" i="26"/>
  <c r="AZ15" i="26"/>
  <c r="AY42" i="26"/>
  <c r="AW14" i="26"/>
  <c r="AV41" i="26"/>
  <c r="AQ11" i="26"/>
  <c r="AT26" i="26"/>
  <c r="AQ7" i="31"/>
  <c r="AP6" i="31"/>
  <c r="AP14" i="28" s="1"/>
  <c r="AP18" i="28" s="1"/>
  <c r="AS12" i="28"/>
  <c r="AS160" i="28" s="1"/>
  <c r="AS30" i="28" s="1"/>
  <c r="AS159" i="28"/>
  <c r="AL49" i="26"/>
  <c r="AR29" i="28"/>
  <c r="AU8" i="30"/>
  <c r="AT7" i="30"/>
  <c r="AT11" i="28" s="1"/>
  <c r="AK50" i="26"/>
  <c r="AR10" i="28"/>
  <c r="AR17" i="28" l="1"/>
  <c r="AL50" i="26"/>
  <c r="AO25" i="26"/>
  <c r="AN38" i="26"/>
  <c r="AP13" i="26"/>
  <c r="AO40" i="26"/>
  <c r="AQ12" i="26"/>
  <c r="AP39" i="26"/>
  <c r="BE19" i="26"/>
  <c r="BD46" i="26"/>
  <c r="BB18" i="26"/>
  <c r="BA45" i="26"/>
  <c r="AZ17" i="26"/>
  <c r="AY44" i="26"/>
  <c r="AX16" i="26"/>
  <c r="AW43" i="26"/>
  <c r="AX14" i="26"/>
  <c r="AW41" i="26"/>
  <c r="BA15" i="26"/>
  <c r="AZ42" i="26"/>
  <c r="AR11" i="26"/>
  <c r="AU26" i="26"/>
  <c r="AS10" i="28"/>
  <c r="AT12" i="28"/>
  <c r="AT160" i="28" s="1"/>
  <c r="AT30" i="28" s="1"/>
  <c r="AT159" i="28"/>
  <c r="AV8" i="30"/>
  <c r="AU7" i="30"/>
  <c r="AU11" i="28" s="1"/>
  <c r="BW11" i="28" s="1"/>
  <c r="AS29" i="28"/>
  <c r="AR7" i="31"/>
  <c r="AQ6" i="31"/>
  <c r="AQ14" i="28" s="1"/>
  <c r="AQ18" i="28" s="1"/>
  <c r="AM49" i="26"/>
  <c r="AS17" i="28" l="1"/>
  <c r="AO49" i="26" s="1"/>
  <c r="AM50" i="26"/>
  <c r="AQ13" i="26"/>
  <c r="AP40" i="26"/>
  <c r="AR12" i="26"/>
  <c r="AQ39" i="26"/>
  <c r="AP25" i="26"/>
  <c r="AO38" i="26"/>
  <c r="BE46" i="26"/>
  <c r="BF19" i="26"/>
  <c r="BB45" i="26"/>
  <c r="BC18" i="26"/>
  <c r="AZ44" i="26"/>
  <c r="BA17" i="26"/>
  <c r="AY16" i="26"/>
  <c r="AX43" i="26"/>
  <c r="BB15" i="26"/>
  <c r="BA42" i="26"/>
  <c r="AY14" i="26"/>
  <c r="AX41" i="26"/>
  <c r="AS11" i="26"/>
  <c r="AV26" i="26"/>
  <c r="AT10" i="28"/>
  <c r="AN49" i="26"/>
  <c r="AU12" i="28"/>
  <c r="AU159" i="28"/>
  <c r="BW159" i="28" s="1"/>
  <c r="AS7" i="31"/>
  <c r="AR6" i="31"/>
  <c r="AR14" i="28" s="1"/>
  <c r="AR18" i="28" s="1"/>
  <c r="AW8" i="30"/>
  <c r="AV7" i="30"/>
  <c r="AV11" i="28" s="1"/>
  <c r="AT29" i="28"/>
  <c r="AT17" i="28" l="1"/>
  <c r="AP49" i="26" s="1"/>
  <c r="AN50" i="26"/>
  <c r="AU160" i="28"/>
  <c r="BW12" i="28"/>
  <c r="AS12" i="26"/>
  <c r="AR39" i="26"/>
  <c r="AQ25" i="26"/>
  <c r="AP38" i="26"/>
  <c r="AR13" i="26"/>
  <c r="AQ40" i="26"/>
  <c r="BG19" i="26"/>
  <c r="BF46" i="26"/>
  <c r="BC45" i="26"/>
  <c r="BD18" i="26"/>
  <c r="BB17" i="26"/>
  <c r="BA44" i="26"/>
  <c r="AZ16" i="26"/>
  <c r="AY43" i="26"/>
  <c r="BB42" i="26"/>
  <c r="BC15" i="26"/>
  <c r="AZ14" i="26"/>
  <c r="AY41" i="26"/>
  <c r="AT11" i="26"/>
  <c r="AW26" i="26"/>
  <c r="AU10" i="28"/>
  <c r="AV159" i="28"/>
  <c r="AV12" i="28"/>
  <c r="AU29" i="28"/>
  <c r="BW29" i="28" s="1"/>
  <c r="AX8" i="30"/>
  <c r="AW7" i="30"/>
  <c r="AW11" i="28" s="1"/>
  <c r="AT7" i="31"/>
  <c r="AS6" i="31"/>
  <c r="AS14" i="28" s="1"/>
  <c r="AS18" i="28" s="1"/>
  <c r="AU17" i="28" l="1"/>
  <c r="BW17" i="28" s="1"/>
  <c r="AV160" i="28"/>
  <c r="BW10" i="28"/>
  <c r="AU30" i="28"/>
  <c r="BW30" i="28" s="1"/>
  <c r="BW160" i="28"/>
  <c r="AR25" i="26"/>
  <c r="AQ38" i="26"/>
  <c r="AS13" i="26"/>
  <c r="AR40" i="26"/>
  <c r="AT12" i="26"/>
  <c r="AS39" i="26"/>
  <c r="BH19" i="26"/>
  <c r="BG46" i="26"/>
  <c r="BE18" i="26"/>
  <c r="BD45" i="26"/>
  <c r="BC17" i="26"/>
  <c r="BB44" i="26"/>
  <c r="BA16" i="26"/>
  <c r="AZ43" i="26"/>
  <c r="BA14" i="26"/>
  <c r="AZ41" i="26"/>
  <c r="BD15" i="26"/>
  <c r="BC42" i="26"/>
  <c r="AU11" i="26"/>
  <c r="AX26" i="26"/>
  <c r="AV10" i="28"/>
  <c r="AW12" i="28"/>
  <c r="AW160" i="28" s="1"/>
  <c r="AW30" i="28" s="1"/>
  <c r="AW159" i="28"/>
  <c r="AV29" i="28"/>
  <c r="AY8" i="30"/>
  <c r="AX7" i="30"/>
  <c r="AX11" i="28" s="1"/>
  <c r="AO50" i="26"/>
  <c r="AU7" i="31"/>
  <c r="AT6" i="31"/>
  <c r="AT14" i="28" s="1"/>
  <c r="AT18" i="28" s="1"/>
  <c r="AV17" i="28" l="1"/>
  <c r="AR49" i="26" s="1"/>
  <c r="AQ49" i="26"/>
  <c r="AV30" i="28"/>
  <c r="AT13" i="26"/>
  <c r="AS40" i="26"/>
  <c r="AU12" i="26"/>
  <c r="AT39" i="26"/>
  <c r="AS25" i="26"/>
  <c r="AR38" i="26"/>
  <c r="BI19" i="26"/>
  <c r="BH46" i="26"/>
  <c r="BF18" i="26"/>
  <c r="BE45" i="26"/>
  <c r="BD17" i="26"/>
  <c r="BC44" i="26"/>
  <c r="BB16" i="26"/>
  <c r="BA43" i="26"/>
  <c r="BE15" i="26"/>
  <c r="BD42" i="26"/>
  <c r="BB14" i="26"/>
  <c r="BA41" i="26"/>
  <c r="AV11" i="26"/>
  <c r="AY26" i="26"/>
  <c r="AW10" i="28"/>
  <c r="AP50" i="26"/>
  <c r="AW29" i="28"/>
  <c r="AV7" i="31"/>
  <c r="AU6" i="31"/>
  <c r="AU14" i="28" s="1"/>
  <c r="AX12" i="28"/>
  <c r="AX159" i="28"/>
  <c r="AZ8" i="30"/>
  <c r="AY7" i="30"/>
  <c r="AY11" i="28" s="1"/>
  <c r="AU18" i="28" l="1"/>
  <c r="BW18" i="28" s="1"/>
  <c r="AW17" i="28"/>
  <c r="AS49" i="26" s="1"/>
  <c r="BW14" i="28"/>
  <c r="AX160" i="28"/>
  <c r="AV12" i="26"/>
  <c r="AU39" i="26"/>
  <c r="AT25" i="26"/>
  <c r="AS38" i="26"/>
  <c r="AU13" i="26"/>
  <c r="AT40" i="26"/>
  <c r="BJ19" i="26"/>
  <c r="BI46" i="26"/>
  <c r="BF45" i="26"/>
  <c r="BG18" i="26"/>
  <c r="BE17" i="26"/>
  <c r="BD44" i="26"/>
  <c r="BC16" i="26"/>
  <c r="BB43" i="26"/>
  <c r="BC14" i="26"/>
  <c r="BB41" i="26"/>
  <c r="BF15" i="26"/>
  <c r="BE42" i="26"/>
  <c r="AW11" i="26"/>
  <c r="AZ26" i="26"/>
  <c r="AY12" i="28"/>
  <c r="AY160" i="28" s="1"/>
  <c r="AY30" i="28" s="1"/>
  <c r="AY159" i="28"/>
  <c r="AX29" i="28"/>
  <c r="BA8" i="30"/>
  <c r="AZ7" i="30"/>
  <c r="AZ11" i="28" s="1"/>
  <c r="AX10" i="28"/>
  <c r="AW7" i="31"/>
  <c r="AV6" i="31"/>
  <c r="AV14" i="28" s="1"/>
  <c r="AV18" i="28" s="1"/>
  <c r="AQ50" i="26" l="1"/>
  <c r="AX17" i="28"/>
  <c r="AX30" i="28"/>
  <c r="AU25" i="26"/>
  <c r="AT38" i="26"/>
  <c r="AU40" i="26"/>
  <c r="AV13" i="26"/>
  <c r="AW12" i="26"/>
  <c r="AV39" i="26"/>
  <c r="BK19" i="26"/>
  <c r="BJ46" i="26"/>
  <c r="BH18" i="26"/>
  <c r="BG45" i="26"/>
  <c r="BF17" i="26"/>
  <c r="BE44" i="26"/>
  <c r="BC43" i="26"/>
  <c r="BD16" i="26"/>
  <c r="BG15" i="26"/>
  <c r="BF42" i="26"/>
  <c r="BD14" i="26"/>
  <c r="BC41" i="26"/>
  <c r="AX11" i="26"/>
  <c r="BA26" i="26"/>
  <c r="AY10" i="28"/>
  <c r="BB8" i="30"/>
  <c r="BA7" i="30"/>
  <c r="BA11" i="28" s="1"/>
  <c r="AY29" i="28"/>
  <c r="AX7" i="31"/>
  <c r="AW6" i="31"/>
  <c r="AW14" i="28" s="1"/>
  <c r="AW18" i="28" s="1"/>
  <c r="AZ12" i="28"/>
  <c r="AZ159" i="28"/>
  <c r="AR50" i="26"/>
  <c r="AY17" i="28" l="1"/>
  <c r="AU49" i="26" s="1"/>
  <c r="AZ160" i="28"/>
  <c r="AW13" i="26"/>
  <c r="AV40" i="26"/>
  <c r="AX12" i="26"/>
  <c r="AW39" i="26"/>
  <c r="AV25" i="26"/>
  <c r="AU38" i="26"/>
  <c r="BK46" i="26"/>
  <c r="BL19" i="26"/>
  <c r="BI18" i="26"/>
  <c r="BH45" i="26"/>
  <c r="BG17" i="26"/>
  <c r="BF44" i="26"/>
  <c r="BE16" i="26"/>
  <c r="BD43" i="26"/>
  <c r="BE14" i="26"/>
  <c r="BD41" i="26"/>
  <c r="BH15" i="26"/>
  <c r="BG42" i="26"/>
  <c r="AY11" i="26"/>
  <c r="BB26" i="26"/>
  <c r="AZ10" i="28"/>
  <c r="AZ29" i="28"/>
  <c r="AS50" i="26"/>
  <c r="BA12" i="28"/>
  <c r="BA160" i="28" s="1"/>
  <c r="BA30" i="28" s="1"/>
  <c r="BA159" i="28"/>
  <c r="BC8" i="30"/>
  <c r="BB7" i="30"/>
  <c r="BB11" i="28" s="1"/>
  <c r="AT49" i="26"/>
  <c r="AY7" i="31"/>
  <c r="AX6" i="31"/>
  <c r="AX14" i="28" s="1"/>
  <c r="AX18" i="28" s="1"/>
  <c r="AZ17" i="28" l="1"/>
  <c r="AV49" i="26" s="1"/>
  <c r="AZ30" i="28"/>
  <c r="AY12" i="26"/>
  <c r="AX39" i="26"/>
  <c r="AW25" i="26"/>
  <c r="AV38" i="26"/>
  <c r="AW40" i="26"/>
  <c r="AX13" i="26"/>
  <c r="BM19" i="26"/>
  <c r="BL46" i="26"/>
  <c r="BI45" i="26"/>
  <c r="BJ18" i="26"/>
  <c r="BH17" i="26"/>
  <c r="BG44" i="26"/>
  <c r="BF16" i="26"/>
  <c r="BE43" i="26"/>
  <c r="BH42" i="26"/>
  <c r="BI15" i="26"/>
  <c r="BF14" i="26"/>
  <c r="BE41" i="26"/>
  <c r="AZ11" i="26"/>
  <c r="BC26" i="26"/>
  <c r="BA10" i="28"/>
  <c r="BD8" i="30"/>
  <c r="BC7" i="30"/>
  <c r="BC11" i="28" s="1"/>
  <c r="BB12" i="28"/>
  <c r="BB160" i="28" s="1"/>
  <c r="BB30" i="28" s="1"/>
  <c r="BB159" i="28"/>
  <c r="BA29" i="28"/>
  <c r="AZ7" i="31"/>
  <c r="AY6" i="31"/>
  <c r="AY14" i="28" s="1"/>
  <c r="AY18" i="28" s="1"/>
  <c r="BA17" i="28" l="1"/>
  <c r="AW49" i="26" s="1"/>
  <c r="AT50" i="26"/>
  <c r="AX25" i="26"/>
  <c r="AW38" i="26"/>
  <c r="AY13" i="26"/>
  <c r="AX40" i="26"/>
  <c r="AZ12" i="26"/>
  <c r="AY39" i="26"/>
  <c r="BN19" i="26"/>
  <c r="BM46" i="26"/>
  <c r="BK18" i="26"/>
  <c r="BJ45" i="26"/>
  <c r="BH44" i="26"/>
  <c r="BI17" i="26"/>
  <c r="BF43" i="26"/>
  <c r="BG16" i="26"/>
  <c r="BG14" i="26"/>
  <c r="BF41" i="26"/>
  <c r="BJ15" i="26"/>
  <c r="BI42" i="26"/>
  <c r="BA11" i="26"/>
  <c r="BD26" i="26"/>
  <c r="BC12" i="28"/>
  <c r="BC160" i="28" s="1"/>
  <c r="BC30" i="28" s="1"/>
  <c r="BC159" i="28"/>
  <c r="BB29" i="28"/>
  <c r="BE8" i="30"/>
  <c r="BD7" i="30"/>
  <c r="BD11" i="28" s="1"/>
  <c r="AU50" i="26"/>
  <c r="BA7" i="31"/>
  <c r="AZ6" i="31"/>
  <c r="AZ14" i="28" s="1"/>
  <c r="AZ18" i="28" s="1"/>
  <c r="BB10" i="28"/>
  <c r="BB17" i="28" l="1"/>
  <c r="AZ13" i="26"/>
  <c r="AY40" i="26"/>
  <c r="BA12" i="26"/>
  <c r="AZ39" i="26"/>
  <c r="AY25" i="26"/>
  <c r="AX38" i="26"/>
  <c r="BO19" i="26"/>
  <c r="BO46" i="26" s="1"/>
  <c r="BN46" i="26"/>
  <c r="BL18" i="26"/>
  <c r="BK45" i="26"/>
  <c r="BJ17" i="26"/>
  <c r="BI44" i="26"/>
  <c r="BG43" i="26"/>
  <c r="BH16" i="26"/>
  <c r="BK15" i="26"/>
  <c r="BJ42" i="26"/>
  <c r="BH14" i="26"/>
  <c r="BG41" i="26"/>
  <c r="BB11" i="26"/>
  <c r="BE26" i="26"/>
  <c r="BF8" i="30"/>
  <c r="BE7" i="30"/>
  <c r="BE11" i="28" s="1"/>
  <c r="BC29" i="28"/>
  <c r="AV50" i="26"/>
  <c r="BB7" i="31"/>
  <c r="BA6" i="31"/>
  <c r="BA14" i="28" s="1"/>
  <c r="BA18" i="28" s="1"/>
  <c r="BD12" i="28"/>
  <c r="BD160" i="28" s="1"/>
  <c r="BD159" i="28"/>
  <c r="BC10" i="28"/>
  <c r="BC17" i="28" l="1"/>
  <c r="BD30" i="28"/>
  <c r="BB12" i="26"/>
  <c r="BA39" i="26"/>
  <c r="AZ25" i="26"/>
  <c r="AY38" i="26"/>
  <c r="AZ40" i="26"/>
  <c r="BA13" i="26"/>
  <c r="BL45" i="26"/>
  <c r="BM18" i="26"/>
  <c r="BK17" i="26"/>
  <c r="BJ44" i="26"/>
  <c r="BI16" i="26"/>
  <c r="BH43" i="26"/>
  <c r="BL15" i="26"/>
  <c r="BK42" i="26"/>
  <c r="BI14" i="26"/>
  <c r="BH41" i="26"/>
  <c r="BC11" i="26"/>
  <c r="BF26" i="26"/>
  <c r="BD10" i="28"/>
  <c r="AW50" i="26"/>
  <c r="BE12" i="28"/>
  <c r="BE160" i="28" s="1"/>
  <c r="BE30" i="28" s="1"/>
  <c r="BE159" i="28"/>
  <c r="BG8" i="30"/>
  <c r="BF7" i="30"/>
  <c r="BF11" i="28" s="1"/>
  <c r="BC7" i="31"/>
  <c r="BB6" i="31"/>
  <c r="BB14" i="28" s="1"/>
  <c r="BB18" i="28" s="1"/>
  <c r="BD29" i="28"/>
  <c r="AX49" i="26"/>
  <c r="BD17" i="28" l="1"/>
  <c r="AZ49" i="26" s="1"/>
  <c r="AX50" i="26"/>
  <c r="BA25" i="26"/>
  <c r="AZ38" i="26"/>
  <c r="BB13" i="26"/>
  <c r="BA40" i="26"/>
  <c r="BC12" i="26"/>
  <c r="BB39" i="26"/>
  <c r="BN18" i="26"/>
  <c r="BM45" i="26"/>
  <c r="BK44" i="26"/>
  <c r="BL17" i="26"/>
  <c r="BI43" i="26"/>
  <c r="BJ16" i="26"/>
  <c r="BM15" i="26"/>
  <c r="BL42" i="26"/>
  <c r="BJ14" i="26"/>
  <c r="BI41" i="26"/>
  <c r="BD11" i="26"/>
  <c r="BG26" i="26"/>
  <c r="BE10" i="28"/>
  <c r="BF159" i="28"/>
  <c r="BF12" i="28"/>
  <c r="BF160" i="28" s="1"/>
  <c r="BF30" i="28" s="1"/>
  <c r="AY49" i="26"/>
  <c r="BD7" i="31"/>
  <c r="BC6" i="31"/>
  <c r="BC14" i="28" s="1"/>
  <c r="BC18" i="28" s="1"/>
  <c r="BH8" i="30"/>
  <c r="BG7" i="30"/>
  <c r="BG11" i="28" s="1"/>
  <c r="BX11" i="28" s="1"/>
  <c r="BE29" i="28"/>
  <c r="BE17" i="28" l="1"/>
  <c r="BA49" i="26" s="1"/>
  <c r="AY50" i="26"/>
  <c r="BC13" i="26"/>
  <c r="BB40" i="26"/>
  <c r="BD12" i="26"/>
  <c r="BC39" i="26"/>
  <c r="BB25" i="26"/>
  <c r="BA38" i="26"/>
  <c r="BO18" i="26"/>
  <c r="BO45" i="26" s="1"/>
  <c r="BN45" i="26"/>
  <c r="BM17" i="26"/>
  <c r="BL44" i="26"/>
  <c r="BK16" i="26"/>
  <c r="BJ43" i="26"/>
  <c r="BN15" i="26"/>
  <c r="BM42" i="26"/>
  <c r="BK14" i="26"/>
  <c r="BJ41" i="26"/>
  <c r="BE11" i="26"/>
  <c r="BH26" i="26"/>
  <c r="BF10" i="28"/>
  <c r="BE7" i="31"/>
  <c r="BD6" i="31"/>
  <c r="BD14" i="28" s="1"/>
  <c r="BD18" i="28" s="1"/>
  <c r="BG12" i="28"/>
  <c r="BG159" i="28"/>
  <c r="BX159" i="28" s="1"/>
  <c r="BF29" i="28"/>
  <c r="BI8" i="30"/>
  <c r="BH7" i="30"/>
  <c r="BH11" i="28" s="1"/>
  <c r="BF17" i="28" l="1"/>
  <c r="BB49" i="26" s="1"/>
  <c r="BG160" i="28"/>
  <c r="BX12" i="28"/>
  <c r="BE12" i="26"/>
  <c r="BD39" i="26"/>
  <c r="BC25" i="26"/>
  <c r="BB38" i="26"/>
  <c r="BD13" i="26"/>
  <c r="BC40" i="26"/>
  <c r="BM44" i="26"/>
  <c r="BN17" i="26"/>
  <c r="BL16" i="26"/>
  <c r="BK43" i="26"/>
  <c r="BL14" i="26"/>
  <c r="BK41" i="26"/>
  <c r="BO15" i="26"/>
  <c r="BO42" i="26" s="1"/>
  <c r="BN42" i="26"/>
  <c r="BF11" i="26"/>
  <c r="BI26" i="26"/>
  <c r="BG10" i="28"/>
  <c r="BG29" i="28"/>
  <c r="BX29" i="28" s="1"/>
  <c r="BF7" i="31"/>
  <c r="BE6" i="31"/>
  <c r="BE14" i="28" s="1"/>
  <c r="BE18" i="28" s="1"/>
  <c r="BJ8" i="30"/>
  <c r="BI7" i="30"/>
  <c r="BI11" i="28" s="1"/>
  <c r="AZ50" i="26"/>
  <c r="BH12" i="28"/>
  <c r="BH159" i="28"/>
  <c r="BG17" i="28" l="1"/>
  <c r="BX17" i="28" s="1"/>
  <c r="BG30" i="28"/>
  <c r="BX30" i="28" s="1"/>
  <c r="BX160" i="28"/>
  <c r="BH160" i="28"/>
  <c r="BX10" i="28"/>
  <c r="BD25" i="26"/>
  <c r="BC38" i="26"/>
  <c r="BE13" i="26"/>
  <c r="BD40" i="26"/>
  <c r="BF12" i="26"/>
  <c r="BE39" i="26"/>
  <c r="BO17" i="26"/>
  <c r="BO44" i="26" s="1"/>
  <c r="BN44" i="26"/>
  <c r="BL43" i="26"/>
  <c r="BM16" i="26"/>
  <c r="BM14" i="26"/>
  <c r="BL41" i="26"/>
  <c r="BG11" i="26"/>
  <c r="BJ26" i="26"/>
  <c r="BA50" i="26"/>
  <c r="BK8" i="30"/>
  <c r="BJ7" i="30"/>
  <c r="BJ11" i="28" s="1"/>
  <c r="BH29" i="28"/>
  <c r="BH10" i="28"/>
  <c r="BI12" i="28"/>
  <c r="BI160" i="28" s="1"/>
  <c r="BI30" i="28" s="1"/>
  <c r="BI159" i="28"/>
  <c r="BG7" i="31"/>
  <c r="BF6" i="31"/>
  <c r="BF14" i="28" s="1"/>
  <c r="BF18" i="28" s="1"/>
  <c r="BH17" i="28" l="1"/>
  <c r="BC49" i="26"/>
  <c r="BH30" i="28"/>
  <c r="BF13" i="26"/>
  <c r="BE40" i="26"/>
  <c r="BG12" i="26"/>
  <c r="BF39" i="26"/>
  <c r="BE25" i="26"/>
  <c r="BD38" i="26"/>
  <c r="BN16" i="26"/>
  <c r="BM43" i="26"/>
  <c r="BN14" i="26"/>
  <c r="BM41" i="26"/>
  <c r="BH11" i="26"/>
  <c r="BK26" i="26"/>
  <c r="BI10" i="28"/>
  <c r="BI29" i="28"/>
  <c r="BH7" i="31"/>
  <c r="BG6" i="31"/>
  <c r="BG14" i="28" s="1"/>
  <c r="BL8" i="30"/>
  <c r="BK7" i="30"/>
  <c r="BK11" i="28" s="1"/>
  <c r="BB50" i="26"/>
  <c r="BJ12" i="28"/>
  <c r="BJ160" i="28" s="1"/>
  <c r="BJ30" i="28" s="1"/>
  <c r="BJ159" i="28"/>
  <c r="BG18" i="28" l="1"/>
  <c r="BX18" i="28" s="1"/>
  <c r="BI17" i="28"/>
  <c r="BE49" i="26" s="1"/>
  <c r="BX14" i="28"/>
  <c r="BH12" i="26"/>
  <c r="BG39" i="26"/>
  <c r="BF25" i="26"/>
  <c r="BE38" i="26"/>
  <c r="BG13" i="26"/>
  <c r="BF40" i="26"/>
  <c r="BO16" i="26"/>
  <c r="BO43" i="26" s="1"/>
  <c r="BN43" i="26"/>
  <c r="BO14" i="26"/>
  <c r="BO41" i="26" s="1"/>
  <c r="BN41" i="26"/>
  <c r="BI11" i="26"/>
  <c r="BL26" i="26"/>
  <c r="BI7" i="31"/>
  <c r="BH6" i="31"/>
  <c r="BH14" i="28" s="1"/>
  <c r="BH18" i="28" s="1"/>
  <c r="BJ29" i="28"/>
  <c r="BK12" i="28"/>
  <c r="BK160" i="28" s="1"/>
  <c r="BK159" i="28"/>
  <c r="BD49" i="26"/>
  <c r="BJ10" i="28"/>
  <c r="BM8" i="30"/>
  <c r="BL7" i="30"/>
  <c r="BL11" i="28" s="1"/>
  <c r="BJ17" i="28" l="1"/>
  <c r="BC50" i="26"/>
  <c r="BD50" i="26"/>
  <c r="BK30" i="28"/>
  <c r="BG25" i="26"/>
  <c r="BF38" i="26"/>
  <c r="BH13" i="26"/>
  <c r="BG40" i="26"/>
  <c r="BI12" i="26"/>
  <c r="BH39" i="26"/>
  <c r="BJ11" i="26"/>
  <c r="BM26" i="26"/>
  <c r="BK10" i="28"/>
  <c r="BL12" i="28"/>
  <c r="BL160" i="28" s="1"/>
  <c r="BL30" i="28" s="1"/>
  <c r="BL159" i="28"/>
  <c r="BJ7" i="31"/>
  <c r="BI6" i="31"/>
  <c r="BI14" i="28" s="1"/>
  <c r="BI18" i="28" s="1"/>
  <c r="BK29" i="28"/>
  <c r="BN8" i="30"/>
  <c r="BM7" i="30"/>
  <c r="BM11" i="28" s="1"/>
  <c r="BK17" i="28" l="1"/>
  <c r="BG49" i="26" s="1"/>
  <c r="BI13" i="26"/>
  <c r="BH40" i="26"/>
  <c r="BJ12" i="26"/>
  <c r="BI39" i="26"/>
  <c r="BH25" i="26"/>
  <c r="BG38" i="26"/>
  <c r="BK11" i="26"/>
  <c r="BN26" i="26"/>
  <c r="BL10" i="28"/>
  <c r="BK7" i="31"/>
  <c r="BJ6" i="31"/>
  <c r="BJ14" i="28" s="1"/>
  <c r="BJ18" i="28" s="1"/>
  <c r="BL29" i="28"/>
  <c r="BM159" i="28"/>
  <c r="BM12" i="28"/>
  <c r="BM160" i="28" s="1"/>
  <c r="BM30" i="28" s="1"/>
  <c r="BO8" i="30"/>
  <c r="BN7" i="30"/>
  <c r="BN11" i="28" s="1"/>
  <c r="BE50" i="26"/>
  <c r="BF49" i="26"/>
  <c r="BL17" i="28" l="1"/>
  <c r="BH49" i="26" s="1"/>
  <c r="BK12" i="26"/>
  <c r="BJ39" i="26"/>
  <c r="BI25" i="26"/>
  <c r="BH38" i="26"/>
  <c r="BJ13" i="26"/>
  <c r="BI40" i="26"/>
  <c r="BL11" i="26"/>
  <c r="BO26" i="26"/>
  <c r="BN159" i="28"/>
  <c r="BN12" i="28"/>
  <c r="BN160" i="28" s="1"/>
  <c r="BP8" i="30"/>
  <c r="BO7" i="30"/>
  <c r="BO11" i="28" s="1"/>
  <c r="BM29" i="28"/>
  <c r="BL7" i="31"/>
  <c r="BK6" i="31"/>
  <c r="BK14" i="28" s="1"/>
  <c r="BK18" i="28" s="1"/>
  <c r="BM10" i="28"/>
  <c r="BM17" i="28" l="1"/>
  <c r="BF50" i="26"/>
  <c r="BN30" i="28"/>
  <c r="BJ25" i="26"/>
  <c r="BI38" i="26"/>
  <c r="BK13" i="26"/>
  <c r="BJ40" i="26"/>
  <c r="BL12" i="26"/>
  <c r="BK39" i="26"/>
  <c r="BM11" i="26"/>
  <c r="BN10" i="28"/>
  <c r="BM7" i="31"/>
  <c r="BL6" i="31"/>
  <c r="BL14" i="28" s="1"/>
  <c r="BL18" i="28" s="1"/>
  <c r="BQ8" i="30"/>
  <c r="BP7" i="30"/>
  <c r="BP11" i="28" s="1"/>
  <c r="BG50" i="26"/>
  <c r="BO12" i="28"/>
  <c r="BO160" i="28" s="1"/>
  <c r="BO30" i="28" s="1"/>
  <c r="BO159" i="28"/>
  <c r="BN29" i="28"/>
  <c r="BN17" i="28" l="1"/>
  <c r="BJ49" i="26" s="1"/>
  <c r="BL13" i="26"/>
  <c r="BK40" i="26"/>
  <c r="BM12" i="26"/>
  <c r="BL39" i="26"/>
  <c r="BK25" i="26"/>
  <c r="BJ38" i="26"/>
  <c r="BN11" i="26"/>
  <c r="BI49" i="26"/>
  <c r="BN7" i="31"/>
  <c r="BM6" i="31"/>
  <c r="BM14" i="28" s="1"/>
  <c r="BM18" i="28" s="1"/>
  <c r="BP12" i="28"/>
  <c r="BP160" i="28" s="1"/>
  <c r="BP30" i="28" s="1"/>
  <c r="BP159" i="28"/>
  <c r="BO10" i="28"/>
  <c r="BR8" i="30"/>
  <c r="BQ7" i="30"/>
  <c r="BQ11" i="28" s="1"/>
  <c r="BO29" i="28"/>
  <c r="BH50" i="26"/>
  <c r="BO17" i="28" l="1"/>
  <c r="BI50" i="26"/>
  <c r="BL25" i="26"/>
  <c r="BK38" i="26"/>
  <c r="BN12" i="26"/>
  <c r="BM39" i="26"/>
  <c r="BM13" i="26"/>
  <c r="BL40" i="26"/>
  <c r="BO11" i="26"/>
  <c r="BP10" i="28"/>
  <c r="BP29" i="28"/>
  <c r="BQ12" i="28"/>
  <c r="BQ160" i="28" s="1"/>
  <c r="BQ30" i="28" s="1"/>
  <c r="BQ159" i="28"/>
  <c r="BS8" i="30"/>
  <c r="BS7" i="30" s="1"/>
  <c r="BS11" i="28" s="1"/>
  <c r="BR7" i="30"/>
  <c r="BR11" i="28" s="1"/>
  <c r="BO7" i="31"/>
  <c r="BN6" i="31"/>
  <c r="BN14" i="28" s="1"/>
  <c r="BN18" i="28" s="1"/>
  <c r="BP17" i="28" l="1"/>
  <c r="BL49" i="26" s="1"/>
  <c r="BY11" i="28"/>
  <c r="BO12" i="26"/>
  <c r="BO39" i="26" s="1"/>
  <c r="BN39" i="26"/>
  <c r="BN13" i="26"/>
  <c r="BM40" i="26"/>
  <c r="BM25" i="26"/>
  <c r="BL38" i="26"/>
  <c r="BQ10" i="28"/>
  <c r="BS12" i="28"/>
  <c r="BS159" i="28"/>
  <c r="BR12" i="28"/>
  <c r="BR160" i="28" s="1"/>
  <c r="BR30" i="28" s="1"/>
  <c r="BR159" i="28"/>
  <c r="BJ50" i="26"/>
  <c r="BK49" i="26"/>
  <c r="BQ29" i="28"/>
  <c r="BP7" i="31"/>
  <c r="BO6" i="31"/>
  <c r="BO14" i="28" s="1"/>
  <c r="BO18" i="28" s="1"/>
  <c r="BQ17" i="28" l="1"/>
  <c r="BM49" i="26" s="1"/>
  <c r="BK50" i="26"/>
  <c r="BS160" i="28"/>
  <c r="BY12" i="28"/>
  <c r="BY159" i="28"/>
  <c r="BO13" i="26"/>
  <c r="BO40" i="26" s="1"/>
  <c r="BN40" i="26"/>
  <c r="BN25" i="26"/>
  <c r="BM38" i="26"/>
  <c r="BS10" i="28"/>
  <c r="BR10" i="28"/>
  <c r="BQ7" i="31"/>
  <c r="BP6" i="31"/>
  <c r="BP14" i="28" s="1"/>
  <c r="BP18" i="28" s="1"/>
  <c r="BR29" i="28"/>
  <c r="BS29" i="28"/>
  <c r="BR17" i="28" l="1"/>
  <c r="BN49" i="26" s="1"/>
  <c r="BS17" i="28"/>
  <c r="BY29" i="28"/>
  <c r="BY10" i="28"/>
  <c r="BS30" i="28"/>
  <c r="BY30" i="28" s="1"/>
  <c r="BY160" i="28"/>
  <c r="BO25" i="26"/>
  <c r="BO38" i="26" s="1"/>
  <c r="BN38" i="26"/>
  <c r="BL50" i="26"/>
  <c r="BR7" i="31"/>
  <c r="BQ6" i="31"/>
  <c r="BQ14" i="28" s="1"/>
  <c r="BQ18" i="28" s="1"/>
  <c r="BY17" i="28" l="1"/>
  <c r="BO49" i="26"/>
  <c r="BM50" i="26"/>
  <c r="BS7" i="31"/>
  <c r="BS6" i="31" s="1"/>
  <c r="BS14" i="28" s="1"/>
  <c r="BS18" i="28" s="1"/>
  <c r="BR6" i="31"/>
  <c r="BR14" i="28" s="1"/>
  <c r="BR18" i="28" s="1"/>
  <c r="K44" i="35"/>
  <c r="K39" i="35" s="1"/>
  <c r="K8" i="35" s="1"/>
  <c r="BY18" i="28" l="1"/>
  <c r="BY14" i="28"/>
  <c r="BN50" i="26"/>
  <c r="K6" i="35"/>
  <c r="K40" i="32"/>
  <c r="K38" i="32" s="1"/>
  <c r="U39" i="40" s="1"/>
  <c r="L40" i="35"/>
  <c r="L44" i="35" s="1"/>
  <c r="BO50" i="26" l="1"/>
  <c r="P343" i="38"/>
  <c r="M40" i="35"/>
  <c r="M44" i="35" s="1"/>
  <c r="L39" i="35"/>
  <c r="L8" i="35" s="1"/>
  <c r="L6" i="35" l="1"/>
  <c r="L40" i="32"/>
  <c r="L38" i="32" s="1"/>
  <c r="V39" i="40" s="1"/>
  <c r="N40" i="35"/>
  <c r="N44" i="35" s="1"/>
  <c r="N39" i="35" s="1"/>
  <c r="N8" i="35" s="1"/>
  <c r="N40" i="32" s="1"/>
  <c r="M39" i="35"/>
  <c r="M8" i="35" s="1"/>
  <c r="Q343" i="38" l="1"/>
  <c r="M6" i="35"/>
  <c r="M40" i="32"/>
  <c r="M38" i="32" s="1"/>
  <c r="W39" i="40" s="1"/>
  <c r="R343" i="38" l="1"/>
  <c r="N88" i="32" l="1"/>
  <c r="X66" i="40" s="1"/>
  <c r="N20" i="35"/>
  <c r="N19" i="35" s="1"/>
  <c r="N36" i="35"/>
  <c r="N38" i="35" s="1"/>
  <c r="N32" i="35" s="1"/>
  <c r="N7" i="35" s="1"/>
  <c r="N6" i="35" l="1"/>
  <c r="N39" i="32"/>
  <c r="N38" i="32" s="1"/>
  <c r="N13" i="35"/>
  <c r="N12" i="35" s="1"/>
  <c r="N87" i="32"/>
  <c r="S413" i="38"/>
  <c r="S412" i="38" s="1"/>
  <c r="N13" i="32" l="1"/>
  <c r="N71" i="32"/>
  <c r="N16" i="36"/>
  <c r="X39" i="40"/>
  <c r="S343" i="38"/>
  <c r="X65" i="40"/>
  <c r="N15" i="36" l="1"/>
  <c r="P16" i="36"/>
  <c r="P15" i="36" s="1"/>
  <c r="X56" i="40"/>
  <c r="N70" i="32"/>
  <c r="X55" i="40" s="1"/>
  <c r="S315" i="38"/>
  <c r="S314" i="38" s="1"/>
  <c r="N12" i="32"/>
  <c r="X14" i="40"/>
  <c r="X13" i="40" l="1"/>
  <c r="S394" i="38"/>
  <c r="S393" i="38" s="1"/>
  <c r="S319" i="38"/>
  <c r="N26" i="36"/>
  <c r="N20" i="36"/>
  <c r="P20" i="36"/>
  <c r="P26" i="36"/>
  <c r="P28" i="36" s="1"/>
  <c r="C48" i="12"/>
  <c r="D30" i="29" s="1"/>
  <c r="BP24" i="29" l="1"/>
  <c r="BP127" i="28" s="1"/>
  <c r="BL24" i="29"/>
  <c r="BL127" i="28" s="1"/>
  <c r="BH24" i="29"/>
  <c r="BH127" i="28" s="1"/>
  <c r="BD24" i="29"/>
  <c r="BD127" i="28" s="1"/>
  <c r="AZ24" i="29"/>
  <c r="AV24" i="29"/>
  <c r="AR24" i="29"/>
  <c r="AR127" i="28" s="1"/>
  <c r="AN24" i="29"/>
  <c r="AN127" i="28" s="1"/>
  <c r="AJ24" i="29"/>
  <c r="AJ127" i="28" s="1"/>
  <c r="AF24" i="29"/>
  <c r="AF127" i="28" s="1"/>
  <c r="AB24" i="29"/>
  <c r="AB127" i="28" s="1"/>
  <c r="X24" i="29"/>
  <c r="X127" i="28" s="1"/>
  <c r="T24" i="29"/>
  <c r="T127" i="28" s="1"/>
  <c r="P24" i="29"/>
  <c r="P127" i="28" s="1"/>
  <c r="BS23" i="29"/>
  <c r="BS126" i="28" s="1"/>
  <c r="BO23" i="29"/>
  <c r="BO126" i="28" s="1"/>
  <c r="BK23" i="29"/>
  <c r="BK126" i="28" s="1"/>
  <c r="BG23" i="29"/>
  <c r="BG126" i="28" s="1"/>
  <c r="BC23" i="29"/>
  <c r="BC126" i="28" s="1"/>
  <c r="AY23" i="29"/>
  <c r="AY126" i="28" s="1"/>
  <c r="AU23" i="29"/>
  <c r="AU126" i="28" s="1"/>
  <c r="AQ23" i="29"/>
  <c r="AQ126" i="28" s="1"/>
  <c r="AM23" i="29"/>
  <c r="AM126" i="28" s="1"/>
  <c r="AI23" i="29"/>
  <c r="AI126" i="28" s="1"/>
  <c r="AE23" i="29"/>
  <c r="AE126" i="28" s="1"/>
  <c r="AA23" i="29"/>
  <c r="AA126" i="28" s="1"/>
  <c r="W23" i="29"/>
  <c r="W126" i="28" s="1"/>
  <c r="S23" i="29"/>
  <c r="S126" i="28" s="1"/>
  <c r="O23" i="29"/>
  <c r="O126" i="28" s="1"/>
  <c r="BR22" i="29"/>
  <c r="BR125" i="28" s="1"/>
  <c r="BN22" i="29"/>
  <c r="BN125" i="28" s="1"/>
  <c r="BJ22" i="29"/>
  <c r="BJ125" i="28" s="1"/>
  <c r="BF22" i="29"/>
  <c r="BF125" i="28" s="1"/>
  <c r="BB22" i="29"/>
  <c r="BB125" i="28" s="1"/>
  <c r="AX22" i="29"/>
  <c r="AX125" i="28" s="1"/>
  <c r="AT22" i="29"/>
  <c r="AT125" i="28" s="1"/>
  <c r="AP22" i="29"/>
  <c r="AP125" i="28" s="1"/>
  <c r="AL22" i="29"/>
  <c r="AL125" i="28" s="1"/>
  <c r="AH22" i="29"/>
  <c r="AH125" i="28" s="1"/>
  <c r="AD22" i="29"/>
  <c r="AD125" i="28" s="1"/>
  <c r="Z22" i="29"/>
  <c r="Z125" i="28" s="1"/>
  <c r="V22" i="29"/>
  <c r="V125" i="28" s="1"/>
  <c r="R22" i="29"/>
  <c r="R125" i="28" s="1"/>
  <c r="N22" i="29"/>
  <c r="N125" i="28" s="1"/>
  <c r="L22" i="29"/>
  <c r="L125" i="28" s="1"/>
  <c r="BR24" i="29"/>
  <c r="BR127" i="28" s="1"/>
  <c r="BN24" i="29"/>
  <c r="BN127" i="28" s="1"/>
  <c r="BJ24" i="29"/>
  <c r="BJ127" i="28" s="1"/>
  <c r="BF24" i="29"/>
  <c r="BF127" i="28" s="1"/>
  <c r="BB24" i="29"/>
  <c r="BB127" i="28" s="1"/>
  <c r="AX24" i="29"/>
  <c r="AX127" i="28" s="1"/>
  <c r="AT24" i="29"/>
  <c r="AT127" i="28" s="1"/>
  <c r="AP24" i="29"/>
  <c r="AP127" i="28" s="1"/>
  <c r="AL24" i="29"/>
  <c r="AL127" i="28" s="1"/>
  <c r="AH24" i="29"/>
  <c r="AH127" i="28" s="1"/>
  <c r="AD24" i="29"/>
  <c r="AD127" i="28" s="1"/>
  <c r="Z24" i="29"/>
  <c r="Z127" i="28" s="1"/>
  <c r="V24" i="29"/>
  <c r="V127" i="28" s="1"/>
  <c r="R24" i="29"/>
  <c r="R127" i="28" s="1"/>
  <c r="N24" i="29"/>
  <c r="N127" i="28" s="1"/>
  <c r="BQ23" i="29"/>
  <c r="BQ126" i="28" s="1"/>
  <c r="BM23" i="29"/>
  <c r="BM126" i="28" s="1"/>
  <c r="BI23" i="29"/>
  <c r="BI126" i="28" s="1"/>
  <c r="BE23" i="29"/>
  <c r="BE126" i="28" s="1"/>
  <c r="BA23" i="29"/>
  <c r="BA126" i="28" s="1"/>
  <c r="AW23" i="29"/>
  <c r="AW126" i="28" s="1"/>
  <c r="AS23" i="29"/>
  <c r="AS126" i="28" s="1"/>
  <c r="AO23" i="29"/>
  <c r="AO126" i="28" s="1"/>
  <c r="AK23" i="29"/>
  <c r="AK126" i="28" s="1"/>
  <c r="AG23" i="29"/>
  <c r="AG126" i="28" s="1"/>
  <c r="AC23" i="29"/>
  <c r="AC126" i="28" s="1"/>
  <c r="Y23" i="29"/>
  <c r="Y126" i="28" s="1"/>
  <c r="U23" i="29"/>
  <c r="U126" i="28" s="1"/>
  <c r="Q23" i="29"/>
  <c r="Q126" i="28" s="1"/>
  <c r="M23" i="29"/>
  <c r="M126" i="28" s="1"/>
  <c r="BP22" i="29"/>
  <c r="BP125" i="28" s="1"/>
  <c r="BL22" i="29"/>
  <c r="BL125" i="28" s="1"/>
  <c r="BH22" i="29"/>
  <c r="BH125" i="28" s="1"/>
  <c r="BD22" i="29"/>
  <c r="BD125" i="28" s="1"/>
  <c r="AZ22" i="29"/>
  <c r="AZ125" i="28" s="1"/>
  <c r="AV22" i="29"/>
  <c r="AV125" i="28" s="1"/>
  <c r="AR22" i="29"/>
  <c r="AR125" i="28" s="1"/>
  <c r="AN22" i="29"/>
  <c r="AN125" i="28" s="1"/>
  <c r="AJ22" i="29"/>
  <c r="AJ125" i="28" s="1"/>
  <c r="AF22" i="29"/>
  <c r="AF125" i="28" s="1"/>
  <c r="AB22" i="29"/>
  <c r="AB125" i="28" s="1"/>
  <c r="X22" i="29"/>
  <c r="X125" i="28" s="1"/>
  <c r="T22" i="29"/>
  <c r="T125" i="28" s="1"/>
  <c r="P22" i="29"/>
  <c r="P125" i="28" s="1"/>
  <c r="L24" i="29"/>
  <c r="L127" i="28" s="1"/>
  <c r="BO24" i="29"/>
  <c r="BO127" i="28" s="1"/>
  <c r="BG24" i="29"/>
  <c r="BG127" i="28" s="1"/>
  <c r="AY24" i="29"/>
  <c r="AY127" i="28" s="1"/>
  <c r="AQ24" i="29"/>
  <c r="AQ127" i="28" s="1"/>
  <c r="AM24" i="29"/>
  <c r="AM127" i="28" s="1"/>
  <c r="AE24" i="29"/>
  <c r="AE127" i="28" s="1"/>
  <c r="W24" i="29"/>
  <c r="W127" i="28" s="1"/>
  <c r="O24" i="29"/>
  <c r="O127" i="28" s="1"/>
  <c r="BN23" i="29"/>
  <c r="BN126" i="28" s="1"/>
  <c r="BF23" i="29"/>
  <c r="BF126" i="28" s="1"/>
  <c r="AX23" i="29"/>
  <c r="AX126" i="28" s="1"/>
  <c r="AP23" i="29"/>
  <c r="AP126" i="28" s="1"/>
  <c r="AH23" i="29"/>
  <c r="AH126" i="28" s="1"/>
  <c r="Z23" i="29"/>
  <c r="Z126" i="28" s="1"/>
  <c r="R23" i="29"/>
  <c r="R126" i="28" s="1"/>
  <c r="BQ22" i="29"/>
  <c r="BQ125" i="28" s="1"/>
  <c r="BI22" i="29"/>
  <c r="BI125" i="28" s="1"/>
  <c r="BA22" i="29"/>
  <c r="BA125" i="28" s="1"/>
  <c r="AS22" i="29"/>
  <c r="AS125" i="28" s="1"/>
  <c r="AK22" i="29"/>
  <c r="AK125" i="28" s="1"/>
  <c r="AC22" i="29"/>
  <c r="AC125" i="28" s="1"/>
  <c r="U22" i="29"/>
  <c r="U125" i="28" s="1"/>
  <c r="M22" i="29"/>
  <c r="M125" i="28" s="1"/>
  <c r="BQ24" i="29"/>
  <c r="BQ127" i="28" s="1"/>
  <c r="BM24" i="29"/>
  <c r="BM127" i="28" s="1"/>
  <c r="BI24" i="29"/>
  <c r="BI127" i="28" s="1"/>
  <c r="BE24" i="29"/>
  <c r="BE127" i="28" s="1"/>
  <c r="BA24" i="29"/>
  <c r="BA127" i="28" s="1"/>
  <c r="AW24" i="29"/>
  <c r="AW127" i="28" s="1"/>
  <c r="AS24" i="29"/>
  <c r="AS127" i="28" s="1"/>
  <c r="AO24" i="29"/>
  <c r="AO127" i="28" s="1"/>
  <c r="AK24" i="29"/>
  <c r="AK127" i="28" s="1"/>
  <c r="AG24" i="29"/>
  <c r="AG127" i="28" s="1"/>
  <c r="AC24" i="29"/>
  <c r="AC127" i="28" s="1"/>
  <c r="Y24" i="29"/>
  <c r="Y127" i="28" s="1"/>
  <c r="U24" i="29"/>
  <c r="U127" i="28" s="1"/>
  <c r="Q24" i="29"/>
  <c r="Q127" i="28" s="1"/>
  <c r="M24" i="29"/>
  <c r="M127" i="28" s="1"/>
  <c r="BP23" i="29"/>
  <c r="BP126" i="28" s="1"/>
  <c r="BL23" i="29"/>
  <c r="BL126" i="28" s="1"/>
  <c r="BH23" i="29"/>
  <c r="BH126" i="28" s="1"/>
  <c r="BD23" i="29"/>
  <c r="BD126" i="28" s="1"/>
  <c r="AZ23" i="29"/>
  <c r="AZ126" i="28" s="1"/>
  <c r="AV23" i="29"/>
  <c r="AV126" i="28" s="1"/>
  <c r="AR23" i="29"/>
  <c r="AR126" i="28" s="1"/>
  <c r="AN23" i="29"/>
  <c r="AN126" i="28" s="1"/>
  <c r="AJ23" i="29"/>
  <c r="AJ126" i="28" s="1"/>
  <c r="AF23" i="29"/>
  <c r="AF126" i="28" s="1"/>
  <c r="AB23" i="29"/>
  <c r="AB126" i="28" s="1"/>
  <c r="X23" i="29"/>
  <c r="X126" i="28" s="1"/>
  <c r="T23" i="29"/>
  <c r="T126" i="28" s="1"/>
  <c r="P23" i="29"/>
  <c r="P126" i="28" s="1"/>
  <c r="BS22" i="29"/>
  <c r="BS125" i="28" s="1"/>
  <c r="BO22" i="29"/>
  <c r="BO125" i="28" s="1"/>
  <c r="BK22" i="29"/>
  <c r="BK125" i="28" s="1"/>
  <c r="BG22" i="29"/>
  <c r="BG125" i="28" s="1"/>
  <c r="BC22" i="29"/>
  <c r="BC125" i="28" s="1"/>
  <c r="AY22" i="29"/>
  <c r="AY125" i="28" s="1"/>
  <c r="AU22" i="29"/>
  <c r="AU125" i="28" s="1"/>
  <c r="AQ22" i="29"/>
  <c r="AQ125" i="28" s="1"/>
  <c r="AM22" i="29"/>
  <c r="AM125" i="28" s="1"/>
  <c r="AI22" i="29"/>
  <c r="AI125" i="28" s="1"/>
  <c r="AE22" i="29"/>
  <c r="AE125" i="28" s="1"/>
  <c r="AA22" i="29"/>
  <c r="AA125" i="28" s="1"/>
  <c r="W22" i="29"/>
  <c r="W125" i="28" s="1"/>
  <c r="S22" i="29"/>
  <c r="S125" i="28" s="1"/>
  <c r="O22" i="29"/>
  <c r="O125" i="28" s="1"/>
  <c r="L23" i="29"/>
  <c r="L126" i="28" s="1"/>
  <c r="BS24" i="29"/>
  <c r="BS127" i="28" s="1"/>
  <c r="BK24" i="29"/>
  <c r="BK127" i="28" s="1"/>
  <c r="BC24" i="29"/>
  <c r="BC127" i="28" s="1"/>
  <c r="AU24" i="29"/>
  <c r="AU127" i="28" s="1"/>
  <c r="AI24" i="29"/>
  <c r="AI127" i="28" s="1"/>
  <c r="AA24" i="29"/>
  <c r="AA127" i="28" s="1"/>
  <c r="S24" i="29"/>
  <c r="S127" i="28" s="1"/>
  <c r="BR23" i="29"/>
  <c r="BR126" i="28" s="1"/>
  <c r="BJ23" i="29"/>
  <c r="BJ126" i="28" s="1"/>
  <c r="BB23" i="29"/>
  <c r="BB126" i="28" s="1"/>
  <c r="AT23" i="29"/>
  <c r="AT126" i="28" s="1"/>
  <c r="AL23" i="29"/>
  <c r="AL126" i="28" s="1"/>
  <c r="AD23" i="29"/>
  <c r="AD126" i="28" s="1"/>
  <c r="V23" i="29"/>
  <c r="V126" i="28" s="1"/>
  <c r="N23" i="29"/>
  <c r="N126" i="28" s="1"/>
  <c r="BM22" i="29"/>
  <c r="BM125" i="28" s="1"/>
  <c r="BE22" i="29"/>
  <c r="BE125" i="28" s="1"/>
  <c r="AW22" i="29"/>
  <c r="AW125" i="28" s="1"/>
  <c r="AO22" i="29"/>
  <c r="AO125" i="28" s="1"/>
  <c r="AG22" i="29"/>
  <c r="AG125" i="28" s="1"/>
  <c r="Y22" i="29"/>
  <c r="Y125" i="28" s="1"/>
  <c r="Q22" i="29"/>
  <c r="Q125" i="28" s="1"/>
  <c r="AZ127" i="28"/>
  <c r="AV127" i="28"/>
  <c r="X48" i="12"/>
  <c r="D8" i="30"/>
  <c r="D7" i="31"/>
  <c r="D10" i="26"/>
  <c r="D24" i="26" s="1"/>
  <c r="D37" i="26" s="1"/>
  <c r="D7" i="29"/>
  <c r="W48" i="12"/>
  <c r="BV126" i="28" l="1"/>
  <c r="BW125" i="28"/>
  <c r="BY126" i="28"/>
  <c r="BX127" i="28"/>
  <c r="BU126" i="28"/>
  <c r="BX126" i="28"/>
  <c r="BU127" i="28"/>
  <c r="BY125" i="28"/>
  <c r="BV127" i="28"/>
  <c r="BV125" i="28"/>
  <c r="BY127" i="28"/>
  <c r="BW126" i="28"/>
  <c r="BX125" i="28"/>
  <c r="BU125" i="28"/>
  <c r="BW127" i="28"/>
  <c r="Q123" i="28"/>
  <c r="Q122" i="28" s="1"/>
  <c r="M33" i="34" s="1"/>
  <c r="M32" i="34" s="1"/>
  <c r="V48" i="12"/>
  <c r="M24" i="26" s="1"/>
  <c r="P123" i="28"/>
  <c r="P122" i="28" s="1"/>
  <c r="P121" i="28" s="1"/>
  <c r="BL123" i="28"/>
  <c r="BL122" i="28" s="1"/>
  <c r="BH33" i="34" s="1"/>
  <c r="BH32" i="34" s="1"/>
  <c r="AA123" i="28"/>
  <c r="AA122" i="28" s="1"/>
  <c r="W33" i="34" s="1"/>
  <c r="W32" i="34" s="1"/>
  <c r="AN123" i="28"/>
  <c r="AN122" i="28" s="1"/>
  <c r="AJ33" i="34" s="1"/>
  <c r="AJ32" i="34" s="1"/>
  <c r="BQ123" i="28"/>
  <c r="BQ122" i="28" s="1"/>
  <c r="BQ121" i="28" s="1"/>
  <c r="N123" i="28"/>
  <c r="N122" i="28" s="1"/>
  <c r="J33" i="34" s="1"/>
  <c r="J32" i="34" s="1"/>
  <c r="BO123" i="28"/>
  <c r="BO122" i="28" s="1"/>
  <c r="BO121" i="28" s="1"/>
  <c r="BD123" i="28"/>
  <c r="BD122" i="28" s="1"/>
  <c r="BD121" i="28" s="1"/>
  <c r="BJ123" i="28"/>
  <c r="BJ122" i="28" s="1"/>
  <c r="BJ121" i="28" s="1"/>
  <c r="AH123" i="28"/>
  <c r="AH122" i="28" s="1"/>
  <c r="AH121" i="28" s="1"/>
  <c r="AB123" i="28"/>
  <c r="AB122" i="28" s="1"/>
  <c r="AB121" i="28" s="1"/>
  <c r="BK123" i="28"/>
  <c r="BK122" i="28" s="1"/>
  <c r="BG33" i="34" s="1"/>
  <c r="BG32" i="34" s="1"/>
  <c r="T123" i="28"/>
  <c r="T122" i="28" s="1"/>
  <c r="AY123" i="28"/>
  <c r="AY122" i="28" s="1"/>
  <c r="AY121" i="28" s="1"/>
  <c r="BI123" i="28"/>
  <c r="BI122" i="28" s="1"/>
  <c r="BE33" i="34" s="1"/>
  <c r="BE32" i="34" s="1"/>
  <c r="BG123" i="28"/>
  <c r="BG122" i="28" s="1"/>
  <c r="BC33" i="34" s="1"/>
  <c r="BC32" i="34" s="1"/>
  <c r="BN123" i="28"/>
  <c r="BN122" i="28" s="1"/>
  <c r="BN121" i="28" s="1"/>
  <c r="BB123" i="28"/>
  <c r="BB122" i="28" s="1"/>
  <c r="BB121" i="28" s="1"/>
  <c r="L123" i="28"/>
  <c r="W123" i="28"/>
  <c r="W122" i="28" s="1"/>
  <c r="W121" i="28" s="1"/>
  <c r="AJ123" i="28"/>
  <c r="AW123" i="28"/>
  <c r="AW122" i="28" s="1"/>
  <c r="AW121" i="28" s="1"/>
  <c r="BM123" i="28"/>
  <c r="BM122" i="28" s="1"/>
  <c r="BM121" i="28" s="1"/>
  <c r="BS123" i="28"/>
  <c r="BS122" i="28" s="1"/>
  <c r="BS121" i="28" s="1"/>
  <c r="Z123" i="28"/>
  <c r="Z122" i="28" s="1"/>
  <c r="V33" i="34" s="1"/>
  <c r="V32" i="34" s="1"/>
  <c r="AT123" i="28"/>
  <c r="AT122" i="28" s="1"/>
  <c r="AP33" i="34" s="1"/>
  <c r="AP32" i="34" s="1"/>
  <c r="AM123" i="28"/>
  <c r="AM122" i="28" s="1"/>
  <c r="AI33" i="34" s="1"/>
  <c r="AI32" i="34" s="1"/>
  <c r="AK123" i="28"/>
  <c r="AK122" i="28" s="1"/>
  <c r="AK121" i="28" s="1"/>
  <c r="M123" i="28"/>
  <c r="M122" i="28" s="1"/>
  <c r="M121" i="28" s="1"/>
  <c r="BR123" i="28"/>
  <c r="BR122" i="28" s="1"/>
  <c r="BR121" i="28" s="1"/>
  <c r="AC123" i="28"/>
  <c r="AC122" i="28" s="1"/>
  <c r="AC121" i="28" s="1"/>
  <c r="S123" i="28"/>
  <c r="S122" i="28" s="1"/>
  <c r="S121" i="28" s="1"/>
  <c r="AR123" i="28"/>
  <c r="AR122" i="28" s="1"/>
  <c r="AN33" i="34" s="1"/>
  <c r="AN32" i="34" s="1"/>
  <c r="AZ123" i="28"/>
  <c r="AZ122" i="28" s="1"/>
  <c r="AZ121" i="28" s="1"/>
  <c r="AU123" i="28"/>
  <c r="AU122" i="28" s="1"/>
  <c r="AQ33" i="34" s="1"/>
  <c r="AQ32" i="34" s="1"/>
  <c r="AV123" i="28"/>
  <c r="AO123" i="28"/>
  <c r="AO122" i="28" s="1"/>
  <c r="AO121" i="28" s="1"/>
  <c r="BE123" i="28"/>
  <c r="BE122" i="28" s="1"/>
  <c r="BE121" i="28" s="1"/>
  <c r="AD123" i="28"/>
  <c r="AD122" i="28" s="1"/>
  <c r="Z33" i="34" s="1"/>
  <c r="Z32" i="34" s="1"/>
  <c r="AF123" i="28"/>
  <c r="AF122" i="28" s="1"/>
  <c r="AB33" i="34" s="1"/>
  <c r="AB32" i="34" s="1"/>
  <c r="X123" i="28"/>
  <c r="AS123" i="28"/>
  <c r="AS122" i="28" s="1"/>
  <c r="AS121" i="28" s="1"/>
  <c r="U123" i="28"/>
  <c r="U122" i="28" s="1"/>
  <c r="AX123" i="28"/>
  <c r="AX122" i="28" s="1"/>
  <c r="AX121" i="28" s="1"/>
  <c r="O123" i="28"/>
  <c r="O122" i="28" s="1"/>
  <c r="K33" i="34" s="1"/>
  <c r="K32" i="34" s="1"/>
  <c r="BH123" i="28"/>
  <c r="AP123" i="28"/>
  <c r="AP122" i="28" s="1"/>
  <c r="AL33" i="34" s="1"/>
  <c r="AL32" i="34" s="1"/>
  <c r="R123" i="28"/>
  <c r="R122" i="28" s="1"/>
  <c r="R121" i="28" s="1"/>
  <c r="BA123" i="28"/>
  <c r="BA122" i="28" s="1"/>
  <c r="AW33" i="34" s="1"/>
  <c r="AW32" i="34" s="1"/>
  <c r="BC123" i="28"/>
  <c r="BC122" i="28" s="1"/>
  <c r="BC121" i="28" s="1"/>
  <c r="Y123" i="28"/>
  <c r="Y122" i="28" s="1"/>
  <c r="U33" i="34" s="1"/>
  <c r="U32" i="34" s="1"/>
  <c r="AL123" i="28"/>
  <c r="AL122" i="28" s="1"/>
  <c r="AH33" i="34" s="1"/>
  <c r="AH32" i="34" s="1"/>
  <c r="AQ123" i="28"/>
  <c r="AQ122" i="28" s="1"/>
  <c r="AQ121" i="28" s="1"/>
  <c r="AI123" i="28"/>
  <c r="AI122" i="28" s="1"/>
  <c r="AI121" i="28" s="1"/>
  <c r="AY8" i="28"/>
  <c r="W8" i="28"/>
  <c r="AN7" i="28"/>
  <c r="V8" i="28"/>
  <c r="AM8" i="28"/>
  <c r="AZ7" i="28"/>
  <c r="L8" i="28"/>
  <c r="AU8" i="28"/>
  <c r="AR7" i="28"/>
  <c r="BL7" i="28"/>
  <c r="AQ7" i="28"/>
  <c r="Y7" i="28"/>
  <c r="N8" i="28"/>
  <c r="AF8" i="28"/>
  <c r="Z7" i="28"/>
  <c r="AT7" i="28"/>
  <c r="AO8" i="28"/>
  <c r="AP8" i="28"/>
  <c r="R8" i="28"/>
  <c r="R7" i="28"/>
  <c r="AQ8" i="28"/>
  <c r="AB8" i="28"/>
  <c r="AR8" i="28"/>
  <c r="BE8" i="28"/>
  <c r="M8" i="28"/>
  <c r="BC7" i="28"/>
  <c r="BS7" i="28"/>
  <c r="BB8" i="28"/>
  <c r="U7" i="28"/>
  <c r="BK7" i="28"/>
  <c r="BM7" i="28"/>
  <c r="AX8" i="28"/>
  <c r="AJ8" i="28"/>
  <c r="AE7" i="28"/>
  <c r="T7" i="28"/>
  <c r="AA8" i="28"/>
  <c r="AW7" i="28"/>
  <c r="BA8" i="28"/>
  <c r="AW8" i="28"/>
  <c r="AB7" i="28"/>
  <c r="BR8" i="28"/>
  <c r="L7" i="28"/>
  <c r="T8" i="28"/>
  <c r="AH8" i="28"/>
  <c r="AF7" i="28"/>
  <c r="AL7" i="28"/>
  <c r="BF7" i="28"/>
  <c r="BD8" i="28"/>
  <c r="V7" i="28"/>
  <c r="Q8" i="28"/>
  <c r="BO7" i="28"/>
  <c r="AI7" i="28"/>
  <c r="BO8" i="28"/>
  <c r="BH7" i="28"/>
  <c r="AN8" i="28"/>
  <c r="AC8" i="28"/>
  <c r="BP8" i="28"/>
  <c r="P8" i="28"/>
  <c r="BE7" i="28"/>
  <c r="AG7" i="28"/>
  <c r="AP7" i="28"/>
  <c r="AJ7" i="28"/>
  <c r="O7" i="28"/>
  <c r="AK8" i="28"/>
  <c r="AG8" i="28"/>
  <c r="U8" i="28"/>
  <c r="M7" i="28"/>
  <c r="Z8" i="28"/>
  <c r="AU7" i="28"/>
  <c r="BQ8" i="28"/>
  <c r="BS8" i="28"/>
  <c r="AM7" i="28"/>
  <c r="AL8" i="28"/>
  <c r="AO7" i="28"/>
  <c r="BA7" i="28"/>
  <c r="BB7" i="28"/>
  <c r="AV7" i="28"/>
  <c r="BP7" i="28"/>
  <c r="BG7" i="28"/>
  <c r="BJ7" i="28"/>
  <c r="AA7" i="28"/>
  <c r="AC7" i="28"/>
  <c r="BK8" i="28"/>
  <c r="O8" i="28"/>
  <c r="W7" i="28"/>
  <c r="AS7" i="28"/>
  <c r="BL8" i="28"/>
  <c r="BH8" i="28"/>
  <c r="AH7" i="28"/>
  <c r="N7" i="28"/>
  <c r="AE8" i="28"/>
  <c r="BN7" i="28"/>
  <c r="Q7" i="28"/>
  <c r="BI8" i="28"/>
  <c r="BI7" i="28"/>
  <c r="BM8" i="28"/>
  <c r="S7" i="28"/>
  <c r="BN8" i="28"/>
  <c r="AI8" i="28"/>
  <c r="P7" i="28"/>
  <c r="BJ8" i="28"/>
  <c r="AX7" i="28"/>
  <c r="BQ7" i="28"/>
  <c r="BG8" i="28"/>
  <c r="BR7" i="28"/>
  <c r="AK7" i="28"/>
  <c r="X8" i="28"/>
  <c r="X7" i="28"/>
  <c r="AY7" i="28"/>
  <c r="BC8" i="28"/>
  <c r="AS8" i="28"/>
  <c r="AD8" i="28"/>
  <c r="AV8" i="28"/>
  <c r="BD7" i="28"/>
  <c r="AD7" i="28"/>
  <c r="S8" i="28"/>
  <c r="BF8" i="28"/>
  <c r="AT8" i="28"/>
  <c r="AZ8" i="28"/>
  <c r="Y8" i="28"/>
  <c r="BD6" i="28"/>
  <c r="W6" i="28"/>
  <c r="Q6" i="28"/>
  <c r="U6" i="28"/>
  <c r="T6" i="28"/>
  <c r="AX6" i="28"/>
  <c r="AX87" i="28" s="1"/>
  <c r="N6" i="28"/>
  <c r="BG6" i="28"/>
  <c r="BI6" i="28"/>
  <c r="AO6" i="28"/>
  <c r="AO87" i="28" s="1"/>
  <c r="BL6" i="28"/>
  <c r="BN6" i="28"/>
  <c r="BN87" i="28" s="1"/>
  <c r="X6" i="28"/>
  <c r="BM6" i="28"/>
  <c r="O6" i="28"/>
  <c r="O87" i="28" s="1"/>
  <c r="AD6" i="28"/>
  <c r="Z6" i="28"/>
  <c r="AP6" i="28"/>
  <c r="AC6" i="28"/>
  <c r="BP6" i="28"/>
  <c r="S6" i="28"/>
  <c r="S87" i="28" s="1"/>
  <c r="AL6" i="28"/>
  <c r="AL87" i="28" s="1"/>
  <c r="AU6" i="28"/>
  <c r="AA6" i="28"/>
  <c r="M6" i="28"/>
  <c r="AZ6" i="28"/>
  <c r="AZ87" i="28" s="1"/>
  <c r="AV6" i="28"/>
  <c r="BE6" i="28"/>
  <c r="AJ6" i="28"/>
  <c r="BS6" i="28"/>
  <c r="AF6" i="28"/>
  <c r="AN6" i="28"/>
  <c r="BC6" i="28"/>
  <c r="AS6" i="28"/>
  <c r="BO6" i="28"/>
  <c r="BO87" i="28" s="1"/>
  <c r="V6" i="28"/>
  <c r="R6" i="28"/>
  <c r="R87" i="28" s="1"/>
  <c r="AM6" i="28"/>
  <c r="AQ6" i="28"/>
  <c r="AQ87" i="28" s="1"/>
  <c r="BR6" i="28"/>
  <c r="BF6" i="28"/>
  <c r="P6" i="28"/>
  <c r="Y6" i="28"/>
  <c r="AI6" i="28"/>
  <c r="AI87" i="28" s="1"/>
  <c r="AK6" i="28"/>
  <c r="AB6" i="28"/>
  <c r="BQ6" i="28"/>
  <c r="BQ87" i="28" s="1"/>
  <c r="BA6" i="28"/>
  <c r="BB6" i="28"/>
  <c r="BB87" i="28" s="1"/>
  <c r="BH6" i="28"/>
  <c r="BH87" i="28" s="1"/>
  <c r="AE6" i="28"/>
  <c r="AY6" i="28"/>
  <c r="BJ6" i="28"/>
  <c r="BJ87" i="28" s="1"/>
  <c r="AR6" i="28"/>
  <c r="AG6" i="28"/>
  <c r="AW6" i="28"/>
  <c r="BK6" i="28"/>
  <c r="AH6" i="28"/>
  <c r="L6" i="28"/>
  <c r="AT6" i="28"/>
  <c r="AT87" i="28" s="1"/>
  <c r="BP123" i="28"/>
  <c r="BP122" i="28" s="1"/>
  <c r="AE123" i="28"/>
  <c r="AE122" i="28" s="1"/>
  <c r="V123" i="28"/>
  <c r="V122" i="28" s="1"/>
  <c r="AG123" i="28"/>
  <c r="AG122" i="28" s="1"/>
  <c r="BF123" i="28"/>
  <c r="BF122" i="28" s="1"/>
  <c r="BF87" i="28" l="1"/>
  <c r="M87" i="28"/>
  <c r="Z87" i="28"/>
  <c r="T87" i="28"/>
  <c r="BA87" i="28"/>
  <c r="AN87" i="28"/>
  <c r="BE87" i="28"/>
  <c r="BS87" i="28"/>
  <c r="BM87" i="28"/>
  <c r="AS87" i="28"/>
  <c r="BI87" i="28"/>
  <c r="BG87" i="28"/>
  <c r="BK87" i="28"/>
  <c r="BC87" i="28"/>
  <c r="AE87" i="28"/>
  <c r="BL87" i="28"/>
  <c r="BP87" i="28"/>
  <c r="AK87" i="28"/>
  <c r="AJ87" i="28"/>
  <c r="L87" i="28"/>
  <c r="AC87" i="28"/>
  <c r="N87" i="28"/>
  <c r="AD87" i="28"/>
  <c r="AG87" i="28"/>
  <c r="Y87" i="28"/>
  <c r="AB87" i="28"/>
  <c r="U87" i="28"/>
  <c r="P87" i="28"/>
  <c r="AM87" i="28"/>
  <c r="X87" i="28"/>
  <c r="BD87" i="28"/>
  <c r="AW87" i="28"/>
  <c r="BR87" i="28"/>
  <c r="AA87" i="28"/>
  <c r="AF87" i="28"/>
  <c r="AV87" i="28"/>
  <c r="AU87" i="28"/>
  <c r="Q87" i="28"/>
  <c r="AY87" i="28"/>
  <c r="V87" i="28"/>
  <c r="AH87" i="28"/>
  <c r="AR87" i="28"/>
  <c r="AP87" i="28"/>
  <c r="W87" i="28"/>
  <c r="Q33" i="34"/>
  <c r="Q32" i="34" s="1"/>
  <c r="U121" i="28"/>
  <c r="P33" i="34"/>
  <c r="P32" i="34" s="1"/>
  <c r="T121" i="28"/>
  <c r="BU6" i="28"/>
  <c r="BX6" i="28"/>
  <c r="BV8" i="28"/>
  <c r="X122" i="28"/>
  <c r="T33" i="34" s="1"/>
  <c r="T32" i="34" s="1"/>
  <c r="BV123" i="28"/>
  <c r="AJ122" i="28"/>
  <c r="BW123" i="28"/>
  <c r="AV122" i="28"/>
  <c r="AR33" i="34" s="1"/>
  <c r="AR32" i="34" s="1"/>
  <c r="BX123" i="28"/>
  <c r="BW6" i="28"/>
  <c r="BV6" i="28"/>
  <c r="BX8" i="28"/>
  <c r="BX7" i="28"/>
  <c r="BW8" i="28"/>
  <c r="L122" i="28"/>
  <c r="L121" i="28" s="1"/>
  <c r="BU123" i="28"/>
  <c r="BU8" i="28"/>
  <c r="BY6" i="28"/>
  <c r="BW7" i="28"/>
  <c r="BY7" i="28"/>
  <c r="BU7" i="28"/>
  <c r="BV7" i="28"/>
  <c r="BY8" i="28"/>
  <c r="BH122" i="28"/>
  <c r="BD33" i="34" s="1"/>
  <c r="BD32" i="34" s="1"/>
  <c r="BY123" i="28"/>
  <c r="N24" i="26"/>
  <c r="N21" i="26" s="1"/>
  <c r="M21" i="26"/>
  <c r="L33" i="34"/>
  <c r="L32" i="34" s="1"/>
  <c r="BL121" i="28"/>
  <c r="X33" i="34"/>
  <c r="X32" i="34" s="1"/>
  <c r="AD33" i="34"/>
  <c r="AD32" i="34" s="1"/>
  <c r="Z121" i="28"/>
  <c r="AT121" i="28"/>
  <c r="BF33" i="34"/>
  <c r="BF32" i="34" s="1"/>
  <c r="AA121" i="28"/>
  <c r="Q121" i="28"/>
  <c r="AY33" i="34"/>
  <c r="AY32" i="34" s="1"/>
  <c r="AN121" i="28"/>
  <c r="AO33" i="34"/>
  <c r="AO32" i="34" s="1"/>
  <c r="BN33" i="34"/>
  <c r="BN32" i="34" s="1"/>
  <c r="BM33" i="34"/>
  <c r="BM32" i="34" s="1"/>
  <c r="BI121" i="28"/>
  <c r="BK121" i="28"/>
  <c r="AZ33" i="34"/>
  <c r="AZ32" i="34" s="1"/>
  <c r="Y121" i="28"/>
  <c r="AM121" i="28"/>
  <c r="AP121" i="28"/>
  <c r="BK33" i="34"/>
  <c r="BK32" i="34" s="1"/>
  <c r="AM33" i="34"/>
  <c r="AM32" i="34" s="1"/>
  <c r="BA121" i="28"/>
  <c r="N121" i="28"/>
  <c r="BO33" i="34"/>
  <c r="BO32" i="34" s="1"/>
  <c r="AR121" i="28"/>
  <c r="AU33" i="34"/>
  <c r="AU32" i="34" s="1"/>
  <c r="AK33" i="34"/>
  <c r="AK32" i="34" s="1"/>
  <c r="O121" i="28"/>
  <c r="BJ33" i="34"/>
  <c r="BJ32" i="34" s="1"/>
  <c r="AF33" i="34"/>
  <c r="AF32" i="34" s="1"/>
  <c r="BG121" i="28"/>
  <c r="AF121" i="28"/>
  <c r="AV33" i="34"/>
  <c r="AV32" i="34" s="1"/>
  <c r="O73" i="12"/>
  <c r="AS33" i="34"/>
  <c r="AS32" i="34" s="1"/>
  <c r="BA33" i="34"/>
  <c r="BA32" i="34" s="1"/>
  <c r="AX33" i="34"/>
  <c r="AX32" i="34" s="1"/>
  <c r="I33" i="34"/>
  <c r="I32" i="34" s="1"/>
  <c r="AE33" i="34"/>
  <c r="AE32" i="34" s="1"/>
  <c r="AD121" i="28"/>
  <c r="AU121" i="28"/>
  <c r="BI33" i="34"/>
  <c r="BI32" i="34" s="1"/>
  <c r="Y33" i="34"/>
  <c r="Y32" i="34" s="1"/>
  <c r="S33" i="34"/>
  <c r="S32" i="34" s="1"/>
  <c r="AG33" i="34"/>
  <c r="AG32" i="34" s="1"/>
  <c r="N33" i="34"/>
  <c r="N32" i="34" s="1"/>
  <c r="AT33" i="34"/>
  <c r="AT32" i="34" s="1"/>
  <c r="O33" i="34"/>
  <c r="O32" i="34" s="1"/>
  <c r="AL121" i="28"/>
  <c r="BB33" i="34"/>
  <c r="BB32" i="34" s="1"/>
  <c r="BF121" i="28"/>
  <c r="V121" i="28"/>
  <c r="R33" i="34"/>
  <c r="R32" i="34" s="1"/>
  <c r="BP121" i="28"/>
  <c r="BL33" i="34"/>
  <c r="BL32" i="34" s="1"/>
  <c r="BK84" i="28"/>
  <c r="BK5" i="28"/>
  <c r="BJ84" i="28"/>
  <c r="BJ5" i="28"/>
  <c r="BB84" i="28"/>
  <c r="BB5" i="28"/>
  <c r="AK84" i="28"/>
  <c r="AK5" i="28"/>
  <c r="BF84" i="28"/>
  <c r="BF5" i="28"/>
  <c r="R84" i="28"/>
  <c r="R5" i="28"/>
  <c r="BC84" i="28"/>
  <c r="BC5" i="28"/>
  <c r="AJ84" i="28"/>
  <c r="AJ5" i="28"/>
  <c r="M84" i="28"/>
  <c r="M5" i="28"/>
  <c r="S84" i="28"/>
  <c r="S5" i="28"/>
  <c r="Z84" i="28"/>
  <c r="Z5" i="28"/>
  <c r="X5" i="28"/>
  <c r="X84" i="28"/>
  <c r="BI84" i="28"/>
  <c r="BI5" i="28"/>
  <c r="T5" i="28"/>
  <c r="T84" i="28"/>
  <c r="BD84" i="28"/>
  <c r="BD5" i="28"/>
  <c r="AG121" i="28"/>
  <c r="AC33" i="34"/>
  <c r="AC32" i="34" s="1"/>
  <c r="AT84" i="28"/>
  <c r="AT5" i="28"/>
  <c r="AW84" i="28"/>
  <c r="AW5" i="28"/>
  <c r="AY84" i="28"/>
  <c r="AY5" i="28"/>
  <c r="BA84" i="28"/>
  <c r="BA5" i="28"/>
  <c r="AI84" i="28"/>
  <c r="AI5" i="28"/>
  <c r="BR84" i="28"/>
  <c r="BR5" i="28"/>
  <c r="V84" i="28"/>
  <c r="V5" i="28"/>
  <c r="AN84" i="28"/>
  <c r="AN5" i="28"/>
  <c r="BE84" i="28"/>
  <c r="BE5" i="28"/>
  <c r="AA84" i="28"/>
  <c r="AA5" i="28"/>
  <c r="BP84" i="28"/>
  <c r="BP5" i="28"/>
  <c r="AD84" i="28"/>
  <c r="AD5" i="28"/>
  <c r="BN84" i="28"/>
  <c r="BN5" i="28"/>
  <c r="BG84" i="28"/>
  <c r="BG5" i="28"/>
  <c r="U84" i="28"/>
  <c r="U5" i="28"/>
  <c r="L84" i="28"/>
  <c r="L5" i="28"/>
  <c r="AG84" i="28"/>
  <c r="AG5" i="28"/>
  <c r="AE84" i="28"/>
  <c r="AE5" i="28"/>
  <c r="BQ84" i="28"/>
  <c r="BQ5" i="28"/>
  <c r="Y84" i="28"/>
  <c r="Y5" i="28"/>
  <c r="AQ84" i="28"/>
  <c r="AQ5" i="28"/>
  <c r="BO84" i="28"/>
  <c r="BO5" i="28"/>
  <c r="AF84" i="28"/>
  <c r="AF5" i="28"/>
  <c r="AV84" i="28"/>
  <c r="AV5" i="28"/>
  <c r="AU84" i="28"/>
  <c r="AU5" i="28"/>
  <c r="AC84" i="28"/>
  <c r="AC5" i="28"/>
  <c r="O84" i="28"/>
  <c r="O5" i="28"/>
  <c r="BL84" i="28"/>
  <c r="BL5" i="28"/>
  <c r="N84" i="28"/>
  <c r="N5" i="28"/>
  <c r="Q84" i="28"/>
  <c r="Q5" i="28"/>
  <c r="AA33" i="34"/>
  <c r="AA32" i="34" s="1"/>
  <c r="AE121" i="28"/>
  <c r="AH84" i="28"/>
  <c r="AH5" i="28"/>
  <c r="AR84" i="28"/>
  <c r="AR5" i="28"/>
  <c r="BH84" i="28"/>
  <c r="BH5" i="28"/>
  <c r="AB84" i="28"/>
  <c r="AB5" i="28"/>
  <c r="P84" i="28"/>
  <c r="P5" i="28"/>
  <c r="AM84" i="28"/>
  <c r="AM5" i="28"/>
  <c r="AS84" i="28"/>
  <c r="AS5" i="28"/>
  <c r="BS84" i="28"/>
  <c r="BS5" i="28"/>
  <c r="AZ84" i="28"/>
  <c r="AZ5" i="28"/>
  <c r="AL84" i="28"/>
  <c r="AL5" i="28"/>
  <c r="AP84" i="28"/>
  <c r="AP5" i="28"/>
  <c r="BM84" i="28"/>
  <c r="BM5" i="28"/>
  <c r="AO84" i="28"/>
  <c r="AO5" i="28"/>
  <c r="AX84" i="28"/>
  <c r="AX5" i="28"/>
  <c r="W84" i="28"/>
  <c r="W5" i="28"/>
  <c r="BY87" i="28" l="1"/>
  <c r="BX87" i="28"/>
  <c r="BU87" i="28"/>
  <c r="BW87" i="28"/>
  <c r="BV87" i="28"/>
  <c r="AO89" i="28"/>
  <c r="AK83" i="26" s="1"/>
  <c r="AO80" i="28"/>
  <c r="AK75" i="26" s="1"/>
  <c r="AO79" i="28"/>
  <c r="AO88" i="28"/>
  <c r="AZ88" i="28"/>
  <c r="AZ86" i="28" s="1"/>
  <c r="AZ89" i="28"/>
  <c r="AV83" i="26" s="1"/>
  <c r="AZ80" i="28"/>
  <c r="AV75" i="26" s="1"/>
  <c r="AZ79" i="28"/>
  <c r="AH80" i="28"/>
  <c r="AD75" i="26" s="1"/>
  <c r="AH79" i="28"/>
  <c r="AH88" i="28"/>
  <c r="AH89" i="28"/>
  <c r="AD83" i="26" s="1"/>
  <c r="AX80" i="28"/>
  <c r="AT75" i="26" s="1"/>
  <c r="AX79" i="28"/>
  <c r="AX88" i="28"/>
  <c r="AX89" i="28"/>
  <c r="AT83" i="26" s="1"/>
  <c r="AL80" i="28"/>
  <c r="AH75" i="26" s="1"/>
  <c r="AL79" i="28"/>
  <c r="AL88" i="28"/>
  <c r="AL89" i="28"/>
  <c r="AH83" i="26" s="1"/>
  <c r="AM80" i="28"/>
  <c r="AI75" i="26" s="1"/>
  <c r="AM79" i="28"/>
  <c r="AM88" i="28"/>
  <c r="AM89" i="28"/>
  <c r="AI83" i="26" s="1"/>
  <c r="AR88" i="28"/>
  <c r="AR89" i="28"/>
  <c r="AN83" i="26" s="1"/>
  <c r="AR80" i="28"/>
  <c r="AN75" i="26" s="1"/>
  <c r="AR79" i="28"/>
  <c r="Q89" i="28"/>
  <c r="M83" i="26" s="1"/>
  <c r="Q80" i="28"/>
  <c r="M75" i="26" s="1"/>
  <c r="Q79" i="28"/>
  <c r="Q88" i="28"/>
  <c r="AC89" i="28"/>
  <c r="Y83" i="26" s="1"/>
  <c r="AC80" i="28"/>
  <c r="Y75" i="26" s="1"/>
  <c r="AC79" i="28"/>
  <c r="AC88" i="28"/>
  <c r="BO80" i="28"/>
  <c r="BK75" i="26" s="1"/>
  <c r="BO79" i="28"/>
  <c r="BO88" i="28"/>
  <c r="BO89" i="28"/>
  <c r="BK83" i="26" s="1"/>
  <c r="AE80" i="28"/>
  <c r="AA75" i="26" s="1"/>
  <c r="AE79" i="28"/>
  <c r="AE88" i="28"/>
  <c r="AE89" i="28"/>
  <c r="AA83" i="26" s="1"/>
  <c r="BG80" i="28"/>
  <c r="BC75" i="26" s="1"/>
  <c r="BG79" i="28"/>
  <c r="BG88" i="28"/>
  <c r="BG89" i="28"/>
  <c r="BC83" i="26" s="1"/>
  <c r="AA80" i="28"/>
  <c r="W75" i="26" s="1"/>
  <c r="AA79" i="28"/>
  <c r="AA88" i="28"/>
  <c r="AA89" i="28"/>
  <c r="W83" i="26" s="1"/>
  <c r="BR80" i="28"/>
  <c r="BN75" i="26" s="1"/>
  <c r="BR79" i="28"/>
  <c r="BR88" i="28"/>
  <c r="BR89" i="28"/>
  <c r="BN83" i="26" s="1"/>
  <c r="AW89" i="28"/>
  <c r="AS83" i="26" s="1"/>
  <c r="AW80" i="28"/>
  <c r="AS75" i="26" s="1"/>
  <c r="AW79" i="28"/>
  <c r="AW88" i="28"/>
  <c r="BD88" i="28"/>
  <c r="BD86" i="28" s="1"/>
  <c r="BD89" i="28"/>
  <c r="AZ83" i="26" s="1"/>
  <c r="BD80" i="28"/>
  <c r="AZ75" i="26" s="1"/>
  <c r="BD79" i="28"/>
  <c r="Z80" i="28"/>
  <c r="V75" i="26" s="1"/>
  <c r="Z79" i="28"/>
  <c r="Z88" i="28"/>
  <c r="Z89" i="28"/>
  <c r="V83" i="26" s="1"/>
  <c r="BC80" i="28"/>
  <c r="AY75" i="26" s="1"/>
  <c r="BC79" i="28"/>
  <c r="BC88" i="28"/>
  <c r="BC89" i="28"/>
  <c r="AY83" i="26" s="1"/>
  <c r="BB80" i="28"/>
  <c r="AX75" i="26" s="1"/>
  <c r="BB79" i="28"/>
  <c r="BB88" i="28"/>
  <c r="BB89" i="28"/>
  <c r="AX83" i="26" s="1"/>
  <c r="P88" i="28"/>
  <c r="P86" i="28" s="1"/>
  <c r="P89" i="28"/>
  <c r="L83" i="26" s="1"/>
  <c r="P80" i="28"/>
  <c r="L75" i="26" s="1"/>
  <c r="P79" i="28"/>
  <c r="AU80" i="28"/>
  <c r="AQ75" i="26" s="1"/>
  <c r="AU79" i="28"/>
  <c r="AU88" i="28"/>
  <c r="AU89" i="28"/>
  <c r="AQ83" i="26" s="1"/>
  <c r="W80" i="28"/>
  <c r="S75" i="26" s="1"/>
  <c r="W79" i="28"/>
  <c r="W88" i="28"/>
  <c r="W89" i="28"/>
  <c r="S83" i="26" s="1"/>
  <c r="AP80" i="28"/>
  <c r="AL75" i="26" s="1"/>
  <c r="AP79" i="28"/>
  <c r="AP88" i="28"/>
  <c r="AP89" i="28"/>
  <c r="AL83" i="26" s="1"/>
  <c r="AS89" i="28"/>
  <c r="AO83" i="26" s="1"/>
  <c r="AS80" i="28"/>
  <c r="AO75" i="26" s="1"/>
  <c r="AS79" i="28"/>
  <c r="AS88" i="28"/>
  <c r="BH88" i="28"/>
  <c r="BH89" i="28"/>
  <c r="BH80" i="28"/>
  <c r="BH79" i="28"/>
  <c r="O80" i="28"/>
  <c r="K75" i="26" s="1"/>
  <c r="O79" i="28"/>
  <c r="O88" i="28"/>
  <c r="O89" i="28"/>
  <c r="K83" i="26" s="1"/>
  <c r="AF88" i="28"/>
  <c r="AF89" i="28"/>
  <c r="AB83" i="26" s="1"/>
  <c r="AF80" i="28"/>
  <c r="AB75" i="26" s="1"/>
  <c r="AF79" i="28"/>
  <c r="BQ89" i="28"/>
  <c r="BM83" i="26" s="1"/>
  <c r="BQ80" i="28"/>
  <c r="BM75" i="26" s="1"/>
  <c r="BQ79" i="28"/>
  <c r="BQ88" i="28"/>
  <c r="U89" i="28"/>
  <c r="Q83" i="26" s="1"/>
  <c r="U80" i="28"/>
  <c r="Q75" i="26" s="1"/>
  <c r="U79" i="28"/>
  <c r="U88" i="28"/>
  <c r="BP88" i="28"/>
  <c r="BP86" i="28" s="1"/>
  <c r="BP89" i="28"/>
  <c r="BL83" i="26" s="1"/>
  <c r="BP80" i="28"/>
  <c r="BL75" i="26" s="1"/>
  <c r="BP79" i="28"/>
  <c r="V80" i="28"/>
  <c r="R75" i="26" s="1"/>
  <c r="V79" i="28"/>
  <c r="V88" i="28"/>
  <c r="V89" i="28"/>
  <c r="R83" i="26" s="1"/>
  <c r="T88" i="28"/>
  <c r="T89" i="28"/>
  <c r="P83" i="26" s="1"/>
  <c r="T80" i="28"/>
  <c r="P75" i="26" s="1"/>
  <c r="T79" i="28"/>
  <c r="AJ88" i="28"/>
  <c r="AJ89" i="28"/>
  <c r="AJ80" i="28"/>
  <c r="AJ79" i="28"/>
  <c r="AK89" i="28"/>
  <c r="AG83" i="26" s="1"/>
  <c r="AK80" i="28"/>
  <c r="AG75" i="26" s="1"/>
  <c r="AK79" i="28"/>
  <c r="AK88" i="28"/>
  <c r="BS80" i="28"/>
  <c r="BO75" i="26" s="1"/>
  <c r="BS79" i="28"/>
  <c r="BS88" i="28"/>
  <c r="BS89" i="28"/>
  <c r="BO83" i="26" s="1"/>
  <c r="BL88" i="28"/>
  <c r="BL89" i="28"/>
  <c r="BH83" i="26" s="1"/>
  <c r="BL80" i="28"/>
  <c r="BH75" i="26" s="1"/>
  <c r="BL79" i="28"/>
  <c r="AV88" i="28"/>
  <c r="AV89" i="28"/>
  <c r="AV80" i="28"/>
  <c r="AV79" i="28"/>
  <c r="Y89" i="28"/>
  <c r="U83" i="26" s="1"/>
  <c r="Y80" i="28"/>
  <c r="U75" i="26" s="1"/>
  <c r="Y79" i="28"/>
  <c r="Y88" i="28"/>
  <c r="L89" i="28"/>
  <c r="L88" i="28"/>
  <c r="L80" i="28"/>
  <c r="L79" i="28"/>
  <c r="L74" i="28"/>
  <c r="AD80" i="28"/>
  <c r="Z75" i="26" s="1"/>
  <c r="AD79" i="28"/>
  <c r="AD88" i="28"/>
  <c r="AD89" i="28"/>
  <c r="Z83" i="26" s="1"/>
  <c r="AN88" i="28"/>
  <c r="AN89" i="28"/>
  <c r="AJ83" i="26" s="1"/>
  <c r="AN80" i="28"/>
  <c r="AJ75" i="26" s="1"/>
  <c r="AN79" i="28"/>
  <c r="BA89" i="28"/>
  <c r="AW83" i="26" s="1"/>
  <c r="BA80" i="28"/>
  <c r="AW75" i="26" s="1"/>
  <c r="BA79" i="28"/>
  <c r="BA88" i="28"/>
  <c r="AY80" i="28"/>
  <c r="AU75" i="26" s="1"/>
  <c r="AY79" i="28"/>
  <c r="AY88" i="28"/>
  <c r="AY89" i="28"/>
  <c r="AU83" i="26" s="1"/>
  <c r="BI89" i="28"/>
  <c r="BE83" i="26" s="1"/>
  <c r="BI80" i="28"/>
  <c r="BE75" i="26" s="1"/>
  <c r="BI79" i="28"/>
  <c r="BI88" i="28"/>
  <c r="X88" i="28"/>
  <c r="X89" i="28"/>
  <c r="X80" i="28"/>
  <c r="X79" i="28"/>
  <c r="M89" i="28"/>
  <c r="I83" i="26" s="1"/>
  <c r="M80" i="28"/>
  <c r="I75" i="26" s="1"/>
  <c r="M79" i="28"/>
  <c r="M88" i="28"/>
  <c r="BF80" i="28"/>
  <c r="BB75" i="26" s="1"/>
  <c r="BF79" i="28"/>
  <c r="BF88" i="28"/>
  <c r="BF89" i="28"/>
  <c r="BB83" i="26" s="1"/>
  <c r="BK80" i="28"/>
  <c r="BG75" i="26" s="1"/>
  <c r="BK79" i="28"/>
  <c r="BK88" i="28"/>
  <c r="BK89" i="28"/>
  <c r="BG83" i="26" s="1"/>
  <c r="BM89" i="28"/>
  <c r="BI83" i="26" s="1"/>
  <c r="BM80" i="28"/>
  <c r="BI75" i="26" s="1"/>
  <c r="BM79" i="28"/>
  <c r="BM88" i="28"/>
  <c r="AB88" i="28"/>
  <c r="AB89" i="28"/>
  <c r="X83" i="26" s="1"/>
  <c r="AB80" i="28"/>
  <c r="X75" i="26" s="1"/>
  <c r="AB79" i="28"/>
  <c r="N80" i="28"/>
  <c r="J75" i="26" s="1"/>
  <c r="N79" i="28"/>
  <c r="N88" i="28"/>
  <c r="N89" i="28"/>
  <c r="J83" i="26" s="1"/>
  <c r="AQ80" i="28"/>
  <c r="AM75" i="26" s="1"/>
  <c r="AQ79" i="28"/>
  <c r="AQ88" i="28"/>
  <c r="AQ89" i="28"/>
  <c r="AM83" i="26" s="1"/>
  <c r="AG89" i="28"/>
  <c r="AC83" i="26" s="1"/>
  <c r="AG80" i="28"/>
  <c r="AC75" i="26" s="1"/>
  <c r="AG79" i="28"/>
  <c r="AG88" i="28"/>
  <c r="BN80" i="28"/>
  <c r="BJ75" i="26" s="1"/>
  <c r="BN79" i="28"/>
  <c r="BN88" i="28"/>
  <c r="BN89" i="28"/>
  <c r="BJ83" i="26" s="1"/>
  <c r="BE89" i="28"/>
  <c r="BA83" i="26" s="1"/>
  <c r="BE80" i="28"/>
  <c r="BA75" i="26" s="1"/>
  <c r="BE79" i="28"/>
  <c r="BE88" i="28"/>
  <c r="AI80" i="28"/>
  <c r="AE75" i="26" s="1"/>
  <c r="AI79" i="28"/>
  <c r="AI88" i="28"/>
  <c r="AI89" i="28"/>
  <c r="AE83" i="26" s="1"/>
  <c r="AT80" i="28"/>
  <c r="AP75" i="26" s="1"/>
  <c r="AT79" i="28"/>
  <c r="AT88" i="28"/>
  <c r="AT89" i="28"/>
  <c r="AP83" i="26" s="1"/>
  <c r="S80" i="28"/>
  <c r="O75" i="26" s="1"/>
  <c r="S79" i="28"/>
  <c r="S88" i="28"/>
  <c r="S89" i="28"/>
  <c r="O83" i="26" s="1"/>
  <c r="R80" i="28"/>
  <c r="N75" i="26" s="1"/>
  <c r="R79" i="28"/>
  <c r="R88" i="28"/>
  <c r="R89" i="28"/>
  <c r="N83" i="26" s="1"/>
  <c r="BJ80" i="28"/>
  <c r="BF75" i="26" s="1"/>
  <c r="BJ79" i="28"/>
  <c r="BJ88" i="28"/>
  <c r="BJ89" i="28"/>
  <c r="BF83" i="26" s="1"/>
  <c r="AR170" i="28"/>
  <c r="AR40" i="28" s="1"/>
  <c r="AR169" i="28"/>
  <c r="AR39" i="28" s="1"/>
  <c r="AR166" i="28"/>
  <c r="AR36" i="28" s="1"/>
  <c r="AR165" i="28"/>
  <c r="AR193" i="28"/>
  <c r="AR63" i="28" s="1"/>
  <c r="AR192" i="28"/>
  <c r="AR62" i="28" s="1"/>
  <c r="AR184" i="28"/>
  <c r="AR54" i="28" s="1"/>
  <c r="AR183" i="28"/>
  <c r="AR53" i="28" s="1"/>
  <c r="AR182" i="28"/>
  <c r="AR52" i="28" s="1"/>
  <c r="AR181" i="28"/>
  <c r="AR175" i="28"/>
  <c r="AR45" i="28" s="1"/>
  <c r="AR174" i="28"/>
  <c r="AR44" i="28" s="1"/>
  <c r="AR173" i="28"/>
  <c r="AR191" i="28"/>
  <c r="AR61" i="28" s="1"/>
  <c r="AR189" i="28"/>
  <c r="AR190" i="28"/>
  <c r="AR60" i="28" s="1"/>
  <c r="BG170" i="28"/>
  <c r="BG40" i="28" s="1"/>
  <c r="BG166" i="28"/>
  <c r="BG36" i="28" s="1"/>
  <c r="BG193" i="28"/>
  <c r="BG63" i="28" s="1"/>
  <c r="BG191" i="28"/>
  <c r="BG61" i="28" s="1"/>
  <c r="BG190" i="28"/>
  <c r="BG60" i="28" s="1"/>
  <c r="BG189" i="28"/>
  <c r="BG169" i="28"/>
  <c r="BG39" i="28" s="1"/>
  <c r="BG192" i="28"/>
  <c r="BG62" i="28" s="1"/>
  <c r="BG181" i="28"/>
  <c r="BG184" i="28"/>
  <c r="BG54" i="28" s="1"/>
  <c r="BG175" i="28"/>
  <c r="BG45" i="28" s="1"/>
  <c r="BG165" i="28"/>
  <c r="BG183" i="28"/>
  <c r="BG53" i="28" s="1"/>
  <c r="BG174" i="28"/>
  <c r="BG44" i="28" s="1"/>
  <c r="BG182" i="28"/>
  <c r="BG52" i="28" s="1"/>
  <c r="BG173" i="28"/>
  <c r="BP170" i="28"/>
  <c r="BP40" i="28" s="1"/>
  <c r="BP169" i="28"/>
  <c r="BP39" i="28" s="1"/>
  <c r="BP166" i="28"/>
  <c r="BP36" i="28" s="1"/>
  <c r="BP165" i="28"/>
  <c r="BP193" i="28"/>
  <c r="BP63" i="28" s="1"/>
  <c r="BP192" i="28"/>
  <c r="BP62" i="28" s="1"/>
  <c r="BP184" i="28"/>
  <c r="BP54" i="28" s="1"/>
  <c r="BP183" i="28"/>
  <c r="BP53" i="28" s="1"/>
  <c r="BP182" i="28"/>
  <c r="BP52" i="28" s="1"/>
  <c r="BP181" i="28"/>
  <c r="BP175" i="28"/>
  <c r="BP45" i="28" s="1"/>
  <c r="BP174" i="28"/>
  <c r="BP44" i="28" s="1"/>
  <c r="BP173" i="28"/>
  <c r="BP191" i="28"/>
  <c r="BP61" i="28" s="1"/>
  <c r="BP189" i="28"/>
  <c r="BP190" i="28"/>
  <c r="BP60" i="28" s="1"/>
  <c r="V169" i="28"/>
  <c r="V39" i="28" s="1"/>
  <c r="V165" i="28"/>
  <c r="V192" i="28"/>
  <c r="V62" i="28" s="1"/>
  <c r="V191" i="28"/>
  <c r="V61" i="28" s="1"/>
  <c r="V190" i="28"/>
  <c r="V60" i="28" s="1"/>
  <c r="V166" i="28"/>
  <c r="V36" i="28" s="1"/>
  <c r="V189" i="28"/>
  <c r="V181" i="28"/>
  <c r="V170" i="28"/>
  <c r="V40" i="28" s="1"/>
  <c r="V184" i="28"/>
  <c r="V54" i="28" s="1"/>
  <c r="V175" i="28"/>
  <c r="V45" i="28" s="1"/>
  <c r="V193" i="28"/>
  <c r="V63" i="28" s="1"/>
  <c r="V183" i="28"/>
  <c r="V53" i="28" s="1"/>
  <c r="V174" i="28"/>
  <c r="V44" i="28" s="1"/>
  <c r="V173" i="28"/>
  <c r="V182" i="28"/>
  <c r="V52" i="28" s="1"/>
  <c r="BC169" i="28"/>
  <c r="BC39" i="28" s="1"/>
  <c r="BC165" i="28"/>
  <c r="BC192" i="28"/>
  <c r="BC62" i="28" s="1"/>
  <c r="BC191" i="28"/>
  <c r="BC61" i="28" s="1"/>
  <c r="BC190" i="28"/>
  <c r="BC60" i="28" s="1"/>
  <c r="BC189" i="28"/>
  <c r="BC166" i="28"/>
  <c r="BC36" i="28" s="1"/>
  <c r="BC170" i="28"/>
  <c r="BC40" i="28" s="1"/>
  <c r="BC184" i="28"/>
  <c r="BC54" i="28" s="1"/>
  <c r="BC175" i="28"/>
  <c r="BC45" i="28" s="1"/>
  <c r="BC183" i="28"/>
  <c r="BC53" i="28" s="1"/>
  <c r="BC174" i="28"/>
  <c r="BC44" i="28" s="1"/>
  <c r="BC182" i="28"/>
  <c r="BC52" i="28" s="1"/>
  <c r="BC173" i="28"/>
  <c r="BC181" i="28"/>
  <c r="BC193" i="28"/>
  <c r="BC63" i="28" s="1"/>
  <c r="AK170" i="28"/>
  <c r="AK40" i="28" s="1"/>
  <c r="AK169" i="28"/>
  <c r="AK39" i="28" s="1"/>
  <c r="AK166" i="28"/>
  <c r="AK36" i="28" s="1"/>
  <c r="AK165" i="28"/>
  <c r="AK193" i="28"/>
  <c r="AK63" i="28" s="1"/>
  <c r="AK192" i="28"/>
  <c r="AK62" i="28" s="1"/>
  <c r="AK190" i="28"/>
  <c r="AK60" i="28" s="1"/>
  <c r="AK182" i="28"/>
  <c r="AK52" i="28" s="1"/>
  <c r="AK173" i="28"/>
  <c r="AK189" i="28"/>
  <c r="AK181" i="28"/>
  <c r="AK184" i="28"/>
  <c r="AK54" i="28" s="1"/>
  <c r="AK175" i="28"/>
  <c r="AK45" i="28" s="1"/>
  <c r="AK183" i="28"/>
  <c r="AK53" i="28" s="1"/>
  <c r="AK174" i="28"/>
  <c r="AK44" i="28" s="1"/>
  <c r="AK191" i="28"/>
  <c r="AK61" i="28" s="1"/>
  <c r="BK169" i="28"/>
  <c r="BK39" i="28" s="1"/>
  <c r="BK165" i="28"/>
  <c r="BK192" i="28"/>
  <c r="BK62" i="28" s="1"/>
  <c r="BK191" i="28"/>
  <c r="BK61" i="28" s="1"/>
  <c r="BK190" i="28"/>
  <c r="BK60" i="28" s="1"/>
  <c r="BK189" i="28"/>
  <c r="BK170" i="28"/>
  <c r="BK40" i="28" s="1"/>
  <c r="BK193" i="28"/>
  <c r="BK63" i="28" s="1"/>
  <c r="BK182" i="28"/>
  <c r="BK52" i="28" s="1"/>
  <c r="BK173" i="28"/>
  <c r="BK181" i="28"/>
  <c r="BK166" i="28"/>
  <c r="BK36" i="28" s="1"/>
  <c r="BK184" i="28"/>
  <c r="BK54" i="28" s="1"/>
  <c r="BK175" i="28"/>
  <c r="BK45" i="28" s="1"/>
  <c r="BK183" i="28"/>
  <c r="BK53" i="28" s="1"/>
  <c r="BK174" i="28"/>
  <c r="BK44" i="28" s="1"/>
  <c r="AX170" i="28"/>
  <c r="AX40" i="28" s="1"/>
  <c r="AX166" i="28"/>
  <c r="AX36" i="28" s="1"/>
  <c r="AX193" i="28"/>
  <c r="AX63" i="28" s="1"/>
  <c r="AX191" i="28"/>
  <c r="AX61" i="28" s="1"/>
  <c r="AX190" i="28"/>
  <c r="AX60" i="28" s="1"/>
  <c r="AX189" i="28"/>
  <c r="AX165" i="28"/>
  <c r="AX192" i="28"/>
  <c r="AX62" i="28" s="1"/>
  <c r="AX184" i="28"/>
  <c r="AX54" i="28" s="1"/>
  <c r="AX175" i="28"/>
  <c r="AX45" i="28" s="1"/>
  <c r="AX169" i="28"/>
  <c r="AX39" i="28" s="1"/>
  <c r="AX183" i="28"/>
  <c r="AX53" i="28" s="1"/>
  <c r="AX174" i="28"/>
  <c r="AX44" i="28" s="1"/>
  <c r="AX182" i="28"/>
  <c r="AX52" i="28" s="1"/>
  <c r="AX173" i="28"/>
  <c r="AX181" i="28"/>
  <c r="BM170" i="28"/>
  <c r="BM40" i="28" s="1"/>
  <c r="BM169" i="28"/>
  <c r="BM39" i="28" s="1"/>
  <c r="BM166" i="28"/>
  <c r="BM36" i="28" s="1"/>
  <c r="BM165" i="28"/>
  <c r="BM193" i="28"/>
  <c r="BM63" i="28" s="1"/>
  <c r="BM192" i="28"/>
  <c r="BM62" i="28" s="1"/>
  <c r="BM191" i="28"/>
  <c r="BM61" i="28" s="1"/>
  <c r="BM189" i="28"/>
  <c r="BM181" i="28"/>
  <c r="BM184" i="28"/>
  <c r="BM54" i="28" s="1"/>
  <c r="BM175" i="28"/>
  <c r="BM45" i="28" s="1"/>
  <c r="BM183" i="28"/>
  <c r="BM53" i="28" s="1"/>
  <c r="BM174" i="28"/>
  <c r="BM44" i="28" s="1"/>
  <c r="BM173" i="28"/>
  <c r="BM190" i="28"/>
  <c r="BM60" i="28" s="1"/>
  <c r="BM182" i="28"/>
  <c r="BM52" i="28" s="1"/>
  <c r="X170" i="28"/>
  <c r="X169" i="28"/>
  <c r="X166" i="28"/>
  <c r="X165" i="28"/>
  <c r="X193" i="28"/>
  <c r="X189" i="28"/>
  <c r="X184" i="28"/>
  <c r="X183" i="28"/>
  <c r="X182" i="28"/>
  <c r="X181" i="28"/>
  <c r="X175" i="28"/>
  <c r="X45" i="28" s="1"/>
  <c r="X174" i="28"/>
  <c r="X173" i="28"/>
  <c r="X191" i="28"/>
  <c r="X192" i="28"/>
  <c r="X190" i="28"/>
  <c r="BN170" i="28"/>
  <c r="BN40" i="28" s="1"/>
  <c r="BN166" i="28"/>
  <c r="BN36" i="28" s="1"/>
  <c r="BN193" i="28"/>
  <c r="BN63" i="28" s="1"/>
  <c r="BN191" i="28"/>
  <c r="BN61" i="28" s="1"/>
  <c r="BN190" i="28"/>
  <c r="BN60" i="28" s="1"/>
  <c r="BN189" i="28"/>
  <c r="BN165" i="28"/>
  <c r="BN184" i="28"/>
  <c r="BN54" i="28" s="1"/>
  <c r="BN175" i="28"/>
  <c r="BN45" i="28" s="1"/>
  <c r="BN192" i="28"/>
  <c r="BN62" i="28" s="1"/>
  <c r="BN183" i="28"/>
  <c r="BN53" i="28" s="1"/>
  <c r="BN174" i="28"/>
  <c r="BN44" i="28" s="1"/>
  <c r="BN182" i="28"/>
  <c r="BN52" i="28" s="1"/>
  <c r="BN173" i="28"/>
  <c r="BN169" i="28"/>
  <c r="BN39" i="28" s="1"/>
  <c r="BN181" i="28"/>
  <c r="AA170" i="28"/>
  <c r="AA40" i="28" s="1"/>
  <c r="AA166" i="28"/>
  <c r="AA36" i="28" s="1"/>
  <c r="AA193" i="28"/>
  <c r="AA63" i="28" s="1"/>
  <c r="AA192" i="28"/>
  <c r="AA62" i="28" s="1"/>
  <c r="AA191" i="28"/>
  <c r="AA61" i="28" s="1"/>
  <c r="AA190" i="28"/>
  <c r="AA60" i="28" s="1"/>
  <c r="AA169" i="28"/>
  <c r="AA39" i="28" s="1"/>
  <c r="AA189" i="28"/>
  <c r="AA181" i="28"/>
  <c r="AA184" i="28"/>
  <c r="AA54" i="28" s="1"/>
  <c r="AA175" i="28"/>
  <c r="AA45" i="28" s="1"/>
  <c r="AA165" i="28"/>
  <c r="AA183" i="28"/>
  <c r="AA53" i="28" s="1"/>
  <c r="AA174" i="28"/>
  <c r="AA44" i="28" s="1"/>
  <c r="AA182" i="28"/>
  <c r="AA52" i="28" s="1"/>
  <c r="AA173" i="28"/>
  <c r="AN170" i="28"/>
  <c r="AN40" i="28" s="1"/>
  <c r="AN169" i="28"/>
  <c r="AN39" i="28" s="1"/>
  <c r="AN166" i="28"/>
  <c r="AN36" i="28" s="1"/>
  <c r="AN165" i="28"/>
  <c r="AN193" i="28"/>
  <c r="AN63" i="28" s="1"/>
  <c r="AN192" i="28"/>
  <c r="AN62" i="28" s="1"/>
  <c r="AN184" i="28"/>
  <c r="AN54" i="28" s="1"/>
  <c r="AN183" i="28"/>
  <c r="AN53" i="28" s="1"/>
  <c r="AN182" i="28"/>
  <c r="AN52" i="28" s="1"/>
  <c r="AN181" i="28"/>
  <c r="AN175" i="28"/>
  <c r="AN45" i="28" s="1"/>
  <c r="AN174" i="28"/>
  <c r="AN44" i="28" s="1"/>
  <c r="AN173" i="28"/>
  <c r="AN190" i="28"/>
  <c r="AN60" i="28" s="1"/>
  <c r="AN191" i="28"/>
  <c r="AN61" i="28" s="1"/>
  <c r="AN189" i="28"/>
  <c r="AI170" i="28"/>
  <c r="AI40" i="28" s="1"/>
  <c r="AI166" i="28"/>
  <c r="AI36" i="28" s="1"/>
  <c r="AI193" i="28"/>
  <c r="AI63" i="28" s="1"/>
  <c r="AI191" i="28"/>
  <c r="AI61" i="28" s="1"/>
  <c r="AI190" i="28"/>
  <c r="AI60" i="28" s="1"/>
  <c r="AI165" i="28"/>
  <c r="AI183" i="28"/>
  <c r="AI53" i="28" s="1"/>
  <c r="AI174" i="28"/>
  <c r="AI44" i="28" s="1"/>
  <c r="AI182" i="28"/>
  <c r="AI52" i="28" s="1"/>
  <c r="AI173" i="28"/>
  <c r="AI169" i="28"/>
  <c r="AI39" i="28" s="1"/>
  <c r="AI192" i="28"/>
  <c r="AI62" i="28" s="1"/>
  <c r="AI189" i="28"/>
  <c r="AI181" i="28"/>
  <c r="AI184" i="28"/>
  <c r="AI54" i="28" s="1"/>
  <c r="AI175" i="28"/>
  <c r="AI45" i="28" s="1"/>
  <c r="AW170" i="28"/>
  <c r="AW40" i="28" s="1"/>
  <c r="AW169" i="28"/>
  <c r="AW39" i="28" s="1"/>
  <c r="AW166" i="28"/>
  <c r="AW36" i="28" s="1"/>
  <c r="AW165" i="28"/>
  <c r="AW193" i="28"/>
  <c r="AW63" i="28" s="1"/>
  <c r="AW192" i="28"/>
  <c r="AW62" i="28" s="1"/>
  <c r="AW191" i="28"/>
  <c r="AW61" i="28" s="1"/>
  <c r="AW189" i="28"/>
  <c r="AW181" i="28"/>
  <c r="AW190" i="28"/>
  <c r="AW60" i="28" s="1"/>
  <c r="AW184" i="28"/>
  <c r="AW54" i="28" s="1"/>
  <c r="AW175" i="28"/>
  <c r="AW45" i="28" s="1"/>
  <c r="AW183" i="28"/>
  <c r="AW53" i="28" s="1"/>
  <c r="AW174" i="28"/>
  <c r="AW44" i="28" s="1"/>
  <c r="AW182" i="28"/>
  <c r="AW52" i="28" s="1"/>
  <c r="AW173" i="28"/>
  <c r="BF170" i="28"/>
  <c r="BF40" i="28" s="1"/>
  <c r="BF166" i="28"/>
  <c r="BF36" i="28" s="1"/>
  <c r="BF193" i="28"/>
  <c r="BF63" i="28" s="1"/>
  <c r="BF191" i="28"/>
  <c r="BF61" i="28" s="1"/>
  <c r="BF190" i="28"/>
  <c r="BF60" i="28" s="1"/>
  <c r="BF189" i="28"/>
  <c r="BF169" i="28"/>
  <c r="BF39" i="28" s="1"/>
  <c r="BF182" i="28"/>
  <c r="BF52" i="28" s="1"/>
  <c r="BF173" i="28"/>
  <c r="BF181" i="28"/>
  <c r="BF192" i="28"/>
  <c r="BF62" i="28" s="1"/>
  <c r="BF184" i="28"/>
  <c r="BF54" i="28" s="1"/>
  <c r="BF175" i="28"/>
  <c r="BF45" i="28" s="1"/>
  <c r="BF165" i="28"/>
  <c r="BF183" i="28"/>
  <c r="BF53" i="28" s="1"/>
  <c r="BF174" i="28"/>
  <c r="BF44" i="28" s="1"/>
  <c r="BB169" i="28"/>
  <c r="BB39" i="28" s="1"/>
  <c r="BB165" i="28"/>
  <c r="BB192" i="28"/>
  <c r="BB62" i="28" s="1"/>
  <c r="BB191" i="28"/>
  <c r="BB61" i="28" s="1"/>
  <c r="BB190" i="28"/>
  <c r="BB60" i="28" s="1"/>
  <c r="BB189" i="28"/>
  <c r="BB166" i="28"/>
  <c r="BB36" i="28" s="1"/>
  <c r="BB193" i="28"/>
  <c r="BB63" i="28" s="1"/>
  <c r="BB181" i="28"/>
  <c r="BB170" i="28"/>
  <c r="BB40" i="28" s="1"/>
  <c r="BB184" i="28"/>
  <c r="BB54" i="28" s="1"/>
  <c r="BB175" i="28"/>
  <c r="BB45" i="28" s="1"/>
  <c r="BB183" i="28"/>
  <c r="BB53" i="28" s="1"/>
  <c r="BB174" i="28"/>
  <c r="BB44" i="28" s="1"/>
  <c r="BB182" i="28"/>
  <c r="BB52" i="28" s="1"/>
  <c r="BB173" i="28"/>
  <c r="AO170" i="28"/>
  <c r="AO40" i="28" s="1"/>
  <c r="AO169" i="28"/>
  <c r="AO39" i="28" s="1"/>
  <c r="AO166" i="28"/>
  <c r="AO36" i="28" s="1"/>
  <c r="AO165" i="28"/>
  <c r="AO193" i="28"/>
  <c r="AO63" i="28" s="1"/>
  <c r="AO192" i="28"/>
  <c r="AO62" i="28" s="1"/>
  <c r="AO191" i="28"/>
  <c r="AO61" i="28" s="1"/>
  <c r="AO189" i="28"/>
  <c r="AO190" i="28"/>
  <c r="AO60" i="28" s="1"/>
  <c r="AO183" i="28"/>
  <c r="AO53" i="28" s="1"/>
  <c r="AO174" i="28"/>
  <c r="AO44" i="28" s="1"/>
  <c r="AO182" i="28"/>
  <c r="AO52" i="28" s="1"/>
  <c r="AO173" i="28"/>
  <c r="AO181" i="28"/>
  <c r="AO184" i="28"/>
  <c r="AO54" i="28" s="1"/>
  <c r="AO175" i="28"/>
  <c r="AO45" i="28" s="1"/>
  <c r="AL169" i="28"/>
  <c r="AL39" i="28" s="1"/>
  <c r="AL165" i="28"/>
  <c r="AL192" i="28"/>
  <c r="AL62" i="28" s="1"/>
  <c r="AL191" i="28"/>
  <c r="AL61" i="28" s="1"/>
  <c r="AL190" i="28"/>
  <c r="AL60" i="28" s="1"/>
  <c r="AL166" i="28"/>
  <c r="AL36" i="28" s="1"/>
  <c r="AL189" i="28"/>
  <c r="AL181" i="28"/>
  <c r="AL184" i="28"/>
  <c r="AL54" i="28" s="1"/>
  <c r="AL175" i="28"/>
  <c r="AL45" i="28" s="1"/>
  <c r="AL183" i="28"/>
  <c r="AL53" i="28" s="1"/>
  <c r="AL174" i="28"/>
  <c r="AL44" i="28" s="1"/>
  <c r="AL170" i="28"/>
  <c r="AL40" i="28" s="1"/>
  <c r="AL182" i="28"/>
  <c r="AL52" i="28" s="1"/>
  <c r="AL173" i="28"/>
  <c r="AL193" i="28"/>
  <c r="AL63" i="28" s="1"/>
  <c r="AZ170" i="28"/>
  <c r="AZ40" i="28" s="1"/>
  <c r="AZ169" i="28"/>
  <c r="AZ39" i="28" s="1"/>
  <c r="AZ166" i="28"/>
  <c r="AZ36" i="28" s="1"/>
  <c r="AZ165" i="28"/>
  <c r="AZ193" i="28"/>
  <c r="AZ63" i="28" s="1"/>
  <c r="AZ192" i="28"/>
  <c r="AZ62" i="28" s="1"/>
  <c r="AZ184" i="28"/>
  <c r="AZ54" i="28" s="1"/>
  <c r="AZ183" i="28"/>
  <c r="AZ53" i="28" s="1"/>
  <c r="AZ182" i="28"/>
  <c r="AZ52" i="28" s="1"/>
  <c r="AZ181" i="28"/>
  <c r="AZ175" i="28"/>
  <c r="AZ45" i="28" s="1"/>
  <c r="AZ174" i="28"/>
  <c r="AZ44" i="28" s="1"/>
  <c r="AZ173" i="28"/>
  <c r="AZ190" i="28"/>
  <c r="AZ60" i="28" s="1"/>
  <c r="AZ191" i="28"/>
  <c r="AZ61" i="28" s="1"/>
  <c r="AZ189" i="28"/>
  <c r="BS169" i="28"/>
  <c r="BS39" i="28" s="1"/>
  <c r="BS165" i="28"/>
  <c r="BS192" i="28"/>
  <c r="BS62" i="28" s="1"/>
  <c r="BS191" i="28"/>
  <c r="BS61" i="28" s="1"/>
  <c r="BS190" i="28"/>
  <c r="BS60" i="28" s="1"/>
  <c r="BS189" i="28"/>
  <c r="BS166" i="28"/>
  <c r="BS36" i="28" s="1"/>
  <c r="BS193" i="28"/>
  <c r="BS63" i="28" s="1"/>
  <c r="BS184" i="28"/>
  <c r="BS54" i="28" s="1"/>
  <c r="BS175" i="28"/>
  <c r="BS45" i="28" s="1"/>
  <c r="BS183" i="28"/>
  <c r="BS53" i="28" s="1"/>
  <c r="BS174" i="28"/>
  <c r="BS44" i="28" s="1"/>
  <c r="BS170" i="28"/>
  <c r="BS40" i="28" s="1"/>
  <c r="BS182" i="28"/>
  <c r="BS52" i="28" s="1"/>
  <c r="BS173" i="28"/>
  <c r="BS181" i="28"/>
  <c r="AS170" i="28"/>
  <c r="AS40" i="28" s="1"/>
  <c r="AS169" i="28"/>
  <c r="AS39" i="28" s="1"/>
  <c r="AS166" i="28"/>
  <c r="AS36" i="28" s="1"/>
  <c r="AS165" i="28"/>
  <c r="AS193" i="28"/>
  <c r="AS63" i="28" s="1"/>
  <c r="AS192" i="28"/>
  <c r="AS62" i="28" s="1"/>
  <c r="AS190" i="28"/>
  <c r="AS60" i="28" s="1"/>
  <c r="AS191" i="28"/>
  <c r="AS61" i="28" s="1"/>
  <c r="AS184" i="28"/>
  <c r="AS54" i="28" s="1"/>
  <c r="AS175" i="28"/>
  <c r="AS45" i="28" s="1"/>
  <c r="AS189" i="28"/>
  <c r="AS183" i="28"/>
  <c r="AS53" i="28" s="1"/>
  <c r="AS174" i="28"/>
  <c r="AS44" i="28" s="1"/>
  <c r="AS182" i="28"/>
  <c r="AS52" i="28" s="1"/>
  <c r="AS173" i="28"/>
  <c r="AS181" i="28"/>
  <c r="AM169" i="28"/>
  <c r="AM39" i="28" s="1"/>
  <c r="AM165" i="28"/>
  <c r="AM192" i="28"/>
  <c r="AM62" i="28" s="1"/>
  <c r="AM191" i="28"/>
  <c r="AM61" i="28" s="1"/>
  <c r="AM190" i="28"/>
  <c r="AM60" i="28" s="1"/>
  <c r="AM189" i="28"/>
  <c r="AM166" i="28"/>
  <c r="AM36" i="28" s="1"/>
  <c r="AM184" i="28"/>
  <c r="AM54" i="28" s="1"/>
  <c r="AM175" i="28"/>
  <c r="AM45" i="28" s="1"/>
  <c r="AM183" i="28"/>
  <c r="AM53" i="28" s="1"/>
  <c r="AM174" i="28"/>
  <c r="AM44" i="28" s="1"/>
  <c r="AM170" i="28"/>
  <c r="AM40" i="28" s="1"/>
  <c r="AM193" i="28"/>
  <c r="AM63" i="28" s="1"/>
  <c r="AM182" i="28"/>
  <c r="AM52" i="28" s="1"/>
  <c r="AM173" i="28"/>
  <c r="AM181" i="28"/>
  <c r="P170" i="28"/>
  <c r="P40" i="28" s="1"/>
  <c r="P169" i="28"/>
  <c r="P39" i="28" s="1"/>
  <c r="P166" i="28"/>
  <c r="P36" i="28" s="1"/>
  <c r="P165" i="28"/>
  <c r="P193" i="28"/>
  <c r="P63" i="28" s="1"/>
  <c r="P189" i="28"/>
  <c r="P184" i="28"/>
  <c r="P54" i="28" s="1"/>
  <c r="P183" i="28"/>
  <c r="P53" i="28" s="1"/>
  <c r="P182" i="28"/>
  <c r="P52" i="28" s="1"/>
  <c r="P181" i="28"/>
  <c r="P175" i="28"/>
  <c r="P45" i="28" s="1"/>
  <c r="P174" i="28"/>
  <c r="P44" i="28" s="1"/>
  <c r="P173" i="28"/>
  <c r="P192" i="28"/>
  <c r="P62" i="28" s="1"/>
  <c r="P190" i="28"/>
  <c r="P60" i="28" s="1"/>
  <c r="P191" i="28"/>
  <c r="P61" i="28" s="1"/>
  <c r="AB170" i="28"/>
  <c r="AB40" i="28" s="1"/>
  <c r="AB169" i="28"/>
  <c r="AB39" i="28" s="1"/>
  <c r="AB166" i="28"/>
  <c r="AB36" i="28" s="1"/>
  <c r="AB165" i="28"/>
  <c r="AB193" i="28"/>
  <c r="AB63" i="28" s="1"/>
  <c r="AB189" i="28"/>
  <c r="AB184" i="28"/>
  <c r="AB54" i="28" s="1"/>
  <c r="AB183" i="28"/>
  <c r="AB53" i="28" s="1"/>
  <c r="AB182" i="28"/>
  <c r="AB52" i="28" s="1"/>
  <c r="AB181" i="28"/>
  <c r="AB175" i="28"/>
  <c r="AB45" i="28" s="1"/>
  <c r="AB174" i="28"/>
  <c r="AB44" i="28" s="1"/>
  <c r="AB173" i="28"/>
  <c r="AB192" i="28"/>
  <c r="AB62" i="28" s="1"/>
  <c r="AB190" i="28"/>
  <c r="AB60" i="28" s="1"/>
  <c r="AB191" i="28"/>
  <c r="AB61" i="28" s="1"/>
  <c r="BH170" i="28"/>
  <c r="BH169" i="28"/>
  <c r="BH166" i="28"/>
  <c r="BH165" i="28"/>
  <c r="BH193" i="28"/>
  <c r="BH192" i="28"/>
  <c r="BH184" i="28"/>
  <c r="BH183" i="28"/>
  <c r="BH182" i="28"/>
  <c r="BH181" i="28"/>
  <c r="BH175" i="28"/>
  <c r="BH45" i="28" s="1"/>
  <c r="BH174" i="28"/>
  <c r="BH173" i="28"/>
  <c r="BH189" i="28"/>
  <c r="BH190" i="28"/>
  <c r="BH191" i="28"/>
  <c r="AF170" i="28"/>
  <c r="AF40" i="28" s="1"/>
  <c r="AF169" i="28"/>
  <c r="AF39" i="28" s="1"/>
  <c r="AF166" i="28"/>
  <c r="AF36" i="28" s="1"/>
  <c r="AF165" i="28"/>
  <c r="AF193" i="28"/>
  <c r="AF63" i="28" s="1"/>
  <c r="AF192" i="28"/>
  <c r="AF62" i="28" s="1"/>
  <c r="AF189" i="28"/>
  <c r="AF184" i="28"/>
  <c r="AF54" i="28" s="1"/>
  <c r="AF183" i="28"/>
  <c r="AF53" i="28" s="1"/>
  <c r="AF182" i="28"/>
  <c r="AF52" i="28" s="1"/>
  <c r="AF181" i="28"/>
  <c r="AF175" i="28"/>
  <c r="AF45" i="28" s="1"/>
  <c r="AF174" i="28"/>
  <c r="AF44" i="28" s="1"/>
  <c r="AF173" i="28"/>
  <c r="AF190" i="28"/>
  <c r="AF60" i="28" s="1"/>
  <c r="AF191" i="28"/>
  <c r="AF61" i="28" s="1"/>
  <c r="BO170" i="28"/>
  <c r="BO40" i="28" s="1"/>
  <c r="BO166" i="28"/>
  <c r="BO36" i="28" s="1"/>
  <c r="BO193" i="28"/>
  <c r="BO63" i="28" s="1"/>
  <c r="BO191" i="28"/>
  <c r="BO61" i="28" s="1"/>
  <c r="BO190" i="28"/>
  <c r="BO60" i="28" s="1"/>
  <c r="BO189" i="28"/>
  <c r="BO165" i="28"/>
  <c r="BO192" i="28"/>
  <c r="BO62" i="28" s="1"/>
  <c r="BO183" i="28"/>
  <c r="BO53" i="28" s="1"/>
  <c r="BO174" i="28"/>
  <c r="BO44" i="28" s="1"/>
  <c r="BO182" i="28"/>
  <c r="BO52" i="28" s="1"/>
  <c r="BO173" i="28"/>
  <c r="BO169" i="28"/>
  <c r="BO39" i="28" s="1"/>
  <c r="BO181" i="28"/>
  <c r="BO184" i="28"/>
  <c r="BO54" i="28" s="1"/>
  <c r="BO175" i="28"/>
  <c r="BO45" i="28" s="1"/>
  <c r="AQ170" i="28"/>
  <c r="AQ40" i="28" s="1"/>
  <c r="AQ166" i="28"/>
  <c r="AQ36" i="28" s="1"/>
  <c r="AQ193" i="28"/>
  <c r="AQ63" i="28" s="1"/>
  <c r="AQ191" i="28"/>
  <c r="AQ61" i="28" s="1"/>
  <c r="AQ190" i="28"/>
  <c r="AQ60" i="28" s="1"/>
  <c r="AQ189" i="28"/>
  <c r="AQ169" i="28"/>
  <c r="AQ39" i="28" s="1"/>
  <c r="AQ192" i="28"/>
  <c r="AQ62" i="28" s="1"/>
  <c r="AQ165" i="28"/>
  <c r="AQ181" i="28"/>
  <c r="AQ184" i="28"/>
  <c r="AQ54" i="28" s="1"/>
  <c r="AQ175" i="28"/>
  <c r="AQ45" i="28" s="1"/>
  <c r="AQ183" i="28"/>
  <c r="AQ53" i="28" s="1"/>
  <c r="AQ174" i="28"/>
  <c r="AQ44" i="28" s="1"/>
  <c r="AQ173" i="28"/>
  <c r="AQ182" i="28"/>
  <c r="AQ52" i="28" s="1"/>
  <c r="Y170" i="28"/>
  <c r="Y40" i="28" s="1"/>
  <c r="Y169" i="28"/>
  <c r="Y39" i="28" s="1"/>
  <c r="Y166" i="28"/>
  <c r="Y36" i="28" s="1"/>
  <c r="Y165" i="28"/>
  <c r="Y193" i="28"/>
  <c r="Y63" i="28" s="1"/>
  <c r="Y191" i="28"/>
  <c r="Y61" i="28" s="1"/>
  <c r="Y183" i="28"/>
  <c r="Y53" i="28" s="1"/>
  <c r="Y174" i="28"/>
  <c r="Y44" i="28" s="1"/>
  <c r="Y192" i="28"/>
  <c r="Y62" i="28" s="1"/>
  <c r="Y182" i="28"/>
  <c r="Y52" i="28" s="1"/>
  <c r="Y173" i="28"/>
  <c r="Y190" i="28"/>
  <c r="Y60" i="28" s="1"/>
  <c r="Y189" i="28"/>
  <c r="Y181" i="28"/>
  <c r="Y184" i="28"/>
  <c r="Y54" i="28" s="1"/>
  <c r="Y175" i="28"/>
  <c r="Y45" i="28" s="1"/>
  <c r="BQ170" i="28"/>
  <c r="BQ40" i="28" s="1"/>
  <c r="BQ169" i="28"/>
  <c r="BQ39" i="28" s="1"/>
  <c r="BQ166" i="28"/>
  <c r="BQ36" i="28" s="1"/>
  <c r="BQ165" i="28"/>
  <c r="BQ193" i="28"/>
  <c r="BQ63" i="28" s="1"/>
  <c r="BQ192" i="28"/>
  <c r="BQ62" i="28" s="1"/>
  <c r="BQ190" i="28"/>
  <c r="BQ60" i="28" s="1"/>
  <c r="BQ189" i="28"/>
  <c r="BQ182" i="28"/>
  <c r="BQ52" i="28" s="1"/>
  <c r="BQ173" i="28"/>
  <c r="BQ181" i="28"/>
  <c r="BQ184" i="28"/>
  <c r="BQ54" i="28" s="1"/>
  <c r="BQ175" i="28"/>
  <c r="BQ45" i="28" s="1"/>
  <c r="BQ191" i="28"/>
  <c r="BQ61" i="28" s="1"/>
  <c r="BQ174" i="28"/>
  <c r="BQ44" i="28" s="1"/>
  <c r="BQ183" i="28"/>
  <c r="BQ53" i="28" s="1"/>
  <c r="AE169" i="28"/>
  <c r="AE39" i="28" s="1"/>
  <c r="AE165" i="28"/>
  <c r="AE192" i="28"/>
  <c r="AE62" i="28" s="1"/>
  <c r="AE191" i="28"/>
  <c r="AE61" i="28" s="1"/>
  <c r="AE190" i="28"/>
  <c r="AE60" i="28" s="1"/>
  <c r="AE170" i="28"/>
  <c r="AE40" i="28" s="1"/>
  <c r="AE193" i="28"/>
  <c r="AE63" i="28" s="1"/>
  <c r="AE182" i="28"/>
  <c r="AE52" i="28" s="1"/>
  <c r="AE173" i="28"/>
  <c r="AE189" i="28"/>
  <c r="AE181" i="28"/>
  <c r="AE166" i="28"/>
  <c r="AE36" i="28" s="1"/>
  <c r="AE184" i="28"/>
  <c r="AE54" i="28" s="1"/>
  <c r="AE175" i="28"/>
  <c r="AE45" i="28" s="1"/>
  <c r="AE183" i="28"/>
  <c r="AE53" i="28" s="1"/>
  <c r="AE174" i="28"/>
  <c r="AE44" i="28" s="1"/>
  <c r="AG170" i="28"/>
  <c r="AG40" i="28" s="1"/>
  <c r="AG169" i="28"/>
  <c r="AG39" i="28" s="1"/>
  <c r="AG166" i="28"/>
  <c r="AG36" i="28" s="1"/>
  <c r="AG165" i="28"/>
  <c r="AG193" i="28"/>
  <c r="AG63" i="28" s="1"/>
  <c r="AG192" i="28"/>
  <c r="AG62" i="28" s="1"/>
  <c r="AG191" i="28"/>
  <c r="AG61" i="28" s="1"/>
  <c r="AG189" i="28"/>
  <c r="AG181" i="28"/>
  <c r="AG184" i="28"/>
  <c r="AG54" i="28" s="1"/>
  <c r="AG175" i="28"/>
  <c r="AG45" i="28" s="1"/>
  <c r="AG183" i="28"/>
  <c r="AG53" i="28" s="1"/>
  <c r="AG174" i="28"/>
  <c r="AG44" i="28" s="1"/>
  <c r="AG190" i="28"/>
  <c r="AG60" i="28" s="1"/>
  <c r="AG182" i="28"/>
  <c r="AG52" i="28" s="1"/>
  <c r="AG173" i="28"/>
  <c r="L170" i="28"/>
  <c r="L169" i="28"/>
  <c r="L166" i="28"/>
  <c r="L165" i="28"/>
  <c r="L193" i="28"/>
  <c r="L189" i="28"/>
  <c r="L184" i="28"/>
  <c r="L183" i="28"/>
  <c r="L182" i="28"/>
  <c r="L181" i="28"/>
  <c r="L175" i="28"/>
  <c r="L45" i="28" s="1"/>
  <c r="L174" i="28"/>
  <c r="L173" i="28"/>
  <c r="L191" i="28"/>
  <c r="L192" i="28"/>
  <c r="L190" i="28"/>
  <c r="AY170" i="28"/>
  <c r="AY40" i="28" s="1"/>
  <c r="AY166" i="28"/>
  <c r="AY36" i="28" s="1"/>
  <c r="AY193" i="28"/>
  <c r="AY63" i="28" s="1"/>
  <c r="AY191" i="28"/>
  <c r="AY61" i="28" s="1"/>
  <c r="AY190" i="28"/>
  <c r="AY60" i="28" s="1"/>
  <c r="AY189" i="28"/>
  <c r="AY165" i="28"/>
  <c r="AY169" i="28"/>
  <c r="AY39" i="28" s="1"/>
  <c r="AY183" i="28"/>
  <c r="AY53" i="28" s="1"/>
  <c r="AY174" i="28"/>
  <c r="AY44" i="28" s="1"/>
  <c r="AY182" i="28"/>
  <c r="AY52" i="28" s="1"/>
  <c r="AY173" i="28"/>
  <c r="AY181" i="28"/>
  <c r="AY175" i="28"/>
  <c r="AY45" i="28" s="1"/>
  <c r="AY192" i="28"/>
  <c r="AY62" i="28" s="1"/>
  <c r="AY184" i="28"/>
  <c r="AY54" i="28" s="1"/>
  <c r="Z170" i="28"/>
  <c r="Z40" i="28" s="1"/>
  <c r="Z166" i="28"/>
  <c r="Z36" i="28" s="1"/>
  <c r="Z193" i="28"/>
  <c r="Z63" i="28" s="1"/>
  <c r="Z192" i="28"/>
  <c r="Z62" i="28" s="1"/>
  <c r="Z191" i="28"/>
  <c r="Z61" i="28" s="1"/>
  <c r="Z190" i="28"/>
  <c r="Z60" i="28" s="1"/>
  <c r="Z169" i="28"/>
  <c r="Z39" i="28" s="1"/>
  <c r="Z182" i="28"/>
  <c r="Z52" i="28" s="1"/>
  <c r="Z173" i="28"/>
  <c r="Z189" i="28"/>
  <c r="Z181" i="28"/>
  <c r="Z184" i="28"/>
  <c r="Z54" i="28" s="1"/>
  <c r="Z175" i="28"/>
  <c r="Z45" i="28" s="1"/>
  <c r="Z174" i="28"/>
  <c r="Z44" i="28" s="1"/>
  <c r="Z165" i="28"/>
  <c r="Z183" i="28"/>
  <c r="Z53" i="28" s="1"/>
  <c r="S170" i="28"/>
  <c r="S40" i="28" s="1"/>
  <c r="S166" i="28"/>
  <c r="S36" i="28" s="1"/>
  <c r="S193" i="28"/>
  <c r="S63" i="28" s="1"/>
  <c r="S192" i="28"/>
  <c r="S62" i="28" s="1"/>
  <c r="S191" i="28"/>
  <c r="S61" i="28" s="1"/>
  <c r="S190" i="28"/>
  <c r="S60" i="28" s="1"/>
  <c r="S165" i="28"/>
  <c r="S169" i="28"/>
  <c r="S39" i="28" s="1"/>
  <c r="S183" i="28"/>
  <c r="S53" i="28" s="1"/>
  <c r="S174" i="28"/>
  <c r="S44" i="28" s="1"/>
  <c r="S182" i="28"/>
  <c r="S52" i="28" s="1"/>
  <c r="S173" i="28"/>
  <c r="S189" i="28"/>
  <c r="S181" i="28"/>
  <c r="S184" i="28"/>
  <c r="S54" i="28" s="1"/>
  <c r="S175" i="28"/>
  <c r="S45" i="28" s="1"/>
  <c r="M170" i="28"/>
  <c r="M40" i="28" s="1"/>
  <c r="M169" i="28"/>
  <c r="M39" i="28" s="1"/>
  <c r="M166" i="28"/>
  <c r="M36" i="28" s="1"/>
  <c r="M165" i="28"/>
  <c r="M193" i="28"/>
  <c r="M63" i="28" s="1"/>
  <c r="M192" i="28"/>
  <c r="M62" i="28" s="1"/>
  <c r="M190" i="28"/>
  <c r="M60" i="28" s="1"/>
  <c r="M191" i="28"/>
  <c r="M61" i="28" s="1"/>
  <c r="M184" i="28"/>
  <c r="M54" i="28" s="1"/>
  <c r="M175" i="28"/>
  <c r="M45" i="28" s="1"/>
  <c r="M183" i="28"/>
  <c r="M53" i="28" s="1"/>
  <c r="M174" i="28"/>
  <c r="M44" i="28" s="1"/>
  <c r="M182" i="28"/>
  <c r="M52" i="28" s="1"/>
  <c r="M173" i="28"/>
  <c r="M181" i="28"/>
  <c r="M189" i="28"/>
  <c r="AJ170" i="28"/>
  <c r="AJ169" i="28"/>
  <c r="AJ166" i="28"/>
  <c r="AJ165" i="28"/>
  <c r="AJ193" i="28"/>
  <c r="AJ192" i="28"/>
  <c r="AJ189" i="28"/>
  <c r="AJ184" i="28"/>
  <c r="AJ183" i="28"/>
  <c r="AJ182" i="28"/>
  <c r="AJ181" i="28"/>
  <c r="AJ175" i="28"/>
  <c r="AJ45" i="28" s="1"/>
  <c r="AJ174" i="28"/>
  <c r="AJ173" i="28"/>
  <c r="AJ191" i="28"/>
  <c r="AJ190" i="28"/>
  <c r="AH170" i="28"/>
  <c r="AH40" i="28" s="1"/>
  <c r="AH166" i="28"/>
  <c r="AH36" i="28" s="1"/>
  <c r="AH193" i="28"/>
  <c r="AH63" i="28" s="1"/>
  <c r="AH191" i="28"/>
  <c r="AH61" i="28" s="1"/>
  <c r="AH190" i="28"/>
  <c r="AH60" i="28" s="1"/>
  <c r="AH165" i="28"/>
  <c r="AH184" i="28"/>
  <c r="AH54" i="28" s="1"/>
  <c r="AH175" i="28"/>
  <c r="AH45" i="28" s="1"/>
  <c r="AH183" i="28"/>
  <c r="AH53" i="28" s="1"/>
  <c r="AH174" i="28"/>
  <c r="AH44" i="28" s="1"/>
  <c r="AH182" i="28"/>
  <c r="AH52" i="28" s="1"/>
  <c r="AH173" i="28"/>
  <c r="AH169" i="28"/>
  <c r="AH39" i="28" s="1"/>
  <c r="AH181" i="28"/>
  <c r="AH192" i="28"/>
  <c r="AH62" i="28" s="1"/>
  <c r="AH189" i="28"/>
  <c r="U170" i="28"/>
  <c r="U40" i="28" s="1"/>
  <c r="U169" i="28"/>
  <c r="U39" i="28" s="1"/>
  <c r="U166" i="28"/>
  <c r="U36" i="28" s="1"/>
  <c r="U165" i="28"/>
  <c r="U193" i="28"/>
  <c r="U63" i="28" s="1"/>
  <c r="U192" i="28"/>
  <c r="U62" i="28" s="1"/>
  <c r="U190" i="28"/>
  <c r="U60" i="28" s="1"/>
  <c r="U182" i="28"/>
  <c r="U52" i="28" s="1"/>
  <c r="U173" i="28"/>
  <c r="U191" i="28"/>
  <c r="U61" i="28" s="1"/>
  <c r="U189" i="28"/>
  <c r="U181" i="28"/>
  <c r="U184" i="28"/>
  <c r="U54" i="28" s="1"/>
  <c r="U175" i="28"/>
  <c r="U45" i="28" s="1"/>
  <c r="U183" i="28"/>
  <c r="U53" i="28" s="1"/>
  <c r="U174" i="28"/>
  <c r="U44" i="28" s="1"/>
  <c r="AD169" i="28"/>
  <c r="AD39" i="28" s="1"/>
  <c r="AD165" i="28"/>
  <c r="AD192" i="28"/>
  <c r="AD62" i="28" s="1"/>
  <c r="AD191" i="28"/>
  <c r="AD61" i="28" s="1"/>
  <c r="AD190" i="28"/>
  <c r="AD60" i="28" s="1"/>
  <c r="AD170" i="28"/>
  <c r="AD40" i="28" s="1"/>
  <c r="AD193" i="28"/>
  <c r="AD63" i="28" s="1"/>
  <c r="AD183" i="28"/>
  <c r="AD53" i="28" s="1"/>
  <c r="AD174" i="28"/>
  <c r="AD44" i="28" s="1"/>
  <c r="AD182" i="28"/>
  <c r="AD52" i="28" s="1"/>
  <c r="AD173" i="28"/>
  <c r="AD189" i="28"/>
  <c r="AD181" i="28"/>
  <c r="AD175" i="28"/>
  <c r="AD45" i="28" s="1"/>
  <c r="AD166" i="28"/>
  <c r="AD36" i="28" s="1"/>
  <c r="AD184" i="28"/>
  <c r="AD54" i="28" s="1"/>
  <c r="BE170" i="28"/>
  <c r="BE40" i="28" s="1"/>
  <c r="BE169" i="28"/>
  <c r="BE39" i="28" s="1"/>
  <c r="BE166" i="28"/>
  <c r="BE36" i="28" s="1"/>
  <c r="BE165" i="28"/>
  <c r="BE193" i="28"/>
  <c r="BE63" i="28" s="1"/>
  <c r="BE192" i="28"/>
  <c r="BE62" i="28" s="1"/>
  <c r="BE191" i="28"/>
  <c r="BE61" i="28" s="1"/>
  <c r="BE189" i="28"/>
  <c r="BE183" i="28"/>
  <c r="BE53" i="28" s="1"/>
  <c r="BE174" i="28"/>
  <c r="BE44" i="28" s="1"/>
  <c r="BE182" i="28"/>
  <c r="BE52" i="28" s="1"/>
  <c r="BE173" i="28"/>
  <c r="BE190" i="28"/>
  <c r="BE60" i="28" s="1"/>
  <c r="BE181" i="28"/>
  <c r="BE184" i="28"/>
  <c r="BE54" i="28" s="1"/>
  <c r="BE175" i="28"/>
  <c r="BE45" i="28" s="1"/>
  <c r="BR169" i="28"/>
  <c r="BR39" i="28" s="1"/>
  <c r="BR165" i="28"/>
  <c r="BR192" i="28"/>
  <c r="BR62" i="28" s="1"/>
  <c r="BR191" i="28"/>
  <c r="BR61" i="28" s="1"/>
  <c r="BR190" i="28"/>
  <c r="BR60" i="28" s="1"/>
  <c r="BR189" i="28"/>
  <c r="BR166" i="28"/>
  <c r="BR36" i="28" s="1"/>
  <c r="BR181" i="28"/>
  <c r="BR193" i="28"/>
  <c r="BR63" i="28" s="1"/>
  <c r="BR184" i="28"/>
  <c r="BR54" i="28" s="1"/>
  <c r="BR175" i="28"/>
  <c r="BR45" i="28" s="1"/>
  <c r="BR183" i="28"/>
  <c r="BR53" i="28" s="1"/>
  <c r="BR174" i="28"/>
  <c r="BR44" i="28" s="1"/>
  <c r="BR170" i="28"/>
  <c r="BR40" i="28" s="1"/>
  <c r="BR182" i="28"/>
  <c r="BR52" i="28" s="1"/>
  <c r="BR173" i="28"/>
  <c r="BA170" i="28"/>
  <c r="BA40" i="28" s="1"/>
  <c r="BA169" i="28"/>
  <c r="BA39" i="28" s="1"/>
  <c r="BA166" i="28"/>
  <c r="BA36" i="28" s="1"/>
  <c r="BA165" i="28"/>
  <c r="BA193" i="28"/>
  <c r="BA63" i="28" s="1"/>
  <c r="BA192" i="28"/>
  <c r="BA62" i="28" s="1"/>
  <c r="BA190" i="28"/>
  <c r="BA60" i="28" s="1"/>
  <c r="BA182" i="28"/>
  <c r="BA52" i="28" s="1"/>
  <c r="BA173" i="28"/>
  <c r="BA191" i="28"/>
  <c r="BA61" i="28" s="1"/>
  <c r="BA181" i="28"/>
  <c r="BA189" i="28"/>
  <c r="BA184" i="28"/>
  <c r="BA54" i="28" s="1"/>
  <c r="BA175" i="28"/>
  <c r="BA45" i="28" s="1"/>
  <c r="BA183" i="28"/>
  <c r="BA53" i="28" s="1"/>
  <c r="BA174" i="28"/>
  <c r="BA44" i="28" s="1"/>
  <c r="AT169" i="28"/>
  <c r="AT39" i="28" s="1"/>
  <c r="AT165" i="28"/>
  <c r="AT192" i="28"/>
  <c r="AT62" i="28" s="1"/>
  <c r="AT191" i="28"/>
  <c r="AT61" i="28" s="1"/>
  <c r="AT190" i="28"/>
  <c r="AT60" i="28" s="1"/>
  <c r="AT189" i="28"/>
  <c r="AT170" i="28"/>
  <c r="AT40" i="28" s="1"/>
  <c r="AT183" i="28"/>
  <c r="AT53" i="28" s="1"/>
  <c r="AT174" i="28"/>
  <c r="AT44" i="28" s="1"/>
  <c r="AT166" i="28"/>
  <c r="AT36" i="28" s="1"/>
  <c r="AT193" i="28"/>
  <c r="AT63" i="28" s="1"/>
  <c r="AT182" i="28"/>
  <c r="AT52" i="28" s="1"/>
  <c r="AT173" i="28"/>
  <c r="AT181" i="28"/>
  <c r="AT184" i="28"/>
  <c r="AT54" i="28" s="1"/>
  <c r="AT175" i="28"/>
  <c r="AT45" i="28" s="1"/>
  <c r="T170" i="28"/>
  <c r="T40" i="28" s="1"/>
  <c r="T169" i="28"/>
  <c r="T39" i="28" s="1"/>
  <c r="T166" i="28"/>
  <c r="T36" i="28" s="1"/>
  <c r="T165" i="28"/>
  <c r="T193" i="28"/>
  <c r="T63" i="28" s="1"/>
  <c r="T189" i="28"/>
  <c r="T184" i="28"/>
  <c r="T54" i="28" s="1"/>
  <c r="T183" i="28"/>
  <c r="T53" i="28" s="1"/>
  <c r="T182" i="28"/>
  <c r="T52" i="28" s="1"/>
  <c r="T181" i="28"/>
  <c r="T175" i="28"/>
  <c r="T45" i="28" s="1"/>
  <c r="T174" i="28"/>
  <c r="T44" i="28" s="1"/>
  <c r="T173" i="28"/>
  <c r="T190" i="28"/>
  <c r="T60" i="28" s="1"/>
  <c r="T191" i="28"/>
  <c r="T61" i="28" s="1"/>
  <c r="T192" i="28"/>
  <c r="T62" i="28" s="1"/>
  <c r="R170" i="28"/>
  <c r="R40" i="28" s="1"/>
  <c r="R166" i="28"/>
  <c r="R36" i="28" s="1"/>
  <c r="R193" i="28"/>
  <c r="R63" i="28" s="1"/>
  <c r="R192" i="28"/>
  <c r="R62" i="28" s="1"/>
  <c r="R191" i="28"/>
  <c r="R61" i="28" s="1"/>
  <c r="R190" i="28"/>
  <c r="R60" i="28" s="1"/>
  <c r="R165" i="28"/>
  <c r="R184" i="28"/>
  <c r="R54" i="28" s="1"/>
  <c r="R175" i="28"/>
  <c r="R45" i="28" s="1"/>
  <c r="R169" i="28"/>
  <c r="R39" i="28" s="1"/>
  <c r="R183" i="28"/>
  <c r="R53" i="28" s="1"/>
  <c r="R174" i="28"/>
  <c r="R44" i="28" s="1"/>
  <c r="R182" i="28"/>
  <c r="R52" i="28" s="1"/>
  <c r="R173" i="28"/>
  <c r="R189" i="28"/>
  <c r="R181" i="28"/>
  <c r="BJ169" i="28"/>
  <c r="BJ39" i="28" s="1"/>
  <c r="BJ165" i="28"/>
  <c r="BJ192" i="28"/>
  <c r="BJ62" i="28" s="1"/>
  <c r="BJ191" i="28"/>
  <c r="BJ61" i="28" s="1"/>
  <c r="BJ190" i="28"/>
  <c r="BJ60" i="28" s="1"/>
  <c r="BJ189" i="28"/>
  <c r="BJ170" i="28"/>
  <c r="BJ40" i="28" s="1"/>
  <c r="BJ183" i="28"/>
  <c r="BJ53" i="28" s="1"/>
  <c r="BJ174" i="28"/>
  <c r="BJ44" i="28" s="1"/>
  <c r="BJ182" i="28"/>
  <c r="BJ52" i="28" s="1"/>
  <c r="BJ173" i="28"/>
  <c r="BJ193" i="28"/>
  <c r="BJ63" i="28" s="1"/>
  <c r="BJ181" i="28"/>
  <c r="BJ184" i="28"/>
  <c r="BJ54" i="28" s="1"/>
  <c r="BJ166" i="28"/>
  <c r="BJ36" i="28" s="1"/>
  <c r="BJ175" i="28"/>
  <c r="BJ45" i="28" s="1"/>
  <c r="W169" i="28"/>
  <c r="W39" i="28" s="1"/>
  <c r="W165" i="28"/>
  <c r="W192" i="28"/>
  <c r="W62" i="28" s="1"/>
  <c r="W191" i="28"/>
  <c r="W61" i="28" s="1"/>
  <c r="W190" i="28"/>
  <c r="W60" i="28" s="1"/>
  <c r="W166" i="28"/>
  <c r="W36" i="28" s="1"/>
  <c r="W170" i="28"/>
  <c r="W40" i="28" s="1"/>
  <c r="W184" i="28"/>
  <c r="W54" i="28" s="1"/>
  <c r="W175" i="28"/>
  <c r="W45" i="28" s="1"/>
  <c r="W193" i="28"/>
  <c r="W63" i="28" s="1"/>
  <c r="W183" i="28"/>
  <c r="W53" i="28" s="1"/>
  <c r="W174" i="28"/>
  <c r="W44" i="28" s="1"/>
  <c r="W182" i="28"/>
  <c r="W52" i="28" s="1"/>
  <c r="W173" i="28"/>
  <c r="W189" i="28"/>
  <c r="W181" i="28"/>
  <c r="AP170" i="28"/>
  <c r="AP40" i="28" s="1"/>
  <c r="AP166" i="28"/>
  <c r="AP36" i="28" s="1"/>
  <c r="AP193" i="28"/>
  <c r="AP63" i="28" s="1"/>
  <c r="AP191" i="28"/>
  <c r="AP61" i="28" s="1"/>
  <c r="AP190" i="28"/>
  <c r="AP60" i="28" s="1"/>
  <c r="AP189" i="28"/>
  <c r="AP169" i="28"/>
  <c r="AP39" i="28" s="1"/>
  <c r="AP182" i="28"/>
  <c r="AP52" i="28" s="1"/>
  <c r="AP173" i="28"/>
  <c r="AP165" i="28"/>
  <c r="AP192" i="28"/>
  <c r="AP62" i="28" s="1"/>
  <c r="AP181" i="28"/>
  <c r="AP184" i="28"/>
  <c r="AP54" i="28" s="1"/>
  <c r="AP175" i="28"/>
  <c r="AP45" i="28" s="1"/>
  <c r="AP183" i="28"/>
  <c r="AP53" i="28" s="1"/>
  <c r="AP174" i="28"/>
  <c r="AP44" i="28" s="1"/>
  <c r="Q170" i="28"/>
  <c r="Q40" i="28" s="1"/>
  <c r="Q169" i="28"/>
  <c r="Q39" i="28" s="1"/>
  <c r="Q166" i="28"/>
  <c r="Q36" i="28" s="1"/>
  <c r="Q165" i="28"/>
  <c r="Q193" i="28"/>
  <c r="Q63" i="28" s="1"/>
  <c r="Q191" i="28"/>
  <c r="Q61" i="28" s="1"/>
  <c r="Q192" i="28"/>
  <c r="Q62" i="28" s="1"/>
  <c r="Q189" i="28"/>
  <c r="Q181" i="28"/>
  <c r="Q190" i="28"/>
  <c r="Q60" i="28" s="1"/>
  <c r="Q184" i="28"/>
  <c r="Q54" i="28" s="1"/>
  <c r="Q175" i="28"/>
  <c r="Q45" i="28" s="1"/>
  <c r="Q183" i="28"/>
  <c r="Q53" i="28" s="1"/>
  <c r="Q174" i="28"/>
  <c r="Q44" i="28" s="1"/>
  <c r="Q182" i="28"/>
  <c r="Q52" i="28" s="1"/>
  <c r="Q173" i="28"/>
  <c r="N169" i="28"/>
  <c r="N39" i="28" s="1"/>
  <c r="N165" i="28"/>
  <c r="N192" i="28"/>
  <c r="N62" i="28" s="1"/>
  <c r="N191" i="28"/>
  <c r="N61" i="28" s="1"/>
  <c r="N190" i="28"/>
  <c r="N60" i="28" s="1"/>
  <c r="N170" i="28"/>
  <c r="N40" i="28" s="1"/>
  <c r="N183" i="28"/>
  <c r="N53" i="28" s="1"/>
  <c r="N174" i="28"/>
  <c r="N44" i="28" s="1"/>
  <c r="N166" i="28"/>
  <c r="N36" i="28" s="1"/>
  <c r="N182" i="28"/>
  <c r="N52" i="28" s="1"/>
  <c r="N173" i="28"/>
  <c r="N189" i="28"/>
  <c r="N181" i="28"/>
  <c r="N193" i="28"/>
  <c r="N63" i="28" s="1"/>
  <c r="N184" i="28"/>
  <c r="N54" i="28" s="1"/>
  <c r="N175" i="28"/>
  <c r="N45" i="28" s="1"/>
  <c r="BL170" i="28"/>
  <c r="BL40" i="28" s="1"/>
  <c r="BL169" i="28"/>
  <c r="BL39" i="28" s="1"/>
  <c r="BL166" i="28"/>
  <c r="BL36" i="28" s="1"/>
  <c r="BL165" i="28"/>
  <c r="BL193" i="28"/>
  <c r="BL63" i="28" s="1"/>
  <c r="BL192" i="28"/>
  <c r="BL62" i="28" s="1"/>
  <c r="BL184" i="28"/>
  <c r="BL54" i="28" s="1"/>
  <c r="BL183" i="28"/>
  <c r="BL53" i="28" s="1"/>
  <c r="BL182" i="28"/>
  <c r="BL52" i="28" s="1"/>
  <c r="BL181" i="28"/>
  <c r="BL175" i="28"/>
  <c r="BL45" i="28" s="1"/>
  <c r="BL174" i="28"/>
  <c r="BL44" i="28" s="1"/>
  <c r="BL173" i="28"/>
  <c r="BL190" i="28"/>
  <c r="BL60" i="28" s="1"/>
  <c r="BL191" i="28"/>
  <c r="BL61" i="28" s="1"/>
  <c r="BL189" i="28"/>
  <c r="O169" i="28"/>
  <c r="O39" i="28" s="1"/>
  <c r="O165" i="28"/>
  <c r="O192" i="28"/>
  <c r="O62" i="28" s="1"/>
  <c r="O191" i="28"/>
  <c r="O61" i="28" s="1"/>
  <c r="O190" i="28"/>
  <c r="O60" i="28" s="1"/>
  <c r="O170" i="28"/>
  <c r="O40" i="28" s="1"/>
  <c r="O193" i="28"/>
  <c r="O63" i="28" s="1"/>
  <c r="O166" i="28"/>
  <c r="O36" i="28" s="1"/>
  <c r="O182" i="28"/>
  <c r="O52" i="28" s="1"/>
  <c r="O173" i="28"/>
  <c r="O189" i="28"/>
  <c r="O181" i="28"/>
  <c r="O184" i="28"/>
  <c r="O54" i="28" s="1"/>
  <c r="O175" i="28"/>
  <c r="O45" i="28" s="1"/>
  <c r="O183" i="28"/>
  <c r="O53" i="28" s="1"/>
  <c r="O174" i="28"/>
  <c r="O44" i="28" s="1"/>
  <c r="AC170" i="28"/>
  <c r="AC40" i="28" s="1"/>
  <c r="AC169" i="28"/>
  <c r="AC39" i="28" s="1"/>
  <c r="AC166" i="28"/>
  <c r="AC36" i="28" s="1"/>
  <c r="AC165" i="28"/>
  <c r="AC193" i="28"/>
  <c r="AC63" i="28" s="1"/>
  <c r="AC192" i="28"/>
  <c r="AC62" i="28" s="1"/>
  <c r="AC190" i="28"/>
  <c r="AC60" i="28" s="1"/>
  <c r="AC184" i="28"/>
  <c r="AC54" i="28" s="1"/>
  <c r="AC175" i="28"/>
  <c r="AC45" i="28" s="1"/>
  <c r="AC183" i="28"/>
  <c r="AC53" i="28" s="1"/>
  <c r="AC174" i="28"/>
  <c r="AC44" i="28" s="1"/>
  <c r="AC191" i="28"/>
  <c r="AC61" i="28" s="1"/>
  <c r="AC182" i="28"/>
  <c r="AC52" i="28" s="1"/>
  <c r="AC173" i="28"/>
  <c r="AC189" i="28"/>
  <c r="AC181" i="28"/>
  <c r="AU169" i="28"/>
  <c r="AU39" i="28" s="1"/>
  <c r="AU165" i="28"/>
  <c r="AU192" i="28"/>
  <c r="AU62" i="28" s="1"/>
  <c r="AU191" i="28"/>
  <c r="AU61" i="28" s="1"/>
  <c r="AU190" i="28"/>
  <c r="AU60" i="28" s="1"/>
  <c r="AU189" i="28"/>
  <c r="AU170" i="28"/>
  <c r="AU40" i="28" s="1"/>
  <c r="AU193" i="28"/>
  <c r="AU63" i="28" s="1"/>
  <c r="AU166" i="28"/>
  <c r="AU36" i="28" s="1"/>
  <c r="AU182" i="28"/>
  <c r="AU52" i="28" s="1"/>
  <c r="AU173" i="28"/>
  <c r="AU181" i="28"/>
  <c r="AU184" i="28"/>
  <c r="AU54" i="28" s="1"/>
  <c r="AU175" i="28"/>
  <c r="AU45" i="28" s="1"/>
  <c r="AU174" i="28"/>
  <c r="AU44" i="28" s="1"/>
  <c r="AU183" i="28"/>
  <c r="AU53" i="28" s="1"/>
  <c r="AV170" i="28"/>
  <c r="AV169" i="28"/>
  <c r="AV166" i="28"/>
  <c r="AV165" i="28"/>
  <c r="AV193" i="28"/>
  <c r="AV192" i="28"/>
  <c r="AV184" i="28"/>
  <c r="AV183" i="28"/>
  <c r="AV182" i="28"/>
  <c r="AV181" i="28"/>
  <c r="AV175" i="28"/>
  <c r="AV45" i="28" s="1"/>
  <c r="AV174" i="28"/>
  <c r="AV173" i="28"/>
  <c r="AV189" i="28"/>
  <c r="AV190" i="28"/>
  <c r="AV191" i="28"/>
  <c r="BD170" i="28"/>
  <c r="BD40" i="28" s="1"/>
  <c r="BD169" i="28"/>
  <c r="BD39" i="28" s="1"/>
  <c r="BD166" i="28"/>
  <c r="BD36" i="28" s="1"/>
  <c r="BD165" i="28"/>
  <c r="BD193" i="28"/>
  <c r="BD63" i="28" s="1"/>
  <c r="BD192" i="28"/>
  <c r="BD62" i="28" s="1"/>
  <c r="BD184" i="28"/>
  <c r="BD54" i="28" s="1"/>
  <c r="BD183" i="28"/>
  <c r="BD53" i="28" s="1"/>
  <c r="BD182" i="28"/>
  <c r="BD52" i="28" s="1"/>
  <c r="BD181" i="28"/>
  <c r="BD175" i="28"/>
  <c r="BD45" i="28" s="1"/>
  <c r="BD174" i="28"/>
  <c r="BD44" i="28" s="1"/>
  <c r="BD173" i="28"/>
  <c r="BD191" i="28"/>
  <c r="BD61" i="28" s="1"/>
  <c r="BD189" i="28"/>
  <c r="BD190" i="28"/>
  <c r="BD60" i="28" s="1"/>
  <c r="BI170" i="28"/>
  <c r="BI40" i="28" s="1"/>
  <c r="BI169" i="28"/>
  <c r="BI39" i="28" s="1"/>
  <c r="BI166" i="28"/>
  <c r="BI36" i="28" s="1"/>
  <c r="BI165" i="28"/>
  <c r="BI193" i="28"/>
  <c r="BI63" i="28" s="1"/>
  <c r="BI192" i="28"/>
  <c r="BI62" i="28" s="1"/>
  <c r="BI190" i="28"/>
  <c r="BI60" i="28" s="1"/>
  <c r="BI184" i="28"/>
  <c r="BI54" i="28" s="1"/>
  <c r="BI175" i="28"/>
  <c r="BI45" i="28" s="1"/>
  <c r="BI183" i="28"/>
  <c r="BI53" i="28" s="1"/>
  <c r="BI174" i="28"/>
  <c r="BI44" i="28" s="1"/>
  <c r="BI191" i="28"/>
  <c r="BI61" i="28" s="1"/>
  <c r="BI182" i="28"/>
  <c r="BI52" i="28" s="1"/>
  <c r="BI173" i="28"/>
  <c r="BI189" i="28"/>
  <c r="BI181" i="28"/>
  <c r="BW5" i="28"/>
  <c r="H33" i="34"/>
  <c r="H32" i="34" s="1"/>
  <c r="BQ32" i="34" s="1"/>
  <c r="BU122" i="28"/>
  <c r="BY5" i="28"/>
  <c r="BX84" i="28"/>
  <c r="BU84" i="28"/>
  <c r="BW84" i="28"/>
  <c r="AJ121" i="28"/>
  <c r="BW121" i="28" s="1"/>
  <c r="BW122" i="28"/>
  <c r="BV84" i="28"/>
  <c r="BU121" i="28"/>
  <c r="BY84" i="28"/>
  <c r="BX5" i="28"/>
  <c r="BU5" i="28"/>
  <c r="BV5" i="28"/>
  <c r="BH121" i="28"/>
  <c r="BY121" i="28" s="1"/>
  <c r="BY122" i="28"/>
  <c r="AV121" i="28"/>
  <c r="BX121" i="28" s="1"/>
  <c r="BX122" i="28"/>
  <c r="X121" i="28"/>
  <c r="BV121" i="28" s="1"/>
  <c r="BV122" i="28"/>
  <c r="O48" i="12"/>
  <c r="Y48" i="12" s="1"/>
  <c r="O24" i="26"/>
  <c r="O21" i="26" s="1"/>
  <c r="BU33" i="34"/>
  <c r="N68" i="35" s="1"/>
  <c r="N85" i="32" s="1"/>
  <c r="BS33" i="34"/>
  <c r="L68" i="35" s="1"/>
  <c r="L85" i="32" s="1"/>
  <c r="BT33" i="34"/>
  <c r="M68" i="35" s="1"/>
  <c r="M85" i="32" s="1"/>
  <c r="BS32" i="34"/>
  <c r="BT32" i="34"/>
  <c r="BU32" i="34"/>
  <c r="AX82" i="28"/>
  <c r="AT79" i="26"/>
  <c r="AT77" i="26" s="1"/>
  <c r="AO82" i="28"/>
  <c r="AK79" i="26"/>
  <c r="AK77" i="26" s="1"/>
  <c r="BM82" i="28"/>
  <c r="BI79" i="26"/>
  <c r="BI77" i="26" s="1"/>
  <c r="AH82" i="26"/>
  <c r="AV82" i="26"/>
  <c r="AV81" i="26" s="1"/>
  <c r="BO82" i="26"/>
  <c r="AO82" i="26"/>
  <c r="AO81" i="26" s="1"/>
  <c r="AM82" i="28"/>
  <c r="AI79" i="26"/>
  <c r="AI77" i="26" s="1"/>
  <c r="AN82" i="26"/>
  <c r="AN81" i="26" s="1"/>
  <c r="AD82" i="26"/>
  <c r="M82" i="26"/>
  <c r="O82" i="28"/>
  <c r="K79" i="26"/>
  <c r="K77" i="26" s="1"/>
  <c r="AR82" i="26"/>
  <c r="AB82" i="26"/>
  <c r="AB81" i="26" s="1"/>
  <c r="BK82" i="26"/>
  <c r="AQ82" i="28"/>
  <c r="AM79" i="26"/>
  <c r="AM77" i="26" s="1"/>
  <c r="Y82" i="28"/>
  <c r="U79" i="26"/>
  <c r="U77" i="26" s="1"/>
  <c r="BQ82" i="28"/>
  <c r="BM79" i="26"/>
  <c r="BM77" i="26" s="1"/>
  <c r="AG82" i="28"/>
  <c r="AC79" i="26"/>
  <c r="AC77" i="26" s="1"/>
  <c r="H82" i="26"/>
  <c r="Q79" i="26"/>
  <c r="Q77" i="26" s="1"/>
  <c r="U82" i="28"/>
  <c r="BC82" i="26"/>
  <c r="Z82" i="26"/>
  <c r="BP82" i="28"/>
  <c r="BL79" i="26"/>
  <c r="BL77" i="26" s="1"/>
  <c r="W79" i="26"/>
  <c r="W77" i="26" s="1"/>
  <c r="AA82" i="28"/>
  <c r="BE86" i="28"/>
  <c r="BA82" i="26"/>
  <c r="BA81" i="26" s="1"/>
  <c r="AE82" i="26"/>
  <c r="AW82" i="26"/>
  <c r="AW81" i="26" s="1"/>
  <c r="AU79" i="26"/>
  <c r="AU77" i="26" s="1"/>
  <c r="AY82" i="28"/>
  <c r="BD19" i="28"/>
  <c r="T86" i="28"/>
  <c r="P82" i="26"/>
  <c r="P81" i="26" s="1"/>
  <c r="BI19" i="28"/>
  <c r="X82" i="28"/>
  <c r="T79" i="26"/>
  <c r="T77" i="26" s="1"/>
  <c r="Z19" i="28"/>
  <c r="S19" i="28"/>
  <c r="M19" i="28"/>
  <c r="AJ19" i="28"/>
  <c r="BC19" i="28"/>
  <c r="R19" i="28"/>
  <c r="BF19" i="28"/>
  <c r="AK19" i="28"/>
  <c r="BB19" i="28"/>
  <c r="BJ19" i="28"/>
  <c r="BK19" i="28"/>
  <c r="AT82" i="26"/>
  <c r="AL82" i="26"/>
  <c r="S82" i="26"/>
  <c r="W19" i="28"/>
  <c r="AX19" i="28"/>
  <c r="AO19" i="28"/>
  <c r="BM19" i="28"/>
  <c r="AP19" i="28"/>
  <c r="AL19" i="28"/>
  <c r="AZ19" i="28"/>
  <c r="BS19" i="28"/>
  <c r="AS19" i="28"/>
  <c r="AM19" i="28"/>
  <c r="P19" i="28"/>
  <c r="AB19" i="28"/>
  <c r="BH19" i="28"/>
  <c r="AR19" i="28"/>
  <c r="AH19" i="28"/>
  <c r="Q82" i="28"/>
  <c r="M79" i="26"/>
  <c r="M77" i="26" s="1"/>
  <c r="N82" i="28"/>
  <c r="J79" i="26"/>
  <c r="J77" i="26" s="1"/>
  <c r="BH82" i="26"/>
  <c r="BH81" i="26" s="1"/>
  <c r="K82" i="26"/>
  <c r="Y82" i="26"/>
  <c r="AQ82" i="26"/>
  <c r="AR79" i="26"/>
  <c r="AR77" i="26" s="1"/>
  <c r="AV82" i="28"/>
  <c r="BM82" i="26"/>
  <c r="AE82" i="28"/>
  <c r="AA79" i="26"/>
  <c r="AA77" i="26" s="1"/>
  <c r="AG86" i="28"/>
  <c r="AC82" i="26"/>
  <c r="AC81" i="26" s="1"/>
  <c r="L82" i="28"/>
  <c r="H79" i="26"/>
  <c r="H77" i="26" s="1"/>
  <c r="BJ82" i="26"/>
  <c r="BJ81" i="26" s="1"/>
  <c r="W82" i="26"/>
  <c r="AJ82" i="26"/>
  <c r="AJ81" i="26" s="1"/>
  <c r="V82" i="28"/>
  <c r="R79" i="26"/>
  <c r="R77" i="26" s="1"/>
  <c r="BN82" i="26"/>
  <c r="AI82" i="28"/>
  <c r="AE79" i="26"/>
  <c r="AE77" i="26" s="1"/>
  <c r="AS82" i="26"/>
  <c r="AS81" i="26" s="1"/>
  <c r="AP79" i="26"/>
  <c r="AP77" i="26" s="1"/>
  <c r="AT82" i="28"/>
  <c r="BD82" i="28"/>
  <c r="AZ79" i="26"/>
  <c r="AZ77" i="26" s="1"/>
  <c r="T82" i="28"/>
  <c r="P79" i="26"/>
  <c r="P77" i="26" s="1"/>
  <c r="X19" i="28"/>
  <c r="Z82" i="28"/>
  <c r="V79" i="26"/>
  <c r="V77" i="26" s="1"/>
  <c r="S82" i="28"/>
  <c r="O79" i="26"/>
  <c r="O77" i="26" s="1"/>
  <c r="M86" i="28"/>
  <c r="I82" i="26"/>
  <c r="I81" i="26" s="1"/>
  <c r="AF82" i="26"/>
  <c r="BC82" i="28"/>
  <c r="AY79" i="26"/>
  <c r="AY77" i="26" s="1"/>
  <c r="R82" i="28"/>
  <c r="N79" i="26"/>
  <c r="N77" i="26" s="1"/>
  <c r="BB82" i="26"/>
  <c r="BB81" i="26" s="1"/>
  <c r="AX82" i="26"/>
  <c r="BK82" i="28"/>
  <c r="BG79" i="26"/>
  <c r="BG77" i="26" s="1"/>
  <c r="BM86" i="28"/>
  <c r="BI82" i="26"/>
  <c r="BI81" i="26" s="1"/>
  <c r="AI82" i="26"/>
  <c r="P82" i="28"/>
  <c r="L79" i="26"/>
  <c r="L77" i="26" s="1"/>
  <c r="AB82" i="28"/>
  <c r="X79" i="26"/>
  <c r="X77" i="26" s="1"/>
  <c r="BD82" i="26"/>
  <c r="AR82" i="28"/>
  <c r="AN79" i="26"/>
  <c r="AN77" i="26" s="1"/>
  <c r="J82" i="26"/>
  <c r="BL82" i="28"/>
  <c r="BH79" i="26"/>
  <c r="BH77" i="26" s="1"/>
  <c r="AC82" i="28"/>
  <c r="Y79" i="26"/>
  <c r="Y77" i="26" s="1"/>
  <c r="AU82" i="28"/>
  <c r="AQ79" i="26"/>
  <c r="AQ77" i="26" s="1"/>
  <c r="AF82" i="28"/>
  <c r="AB79" i="26"/>
  <c r="AB77" i="26" s="1"/>
  <c r="BO82" i="28"/>
  <c r="BK79" i="26"/>
  <c r="BK77" i="26" s="1"/>
  <c r="AM82" i="26"/>
  <c r="U82" i="26"/>
  <c r="AA82" i="26"/>
  <c r="BR33" i="34"/>
  <c r="K68" i="35" s="1"/>
  <c r="U19" i="28"/>
  <c r="BG19" i="28"/>
  <c r="BN19" i="28"/>
  <c r="AD19" i="28"/>
  <c r="BP19" i="28"/>
  <c r="AA19" i="28"/>
  <c r="BE19" i="28"/>
  <c r="AN19" i="28"/>
  <c r="V19" i="28"/>
  <c r="BR19" i="28"/>
  <c r="AI19" i="28"/>
  <c r="BA19" i="28"/>
  <c r="AU82" i="26"/>
  <c r="AW19" i="28"/>
  <c r="AT19" i="28"/>
  <c r="AZ82" i="26"/>
  <c r="AZ81" i="26" s="1"/>
  <c r="T19" i="28"/>
  <c r="BI82" i="28"/>
  <c r="BE79" i="26"/>
  <c r="BE77" i="26" s="1"/>
  <c r="T82" i="26"/>
  <c r="V82" i="26"/>
  <c r="O82" i="26"/>
  <c r="M82" i="28"/>
  <c r="I79" i="26"/>
  <c r="I77" i="26" s="1"/>
  <c r="BF82" i="28"/>
  <c r="BB79" i="26"/>
  <c r="BB77" i="26" s="1"/>
  <c r="AK82" i="28"/>
  <c r="AG79" i="26"/>
  <c r="AG77" i="26" s="1"/>
  <c r="BB82" i="28"/>
  <c r="AX79" i="26"/>
  <c r="AX77" i="26" s="1"/>
  <c r="BF82" i="26"/>
  <c r="BG82" i="26"/>
  <c r="AK82" i="26"/>
  <c r="AK81" i="26" s="1"/>
  <c r="AL82" i="28"/>
  <c r="AH79" i="26"/>
  <c r="AH77" i="26" s="1"/>
  <c r="W82" i="28"/>
  <c r="S79" i="26"/>
  <c r="S77" i="26" s="1"/>
  <c r="AP82" i="28"/>
  <c r="AL79" i="26"/>
  <c r="AL77" i="26" s="1"/>
  <c r="AZ82" i="28"/>
  <c r="AV79" i="26"/>
  <c r="AV77" i="26" s="1"/>
  <c r="BS82" i="28"/>
  <c r="BO79" i="26"/>
  <c r="BO77" i="26" s="1"/>
  <c r="AS82" i="28"/>
  <c r="AO79" i="26"/>
  <c r="AO77" i="26" s="1"/>
  <c r="L82" i="26"/>
  <c r="L81" i="26" s="1"/>
  <c r="X82" i="26"/>
  <c r="BH82" i="28"/>
  <c r="BD79" i="26"/>
  <c r="BD77" i="26" s="1"/>
  <c r="AD79" i="26"/>
  <c r="AD77" i="26" s="1"/>
  <c r="AH82" i="28"/>
  <c r="Q19" i="28"/>
  <c r="N19" i="28"/>
  <c r="BL19" i="28"/>
  <c r="O19" i="28"/>
  <c r="AC19" i="28"/>
  <c r="AU19" i="28"/>
  <c r="AV19" i="28"/>
  <c r="AF19" i="28"/>
  <c r="BO19" i="28"/>
  <c r="AQ19" i="28"/>
  <c r="Y19" i="28"/>
  <c r="BQ19" i="28"/>
  <c r="AE19" i="28"/>
  <c r="AG19" i="28"/>
  <c r="L19" i="28"/>
  <c r="BR32" i="34"/>
  <c r="Q82" i="26"/>
  <c r="Q81" i="26" s="1"/>
  <c r="BG82" i="28"/>
  <c r="BC79" i="26"/>
  <c r="BC77" i="26" s="1"/>
  <c r="BN82" i="28"/>
  <c r="BJ79" i="26"/>
  <c r="BJ77" i="26" s="1"/>
  <c r="Z79" i="26"/>
  <c r="Z77" i="26" s="1"/>
  <c r="AD82" i="28"/>
  <c r="BL82" i="26"/>
  <c r="BL81" i="26" s="1"/>
  <c r="BE82" i="28"/>
  <c r="BA79" i="26"/>
  <c r="BA77" i="26" s="1"/>
  <c r="AN82" i="28"/>
  <c r="AJ79" i="26"/>
  <c r="AJ77" i="26" s="1"/>
  <c r="R82" i="26"/>
  <c r="BR82" i="28"/>
  <c r="BN79" i="26"/>
  <c r="BN77" i="26" s="1"/>
  <c r="BA82" i="28"/>
  <c r="AW79" i="26"/>
  <c r="AW77" i="26" s="1"/>
  <c r="AY19" i="28"/>
  <c r="AW82" i="28"/>
  <c r="AS79" i="26"/>
  <c r="AS77" i="26" s="1"/>
  <c r="AP82" i="26"/>
  <c r="BE82" i="26"/>
  <c r="BE81" i="26" s="1"/>
  <c r="AJ82" i="28"/>
  <c r="AF79" i="26"/>
  <c r="AF77" i="26" s="1"/>
  <c r="AY82" i="26"/>
  <c r="N82" i="26"/>
  <c r="AG82" i="26"/>
  <c r="AG81" i="26" s="1"/>
  <c r="BJ82" i="28"/>
  <c r="BF79" i="26"/>
  <c r="BF77" i="26" s="1"/>
  <c r="X86" i="28" l="1"/>
  <c r="BI86" i="28"/>
  <c r="BA86" i="28"/>
  <c r="L86" i="28"/>
  <c r="AV86" i="28"/>
  <c r="AJ86" i="28"/>
  <c r="AF86" i="28"/>
  <c r="BH86" i="28"/>
  <c r="AR86" i="28"/>
  <c r="BL86" i="28"/>
  <c r="BF81" i="26"/>
  <c r="AU81" i="26"/>
  <c r="AM81" i="26"/>
  <c r="AE81" i="26"/>
  <c r="M81" i="26"/>
  <c r="AP81" i="26"/>
  <c r="O81" i="26"/>
  <c r="BM81" i="26"/>
  <c r="Y81" i="26"/>
  <c r="N81" i="26"/>
  <c r="BG81" i="26"/>
  <c r="U81" i="26"/>
  <c r="J81" i="26"/>
  <c r="Z81" i="26"/>
  <c r="Q86" i="28"/>
  <c r="AT86" i="28"/>
  <c r="R81" i="26"/>
  <c r="AA86" i="28"/>
  <c r="BO86" i="28"/>
  <c r="S81" i="26"/>
  <c r="AS86" i="28"/>
  <c r="R86" i="28"/>
  <c r="AI86" i="28"/>
  <c r="AY86" i="28"/>
  <c r="AC86" i="28"/>
  <c r="AD86" i="28"/>
  <c r="X81" i="26"/>
  <c r="V81" i="26"/>
  <c r="AN86" i="28"/>
  <c r="AT81" i="26"/>
  <c r="AI81" i="26"/>
  <c r="AB86" i="28"/>
  <c r="BQ33" i="34"/>
  <c r="J68" i="35" s="1"/>
  <c r="J25" i="35" s="1"/>
  <c r="J24" i="35" s="1"/>
  <c r="J18" i="35" s="1"/>
  <c r="J28" i="36" s="1"/>
  <c r="BJ86" i="28"/>
  <c r="S86" i="28"/>
  <c r="BN86" i="28"/>
  <c r="AQ86" i="28"/>
  <c r="N86" i="28"/>
  <c r="BK86" i="28"/>
  <c r="BF86" i="28"/>
  <c r="Y86" i="28"/>
  <c r="AK86" i="28"/>
  <c r="U86" i="28"/>
  <c r="BQ86" i="28"/>
  <c r="AW86" i="28"/>
  <c r="AO86" i="28"/>
  <c r="Z86" i="28"/>
  <c r="AM86" i="28"/>
  <c r="BN81" i="26"/>
  <c r="AQ81" i="26"/>
  <c r="K81" i="26"/>
  <c r="W86" i="28"/>
  <c r="AX86" i="28"/>
  <c r="BC81" i="26"/>
  <c r="AH86" i="28"/>
  <c r="BO81" i="26"/>
  <c r="AH81" i="26"/>
  <c r="AY81" i="26"/>
  <c r="V86" i="28"/>
  <c r="BC86" i="28"/>
  <c r="AA81" i="26"/>
  <c r="AX81" i="26"/>
  <c r="BR86" i="28"/>
  <c r="AU86" i="28"/>
  <c r="O86" i="28"/>
  <c r="AL81" i="26"/>
  <c r="BG86" i="28"/>
  <c r="AD81" i="26"/>
  <c r="BS86" i="28"/>
  <c r="AL86" i="28"/>
  <c r="BW175" i="28"/>
  <c r="AE86" i="28"/>
  <c r="BB86" i="28"/>
  <c r="W81" i="26"/>
  <c r="AP86" i="28"/>
  <c r="BK81" i="26"/>
  <c r="BX45" i="28"/>
  <c r="BX175" i="28"/>
  <c r="BY45" i="28"/>
  <c r="BV45" i="28"/>
  <c r="BA74" i="26"/>
  <c r="BA67" i="26" s="1"/>
  <c r="BE72" i="28"/>
  <c r="AC74" i="26"/>
  <c r="AC67" i="26" s="1"/>
  <c r="AG72" i="28"/>
  <c r="BI74" i="26"/>
  <c r="BI67" i="26" s="1"/>
  <c r="BM72" i="28"/>
  <c r="BY88" i="28"/>
  <c r="I74" i="26"/>
  <c r="I67" i="26" s="1"/>
  <c r="M72" i="28"/>
  <c r="T75" i="26"/>
  <c r="BV80" i="28"/>
  <c r="BE74" i="26"/>
  <c r="BE67" i="26" s="1"/>
  <c r="BI72" i="28"/>
  <c r="BX88" i="28"/>
  <c r="AW74" i="26"/>
  <c r="AW67" i="26" s="1"/>
  <c r="BA72" i="28"/>
  <c r="H74" i="26"/>
  <c r="BU79" i="28"/>
  <c r="AR74" i="26"/>
  <c r="BX79" i="28"/>
  <c r="AV72" i="28"/>
  <c r="BH74" i="26"/>
  <c r="BH67" i="26" s="1"/>
  <c r="BL72" i="28"/>
  <c r="AF74" i="26"/>
  <c r="BW79" i="28"/>
  <c r="AJ72" i="28"/>
  <c r="P74" i="26"/>
  <c r="P67" i="26" s="1"/>
  <c r="T72" i="28"/>
  <c r="BL74" i="26"/>
  <c r="BL67" i="26" s="1"/>
  <c r="BP72" i="28"/>
  <c r="AB74" i="26"/>
  <c r="AB67" i="26" s="1"/>
  <c r="AF72" i="28"/>
  <c r="BD74" i="26"/>
  <c r="BY79" i="28"/>
  <c r="BH72" i="28"/>
  <c r="L74" i="26"/>
  <c r="L67" i="26" s="1"/>
  <c r="P72" i="28"/>
  <c r="AZ74" i="26"/>
  <c r="AZ67" i="26" s="1"/>
  <c r="BD72" i="28"/>
  <c r="AN74" i="26"/>
  <c r="AN67" i="26" s="1"/>
  <c r="AR72" i="28"/>
  <c r="AV74" i="26"/>
  <c r="AV67" i="26" s="1"/>
  <c r="AZ72" i="28"/>
  <c r="BU175" i="28"/>
  <c r="BF74" i="26"/>
  <c r="BF67" i="26" s="1"/>
  <c r="BJ72" i="28"/>
  <c r="N74" i="26"/>
  <c r="N67" i="26" s="1"/>
  <c r="R72" i="28"/>
  <c r="O74" i="26"/>
  <c r="O67" i="26" s="1"/>
  <c r="S72" i="28"/>
  <c r="AP74" i="26"/>
  <c r="AP67" i="26" s="1"/>
  <c r="AT72" i="28"/>
  <c r="AE74" i="26"/>
  <c r="AE67" i="26" s="1"/>
  <c r="AI72" i="28"/>
  <c r="BJ74" i="26"/>
  <c r="BJ67" i="26" s="1"/>
  <c r="BN72" i="28"/>
  <c r="AM74" i="26"/>
  <c r="AM67" i="26" s="1"/>
  <c r="AQ72" i="28"/>
  <c r="J74" i="26"/>
  <c r="J67" i="26" s="1"/>
  <c r="N72" i="28"/>
  <c r="BG74" i="26"/>
  <c r="BG67" i="26" s="1"/>
  <c r="BK72" i="28"/>
  <c r="BB74" i="26"/>
  <c r="BB67" i="26" s="1"/>
  <c r="BF72" i="28"/>
  <c r="T83" i="26"/>
  <c r="T81" i="26" s="1"/>
  <c r="BV89" i="28"/>
  <c r="AU74" i="26"/>
  <c r="AU67" i="26" s="1"/>
  <c r="AY72" i="28"/>
  <c r="Z74" i="26"/>
  <c r="Z67" i="26" s="1"/>
  <c r="AD72" i="28"/>
  <c r="H75" i="26"/>
  <c r="BU80" i="28"/>
  <c r="U74" i="26"/>
  <c r="U67" i="26" s="1"/>
  <c r="Y72" i="28"/>
  <c r="AR75" i="26"/>
  <c r="BX80" i="28"/>
  <c r="AG74" i="26"/>
  <c r="AG67" i="26" s="1"/>
  <c r="AK72" i="28"/>
  <c r="AF75" i="26"/>
  <c r="BW80" i="28"/>
  <c r="Q74" i="26"/>
  <c r="Q67" i="26" s="1"/>
  <c r="U72" i="28"/>
  <c r="BM74" i="26"/>
  <c r="BM67" i="26" s="1"/>
  <c r="BQ72" i="28"/>
  <c r="BD75" i="26"/>
  <c r="BY80" i="28"/>
  <c r="AO74" i="26"/>
  <c r="AO67" i="26" s="1"/>
  <c r="AS72" i="28"/>
  <c r="AS74" i="26"/>
  <c r="AS67" i="26" s="1"/>
  <c r="AW72" i="28"/>
  <c r="BV88" i="28"/>
  <c r="Y74" i="26"/>
  <c r="Y67" i="26" s="1"/>
  <c r="AC72" i="28"/>
  <c r="M74" i="26"/>
  <c r="M67" i="26" s="1"/>
  <c r="Q72" i="28"/>
  <c r="AK74" i="26"/>
  <c r="AK67" i="26" s="1"/>
  <c r="AO72" i="28"/>
  <c r="BU88" i="28"/>
  <c r="AR83" i="26"/>
  <c r="AR81" i="26" s="1"/>
  <c r="BX89" i="28"/>
  <c r="BO74" i="26"/>
  <c r="BO67" i="26" s="1"/>
  <c r="BS72" i="28"/>
  <c r="AF83" i="26"/>
  <c r="AF81" i="26" s="1"/>
  <c r="BW89" i="28"/>
  <c r="R74" i="26"/>
  <c r="R67" i="26" s="1"/>
  <c r="V72" i="28"/>
  <c r="K74" i="26"/>
  <c r="K67" i="26" s="1"/>
  <c r="O72" i="28"/>
  <c r="BD83" i="26"/>
  <c r="BD81" i="26" s="1"/>
  <c r="BY89" i="28"/>
  <c r="AL74" i="26"/>
  <c r="AL67" i="26" s="1"/>
  <c r="AP72" i="28"/>
  <c r="S74" i="26"/>
  <c r="S67" i="26" s="1"/>
  <c r="W72" i="28"/>
  <c r="AQ74" i="26"/>
  <c r="AQ67" i="26" s="1"/>
  <c r="AU72" i="28"/>
  <c r="AX74" i="26"/>
  <c r="AX67" i="26" s="1"/>
  <c r="BB72" i="28"/>
  <c r="AY74" i="26"/>
  <c r="AY67" i="26" s="1"/>
  <c r="BC72" i="28"/>
  <c r="V74" i="26"/>
  <c r="V67" i="26" s="1"/>
  <c r="Z72" i="28"/>
  <c r="BN74" i="26"/>
  <c r="BN67" i="26" s="1"/>
  <c r="BR72" i="28"/>
  <c r="W74" i="26"/>
  <c r="W67" i="26" s="1"/>
  <c r="AA72" i="28"/>
  <c r="BC74" i="26"/>
  <c r="BC67" i="26" s="1"/>
  <c r="BG72" i="28"/>
  <c r="AA74" i="26"/>
  <c r="AA67" i="26" s="1"/>
  <c r="AE72" i="28"/>
  <c r="BK74" i="26"/>
  <c r="BK67" i="26" s="1"/>
  <c r="BO72" i="28"/>
  <c r="AI74" i="26"/>
  <c r="AI67" i="26" s="1"/>
  <c r="AM72" i="28"/>
  <c r="AH74" i="26"/>
  <c r="AH67" i="26" s="1"/>
  <c r="AL72" i="28"/>
  <c r="AT74" i="26"/>
  <c r="AT67" i="26" s="1"/>
  <c r="AX72" i="28"/>
  <c r="AD74" i="26"/>
  <c r="AD67" i="26" s="1"/>
  <c r="AH72" i="28"/>
  <c r="BW45" i="28"/>
  <c r="X74" i="26"/>
  <c r="X67" i="26" s="1"/>
  <c r="AB72" i="28"/>
  <c r="T74" i="26"/>
  <c r="BV79" i="28"/>
  <c r="X72" i="28"/>
  <c r="AJ74" i="26"/>
  <c r="AJ67" i="26" s="1"/>
  <c r="AN72" i="28"/>
  <c r="H69" i="26"/>
  <c r="BU74" i="28"/>
  <c r="L72" i="28"/>
  <c r="H83" i="26"/>
  <c r="H81" i="26" s="1"/>
  <c r="BU89" i="28"/>
  <c r="BW88" i="28"/>
  <c r="BX183" i="28"/>
  <c r="AV53" i="28"/>
  <c r="BX53" i="28" s="1"/>
  <c r="AU51" i="28"/>
  <c r="AU47" i="28" s="1"/>
  <c r="AQ58" i="26" s="1"/>
  <c r="AU177" i="28"/>
  <c r="O51" i="28"/>
  <c r="O47" i="28" s="1"/>
  <c r="K58" i="26" s="1"/>
  <c r="O177" i="28"/>
  <c r="BL59" i="28"/>
  <c r="BL56" i="28" s="1"/>
  <c r="BH59" i="26" s="1"/>
  <c r="BL186" i="28"/>
  <c r="BU174" i="28"/>
  <c r="L44" i="28"/>
  <c r="BU44" i="28" s="1"/>
  <c r="BY174" i="28"/>
  <c r="BH44" i="28"/>
  <c r="BY44" i="28" s="1"/>
  <c r="AS177" i="28"/>
  <c r="AS51" i="28"/>
  <c r="AS47" i="28" s="1"/>
  <c r="AO58" i="26" s="1"/>
  <c r="BS51" i="28"/>
  <c r="BS47" i="28" s="1"/>
  <c r="BO58" i="26" s="1"/>
  <c r="BS177" i="28"/>
  <c r="AZ59" i="28"/>
  <c r="AZ56" i="28" s="1"/>
  <c r="AV59" i="26" s="1"/>
  <c r="AZ186" i="28"/>
  <c r="AL177" i="28"/>
  <c r="AL51" i="28"/>
  <c r="AL47" i="28" s="1"/>
  <c r="AH58" i="26" s="1"/>
  <c r="AO59" i="28"/>
  <c r="AO56" i="28" s="1"/>
  <c r="AK59" i="26" s="1"/>
  <c r="AO186" i="28"/>
  <c r="AW59" i="28"/>
  <c r="AW56" i="28" s="1"/>
  <c r="AS59" i="26" s="1"/>
  <c r="AW186" i="28"/>
  <c r="AN59" i="28"/>
  <c r="AN56" i="28" s="1"/>
  <c r="AJ59" i="26" s="1"/>
  <c r="AN186" i="28"/>
  <c r="AA59" i="28"/>
  <c r="AA56" i="28" s="1"/>
  <c r="W59" i="26" s="1"/>
  <c r="AA186" i="28"/>
  <c r="BN177" i="28"/>
  <c r="BN51" i="28"/>
  <c r="BN47" i="28" s="1"/>
  <c r="BJ58" i="26" s="1"/>
  <c r="BV190" i="28"/>
  <c r="X60" i="28"/>
  <c r="BV60" i="28" s="1"/>
  <c r="BV174" i="28"/>
  <c r="X44" i="28"/>
  <c r="BV44" i="28" s="1"/>
  <c r="BV183" i="28"/>
  <c r="X53" i="28"/>
  <c r="BV53" i="28" s="1"/>
  <c r="BM59" i="28"/>
  <c r="BM56" i="28" s="1"/>
  <c r="BI59" i="26" s="1"/>
  <c r="BM186" i="28"/>
  <c r="AX177" i="28"/>
  <c r="AX51" i="28"/>
  <c r="AX47" i="28" s="1"/>
  <c r="AT58" i="26" s="1"/>
  <c r="V177" i="28"/>
  <c r="V51" i="28"/>
  <c r="V47" i="28" s="1"/>
  <c r="R58" i="26" s="1"/>
  <c r="BI177" i="28"/>
  <c r="BI51" i="28"/>
  <c r="BI47" i="28" s="1"/>
  <c r="BE58" i="26" s="1"/>
  <c r="BX174" i="28"/>
  <c r="AV44" i="28"/>
  <c r="BX44" i="28" s="1"/>
  <c r="AC177" i="28"/>
  <c r="AC51" i="28"/>
  <c r="AC47" i="28" s="1"/>
  <c r="Y58" i="26" s="1"/>
  <c r="W51" i="28"/>
  <c r="W47" i="28" s="1"/>
  <c r="S58" i="26" s="1"/>
  <c r="W177" i="28"/>
  <c r="BA59" i="28"/>
  <c r="BA56" i="28" s="1"/>
  <c r="AW59" i="26" s="1"/>
  <c r="BA186" i="28"/>
  <c r="AD186" i="28"/>
  <c r="AD59" i="28"/>
  <c r="AD56" i="28" s="1"/>
  <c r="Z59" i="26" s="1"/>
  <c r="M59" i="28"/>
  <c r="M56" i="28" s="1"/>
  <c r="I59" i="26" s="1"/>
  <c r="M186" i="28"/>
  <c r="BU183" i="28"/>
  <c r="L53" i="28"/>
  <c r="BU53" i="28" s="1"/>
  <c r="AG59" i="28"/>
  <c r="AG56" i="28" s="1"/>
  <c r="AC59" i="26" s="1"/>
  <c r="AG186" i="28"/>
  <c r="AM51" i="28"/>
  <c r="AM47" i="28" s="1"/>
  <c r="AI58" i="26" s="1"/>
  <c r="AM177" i="28"/>
  <c r="BV175" i="28"/>
  <c r="BX184" i="28"/>
  <c r="AV54" i="28"/>
  <c r="BX54" i="28" s="1"/>
  <c r="AC59" i="28"/>
  <c r="AC56" i="28" s="1"/>
  <c r="Y59" i="26" s="1"/>
  <c r="AC186" i="28"/>
  <c r="N186" i="28"/>
  <c r="N59" i="28"/>
  <c r="N56" i="28" s="1"/>
  <c r="J59" i="26" s="1"/>
  <c r="R177" i="28"/>
  <c r="R51" i="28"/>
  <c r="R47" i="28" s="1"/>
  <c r="N58" i="26" s="1"/>
  <c r="AH186" i="28"/>
  <c r="AH59" i="28"/>
  <c r="AH56" i="28" s="1"/>
  <c r="AD59" i="26" s="1"/>
  <c r="BW190" i="28"/>
  <c r="AJ60" i="28"/>
  <c r="BW60" i="28" s="1"/>
  <c r="BU190" i="28"/>
  <c r="L60" i="28"/>
  <c r="BU60" i="28" s="1"/>
  <c r="BQ59" i="28"/>
  <c r="BQ56" i="28" s="1"/>
  <c r="BM59" i="26" s="1"/>
  <c r="BQ186" i="28"/>
  <c r="BY183" i="28"/>
  <c r="BH53" i="28"/>
  <c r="BY53" i="28" s="1"/>
  <c r="BY175" i="28"/>
  <c r="BX190" i="28"/>
  <c r="AV60" i="28"/>
  <c r="BX60" i="28" s="1"/>
  <c r="U59" i="28"/>
  <c r="U56" i="28" s="1"/>
  <c r="Q59" i="26" s="1"/>
  <c r="U186" i="28"/>
  <c r="BW181" i="28"/>
  <c r="AJ51" i="28"/>
  <c r="AJ177" i="28"/>
  <c r="AJ36" i="28"/>
  <c r="BW166" i="28"/>
  <c r="BU192" i="28"/>
  <c r="L62" i="28"/>
  <c r="BU62" i="28" s="1"/>
  <c r="BU184" i="28"/>
  <c r="L54" i="28"/>
  <c r="BU54" i="28" s="1"/>
  <c r="BU166" i="28"/>
  <c r="L36" i="28"/>
  <c r="BU36" i="28" s="1"/>
  <c r="BQ177" i="28"/>
  <c r="BQ51" i="28"/>
  <c r="BQ47" i="28" s="1"/>
  <c r="BM58" i="26" s="1"/>
  <c r="AF51" i="28"/>
  <c r="AF47" i="28" s="1"/>
  <c r="AB58" i="26" s="1"/>
  <c r="AF177" i="28"/>
  <c r="AF59" i="28"/>
  <c r="AF56" i="28" s="1"/>
  <c r="AB59" i="26" s="1"/>
  <c r="AF186" i="28"/>
  <c r="BY190" i="28"/>
  <c r="BH60" i="28"/>
  <c r="BY60" i="28" s="1"/>
  <c r="BY184" i="28"/>
  <c r="BH54" i="28"/>
  <c r="BY54" i="28" s="1"/>
  <c r="BH36" i="28"/>
  <c r="BY36" i="28" s="1"/>
  <c r="BY166" i="28"/>
  <c r="BV192" i="28"/>
  <c r="X62" i="28"/>
  <c r="BV62" i="28" s="1"/>
  <c r="BV184" i="28"/>
  <c r="X54" i="28"/>
  <c r="BV54" i="28" s="1"/>
  <c r="X36" i="28"/>
  <c r="BV36" i="28" s="1"/>
  <c r="BV166" i="28"/>
  <c r="AR59" i="28"/>
  <c r="AR56" i="28" s="1"/>
  <c r="AN59" i="26" s="1"/>
  <c r="AR186" i="28"/>
  <c r="BD51" i="28"/>
  <c r="BD47" i="28" s="1"/>
  <c r="AZ58" i="26" s="1"/>
  <c r="BD177" i="28"/>
  <c r="BX189" i="28"/>
  <c r="AV59" i="28"/>
  <c r="AV186" i="28"/>
  <c r="BX181" i="28"/>
  <c r="AV51" i="28"/>
  <c r="AV177" i="28"/>
  <c r="BX192" i="28"/>
  <c r="AV62" i="28"/>
  <c r="BX62" i="28" s="1"/>
  <c r="BX169" i="28"/>
  <c r="AV39" i="28"/>
  <c r="BX39" i="28" s="1"/>
  <c r="AU59" i="28"/>
  <c r="AU56" i="28" s="1"/>
  <c r="AQ59" i="26" s="1"/>
  <c r="AU186" i="28"/>
  <c r="BL51" i="28"/>
  <c r="BL47" i="28" s="1"/>
  <c r="BH58" i="26" s="1"/>
  <c r="BL177" i="28"/>
  <c r="AP59" i="28"/>
  <c r="AP56" i="28" s="1"/>
  <c r="AL59" i="26" s="1"/>
  <c r="AP186" i="28"/>
  <c r="BJ186" i="28"/>
  <c r="BJ59" i="28"/>
  <c r="BJ56" i="28" s="1"/>
  <c r="BF59" i="26" s="1"/>
  <c r="T51" i="28"/>
  <c r="T47" i="28" s="1"/>
  <c r="P58" i="26" s="1"/>
  <c r="T177" i="28"/>
  <c r="T59" i="28"/>
  <c r="T56" i="28" s="1"/>
  <c r="P59" i="26" s="1"/>
  <c r="T186" i="28"/>
  <c r="AT177" i="28"/>
  <c r="AT51" i="28"/>
  <c r="AT47" i="28" s="1"/>
  <c r="AP58" i="26" s="1"/>
  <c r="AT186" i="28"/>
  <c r="AT59" i="28"/>
  <c r="AT56" i="28" s="1"/>
  <c r="AP59" i="26" s="1"/>
  <c r="BR186" i="28"/>
  <c r="BR59" i="28"/>
  <c r="BR56" i="28" s="1"/>
  <c r="BN59" i="26" s="1"/>
  <c r="BE177" i="28"/>
  <c r="BE51" i="28"/>
  <c r="BE47" i="28" s="1"/>
  <c r="BA58" i="26" s="1"/>
  <c r="AH177" i="28"/>
  <c r="AH51" i="28"/>
  <c r="AH47" i="28" s="1"/>
  <c r="AD58" i="26" s="1"/>
  <c r="BW182" i="28"/>
  <c r="AJ52" i="28"/>
  <c r="BW52" i="28" s="1"/>
  <c r="BW192" i="28"/>
  <c r="AJ62" i="28"/>
  <c r="BW62" i="28" s="1"/>
  <c r="BW169" i="28"/>
  <c r="AJ39" i="28"/>
  <c r="BW39" i="28" s="1"/>
  <c r="S51" i="28"/>
  <c r="S47" i="28" s="1"/>
  <c r="O58" i="26" s="1"/>
  <c r="S177" i="28"/>
  <c r="Z59" i="28"/>
  <c r="Z56" i="28" s="1"/>
  <c r="V59" i="26" s="1"/>
  <c r="Z186" i="28"/>
  <c r="AY59" i="28"/>
  <c r="AY56" i="28" s="1"/>
  <c r="AU59" i="26" s="1"/>
  <c r="AY186" i="28"/>
  <c r="BU191" i="28"/>
  <c r="L61" i="28"/>
  <c r="BU61" i="28" s="1"/>
  <c r="BU181" i="28"/>
  <c r="L51" i="28"/>
  <c r="L177" i="28"/>
  <c r="BU189" i="28"/>
  <c r="L59" i="28"/>
  <c r="L186" i="28"/>
  <c r="BU169" i="28"/>
  <c r="L39" i="28"/>
  <c r="BU39" i="28" s="1"/>
  <c r="AE59" i="28"/>
  <c r="AE56" i="28" s="1"/>
  <c r="AA59" i="26" s="1"/>
  <c r="AE186" i="28"/>
  <c r="Y177" i="28"/>
  <c r="Y51" i="28"/>
  <c r="Y47" i="28" s="1"/>
  <c r="U58" i="26" s="1"/>
  <c r="AQ51" i="28"/>
  <c r="AQ47" i="28" s="1"/>
  <c r="AM58" i="26" s="1"/>
  <c r="AQ177" i="28"/>
  <c r="AQ59" i="28"/>
  <c r="AQ56" i="28" s="1"/>
  <c r="AM59" i="26" s="1"/>
  <c r="AQ186" i="28"/>
  <c r="BO51" i="28"/>
  <c r="BO47" i="28" s="1"/>
  <c r="BK58" i="26" s="1"/>
  <c r="BO177" i="28"/>
  <c r="BO59" i="28"/>
  <c r="BO56" i="28" s="1"/>
  <c r="BK59" i="26" s="1"/>
  <c r="BO186" i="28"/>
  <c r="BY189" i="28"/>
  <c r="BH59" i="28"/>
  <c r="BH186" i="28"/>
  <c r="BY181" i="28"/>
  <c r="BH51" i="28"/>
  <c r="BH177" i="28"/>
  <c r="BY192" i="28"/>
  <c r="BH62" i="28"/>
  <c r="BY62" i="28" s="1"/>
  <c r="BY169" i="28"/>
  <c r="BH39" i="28"/>
  <c r="BY39" i="28" s="1"/>
  <c r="AB51" i="28"/>
  <c r="AB47" i="28" s="1"/>
  <c r="X58" i="26" s="1"/>
  <c r="AB177" i="28"/>
  <c r="AB59" i="28"/>
  <c r="AB56" i="28" s="1"/>
  <c r="X59" i="26" s="1"/>
  <c r="AB186" i="28"/>
  <c r="P51" i="28"/>
  <c r="P47" i="28" s="1"/>
  <c r="L58" i="26" s="1"/>
  <c r="P177" i="28"/>
  <c r="P59" i="28"/>
  <c r="P56" i="28" s="1"/>
  <c r="L59" i="26" s="1"/>
  <c r="P186" i="28"/>
  <c r="AM59" i="28"/>
  <c r="AM56" i="28" s="1"/>
  <c r="AI59" i="26" s="1"/>
  <c r="AM186" i="28"/>
  <c r="BS59" i="28"/>
  <c r="BS56" i="28" s="1"/>
  <c r="BO59" i="26" s="1"/>
  <c r="BS186" i="28"/>
  <c r="AZ51" i="28"/>
  <c r="AZ47" i="28" s="1"/>
  <c r="AV58" i="26" s="1"/>
  <c r="AZ177" i="28"/>
  <c r="AO177" i="28"/>
  <c r="AO51" i="28"/>
  <c r="AO47" i="28" s="1"/>
  <c r="AK58" i="26" s="1"/>
  <c r="BB186" i="28"/>
  <c r="BB59" i="28"/>
  <c r="BB56" i="28" s="1"/>
  <c r="AX59" i="26" s="1"/>
  <c r="BF177" i="28"/>
  <c r="BF51" i="28"/>
  <c r="BF47" i="28" s="1"/>
  <c r="BB58" i="26" s="1"/>
  <c r="BF59" i="28"/>
  <c r="BF56" i="28" s="1"/>
  <c r="BB59" i="26" s="1"/>
  <c r="BF186" i="28"/>
  <c r="AI51" i="28"/>
  <c r="AI47" i="28" s="1"/>
  <c r="AE58" i="26" s="1"/>
  <c r="AI177" i="28"/>
  <c r="AN51" i="28"/>
  <c r="AN47" i="28" s="1"/>
  <c r="AJ58" i="26" s="1"/>
  <c r="AN177" i="28"/>
  <c r="BN186" i="28"/>
  <c r="BN59" i="28"/>
  <c r="BN56" i="28" s="1"/>
  <c r="BJ59" i="26" s="1"/>
  <c r="BV191" i="28"/>
  <c r="X61" i="28"/>
  <c r="BV61" i="28" s="1"/>
  <c r="BV181" i="28"/>
  <c r="X51" i="28"/>
  <c r="X177" i="28"/>
  <c r="BV189" i="28"/>
  <c r="X59" i="28"/>
  <c r="X186" i="28"/>
  <c r="BV169" i="28"/>
  <c r="X39" i="28"/>
  <c r="BV39" i="28" s="1"/>
  <c r="AX186" i="28"/>
  <c r="AX59" i="28"/>
  <c r="AX56" i="28" s="1"/>
  <c r="AT59" i="26" s="1"/>
  <c r="BK59" i="28"/>
  <c r="BK56" i="28" s="1"/>
  <c r="BG59" i="26" s="1"/>
  <c r="BK186" i="28"/>
  <c r="AK59" i="28"/>
  <c r="AK56" i="28" s="1"/>
  <c r="AG59" i="26" s="1"/>
  <c r="AK186" i="28"/>
  <c r="BC59" i="28"/>
  <c r="BC56" i="28" s="1"/>
  <c r="AY59" i="26" s="1"/>
  <c r="BC186" i="28"/>
  <c r="BP51" i="28"/>
  <c r="BP47" i="28" s="1"/>
  <c r="BL58" i="26" s="1"/>
  <c r="BP177" i="28"/>
  <c r="BG59" i="28"/>
  <c r="BG56" i="28" s="1"/>
  <c r="BC59" i="26" s="1"/>
  <c r="BG186" i="28"/>
  <c r="AR51" i="28"/>
  <c r="AR47" i="28" s="1"/>
  <c r="AN58" i="26" s="1"/>
  <c r="AR177" i="28"/>
  <c r="BX191" i="28"/>
  <c r="AV61" i="28"/>
  <c r="BX61" i="28" s="1"/>
  <c r="Q59" i="28"/>
  <c r="Q56" i="28" s="1"/>
  <c r="M59" i="26" s="1"/>
  <c r="Q186" i="28"/>
  <c r="AP177" i="28"/>
  <c r="AP51" i="28"/>
  <c r="AP47" i="28" s="1"/>
  <c r="AL58" i="26" s="1"/>
  <c r="BR177" i="28"/>
  <c r="BR51" i="28"/>
  <c r="BR47" i="28" s="1"/>
  <c r="BN58" i="26" s="1"/>
  <c r="BE59" i="28"/>
  <c r="BE56" i="28" s="1"/>
  <c r="BA59" i="26" s="1"/>
  <c r="BE186" i="28"/>
  <c r="U177" i="28"/>
  <c r="U51" i="28"/>
  <c r="U47" i="28" s="1"/>
  <c r="Q58" i="26" s="1"/>
  <c r="BW184" i="28"/>
  <c r="AJ54" i="28"/>
  <c r="BW54" i="28" s="1"/>
  <c r="BY191" i="28"/>
  <c r="BH61" i="28"/>
  <c r="BY61" i="28" s="1"/>
  <c r="BU45" i="28"/>
  <c r="BI59" i="28"/>
  <c r="BI56" i="28" s="1"/>
  <c r="BE59" i="26" s="1"/>
  <c r="BI186" i="28"/>
  <c r="BD59" i="28"/>
  <c r="BD56" i="28" s="1"/>
  <c r="AZ59" i="26" s="1"/>
  <c r="BD186" i="28"/>
  <c r="AV36" i="28"/>
  <c r="BX36" i="28" s="1"/>
  <c r="BX166" i="28"/>
  <c r="O59" i="28"/>
  <c r="O56" i="28" s="1"/>
  <c r="K59" i="26" s="1"/>
  <c r="O186" i="28"/>
  <c r="W59" i="28"/>
  <c r="W56" i="28" s="1"/>
  <c r="S59" i="26" s="1"/>
  <c r="W186" i="28"/>
  <c r="R186" i="28"/>
  <c r="R59" i="28"/>
  <c r="R56" i="28" s="1"/>
  <c r="N59" i="26" s="1"/>
  <c r="BA177" i="28"/>
  <c r="BA51" i="28"/>
  <c r="BA47" i="28" s="1"/>
  <c r="AW58" i="26" s="1"/>
  <c r="BW191" i="28"/>
  <c r="AJ61" i="28"/>
  <c r="BW61" i="28" s="1"/>
  <c r="BW189" i="28"/>
  <c r="AJ59" i="28"/>
  <c r="AJ186" i="28"/>
  <c r="M177" i="28"/>
  <c r="M51" i="28"/>
  <c r="M47" i="28" s="1"/>
  <c r="I58" i="26" s="1"/>
  <c r="Z177" i="28"/>
  <c r="Z51" i="28"/>
  <c r="Z47" i="28" s="1"/>
  <c r="V58" i="26" s="1"/>
  <c r="AE51" i="28"/>
  <c r="AE47" i="28" s="1"/>
  <c r="AA58" i="26" s="1"/>
  <c r="AE177" i="28"/>
  <c r="AS59" i="28"/>
  <c r="AS56" i="28" s="1"/>
  <c r="AO59" i="26" s="1"/>
  <c r="AS186" i="28"/>
  <c r="AL186" i="28"/>
  <c r="AL59" i="28"/>
  <c r="AL56" i="28" s="1"/>
  <c r="AH59" i="26" s="1"/>
  <c r="BK51" i="28"/>
  <c r="BK47" i="28" s="1"/>
  <c r="BG58" i="26" s="1"/>
  <c r="BK177" i="28"/>
  <c r="AK177" i="28"/>
  <c r="AK51" i="28"/>
  <c r="AK47" i="28" s="1"/>
  <c r="AG58" i="26" s="1"/>
  <c r="BC51" i="28"/>
  <c r="BC47" i="28" s="1"/>
  <c r="AY58" i="26" s="1"/>
  <c r="BC177" i="28"/>
  <c r="V186" i="28"/>
  <c r="V59" i="28"/>
  <c r="V56" i="28" s="1"/>
  <c r="R59" i="26" s="1"/>
  <c r="BP59" i="28"/>
  <c r="BP56" i="28" s="1"/>
  <c r="BL59" i="26" s="1"/>
  <c r="BP186" i="28"/>
  <c r="BX182" i="28"/>
  <c r="AV52" i="28"/>
  <c r="BX52" i="28" s="1"/>
  <c r="BX193" i="28"/>
  <c r="AV63" i="28"/>
  <c r="BX63" i="28" s="1"/>
  <c r="BX170" i="28"/>
  <c r="AV40" i="28"/>
  <c r="BX40" i="28" s="1"/>
  <c r="BW36" i="28"/>
  <c r="N177" i="28"/>
  <c r="N51" i="28"/>
  <c r="N47" i="28" s="1"/>
  <c r="J58" i="26" s="1"/>
  <c r="Q177" i="28"/>
  <c r="Q51" i="28"/>
  <c r="Q47" i="28" s="1"/>
  <c r="M58" i="26" s="1"/>
  <c r="BJ177" i="28"/>
  <c r="BJ51" i="28"/>
  <c r="BJ47" i="28" s="1"/>
  <c r="BF58" i="26" s="1"/>
  <c r="AD177" i="28"/>
  <c r="AD51" i="28"/>
  <c r="AD47" i="28" s="1"/>
  <c r="Z58" i="26" s="1"/>
  <c r="BW174" i="28"/>
  <c r="AJ44" i="28"/>
  <c r="BW44" i="28" s="1"/>
  <c r="BW183" i="28"/>
  <c r="AJ53" i="28"/>
  <c r="BW53" i="28" s="1"/>
  <c r="BW193" i="28"/>
  <c r="AJ63" i="28"/>
  <c r="BW63" i="28" s="1"/>
  <c r="BW170" i="28"/>
  <c r="AJ40" i="28"/>
  <c r="BW40" i="28" s="1"/>
  <c r="S59" i="28"/>
  <c r="S56" i="28" s="1"/>
  <c r="O59" i="26" s="1"/>
  <c r="S186" i="28"/>
  <c r="AY51" i="28"/>
  <c r="AY47" i="28" s="1"/>
  <c r="AU58" i="26" s="1"/>
  <c r="AY177" i="28"/>
  <c r="BU182" i="28"/>
  <c r="L52" i="28"/>
  <c r="BU52" i="28" s="1"/>
  <c r="BU193" i="28"/>
  <c r="L63" i="28"/>
  <c r="BU63" i="28" s="1"/>
  <c r="BU170" i="28"/>
  <c r="L40" i="28"/>
  <c r="BU40" i="28" s="1"/>
  <c r="AG177" i="28"/>
  <c r="AG51" i="28"/>
  <c r="AG47" i="28" s="1"/>
  <c r="AC58" i="26" s="1"/>
  <c r="Y59" i="28"/>
  <c r="Y56" i="28" s="1"/>
  <c r="U59" i="26" s="1"/>
  <c r="Y186" i="28"/>
  <c r="BY182" i="28"/>
  <c r="BH52" i="28"/>
  <c r="BY52" i="28" s="1"/>
  <c r="BY193" i="28"/>
  <c r="BH63" i="28"/>
  <c r="BY63" i="28" s="1"/>
  <c r="BY170" i="28"/>
  <c r="BH40" i="28"/>
  <c r="BY40" i="28" s="1"/>
  <c r="BB177" i="28"/>
  <c r="BB51" i="28"/>
  <c r="BB47" i="28" s="1"/>
  <c r="AX58" i="26" s="1"/>
  <c r="AW177" i="28"/>
  <c r="AW51" i="28"/>
  <c r="AW47" i="28" s="1"/>
  <c r="AS58" i="26" s="1"/>
  <c r="AI59" i="28"/>
  <c r="AI56" i="28" s="1"/>
  <c r="AE59" i="26" s="1"/>
  <c r="AI186" i="28"/>
  <c r="AA51" i="28"/>
  <c r="AA47" i="28" s="1"/>
  <c r="W58" i="26" s="1"/>
  <c r="AA177" i="28"/>
  <c r="BV182" i="28"/>
  <c r="X52" i="28"/>
  <c r="BV52" i="28" s="1"/>
  <c r="BV193" i="28"/>
  <c r="X63" i="28"/>
  <c r="BV63" i="28" s="1"/>
  <c r="BV170" i="28"/>
  <c r="X40" i="28"/>
  <c r="BV40" i="28" s="1"/>
  <c r="BM177" i="28"/>
  <c r="BM51" i="28"/>
  <c r="BM47" i="28" s="1"/>
  <c r="BI58" i="26" s="1"/>
  <c r="BG51" i="28"/>
  <c r="BG47" i="28" s="1"/>
  <c r="BC58" i="26" s="1"/>
  <c r="BG177" i="28"/>
  <c r="BW82" i="28"/>
  <c r="BU165" i="28"/>
  <c r="BX19" i="28"/>
  <c r="BV165" i="28"/>
  <c r="BW19" i="28"/>
  <c r="BV82" i="28"/>
  <c r="BU173" i="28"/>
  <c r="BX165" i="28"/>
  <c r="BY82" i="28"/>
  <c r="BX82" i="28"/>
  <c r="BY19" i="28"/>
  <c r="BW173" i="28"/>
  <c r="BV173" i="28"/>
  <c r="BU82" i="28"/>
  <c r="BY165" i="28"/>
  <c r="BU19" i="28"/>
  <c r="BX173" i="28"/>
  <c r="BV19" i="28"/>
  <c r="BY173" i="28"/>
  <c r="BW165" i="28"/>
  <c r="M10" i="26"/>
  <c r="N10" i="26" s="1"/>
  <c r="N7" i="26" s="1"/>
  <c r="N35" i="26" s="1"/>
  <c r="P24" i="26"/>
  <c r="P21" i="26" s="1"/>
  <c r="N25" i="35"/>
  <c r="N24" i="35" s="1"/>
  <c r="N18" i="35" s="1"/>
  <c r="N28" i="36" s="1"/>
  <c r="L25" i="35"/>
  <c r="L24" i="35" s="1"/>
  <c r="L18" i="35" s="1"/>
  <c r="L28" i="36" s="1"/>
  <c r="M25" i="35"/>
  <c r="M24" i="35" s="1"/>
  <c r="M18" i="35" s="1"/>
  <c r="M28" i="36" s="1"/>
  <c r="BS77" i="26"/>
  <c r="AY35" i="28"/>
  <c r="AY27" i="28" s="1"/>
  <c r="AY157" i="28"/>
  <c r="L171" i="28"/>
  <c r="L43" i="28"/>
  <c r="AG171" i="28"/>
  <c r="AG43" i="28"/>
  <c r="AG41" i="28" s="1"/>
  <c r="AC57" i="26" s="1"/>
  <c r="AA51" i="26"/>
  <c r="AE16" i="28"/>
  <c r="AA48" i="26" s="1"/>
  <c r="Y171" i="28"/>
  <c r="Y43" i="28"/>
  <c r="Y41" i="28" s="1"/>
  <c r="U57" i="26" s="1"/>
  <c r="AM51" i="26"/>
  <c r="AQ16" i="28"/>
  <c r="AM48" i="26" s="1"/>
  <c r="BK51" i="26"/>
  <c r="BO16" i="28"/>
  <c r="BK48" i="26" s="1"/>
  <c r="AV157" i="28"/>
  <c r="AV35" i="28"/>
  <c r="AU171" i="28"/>
  <c r="AU43" i="28"/>
  <c r="AU41" i="28" s="1"/>
  <c r="AQ57" i="26" s="1"/>
  <c r="Y51" i="26"/>
  <c r="AC16" i="28"/>
  <c r="Y48" i="26" s="1"/>
  <c r="BL157" i="28"/>
  <c r="BL35" i="28"/>
  <c r="BL27" i="28" s="1"/>
  <c r="J51" i="26"/>
  <c r="N16" i="28"/>
  <c r="J48" i="26" s="1"/>
  <c r="M51" i="26"/>
  <c r="Q16" i="28"/>
  <c r="M48" i="26" s="1"/>
  <c r="P51" i="26"/>
  <c r="T16" i="28"/>
  <c r="P48" i="26" s="1"/>
  <c r="AT171" i="28"/>
  <c r="AT43" i="28"/>
  <c r="AT41" i="28" s="1"/>
  <c r="AP57" i="26" s="1"/>
  <c r="AW51" i="26"/>
  <c r="BA16" i="28"/>
  <c r="AW48" i="26" s="1"/>
  <c r="BR35" i="28"/>
  <c r="BR27" i="28" s="1"/>
  <c r="BR157" i="28"/>
  <c r="V171" i="28"/>
  <c r="V43" i="28"/>
  <c r="V41" i="28" s="1"/>
  <c r="R57" i="26" s="1"/>
  <c r="AN171" i="28"/>
  <c r="AN43" i="28"/>
  <c r="AN41" i="28" s="1"/>
  <c r="AJ57" i="26" s="1"/>
  <c r="AA171" i="28"/>
  <c r="AA43" i="28"/>
  <c r="AA41" i="28" s="1"/>
  <c r="W57" i="26" s="1"/>
  <c r="BP157" i="28"/>
  <c r="BP35" i="28"/>
  <c r="BP27" i="28" s="1"/>
  <c r="AD171" i="28"/>
  <c r="AD43" i="28"/>
  <c r="AD41" i="28" s="1"/>
  <c r="Z57" i="26" s="1"/>
  <c r="BG35" i="28"/>
  <c r="BG27" i="28" s="1"/>
  <c r="BG157" i="28"/>
  <c r="U43" i="28"/>
  <c r="U41" i="28" s="1"/>
  <c r="Q57" i="26" s="1"/>
  <c r="U171" i="28"/>
  <c r="X16" i="28"/>
  <c r="T51" i="26"/>
  <c r="AH35" i="28"/>
  <c r="AH27" i="28" s="1"/>
  <c r="AH157" i="28"/>
  <c r="AR157" i="28"/>
  <c r="AR35" i="28"/>
  <c r="AR27" i="28" s="1"/>
  <c r="BH171" i="28"/>
  <c r="BH43" i="28"/>
  <c r="P157" i="28"/>
  <c r="P35" i="28"/>
  <c r="P27" i="28" s="1"/>
  <c r="AM171" i="28"/>
  <c r="AM43" i="28"/>
  <c r="AM41" i="28" s="1"/>
  <c r="AI57" i="26" s="1"/>
  <c r="AS171" i="28"/>
  <c r="AS43" i="28"/>
  <c r="AS41" i="28" s="1"/>
  <c r="AO57" i="26" s="1"/>
  <c r="AZ157" i="28"/>
  <c r="AZ35" i="28"/>
  <c r="AZ27" i="28" s="1"/>
  <c r="AL171" i="28"/>
  <c r="AL43" i="28"/>
  <c r="AL41" i="28" s="1"/>
  <c r="AH57" i="26" s="1"/>
  <c r="AP171" i="28"/>
  <c r="AP43" i="28"/>
  <c r="AP41" i="28" s="1"/>
  <c r="AL57" i="26" s="1"/>
  <c r="AO157" i="28"/>
  <c r="AO35" i="28"/>
  <c r="AO27" i="28" s="1"/>
  <c r="AX35" i="28"/>
  <c r="AX27" i="28" s="1"/>
  <c r="AX157" i="28"/>
  <c r="W16" i="28"/>
  <c r="S48" i="26" s="1"/>
  <c r="S51" i="26"/>
  <c r="BK171" i="28"/>
  <c r="BK43" i="28"/>
  <c r="BK41" i="28" s="1"/>
  <c r="BG57" i="26" s="1"/>
  <c r="BJ171" i="28"/>
  <c r="BJ43" i="28"/>
  <c r="BJ41" i="28" s="1"/>
  <c r="BF57" i="26" s="1"/>
  <c r="AK157" i="28"/>
  <c r="AK35" i="28"/>
  <c r="AK27" i="28" s="1"/>
  <c r="BF171" i="28"/>
  <c r="BF43" i="28"/>
  <c r="BF41" i="28" s="1"/>
  <c r="BB57" i="26" s="1"/>
  <c r="R171" i="28"/>
  <c r="R43" i="28"/>
  <c r="R41" i="28" s="1"/>
  <c r="N57" i="26" s="1"/>
  <c r="AJ157" i="28"/>
  <c r="AJ35" i="28"/>
  <c r="I51" i="26"/>
  <c r="M16" i="28"/>
  <c r="I48" i="26" s="1"/>
  <c r="S171" i="28"/>
  <c r="S43" i="28"/>
  <c r="S41" i="28" s="1"/>
  <c r="O57" i="26" s="1"/>
  <c r="BR77" i="26"/>
  <c r="BI43" i="28"/>
  <c r="BI41" i="28" s="1"/>
  <c r="BE57" i="26" s="1"/>
  <c r="BI171" i="28"/>
  <c r="AZ51" i="26"/>
  <c r="BD16" i="28"/>
  <c r="AZ48" i="26" s="1"/>
  <c r="AY171" i="28"/>
  <c r="AY43" i="28"/>
  <c r="AY41" i="28" s="1"/>
  <c r="AU57" i="26" s="1"/>
  <c r="L157" i="28"/>
  <c r="L35" i="28"/>
  <c r="AC51" i="26"/>
  <c r="AG16" i="28"/>
  <c r="AC48" i="26" s="1"/>
  <c r="BQ157" i="28"/>
  <c r="BQ35" i="28"/>
  <c r="BQ27" i="28" s="1"/>
  <c r="Y157" i="28"/>
  <c r="Y35" i="28"/>
  <c r="Y27" i="28" s="1"/>
  <c r="AQ43" i="28"/>
  <c r="AQ41" i="28" s="1"/>
  <c r="AM57" i="26" s="1"/>
  <c r="AQ171" i="28"/>
  <c r="AF157" i="28"/>
  <c r="AF35" i="28"/>
  <c r="AF27" i="28" s="1"/>
  <c r="AR51" i="26"/>
  <c r="AV16" i="28"/>
  <c r="AQ51" i="26"/>
  <c r="AU16" i="28"/>
  <c r="AQ48" i="26" s="1"/>
  <c r="O35" i="28"/>
  <c r="O27" i="28" s="1"/>
  <c r="O157" i="28"/>
  <c r="BL171" i="28"/>
  <c r="BL43" i="28"/>
  <c r="BL41" i="28" s="1"/>
  <c r="BH57" i="26" s="1"/>
  <c r="N171" i="28"/>
  <c r="N43" i="28"/>
  <c r="N41" i="28" s="1"/>
  <c r="J57" i="26" s="1"/>
  <c r="T35" i="28"/>
  <c r="T27" i="28" s="1"/>
  <c r="T157" i="28"/>
  <c r="AW35" i="28"/>
  <c r="AW27" i="28" s="1"/>
  <c r="AW157" i="28"/>
  <c r="AI157" i="28"/>
  <c r="AI35" i="28"/>
  <c r="AI27" i="28" s="1"/>
  <c r="BR171" i="28"/>
  <c r="BR43" i="28"/>
  <c r="BR41" i="28" s="1"/>
  <c r="BN57" i="26" s="1"/>
  <c r="V16" i="28"/>
  <c r="R48" i="26" s="1"/>
  <c r="R51" i="26"/>
  <c r="BE35" i="28"/>
  <c r="BE27" i="28" s="1"/>
  <c r="BE157" i="28"/>
  <c r="AA157" i="28"/>
  <c r="AA35" i="28"/>
  <c r="AA27" i="28" s="1"/>
  <c r="BL51" i="26"/>
  <c r="BP16" i="28"/>
  <c r="BL48" i="26" s="1"/>
  <c r="BN157" i="28"/>
  <c r="BN35" i="28"/>
  <c r="BN27" i="28" s="1"/>
  <c r="BG16" i="28"/>
  <c r="BC48" i="26" s="1"/>
  <c r="BC51" i="26"/>
  <c r="Q51" i="26"/>
  <c r="U16" i="28"/>
  <c r="Q48" i="26" s="1"/>
  <c r="X157" i="28"/>
  <c r="X35" i="28"/>
  <c r="AD51" i="26"/>
  <c r="AH16" i="28"/>
  <c r="AD48" i="26" s="1"/>
  <c r="AN51" i="26"/>
  <c r="AR16" i="28"/>
  <c r="AN48" i="26" s="1"/>
  <c r="AB157" i="28"/>
  <c r="AB35" i="28"/>
  <c r="AB27" i="28" s="1"/>
  <c r="P16" i="28"/>
  <c r="L48" i="26" s="1"/>
  <c r="L51" i="26"/>
  <c r="AI51" i="26"/>
  <c r="AM16" i="28"/>
  <c r="AI48" i="26" s="1"/>
  <c r="BS35" i="28"/>
  <c r="BS27" i="28" s="1"/>
  <c r="BS157" i="28"/>
  <c r="AZ171" i="28"/>
  <c r="AZ43" i="28"/>
  <c r="AZ41" i="28" s="1"/>
  <c r="AV57" i="26" s="1"/>
  <c r="AH51" i="26"/>
  <c r="AL16" i="28"/>
  <c r="AH48" i="26" s="1"/>
  <c r="BM157" i="28"/>
  <c r="BM35" i="28"/>
  <c r="BM27" i="28" s="1"/>
  <c r="AO171" i="28"/>
  <c r="AO43" i="28"/>
  <c r="AO41" i="28" s="1"/>
  <c r="AK57" i="26" s="1"/>
  <c r="AT51" i="26"/>
  <c r="AX16" i="28"/>
  <c r="AT48" i="26" s="1"/>
  <c r="BG51" i="26"/>
  <c r="BK16" i="28"/>
  <c r="BG48" i="26" s="1"/>
  <c r="BB157" i="28"/>
  <c r="BB35" i="28"/>
  <c r="BB27" i="28" s="1"/>
  <c r="AK171" i="28"/>
  <c r="AK43" i="28"/>
  <c r="AK41" i="28" s="1"/>
  <c r="AG57" i="26" s="1"/>
  <c r="BB51" i="26"/>
  <c r="BF16" i="28"/>
  <c r="BB48" i="26" s="1"/>
  <c r="BC35" i="28"/>
  <c r="BC27" i="28" s="1"/>
  <c r="BC157" i="28"/>
  <c r="AF51" i="26"/>
  <c r="AJ16" i="28"/>
  <c r="M157" i="28"/>
  <c r="M35" i="28"/>
  <c r="M27" i="28" s="1"/>
  <c r="Z171" i="28"/>
  <c r="Z43" i="28"/>
  <c r="Z41" i="28" s="1"/>
  <c r="V57" i="26" s="1"/>
  <c r="BD43" i="28"/>
  <c r="BD41" i="28" s="1"/>
  <c r="AZ57" i="26" s="1"/>
  <c r="BD171" i="28"/>
  <c r="X63" i="40"/>
  <c r="N84" i="32"/>
  <c r="S410" i="38"/>
  <c r="S409" i="38" s="1"/>
  <c r="S408" i="38" s="1"/>
  <c r="S417" i="38" s="1"/>
  <c r="AY16" i="28"/>
  <c r="AU48" i="26" s="1"/>
  <c r="AU51" i="26"/>
  <c r="H51" i="26"/>
  <c r="L16" i="28"/>
  <c r="AE157" i="28"/>
  <c r="AE35" i="28"/>
  <c r="AE27" i="28" s="1"/>
  <c r="BM51" i="26"/>
  <c r="BQ16" i="28"/>
  <c r="BM48" i="26" s="1"/>
  <c r="U51" i="26"/>
  <c r="Y16" i="28"/>
  <c r="U48" i="26" s="1"/>
  <c r="BO157" i="28"/>
  <c r="BO35" i="28"/>
  <c r="BO27" i="28" s="1"/>
  <c r="AB51" i="26"/>
  <c r="AF16" i="28"/>
  <c r="AB48" i="26" s="1"/>
  <c r="AV171" i="28"/>
  <c r="AV43" i="28"/>
  <c r="AC35" i="28"/>
  <c r="AC27" i="28" s="1"/>
  <c r="AC157" i="28"/>
  <c r="K51" i="26"/>
  <c r="O16" i="28"/>
  <c r="K48" i="26" s="1"/>
  <c r="BH51" i="26"/>
  <c r="BL16" i="28"/>
  <c r="BH48" i="26" s="1"/>
  <c r="Q171" i="28"/>
  <c r="Q43" i="28"/>
  <c r="Q41" i="28" s="1"/>
  <c r="M57" i="26" s="1"/>
  <c r="T171" i="28"/>
  <c r="T43" i="28"/>
  <c r="T41" i="28" s="1"/>
  <c r="P57" i="26" s="1"/>
  <c r="AT157" i="28"/>
  <c r="AT35" i="28"/>
  <c r="AT27" i="28" s="1"/>
  <c r="AW171" i="28"/>
  <c r="AW43" i="28"/>
  <c r="AW41" i="28" s="1"/>
  <c r="AS57" i="26" s="1"/>
  <c r="BA157" i="28"/>
  <c r="BA35" i="28"/>
  <c r="BA27" i="28" s="1"/>
  <c r="AI171" i="28"/>
  <c r="AI43" i="28"/>
  <c r="AI41" i="28" s="1"/>
  <c r="AE57" i="26" s="1"/>
  <c r="BN51" i="26"/>
  <c r="BR16" i="28"/>
  <c r="BN48" i="26" s="1"/>
  <c r="AN157" i="28"/>
  <c r="AN35" i="28"/>
  <c r="AN27" i="28" s="1"/>
  <c r="BA51" i="26"/>
  <c r="BE16" i="28"/>
  <c r="BA48" i="26" s="1"/>
  <c r="W51" i="26"/>
  <c r="AA16" i="28"/>
  <c r="W48" i="26" s="1"/>
  <c r="AD157" i="28"/>
  <c r="AD35" i="28"/>
  <c r="AD27" i="28" s="1"/>
  <c r="BJ51" i="26"/>
  <c r="BN16" i="28"/>
  <c r="BJ48" i="26" s="1"/>
  <c r="BG171" i="28"/>
  <c r="BG43" i="28"/>
  <c r="BG41" i="28" s="1"/>
  <c r="BC57" i="26" s="1"/>
  <c r="K25" i="35"/>
  <c r="K24" i="35" s="1"/>
  <c r="K18" i="35" s="1"/>
  <c r="K28" i="36" s="1"/>
  <c r="K85" i="32"/>
  <c r="BQ77" i="26"/>
  <c r="AH171" i="28"/>
  <c r="AH43" i="28"/>
  <c r="AH41" i="28" s="1"/>
  <c r="AD57" i="26" s="1"/>
  <c r="BD51" i="26"/>
  <c r="BH16" i="28"/>
  <c r="AB171" i="28"/>
  <c r="AB43" i="28"/>
  <c r="AB41" i="28" s="1"/>
  <c r="X57" i="26" s="1"/>
  <c r="P171" i="28"/>
  <c r="P43" i="28"/>
  <c r="P41" i="28" s="1"/>
  <c r="L57" i="26" s="1"/>
  <c r="AS35" i="28"/>
  <c r="AS27" i="28" s="1"/>
  <c r="AS157" i="28"/>
  <c r="BS171" i="28"/>
  <c r="BS43" i="28"/>
  <c r="BS41" i="28" s="1"/>
  <c r="BO57" i="26" s="1"/>
  <c r="AV51" i="26"/>
  <c r="AZ16" i="28"/>
  <c r="AV48" i="26" s="1"/>
  <c r="AP35" i="28"/>
  <c r="AP27" i="28" s="1"/>
  <c r="AP157" i="28"/>
  <c r="BI51" i="26"/>
  <c r="BM16" i="28"/>
  <c r="BI48" i="26" s="1"/>
  <c r="AK51" i="26"/>
  <c r="AO16" i="28"/>
  <c r="AK48" i="26" s="1"/>
  <c r="W35" i="28"/>
  <c r="W27" i="28" s="1"/>
  <c r="W157" i="28"/>
  <c r="BJ157" i="28"/>
  <c r="BJ35" i="28"/>
  <c r="BJ27" i="28" s="1"/>
  <c r="BB171" i="28"/>
  <c r="BB43" i="28"/>
  <c r="BB41" i="28" s="1"/>
  <c r="AX57" i="26" s="1"/>
  <c r="AG51" i="26"/>
  <c r="AK16" i="28"/>
  <c r="AG48" i="26" s="1"/>
  <c r="R157" i="28"/>
  <c r="R35" i="28"/>
  <c r="R27" i="28" s="1"/>
  <c r="BC171" i="28"/>
  <c r="BC43" i="28"/>
  <c r="BC41" i="28" s="1"/>
  <c r="AY57" i="26" s="1"/>
  <c r="AJ171" i="28"/>
  <c r="AJ43" i="28"/>
  <c r="S157" i="28"/>
  <c r="S35" i="28"/>
  <c r="S27" i="28" s="1"/>
  <c r="Z157" i="28"/>
  <c r="Z35" i="28"/>
  <c r="Z27" i="28" s="1"/>
  <c r="BI157" i="28"/>
  <c r="BI35" i="28"/>
  <c r="BI27" i="28" s="1"/>
  <c r="W63" i="40"/>
  <c r="M84" i="32"/>
  <c r="R410" i="38"/>
  <c r="R409" i="38" s="1"/>
  <c r="R408" i="38" s="1"/>
  <c r="R417" i="38" s="1"/>
  <c r="AG157" i="28"/>
  <c r="AG35" i="28"/>
  <c r="AG27" i="28" s="1"/>
  <c r="AE171" i="28"/>
  <c r="AE43" i="28"/>
  <c r="AE41" i="28" s="1"/>
  <c r="AA57" i="26" s="1"/>
  <c r="BQ171" i="28"/>
  <c r="BQ43" i="28"/>
  <c r="BQ41" i="28" s="1"/>
  <c r="BM57" i="26" s="1"/>
  <c r="AQ157" i="28"/>
  <c r="AQ35" i="28"/>
  <c r="AQ27" i="28" s="1"/>
  <c r="BO171" i="28"/>
  <c r="BO43" i="28"/>
  <c r="BO41" i="28" s="1"/>
  <c r="BK57" i="26" s="1"/>
  <c r="AF171" i="28"/>
  <c r="AF43" i="28"/>
  <c r="AF41" i="28" s="1"/>
  <c r="AB57" i="26" s="1"/>
  <c r="AU35" i="28"/>
  <c r="AU27" i="28" s="1"/>
  <c r="AU157" i="28"/>
  <c r="AC171" i="28"/>
  <c r="AC43" i="28"/>
  <c r="AC41" i="28" s="1"/>
  <c r="Y57" i="26" s="1"/>
  <c r="O171" i="28"/>
  <c r="O43" i="28"/>
  <c r="O41" i="28" s="1"/>
  <c r="K57" i="26" s="1"/>
  <c r="N35" i="28"/>
  <c r="N27" i="28" s="1"/>
  <c r="N157" i="28"/>
  <c r="Q157" i="28"/>
  <c r="Q35" i="28"/>
  <c r="Q27" i="28" s="1"/>
  <c r="BU77" i="26"/>
  <c r="V63" i="40"/>
  <c r="L84" i="32"/>
  <c r="Q410" i="38"/>
  <c r="Q409" i="38" s="1"/>
  <c r="Q408" i="38" s="1"/>
  <c r="Q417" i="38" s="1"/>
  <c r="AP51" i="26"/>
  <c r="AT16" i="28"/>
  <c r="AP48" i="26" s="1"/>
  <c r="AS51" i="26"/>
  <c r="AW16" i="28"/>
  <c r="AS48" i="26" s="1"/>
  <c r="BA171" i="28"/>
  <c r="BA43" i="28"/>
  <c r="BA41" i="28" s="1"/>
  <c r="AW57" i="26" s="1"/>
  <c r="AI16" i="28"/>
  <c r="AE48" i="26" s="1"/>
  <c r="AE51" i="26"/>
  <c r="V157" i="28"/>
  <c r="V35" i="28"/>
  <c r="V27" i="28" s="1"/>
  <c r="AJ51" i="26"/>
  <c r="AN16" i="28"/>
  <c r="AJ48" i="26" s="1"/>
  <c r="BE43" i="28"/>
  <c r="BE41" i="28" s="1"/>
  <c r="BA57" i="26" s="1"/>
  <c r="BE171" i="28"/>
  <c r="BP171" i="28"/>
  <c r="BP43" i="28"/>
  <c r="BP41" i="28" s="1"/>
  <c r="BL57" i="26" s="1"/>
  <c r="Z51" i="26"/>
  <c r="AD16" i="28"/>
  <c r="Z48" i="26" s="1"/>
  <c r="BN171" i="28"/>
  <c r="BN43" i="28"/>
  <c r="BN41" i="28" s="1"/>
  <c r="BJ57" i="26" s="1"/>
  <c r="U35" i="28"/>
  <c r="U27" i="28" s="1"/>
  <c r="U157" i="28"/>
  <c r="X171" i="28"/>
  <c r="X43" i="28"/>
  <c r="BT77" i="26"/>
  <c r="AR171" i="28"/>
  <c r="AR43" i="28"/>
  <c r="AR41" i="28" s="1"/>
  <c r="AN57" i="26" s="1"/>
  <c r="BH157" i="28"/>
  <c r="BH35" i="28"/>
  <c r="X51" i="26"/>
  <c r="AB16" i="28"/>
  <c r="X48" i="26" s="1"/>
  <c r="AM157" i="28"/>
  <c r="AM35" i="28"/>
  <c r="AM27" i="28" s="1"/>
  <c r="AS16" i="28"/>
  <c r="AO48" i="26" s="1"/>
  <c r="AO51" i="26"/>
  <c r="BS16" i="28"/>
  <c r="BO48" i="26" s="1"/>
  <c r="BO51" i="26"/>
  <c r="AL157" i="28"/>
  <c r="AL35" i="28"/>
  <c r="AL27" i="28" s="1"/>
  <c r="AL51" i="26"/>
  <c r="AP16" i="28"/>
  <c r="AL48" i="26" s="1"/>
  <c r="BM171" i="28"/>
  <c r="BM43" i="28"/>
  <c r="BM41" i="28" s="1"/>
  <c r="BI57" i="26" s="1"/>
  <c r="AX171" i="28"/>
  <c r="AX43" i="28"/>
  <c r="AX41" i="28" s="1"/>
  <c r="AT57" i="26" s="1"/>
  <c r="W171" i="28"/>
  <c r="W43" i="28"/>
  <c r="W41" i="28" s="1"/>
  <c r="S57" i="26" s="1"/>
  <c r="BK157" i="28"/>
  <c r="BK35" i="28"/>
  <c r="BK27" i="28" s="1"/>
  <c r="BF51" i="26"/>
  <c r="BJ16" i="28"/>
  <c r="BF48" i="26" s="1"/>
  <c r="AX51" i="26"/>
  <c r="BB16" i="28"/>
  <c r="AX48" i="26" s="1"/>
  <c r="BF157" i="28"/>
  <c r="BF35" i="28"/>
  <c r="BF27" i="28" s="1"/>
  <c r="N51" i="26"/>
  <c r="R16" i="28"/>
  <c r="N48" i="26" s="1"/>
  <c r="AY51" i="26"/>
  <c r="BC16" i="28"/>
  <c r="AY48" i="26" s="1"/>
  <c r="M171" i="28"/>
  <c r="M43" i="28"/>
  <c r="M41" i="28" s="1"/>
  <c r="I57" i="26" s="1"/>
  <c r="O51" i="26"/>
  <c r="S16" i="28"/>
  <c r="O48" i="26" s="1"/>
  <c r="V51" i="26"/>
  <c r="Z16" i="28"/>
  <c r="V48" i="26" s="1"/>
  <c r="BE51" i="26"/>
  <c r="BI16" i="28"/>
  <c r="BE48" i="26" s="1"/>
  <c r="BD157" i="28"/>
  <c r="BD35" i="28"/>
  <c r="BD27" i="28" s="1"/>
  <c r="J70" i="35" l="1"/>
  <c r="J66" i="35" s="1"/>
  <c r="J59" i="35" s="1"/>
  <c r="BQ81" i="26"/>
  <c r="H67" i="26"/>
  <c r="BQ67" i="26" s="1"/>
  <c r="BY86" i="28"/>
  <c r="BU81" i="26"/>
  <c r="BX86" i="28"/>
  <c r="BZ77" i="26"/>
  <c r="BV86" i="28"/>
  <c r="J85" i="32"/>
  <c r="T63" i="40" s="1"/>
  <c r="BT81" i="26"/>
  <c r="BU86" i="28"/>
  <c r="BW86" i="28"/>
  <c r="T67" i="26"/>
  <c r="BR67" i="26" s="1"/>
  <c r="BX72" i="28"/>
  <c r="BR81" i="26"/>
  <c r="BS81" i="26"/>
  <c r="AR67" i="26"/>
  <c r="BT67" i="26" s="1"/>
  <c r="BU72" i="28"/>
  <c r="BY72" i="28"/>
  <c r="BV72" i="28"/>
  <c r="BD67" i="26"/>
  <c r="BU67" i="26" s="1"/>
  <c r="BW72" i="28"/>
  <c r="AF67" i="26"/>
  <c r="BS67" i="26" s="1"/>
  <c r="BV177" i="28"/>
  <c r="BX186" i="28"/>
  <c r="BH47" i="28"/>
  <c r="BY51" i="28"/>
  <c r="BU59" i="28"/>
  <c r="L56" i="28"/>
  <c r="BW186" i="28"/>
  <c r="BW177" i="28"/>
  <c r="BW59" i="28"/>
  <c r="AJ56" i="28"/>
  <c r="BV186" i="28"/>
  <c r="BV51" i="28"/>
  <c r="X47" i="28"/>
  <c r="BY186" i="28"/>
  <c r="BU177" i="28"/>
  <c r="BX177" i="28"/>
  <c r="BX59" i="28"/>
  <c r="AV56" i="28"/>
  <c r="BW51" i="28"/>
  <c r="AJ47" i="28"/>
  <c r="BV59" i="28"/>
  <c r="X56" i="28"/>
  <c r="BY177" i="28"/>
  <c r="BY59" i="28"/>
  <c r="BH56" i="28"/>
  <c r="BU186" i="28"/>
  <c r="L47" i="28"/>
  <c r="BU51" i="28"/>
  <c r="BX51" i="28"/>
  <c r="AV47" i="28"/>
  <c r="BV171" i="28"/>
  <c r="AJ41" i="28"/>
  <c r="BW43" i="28"/>
  <c r="X27" i="28"/>
  <c r="BV27" i="28" s="1"/>
  <c r="BV35" i="28"/>
  <c r="L27" i="28"/>
  <c r="BU27" i="28" s="1"/>
  <c r="BU35" i="28"/>
  <c r="BH41" i="28"/>
  <c r="BY43" i="28"/>
  <c r="BH27" i="28"/>
  <c r="BY27" i="28" s="1"/>
  <c r="BY35" i="28"/>
  <c r="BW171" i="28"/>
  <c r="AV41" i="28"/>
  <c r="BX43" i="28"/>
  <c r="BY171" i="28"/>
  <c r="AV27" i="28"/>
  <c r="AR56" i="26" s="1"/>
  <c r="BX35" i="28"/>
  <c r="L41" i="28"/>
  <c r="BU43" i="28"/>
  <c r="X41" i="28"/>
  <c r="BV43" i="28"/>
  <c r="BX171" i="28"/>
  <c r="AJ27" i="28"/>
  <c r="BW27" i="28" s="1"/>
  <c r="BW35" i="28"/>
  <c r="BU171" i="28"/>
  <c r="H48" i="26"/>
  <c r="BQ48" i="26" s="1"/>
  <c r="BU16" i="28"/>
  <c r="BU157" i="28"/>
  <c r="BY157" i="28"/>
  <c r="BD48" i="26"/>
  <c r="BU48" i="26" s="1"/>
  <c r="BY16" i="28"/>
  <c r="AF48" i="26"/>
  <c r="BS48" i="26" s="1"/>
  <c r="BW16" i="28"/>
  <c r="BX157" i="28"/>
  <c r="BV157" i="28"/>
  <c r="BW157" i="28"/>
  <c r="T48" i="26"/>
  <c r="BR48" i="26" s="1"/>
  <c r="BV16" i="28"/>
  <c r="AR48" i="26"/>
  <c r="BT48" i="26" s="1"/>
  <c r="BX16" i="28"/>
  <c r="BX77" i="26"/>
  <c r="BY77" i="26"/>
  <c r="CA77" i="26"/>
  <c r="M37" i="26"/>
  <c r="M7" i="26"/>
  <c r="M35" i="26" s="1"/>
  <c r="Q152" i="28"/>
  <c r="Q69" i="28" s="1"/>
  <c r="M64" i="26" s="1"/>
  <c r="N37" i="26"/>
  <c r="Q24" i="26"/>
  <c r="Q21" i="26" s="1"/>
  <c r="O10" i="26"/>
  <c r="O7" i="26" s="1"/>
  <c r="O35" i="26" s="1"/>
  <c r="BD152" i="28"/>
  <c r="BD69" i="28" s="1"/>
  <c r="AZ64" i="26" s="1"/>
  <c r="AU152" i="28"/>
  <c r="AU69" i="28" s="1"/>
  <c r="AQ64" i="26" s="1"/>
  <c r="K67" i="35"/>
  <c r="K70" i="35" s="1"/>
  <c r="L67" i="35" s="1"/>
  <c r="L70" i="35" s="1"/>
  <c r="BF152" i="28"/>
  <c r="BF69" i="28" s="1"/>
  <c r="BB64" i="26" s="1"/>
  <c r="AL152" i="28"/>
  <c r="AL69" i="28" s="1"/>
  <c r="AH64" i="26" s="1"/>
  <c r="BH152" i="28"/>
  <c r="BK152" i="28"/>
  <c r="BK69" i="28" s="1"/>
  <c r="BG64" i="26" s="1"/>
  <c r="AM152" i="28"/>
  <c r="AM69" i="28" s="1"/>
  <c r="AI64" i="26" s="1"/>
  <c r="AG152" i="28"/>
  <c r="AG69" i="28" s="1"/>
  <c r="AC64" i="26" s="1"/>
  <c r="Y152" i="28"/>
  <c r="Y70" i="28" s="1"/>
  <c r="U65" i="26" s="1"/>
  <c r="AT152" i="28"/>
  <c r="AT70" i="28" s="1"/>
  <c r="AP65" i="26" s="1"/>
  <c r="AS152" i="28"/>
  <c r="AS69" i="28" s="1"/>
  <c r="AO64" i="26" s="1"/>
  <c r="AN152" i="28"/>
  <c r="AN69" i="28" s="1"/>
  <c r="AJ64" i="26" s="1"/>
  <c r="BI152" i="28"/>
  <c r="BI69" i="28" s="1"/>
  <c r="BE64" i="26" s="1"/>
  <c r="S152" i="28"/>
  <c r="S70" i="28" s="1"/>
  <c r="O65" i="26" s="1"/>
  <c r="BJ152" i="28"/>
  <c r="BJ69" i="28" s="1"/>
  <c r="BF64" i="26" s="1"/>
  <c r="N152" i="28"/>
  <c r="N70" i="28" s="1"/>
  <c r="J65" i="26" s="1"/>
  <c r="AP152" i="28"/>
  <c r="AP70" i="28" s="1"/>
  <c r="AL65" i="26" s="1"/>
  <c r="AD152" i="28"/>
  <c r="AD70" i="28" s="1"/>
  <c r="Z65" i="26" s="1"/>
  <c r="AA152" i="28"/>
  <c r="AA69" i="28" s="1"/>
  <c r="W64" i="26" s="1"/>
  <c r="V152" i="28"/>
  <c r="V69" i="28" s="1"/>
  <c r="R64" i="26" s="1"/>
  <c r="R152" i="28"/>
  <c r="R69" i="28" s="1"/>
  <c r="N64" i="26" s="1"/>
  <c r="U152" i="28"/>
  <c r="U70" i="28" s="1"/>
  <c r="Q65" i="26" s="1"/>
  <c r="AQ152" i="28"/>
  <c r="AQ69" i="28" s="1"/>
  <c r="AM64" i="26" s="1"/>
  <c r="L152" i="28"/>
  <c r="Z152" i="28"/>
  <c r="Z69" i="28" s="1"/>
  <c r="V64" i="26" s="1"/>
  <c r="V67" i="28"/>
  <c r="V65" i="28"/>
  <c r="R60" i="26" s="1"/>
  <c r="R56" i="26"/>
  <c r="N65" i="28"/>
  <c r="J60" i="26" s="1"/>
  <c r="J56" i="26"/>
  <c r="N67" i="28"/>
  <c r="AP67" i="28"/>
  <c r="AP65" i="28"/>
  <c r="AL60" i="26" s="1"/>
  <c r="AL56" i="26"/>
  <c r="U63" i="40"/>
  <c r="K84" i="32"/>
  <c r="P410" i="38"/>
  <c r="P409" i="38" s="1"/>
  <c r="P408" i="38" s="1"/>
  <c r="P417" i="38" s="1"/>
  <c r="AN65" i="28"/>
  <c r="AJ60" i="26" s="1"/>
  <c r="AN67" i="28"/>
  <c r="AJ56" i="26"/>
  <c r="AC67" i="28"/>
  <c r="AC65" i="28"/>
  <c r="Y60" i="26" s="1"/>
  <c r="Y56" i="26"/>
  <c r="AE152" i="28"/>
  <c r="M65" i="28"/>
  <c r="I60" i="26" s="1"/>
  <c r="M67" i="28"/>
  <c r="I56" i="26"/>
  <c r="BC152" i="28"/>
  <c r="BS152" i="28"/>
  <c r="BE152" i="28"/>
  <c r="AW152" i="28"/>
  <c r="J58" i="35"/>
  <c r="J36" i="32"/>
  <c r="J35" i="32" s="1"/>
  <c r="AF152" i="28"/>
  <c r="AJ152" i="28"/>
  <c r="AO152" i="28"/>
  <c r="P152" i="28"/>
  <c r="AR152" i="28"/>
  <c r="BC56" i="26"/>
  <c r="BG67" i="28"/>
  <c r="BG65" i="28"/>
  <c r="BC60" i="26" s="1"/>
  <c r="BP152" i="28"/>
  <c r="BR65" i="28"/>
  <c r="BN60" i="26" s="1"/>
  <c r="BR67" i="28"/>
  <c r="BN56" i="26"/>
  <c r="AL65" i="28"/>
  <c r="AH60" i="26" s="1"/>
  <c r="AL67" i="28"/>
  <c r="AH56" i="26"/>
  <c r="U67" i="28"/>
  <c r="U65" i="28"/>
  <c r="Q60" i="26" s="1"/>
  <c r="Q56" i="26"/>
  <c r="Q65" i="28"/>
  <c r="M60" i="26" s="1"/>
  <c r="Q67" i="28"/>
  <c r="M56" i="26"/>
  <c r="AG67" i="28"/>
  <c r="AG65" i="28"/>
  <c r="AC60" i="26" s="1"/>
  <c r="AC56" i="26"/>
  <c r="W62" i="40"/>
  <c r="M83" i="32"/>
  <c r="V56" i="26"/>
  <c r="Z65" i="28"/>
  <c r="V60" i="26" s="1"/>
  <c r="Z67" i="28"/>
  <c r="R65" i="28"/>
  <c r="N60" i="26" s="1"/>
  <c r="R67" i="28"/>
  <c r="N56" i="26"/>
  <c r="W152" i="28"/>
  <c r="BO67" i="28"/>
  <c r="BO65" i="28"/>
  <c r="BK60" i="26" s="1"/>
  <c r="BK56" i="26"/>
  <c r="M152" i="28"/>
  <c r="BC67" i="28"/>
  <c r="BC65" i="28"/>
  <c r="AY60" i="26" s="1"/>
  <c r="AY56" i="26"/>
  <c r="BS65" i="28"/>
  <c r="BO60" i="26" s="1"/>
  <c r="BS67" i="28"/>
  <c r="BO56" i="26"/>
  <c r="X152" i="28"/>
  <c r="BE65" i="28"/>
  <c r="BA60" i="26" s="1"/>
  <c r="BA56" i="26"/>
  <c r="BE67" i="28"/>
  <c r="AW65" i="28"/>
  <c r="AS60" i="26" s="1"/>
  <c r="AW67" i="28"/>
  <c r="AS56" i="26"/>
  <c r="T152" i="28"/>
  <c r="O152" i="28"/>
  <c r="BQ67" i="28"/>
  <c r="BQ65" i="28"/>
  <c r="BM60" i="26" s="1"/>
  <c r="BM56" i="26"/>
  <c r="AK67" i="28"/>
  <c r="AG56" i="26"/>
  <c r="AK65" i="28"/>
  <c r="AG60" i="26" s="1"/>
  <c r="AX152" i="28"/>
  <c r="AZ65" i="28"/>
  <c r="AV60" i="26" s="1"/>
  <c r="AZ67" i="28"/>
  <c r="AV56" i="26"/>
  <c r="AH152" i="28"/>
  <c r="AV152" i="28"/>
  <c r="BD65" i="28"/>
  <c r="AZ60" i="26" s="1"/>
  <c r="AZ56" i="26"/>
  <c r="BD67" i="28"/>
  <c r="BF65" i="28"/>
  <c r="BB60" i="26" s="1"/>
  <c r="BF67" i="28"/>
  <c r="BB56" i="26"/>
  <c r="V62" i="40"/>
  <c r="L83" i="32"/>
  <c r="AU65" i="28"/>
  <c r="AQ60" i="26" s="1"/>
  <c r="AU67" i="28"/>
  <c r="AQ56" i="26"/>
  <c r="S56" i="26"/>
  <c r="W65" i="28"/>
  <c r="S60" i="26" s="1"/>
  <c r="W67" i="28"/>
  <c r="AS67" i="28"/>
  <c r="AS65" i="28"/>
  <c r="AO60" i="26" s="1"/>
  <c r="AO56" i="26"/>
  <c r="AD67" i="28"/>
  <c r="Z56" i="26"/>
  <c r="AD65" i="28"/>
  <c r="Z60" i="26" s="1"/>
  <c r="BA67" i="28"/>
  <c r="BA65" i="28"/>
  <c r="AW60" i="26" s="1"/>
  <c r="AW56" i="26"/>
  <c r="AP56" i="26"/>
  <c r="AT67" i="28"/>
  <c r="AT65" i="28"/>
  <c r="AP60" i="26" s="1"/>
  <c r="BO152" i="28"/>
  <c r="X62" i="40"/>
  <c r="N83" i="32"/>
  <c r="BB65" i="28"/>
  <c r="AX60" i="26" s="1"/>
  <c r="BB67" i="28"/>
  <c r="AX56" i="26"/>
  <c r="BM67" i="28"/>
  <c r="BI56" i="26"/>
  <c r="BM65" i="28"/>
  <c r="BI60" i="26" s="1"/>
  <c r="AB65" i="28"/>
  <c r="X60" i="26" s="1"/>
  <c r="AB67" i="28"/>
  <c r="X56" i="26"/>
  <c r="BJ56" i="26"/>
  <c r="BN65" i="28"/>
  <c r="BJ60" i="26" s="1"/>
  <c r="BN67" i="28"/>
  <c r="AA65" i="28"/>
  <c r="W60" i="26" s="1"/>
  <c r="AA67" i="28"/>
  <c r="W56" i="26"/>
  <c r="AI67" i="28"/>
  <c r="AE56" i="26"/>
  <c r="AI65" i="28"/>
  <c r="AE60" i="26" s="1"/>
  <c r="T65" i="28"/>
  <c r="P60" i="26" s="1"/>
  <c r="T67" i="28"/>
  <c r="P56" i="26"/>
  <c r="O65" i="28"/>
  <c r="K60" i="26" s="1"/>
  <c r="O67" i="28"/>
  <c r="K56" i="26"/>
  <c r="BQ152" i="28"/>
  <c r="AK152" i="28"/>
  <c r="AX65" i="28"/>
  <c r="AT60" i="26" s="1"/>
  <c r="AT56" i="26"/>
  <c r="AX67" i="28"/>
  <c r="AZ152" i="28"/>
  <c r="AH65" i="28"/>
  <c r="AD60" i="26" s="1"/>
  <c r="AH67" i="28"/>
  <c r="AD56" i="26"/>
  <c r="BL67" i="28"/>
  <c r="BL65" i="28"/>
  <c r="BH60" i="26" s="1"/>
  <c r="BH56" i="26"/>
  <c r="AY152" i="28"/>
  <c r="BK67" i="28"/>
  <c r="BK65" i="28"/>
  <c r="BG60" i="26" s="1"/>
  <c r="BG56" i="26"/>
  <c r="AM67" i="28"/>
  <c r="AM65" i="28"/>
  <c r="AI60" i="26" s="1"/>
  <c r="AI56" i="26"/>
  <c r="AM56" i="26"/>
  <c r="AQ65" i="28"/>
  <c r="AM60" i="26" s="1"/>
  <c r="AQ67" i="28"/>
  <c r="BI65" i="28"/>
  <c r="BE60" i="26" s="1"/>
  <c r="BI67" i="28"/>
  <c r="BE56" i="26"/>
  <c r="S67" i="28"/>
  <c r="O56" i="26"/>
  <c r="S65" i="28"/>
  <c r="O60" i="26" s="1"/>
  <c r="BJ65" i="28"/>
  <c r="BF60" i="26" s="1"/>
  <c r="BJ67" i="28"/>
  <c r="BF56" i="26"/>
  <c r="BA152" i="28"/>
  <c r="AC152" i="28"/>
  <c r="AE67" i="28"/>
  <c r="AE65" i="28"/>
  <c r="AA60" i="26" s="1"/>
  <c r="AA56" i="26"/>
  <c r="BB152" i="28"/>
  <c r="BM152" i="28"/>
  <c r="AB152" i="28"/>
  <c r="BN152" i="28"/>
  <c r="AI152" i="28"/>
  <c r="AF65" i="28"/>
  <c r="AB60" i="26" s="1"/>
  <c r="AF67" i="28"/>
  <c r="AB56" i="26"/>
  <c r="Y65" i="28"/>
  <c r="U60" i="26" s="1"/>
  <c r="Y67" i="28"/>
  <c r="U56" i="26"/>
  <c r="AO67" i="28"/>
  <c r="AO65" i="28"/>
  <c r="AK60" i="26" s="1"/>
  <c r="AK56" i="26"/>
  <c r="P65" i="28"/>
  <c r="L60" i="26" s="1"/>
  <c r="P67" i="28"/>
  <c r="L56" i="26"/>
  <c r="AR65" i="28"/>
  <c r="AN60" i="26" s="1"/>
  <c r="AR67" i="28"/>
  <c r="AN56" i="26"/>
  <c r="BG152" i="28"/>
  <c r="BP67" i="28"/>
  <c r="BP65" i="28"/>
  <c r="BL60" i="26" s="1"/>
  <c r="BL56" i="26"/>
  <c r="BR152" i="28"/>
  <c r="BL152" i="28"/>
  <c r="AU56" i="26"/>
  <c r="AY65" i="28"/>
  <c r="AU60" i="26" s="1"/>
  <c r="AY67" i="28"/>
  <c r="BX81" i="26" l="1"/>
  <c r="AF56" i="26"/>
  <c r="J84" i="32"/>
  <c r="J83" i="32" s="1"/>
  <c r="J80" i="32" s="1"/>
  <c r="T59" i="40" s="1"/>
  <c r="O410" i="38"/>
  <c r="O409" i="38" s="1"/>
  <c r="O408" i="38" s="1"/>
  <c r="O417" i="38" s="1"/>
  <c r="CA81" i="26"/>
  <c r="BY67" i="26"/>
  <c r="BY81" i="26"/>
  <c r="BZ81" i="26"/>
  <c r="BX67" i="26"/>
  <c r="BZ67" i="26"/>
  <c r="CA67" i="26"/>
  <c r="BD56" i="26"/>
  <c r="AF58" i="26"/>
  <c r="BW47" i="28"/>
  <c r="H58" i="26"/>
  <c r="BU47" i="28"/>
  <c r="BD58" i="26"/>
  <c r="BY47" i="28"/>
  <c r="AR58" i="26"/>
  <c r="BX47" i="28"/>
  <c r="T59" i="26"/>
  <c r="BV56" i="28"/>
  <c r="AR59" i="26"/>
  <c r="BX56" i="28"/>
  <c r="BW56" i="28"/>
  <c r="AF59" i="26"/>
  <c r="H59" i="26"/>
  <c r="BU56" i="28"/>
  <c r="BD59" i="26"/>
  <c r="BY56" i="28"/>
  <c r="T58" i="26"/>
  <c r="BV47" i="28"/>
  <c r="H56" i="26"/>
  <c r="L65" i="28"/>
  <c r="H60" i="26" s="1"/>
  <c r="L67" i="28"/>
  <c r="BU67" i="28" s="1"/>
  <c r="AJ65" i="28"/>
  <c r="BW65" i="28" s="1"/>
  <c r="AJ67" i="28"/>
  <c r="AF62" i="26" s="1"/>
  <c r="X65" i="28"/>
  <c r="T60" i="26" s="1"/>
  <c r="Q70" i="28"/>
  <c r="M65" i="26" s="1"/>
  <c r="AV65" i="28"/>
  <c r="AR60" i="26" s="1"/>
  <c r="BH65" i="28"/>
  <c r="BY65" i="28" s="1"/>
  <c r="AV67" i="28"/>
  <c r="BX67" i="28" s="1"/>
  <c r="T56" i="26"/>
  <c r="BX27" i="28"/>
  <c r="AR57" i="26"/>
  <c r="BX41" i="28"/>
  <c r="T57" i="26"/>
  <c r="BV41" i="28"/>
  <c r="BD57" i="26"/>
  <c r="BY41" i="28"/>
  <c r="X67" i="28"/>
  <c r="BV67" i="28" s="1"/>
  <c r="BH67" i="28"/>
  <c r="BD62" i="26" s="1"/>
  <c r="H57" i="26"/>
  <c r="BU41" i="28"/>
  <c r="AF57" i="26"/>
  <c r="BW41" i="28"/>
  <c r="L70" i="28"/>
  <c r="BU152" i="28"/>
  <c r="BH70" i="28"/>
  <c r="BY152" i="28"/>
  <c r="BW152" i="28"/>
  <c r="BX152" i="28"/>
  <c r="BV152" i="28"/>
  <c r="BZ48" i="26"/>
  <c r="BX48" i="26"/>
  <c r="CA48" i="26"/>
  <c r="BY48" i="26"/>
  <c r="O342" i="38"/>
  <c r="O346" i="38" s="1"/>
  <c r="J34" i="32"/>
  <c r="T37" i="40" s="1"/>
  <c r="P10" i="26"/>
  <c r="P7" i="26" s="1"/>
  <c r="O37" i="26"/>
  <c r="R24" i="26"/>
  <c r="R21" i="26" s="1"/>
  <c r="BD70" i="28"/>
  <c r="AZ65" i="26" s="1"/>
  <c r="K66" i="35"/>
  <c r="K59" i="35" s="1"/>
  <c r="K58" i="35" s="1"/>
  <c r="AU70" i="28"/>
  <c r="AQ65" i="26" s="1"/>
  <c r="S69" i="28"/>
  <c r="O64" i="26" s="1"/>
  <c r="AT69" i="28"/>
  <c r="AP64" i="26" s="1"/>
  <c r="BF70" i="28"/>
  <c r="BB65" i="26" s="1"/>
  <c r="AA70" i="28"/>
  <c r="W65" i="26" s="1"/>
  <c r="AL70" i="28"/>
  <c r="AH65" i="26" s="1"/>
  <c r="AS70" i="28"/>
  <c r="AO65" i="26" s="1"/>
  <c r="BJ70" i="28"/>
  <c r="BF65" i="26" s="1"/>
  <c r="AQ70" i="28"/>
  <c r="AM65" i="26" s="1"/>
  <c r="AM70" i="28"/>
  <c r="AI65" i="26" s="1"/>
  <c r="BH69" i="28"/>
  <c r="AU22" i="28"/>
  <c r="Y69" i="28"/>
  <c r="U64" i="26" s="1"/>
  <c r="AP69" i="28"/>
  <c r="AL64" i="26" s="1"/>
  <c r="BI70" i="28"/>
  <c r="BE65" i="26" s="1"/>
  <c r="BG54" i="26"/>
  <c r="BK70" i="28"/>
  <c r="BG65" i="26" s="1"/>
  <c r="V22" i="28"/>
  <c r="K54" i="26"/>
  <c r="P54" i="26"/>
  <c r="BJ54" i="26"/>
  <c r="BL54" i="26"/>
  <c r="AG70" i="28"/>
  <c r="AC65" i="26" s="1"/>
  <c r="AN70" i="28"/>
  <c r="AJ65" i="26" s="1"/>
  <c r="L69" i="28"/>
  <c r="O22" i="28"/>
  <c r="T22" i="28"/>
  <c r="AD22" i="28"/>
  <c r="V70" i="28"/>
  <c r="R65" i="26" s="1"/>
  <c r="R70" i="28"/>
  <c r="N65" i="26" s="1"/>
  <c r="N69" i="28"/>
  <c r="J64" i="26" s="1"/>
  <c r="BN54" i="26"/>
  <c r="AP22" i="28"/>
  <c r="R54" i="26"/>
  <c r="BP22" i="28"/>
  <c r="BO22" i="28"/>
  <c r="AL54" i="26"/>
  <c r="BG22" i="28"/>
  <c r="AK54" i="26"/>
  <c r="AD69" i="28"/>
  <c r="Z64" i="26" s="1"/>
  <c r="AD54" i="26"/>
  <c r="X54" i="26"/>
  <c r="AL22" i="28"/>
  <c r="U69" i="28"/>
  <c r="Q64" i="26" s="1"/>
  <c r="AH54" i="26"/>
  <c r="BR22" i="28"/>
  <c r="AP54" i="26"/>
  <c r="BC22" i="28"/>
  <c r="AM54" i="26"/>
  <c r="BB22" i="28"/>
  <c r="AT22" i="28"/>
  <c r="AY54" i="26"/>
  <c r="AO22" i="28"/>
  <c r="AI54" i="26"/>
  <c r="AQ54" i="26"/>
  <c r="BA54" i="26"/>
  <c r="Z70" i="28"/>
  <c r="V65" i="26" s="1"/>
  <c r="BD22" i="28"/>
  <c r="AZ22" i="28"/>
  <c r="BQ22" i="28"/>
  <c r="AS54" i="26"/>
  <c r="Q22" i="28"/>
  <c r="M22" i="28"/>
  <c r="AQ22" i="28"/>
  <c r="Z54" i="26"/>
  <c r="AG22" i="28"/>
  <c r="M54" i="26"/>
  <c r="U22" i="28"/>
  <c r="I54" i="26"/>
  <c r="AC22" i="28"/>
  <c r="AA54" i="26"/>
  <c r="BL22" i="28"/>
  <c r="AH22" i="28"/>
  <c r="W54" i="26"/>
  <c r="AX54" i="26"/>
  <c r="AZ54" i="26"/>
  <c r="AW22" i="28"/>
  <c r="AC54" i="26"/>
  <c r="Q54" i="26"/>
  <c r="BR69" i="28"/>
  <c r="BN64" i="26" s="1"/>
  <c r="BR70" i="28"/>
  <c r="BN65" i="26" s="1"/>
  <c r="BN69" i="28"/>
  <c r="BJ64" i="26" s="1"/>
  <c r="BN70" i="28"/>
  <c r="BJ65" i="26" s="1"/>
  <c r="AU54" i="26"/>
  <c r="AR22" i="28"/>
  <c r="AY22" i="28"/>
  <c r="U54" i="26"/>
  <c r="AU62" i="26"/>
  <c r="BL70" i="28"/>
  <c r="BH65" i="26" s="1"/>
  <c r="BL69" i="28"/>
  <c r="BH64" i="26" s="1"/>
  <c r="BL62" i="26"/>
  <c r="AN62" i="26"/>
  <c r="L62" i="26"/>
  <c r="U62" i="26"/>
  <c r="AB62" i="26"/>
  <c r="BB69" i="28"/>
  <c r="AX64" i="26" s="1"/>
  <c r="BB70" i="28"/>
  <c r="AX65" i="26" s="1"/>
  <c r="AE22" i="28"/>
  <c r="N13" i="36"/>
  <c r="N10" i="32"/>
  <c r="BF62" i="26"/>
  <c r="O54" i="26"/>
  <c r="BE62" i="26"/>
  <c r="AM22" i="28"/>
  <c r="BK22" i="28"/>
  <c r="BH62" i="26"/>
  <c r="AT54" i="26"/>
  <c r="K62" i="26"/>
  <c r="P62" i="26"/>
  <c r="AE54" i="26"/>
  <c r="W62" i="26"/>
  <c r="X62" i="26"/>
  <c r="BI54" i="26"/>
  <c r="AX62" i="26"/>
  <c r="X61" i="40"/>
  <c r="N80" i="32"/>
  <c r="X59" i="40" s="1"/>
  <c r="AW62" i="26"/>
  <c r="Z62" i="26"/>
  <c r="AS22" i="28"/>
  <c r="S54" i="26"/>
  <c r="BF22" i="28"/>
  <c r="AG54" i="26"/>
  <c r="BM54" i="26"/>
  <c r="M13" i="36"/>
  <c r="M10" i="32"/>
  <c r="AS62" i="26"/>
  <c r="BS22" i="28"/>
  <c r="BK54" i="26"/>
  <c r="V54" i="26"/>
  <c r="M62" i="26"/>
  <c r="BN62" i="26"/>
  <c r="K10" i="32"/>
  <c r="K13" i="36"/>
  <c r="AJ69" i="28"/>
  <c r="AJ70" i="28"/>
  <c r="AW70" i="28"/>
  <c r="AS65" i="26" s="1"/>
  <c r="AW69" i="28"/>
  <c r="AS64" i="26" s="1"/>
  <c r="AE70" i="28"/>
  <c r="AA65" i="26" s="1"/>
  <c r="AE69" i="28"/>
  <c r="AA64" i="26" s="1"/>
  <c r="AN22" i="28"/>
  <c r="J62" i="26"/>
  <c r="AC70" i="28"/>
  <c r="Y65" i="26" s="1"/>
  <c r="AC69" i="28"/>
  <c r="Y64" i="26" s="1"/>
  <c r="BA70" i="28"/>
  <c r="AW65" i="26" s="1"/>
  <c r="BA69" i="28"/>
  <c r="AW64" i="26" s="1"/>
  <c r="O62" i="26"/>
  <c r="AY69" i="28"/>
  <c r="AU64" i="26" s="1"/>
  <c r="AY70" i="28"/>
  <c r="AU65" i="26" s="1"/>
  <c r="AE62" i="26"/>
  <c r="BI62" i="26"/>
  <c r="BA22" i="28"/>
  <c r="AO62" i="26"/>
  <c r="W22" i="28"/>
  <c r="AQ62" i="26"/>
  <c r="AH69" i="28"/>
  <c r="AD64" i="26" s="1"/>
  <c r="AH70" i="28"/>
  <c r="AD65" i="26" s="1"/>
  <c r="AG62" i="26"/>
  <c r="O69" i="28"/>
  <c r="K64" i="26" s="1"/>
  <c r="O70" i="28"/>
  <c r="K65" i="26" s="1"/>
  <c r="BO54" i="26"/>
  <c r="M69" i="28"/>
  <c r="I64" i="26" s="1"/>
  <c r="M70" i="28"/>
  <c r="I65" i="26" s="1"/>
  <c r="W69" i="28"/>
  <c r="S64" i="26" s="1"/>
  <c r="W70" i="28"/>
  <c r="S65" i="26" s="1"/>
  <c r="R22" i="28"/>
  <c r="Z22" i="28"/>
  <c r="AH62" i="26"/>
  <c r="BC62" i="26"/>
  <c r="AR70" i="28"/>
  <c r="AN65" i="26" s="1"/>
  <c r="AR69" i="28"/>
  <c r="AN64" i="26" s="1"/>
  <c r="BE69" i="28"/>
  <c r="BA64" i="26" s="1"/>
  <c r="BE70" i="28"/>
  <c r="BA65" i="26" s="1"/>
  <c r="I62" i="26"/>
  <c r="Y54" i="26"/>
  <c r="AJ54" i="26"/>
  <c r="J54" i="26"/>
  <c r="AK62" i="26"/>
  <c r="BG70" i="28"/>
  <c r="BC65" i="26" s="1"/>
  <c r="BG69" i="28"/>
  <c r="BC64" i="26" s="1"/>
  <c r="Y22" i="28"/>
  <c r="AF22" i="28"/>
  <c r="AI69" i="28"/>
  <c r="AE64" i="26" s="1"/>
  <c r="AI70" i="28"/>
  <c r="AE65" i="26" s="1"/>
  <c r="AB70" i="28"/>
  <c r="X65" i="26" s="1"/>
  <c r="AB69" i="28"/>
  <c r="X64" i="26" s="1"/>
  <c r="BJ22" i="28"/>
  <c r="S22" i="28"/>
  <c r="BI22" i="28"/>
  <c r="BH54" i="26"/>
  <c r="AZ69" i="28"/>
  <c r="AV64" i="26" s="1"/>
  <c r="AZ70" i="28"/>
  <c r="AV65" i="26" s="1"/>
  <c r="AX22" i="28"/>
  <c r="BQ69" i="28"/>
  <c r="BM64" i="26" s="1"/>
  <c r="BQ70" i="28"/>
  <c r="BM65" i="26" s="1"/>
  <c r="AI22" i="28"/>
  <c r="AA22" i="28"/>
  <c r="BN22" i="28"/>
  <c r="AB22" i="28"/>
  <c r="BM22" i="28"/>
  <c r="BO70" i="28"/>
  <c r="BK65" i="26" s="1"/>
  <c r="BO69" i="28"/>
  <c r="BK64" i="26" s="1"/>
  <c r="AW54" i="26"/>
  <c r="AO54" i="26"/>
  <c r="S62" i="26"/>
  <c r="V61" i="40"/>
  <c r="L80" i="32"/>
  <c r="V59" i="40" s="1"/>
  <c r="BB54" i="26"/>
  <c r="AZ62" i="26"/>
  <c r="AV70" i="28"/>
  <c r="AV69" i="28"/>
  <c r="AV54" i="26"/>
  <c r="AX69" i="28"/>
  <c r="AT64" i="26" s="1"/>
  <c r="AX70" i="28"/>
  <c r="AT65" i="26" s="1"/>
  <c r="AK22" i="28"/>
  <c r="BM62" i="26"/>
  <c r="T69" i="28"/>
  <c r="P64" i="26" s="1"/>
  <c r="T70" i="28"/>
  <c r="P65" i="26" s="1"/>
  <c r="BE22" i="28"/>
  <c r="BO62" i="26"/>
  <c r="J13" i="36"/>
  <c r="J10" i="32"/>
  <c r="BK62" i="26"/>
  <c r="N54" i="26"/>
  <c r="V62" i="26"/>
  <c r="W61" i="40"/>
  <c r="M80" i="32"/>
  <c r="W59" i="40" s="1"/>
  <c r="AC62" i="26"/>
  <c r="Q62" i="26"/>
  <c r="BC54" i="26"/>
  <c r="P69" i="28"/>
  <c r="L64" i="26" s="1"/>
  <c r="P70" i="28"/>
  <c r="L65" i="26" s="1"/>
  <c r="T38" i="40"/>
  <c r="BS70" i="28"/>
  <c r="BO65" i="26" s="1"/>
  <c r="BS69" i="28"/>
  <c r="BO64" i="26" s="1"/>
  <c r="AJ62" i="26"/>
  <c r="U62" i="40"/>
  <c r="K83" i="32"/>
  <c r="AL62" i="26"/>
  <c r="N22" i="28"/>
  <c r="R62" i="26"/>
  <c r="L66" i="35"/>
  <c r="L59" i="35" s="1"/>
  <c r="M67" i="35"/>
  <c r="M70" i="35" s="1"/>
  <c r="P22" i="28"/>
  <c r="AN54" i="26"/>
  <c r="L54" i="26"/>
  <c r="AB54" i="26"/>
  <c r="BM70" i="28"/>
  <c r="BI65" i="26" s="1"/>
  <c r="BM69" i="28"/>
  <c r="BI64" i="26" s="1"/>
  <c r="AA62" i="26"/>
  <c r="BF54" i="26"/>
  <c r="BE54" i="26"/>
  <c r="AM62" i="26"/>
  <c r="AI62" i="26"/>
  <c r="BG62" i="26"/>
  <c r="AD62" i="26"/>
  <c r="AT62" i="26"/>
  <c r="AK70" i="28"/>
  <c r="AG65" i="26" s="1"/>
  <c r="AK69" i="28"/>
  <c r="AG64" i="26" s="1"/>
  <c r="BJ62" i="26"/>
  <c r="L13" i="36"/>
  <c r="L10" i="32"/>
  <c r="AP62" i="26"/>
  <c r="BB62" i="26"/>
  <c r="AV62" i="26"/>
  <c r="BA62" i="26"/>
  <c r="X70" i="28"/>
  <c r="X69" i="28"/>
  <c r="AY62" i="26"/>
  <c r="N62" i="26"/>
  <c r="BP69" i="28"/>
  <c r="BL64" i="26" s="1"/>
  <c r="BP70" i="28"/>
  <c r="BL65" i="26" s="1"/>
  <c r="AO70" i="28"/>
  <c r="AK65" i="26" s="1"/>
  <c r="AO69" i="28"/>
  <c r="AK64" i="26" s="1"/>
  <c r="AF70" i="28"/>
  <c r="AB65" i="26" s="1"/>
  <c r="AF69" i="28"/>
  <c r="AB64" i="26" s="1"/>
  <c r="BC70" i="28"/>
  <c r="AY65" i="26" s="1"/>
  <c r="BC69" i="28"/>
  <c r="AY64" i="26" s="1"/>
  <c r="Y62" i="26"/>
  <c r="T62" i="40" l="1"/>
  <c r="BW67" i="28"/>
  <c r="AJ22" i="28"/>
  <c r="L22" i="28"/>
  <c r="BU22" i="28" s="1"/>
  <c r="T61" i="40"/>
  <c r="AF60" i="26"/>
  <c r="AF54" i="26" s="1"/>
  <c r="BS54" i="26" s="1"/>
  <c r="BU65" i="28"/>
  <c r="Q66" i="28"/>
  <c r="H62" i="26"/>
  <c r="X22" i="28"/>
  <c r="BV22" i="28" s="1"/>
  <c r="BV65" i="28"/>
  <c r="T62" i="26"/>
  <c r="M61" i="26"/>
  <c r="M53" i="26" s="1"/>
  <c r="M119" i="26" s="1"/>
  <c r="H54" i="26"/>
  <c r="BQ54" i="26" s="1"/>
  <c r="BD60" i="26"/>
  <c r="BD54" i="26" s="1"/>
  <c r="BU54" i="26" s="1"/>
  <c r="BX65" i="28"/>
  <c r="BH22" i="28"/>
  <c r="BY22" i="28" s="1"/>
  <c r="AV22" i="28"/>
  <c r="BX22" i="28" s="1"/>
  <c r="BY67" i="28"/>
  <c r="AR62" i="26"/>
  <c r="AR54" i="26"/>
  <c r="BT54" i="26" s="1"/>
  <c r="T54" i="26"/>
  <c r="BR54" i="26" s="1"/>
  <c r="Y66" i="28"/>
  <c r="T64" i="26"/>
  <c r="BV69" i="28"/>
  <c r="BD64" i="26"/>
  <c r="BY69" i="28"/>
  <c r="AR64" i="26"/>
  <c r="BX69" i="28"/>
  <c r="AF65" i="26"/>
  <c r="BW70" i="28"/>
  <c r="H65" i="26"/>
  <c r="BU70" i="28"/>
  <c r="BW22" i="28"/>
  <c r="T65" i="26"/>
  <c r="BV70" i="28"/>
  <c r="AR65" i="26"/>
  <c r="BX70" i="28"/>
  <c r="AF64" i="26"/>
  <c r="BW69" i="28"/>
  <c r="H64" i="26"/>
  <c r="BU69" i="28"/>
  <c r="BD65" i="26"/>
  <c r="BY70" i="28"/>
  <c r="Q10" i="26"/>
  <c r="Q7" i="26" s="1"/>
  <c r="Q35" i="26" s="1"/>
  <c r="P37" i="26"/>
  <c r="S24" i="26"/>
  <c r="S21" i="26" s="1"/>
  <c r="BQ21" i="26" s="1"/>
  <c r="BD66" i="28"/>
  <c r="AZ61" i="26"/>
  <c r="AZ53" i="26" s="1"/>
  <c r="K36" i="32"/>
  <c r="K35" i="32" s="1"/>
  <c r="AA66" i="28"/>
  <c r="O61" i="26"/>
  <c r="O53" i="26" s="1"/>
  <c r="O119" i="26" s="1"/>
  <c r="AL66" i="28"/>
  <c r="S66" i="28"/>
  <c r="AI61" i="26"/>
  <c r="AI53" i="26" s="1"/>
  <c r="AQ61" i="26"/>
  <c r="AQ53" i="26" s="1"/>
  <c r="AU66" i="28"/>
  <c r="AM61" i="26"/>
  <c r="AM53" i="26" s="1"/>
  <c r="AP61" i="26"/>
  <c r="AP53" i="26" s="1"/>
  <c r="AT66" i="28"/>
  <c r="BF66" i="28"/>
  <c r="AQ66" i="28"/>
  <c r="W61" i="26"/>
  <c r="W53" i="26" s="1"/>
  <c r="BG61" i="26"/>
  <c r="BG53" i="26" s="1"/>
  <c r="V66" i="28"/>
  <c r="BB61" i="26"/>
  <c r="BB53" i="26" s="1"/>
  <c r="AH61" i="26"/>
  <c r="AH53" i="26" s="1"/>
  <c r="AM66" i="28"/>
  <c r="BH66" i="28"/>
  <c r="U61" i="26"/>
  <c r="U53" i="26" s="1"/>
  <c r="BF61" i="26"/>
  <c r="BF53" i="26" s="1"/>
  <c r="AS66" i="28"/>
  <c r="AO61" i="26"/>
  <c r="AO53" i="26" s="1"/>
  <c r="BJ66" i="28"/>
  <c r="N61" i="26"/>
  <c r="N53" i="26" s="1"/>
  <c r="N119" i="26" s="1"/>
  <c r="AP66" i="28"/>
  <c r="AL61" i="26"/>
  <c r="AL53" i="26" s="1"/>
  <c r="R66" i="28"/>
  <c r="BE61" i="26"/>
  <c r="BE53" i="26" s="1"/>
  <c r="BI66" i="28"/>
  <c r="BE66" i="28"/>
  <c r="AN66" i="28"/>
  <c r="AJ61" i="26"/>
  <c r="AJ53" i="26" s="1"/>
  <c r="BK66" i="28"/>
  <c r="V61" i="26"/>
  <c r="V53" i="26" s="1"/>
  <c r="BR66" i="28"/>
  <c r="AC61" i="26"/>
  <c r="AC53" i="26" s="1"/>
  <c r="BL66" i="28"/>
  <c r="AZ66" i="28"/>
  <c r="AG66" i="28"/>
  <c r="N66" i="28"/>
  <c r="J61" i="26"/>
  <c r="J53" i="26" s="1"/>
  <c r="J119" i="26" s="1"/>
  <c r="L66" i="28"/>
  <c r="R61" i="26"/>
  <c r="R53" i="26" s="1"/>
  <c r="Z66" i="28"/>
  <c r="BB66" i="28"/>
  <c r="S61" i="26"/>
  <c r="S53" i="26" s="1"/>
  <c r="AT61" i="26"/>
  <c r="AT53" i="26" s="1"/>
  <c r="BM61" i="26"/>
  <c r="BM53" i="26" s="1"/>
  <c r="Q61" i="26"/>
  <c r="Q53" i="26" s="1"/>
  <c r="AD61" i="26"/>
  <c r="AD53" i="26" s="1"/>
  <c r="Y61" i="26"/>
  <c r="Y53" i="26" s="1"/>
  <c r="AA61" i="26"/>
  <c r="AA53" i="26" s="1"/>
  <c r="AD66" i="28"/>
  <c r="U66" i="28"/>
  <c r="BN66" i="28"/>
  <c r="Z61" i="26"/>
  <c r="Z53" i="26" s="1"/>
  <c r="AC66" i="28"/>
  <c r="AV61" i="26"/>
  <c r="AV53" i="26" s="1"/>
  <c r="BJ61" i="26"/>
  <c r="BJ53" i="26" s="1"/>
  <c r="AH66" i="28"/>
  <c r="AJ66" i="28"/>
  <c r="M66" i="28"/>
  <c r="BN61" i="26"/>
  <c r="BN53" i="26" s="1"/>
  <c r="BH61" i="26"/>
  <c r="BH53" i="26" s="1"/>
  <c r="BA61" i="26"/>
  <c r="BA53" i="26" s="1"/>
  <c r="AX66" i="28"/>
  <c r="AE66" i="28"/>
  <c r="BO66" i="28"/>
  <c r="W66" i="28"/>
  <c r="AX61" i="26"/>
  <c r="AX53" i="26" s="1"/>
  <c r="BC66" i="28"/>
  <c r="L58" i="35"/>
  <c r="L36" i="32"/>
  <c r="L35" i="32" s="1"/>
  <c r="L34" i="32" s="1"/>
  <c r="U61" i="40"/>
  <c r="K80" i="32"/>
  <c r="U59" i="40" s="1"/>
  <c r="BK61" i="26"/>
  <c r="BK53" i="26" s="1"/>
  <c r="BO61" i="26"/>
  <c r="BO53" i="26" s="1"/>
  <c r="AK61" i="26"/>
  <c r="AK53" i="26" s="1"/>
  <c r="I61" i="26"/>
  <c r="I53" i="26" s="1"/>
  <c r="I119" i="26" s="1"/>
  <c r="BG66" i="28"/>
  <c r="AG61" i="26"/>
  <c r="AG53" i="26" s="1"/>
  <c r="X66" i="28"/>
  <c r="AW66" i="28"/>
  <c r="BA66" i="28"/>
  <c r="O66" i="28"/>
  <c r="AB61" i="26"/>
  <c r="AB53" i="26" s="1"/>
  <c r="AR66" i="28"/>
  <c r="BS66" i="28"/>
  <c r="AK66" i="28"/>
  <c r="AE61" i="26"/>
  <c r="AE53" i="26" s="1"/>
  <c r="W11" i="40"/>
  <c r="R312" i="38"/>
  <c r="AW61" i="26"/>
  <c r="AW53" i="26" s="1"/>
  <c r="X61" i="26"/>
  <c r="X53" i="26" s="1"/>
  <c r="K61" i="26"/>
  <c r="K53" i="26" s="1"/>
  <c r="K119" i="26" s="1"/>
  <c r="X11" i="40"/>
  <c r="S312" i="38"/>
  <c r="AF66" i="28"/>
  <c r="L61" i="26"/>
  <c r="L53" i="26" s="1"/>
  <c r="L119" i="26" s="1"/>
  <c r="BL61" i="26"/>
  <c r="BL53" i="26" s="1"/>
  <c r="AU61" i="26"/>
  <c r="AU53" i="26" s="1"/>
  <c r="AV66" i="28"/>
  <c r="T11" i="40"/>
  <c r="O312" i="38"/>
  <c r="BQ66" i="28"/>
  <c r="BI61" i="26"/>
  <c r="BI53" i="26" s="1"/>
  <c r="AI66" i="28"/>
  <c r="AB66" i="28"/>
  <c r="P61" i="26"/>
  <c r="P53" i="26" s="1"/>
  <c r="P13" i="36"/>
  <c r="P66" i="28"/>
  <c r="BP66" i="28"/>
  <c r="AY66" i="28"/>
  <c r="P35" i="26"/>
  <c r="AY61" i="26"/>
  <c r="AY53" i="26" s="1"/>
  <c r="V11" i="40"/>
  <c r="Q312" i="38"/>
  <c r="M66" i="35"/>
  <c r="M59" i="35" s="1"/>
  <c r="N67" i="35"/>
  <c r="N70" i="35" s="1"/>
  <c r="N66" i="35" s="1"/>
  <c r="N59" i="35" s="1"/>
  <c r="AO66" i="28"/>
  <c r="BC61" i="26"/>
  <c r="BC53" i="26" s="1"/>
  <c r="BM66" i="28"/>
  <c r="U11" i="40"/>
  <c r="P312" i="38"/>
  <c r="AS61" i="26"/>
  <c r="AS53" i="26" s="1"/>
  <c r="T66" i="28"/>
  <c r="AN61" i="26"/>
  <c r="AN53" i="26" s="1"/>
  <c r="Q37" i="26" l="1"/>
  <c r="AF61" i="26"/>
  <c r="AF53" i="26" s="1"/>
  <c r="BS53" i="26" s="1"/>
  <c r="BX54" i="26"/>
  <c r="AR61" i="26"/>
  <c r="AR53" i="26" s="1"/>
  <c r="BT53" i="26" s="1"/>
  <c r="M14" i="36" s="1"/>
  <c r="M12" i="36" s="1"/>
  <c r="BD61" i="26"/>
  <c r="BD53" i="26" s="1"/>
  <c r="BU53" i="26" s="1"/>
  <c r="T61" i="26"/>
  <c r="T53" i="26" s="1"/>
  <c r="BR53" i="26" s="1"/>
  <c r="H61" i="26"/>
  <c r="H53" i="26" s="1"/>
  <c r="H119" i="26" s="1"/>
  <c r="CA54" i="26"/>
  <c r="BW66" i="28"/>
  <c r="BX66" i="28"/>
  <c r="BV66" i="28"/>
  <c r="BU66" i="28"/>
  <c r="BY66" i="28"/>
  <c r="BY54" i="26"/>
  <c r="BZ54" i="26"/>
  <c r="K34" i="32"/>
  <c r="U37" i="40" s="1"/>
  <c r="R10" i="26"/>
  <c r="R7" i="26" s="1"/>
  <c r="T24" i="26"/>
  <c r="T21" i="26" s="1"/>
  <c r="U38" i="40"/>
  <c r="P342" i="38"/>
  <c r="P346" i="38" s="1"/>
  <c r="Q119" i="26"/>
  <c r="M58" i="35"/>
  <c r="M36" i="32"/>
  <c r="M35" i="32" s="1"/>
  <c r="M34" i="32" s="1"/>
  <c r="V38" i="40"/>
  <c r="V37" i="40"/>
  <c r="Q342" i="38"/>
  <c r="Q346" i="38" s="1"/>
  <c r="N58" i="35"/>
  <c r="N36" i="32"/>
  <c r="N35" i="32" s="1"/>
  <c r="P119" i="26"/>
  <c r="J9" i="36"/>
  <c r="J7" i="32"/>
  <c r="T7" i="40" s="1"/>
  <c r="N34" i="32" l="1"/>
  <c r="X38" i="40"/>
  <c r="BR61" i="26"/>
  <c r="BX53" i="26" s="1"/>
  <c r="BQ61" i="26"/>
  <c r="BT61" i="26"/>
  <c r="BZ53" i="26" s="1"/>
  <c r="BS61" i="26"/>
  <c r="BU61" i="26"/>
  <c r="BQ53" i="26"/>
  <c r="J11" i="32" s="1"/>
  <c r="R37" i="26"/>
  <c r="S10" i="26"/>
  <c r="S7" i="26" s="1"/>
  <c r="S35" i="26" s="1"/>
  <c r="S119" i="26" s="1"/>
  <c r="U24" i="26"/>
  <c r="U21" i="26" s="1"/>
  <c r="M11" i="32"/>
  <c r="R313" i="38" s="1"/>
  <c r="R311" i="38" s="1"/>
  <c r="K14" i="36"/>
  <c r="K12" i="36" s="1"/>
  <c r="K11" i="32"/>
  <c r="O309" i="38"/>
  <c r="S342" i="38"/>
  <c r="S346" i="38" s="1"/>
  <c r="X37" i="40"/>
  <c r="L11" i="32"/>
  <c r="L14" i="36"/>
  <c r="L12" i="36" s="1"/>
  <c r="N11" i="32"/>
  <c r="N14" i="36"/>
  <c r="R35" i="26"/>
  <c r="W38" i="40"/>
  <c r="R342" i="38"/>
  <c r="R346" i="38" s="1"/>
  <c r="W37" i="40"/>
  <c r="BY61" i="26" l="1"/>
  <c r="BX61" i="26"/>
  <c r="BY53" i="26"/>
  <c r="BW53" i="26"/>
  <c r="BZ61" i="26"/>
  <c r="J14" i="36"/>
  <c r="J12" i="36" s="1"/>
  <c r="CA61" i="26"/>
  <c r="CA53" i="26"/>
  <c r="T10" i="26"/>
  <c r="T7" i="26" s="1"/>
  <c r="S37" i="26"/>
  <c r="V24" i="26"/>
  <c r="V21" i="26" s="1"/>
  <c r="BQ7" i="26"/>
  <c r="J7" i="36" s="1"/>
  <c r="W12" i="40"/>
  <c r="M9" i="32"/>
  <c r="W10" i="40" s="1"/>
  <c r="R119" i="26"/>
  <c r="BQ119" i="26" s="1"/>
  <c r="BQ35" i="26"/>
  <c r="S313" i="38"/>
  <c r="S311" i="38" s="1"/>
  <c r="X12" i="40"/>
  <c r="N9" i="32"/>
  <c r="X10" i="40" s="1"/>
  <c r="P313" i="38"/>
  <c r="P311" i="38" s="1"/>
  <c r="U12" i="40"/>
  <c r="K9" i="32"/>
  <c r="U10" i="40" s="1"/>
  <c r="T12" i="40"/>
  <c r="O313" i="38"/>
  <c r="O311" i="38" s="1"/>
  <c r="J9" i="32"/>
  <c r="T10" i="40" s="1"/>
  <c r="P14" i="36"/>
  <c r="P12" i="36" s="1"/>
  <c r="N12" i="36"/>
  <c r="Q313" i="38"/>
  <c r="Q311" i="38" s="1"/>
  <c r="V12" i="40"/>
  <c r="L9" i="32"/>
  <c r="V10" i="40" s="1"/>
  <c r="U10" i="26" l="1"/>
  <c r="U7" i="26" s="1"/>
  <c r="U35" i="26" s="1"/>
  <c r="U119" i="26" s="1"/>
  <c r="T37" i="26"/>
  <c r="W24" i="26"/>
  <c r="W21" i="26" s="1"/>
  <c r="BW36" i="26"/>
  <c r="J6" i="32"/>
  <c r="T6" i="40" s="1"/>
  <c r="J10" i="36"/>
  <c r="T35" i="26"/>
  <c r="BW119" i="26"/>
  <c r="U37" i="26" l="1"/>
  <c r="V10" i="26"/>
  <c r="V7" i="26" s="1"/>
  <c r="V35" i="26" s="1"/>
  <c r="V119" i="26" s="1"/>
  <c r="X24" i="26"/>
  <c r="X21" i="26" s="1"/>
  <c r="J8" i="32"/>
  <c r="T8" i="40" s="1"/>
  <c r="T9" i="40" s="1"/>
  <c r="O308" i="38"/>
  <c r="O420" i="38" s="1"/>
  <c r="J11" i="36"/>
  <c r="J18" i="36"/>
  <c r="T119" i="26"/>
  <c r="V37" i="26" l="1"/>
  <c r="W10" i="26"/>
  <c r="W7" i="26" s="1"/>
  <c r="W35" i="26" s="1"/>
  <c r="W119" i="26" s="1"/>
  <c r="Y24" i="26"/>
  <c r="Y21" i="26" s="1"/>
  <c r="O320" i="38"/>
  <c r="O310" i="38"/>
  <c r="O317" i="38" s="1"/>
  <c r="O318" i="38" s="1"/>
  <c r="J15" i="32"/>
  <c r="T16" i="40" s="1"/>
  <c r="T17" i="40" s="1"/>
  <c r="J24" i="36"/>
  <c r="J23" i="36" s="1"/>
  <c r="J19" i="36"/>
  <c r="J21" i="36"/>
  <c r="W37" i="26" l="1"/>
  <c r="X10" i="26"/>
  <c r="X7" i="26" s="1"/>
  <c r="Z24" i="26"/>
  <c r="Z21" i="26" s="1"/>
  <c r="O321" i="38"/>
  <c r="O328" i="38"/>
  <c r="O330" i="38" s="1"/>
  <c r="O329" i="38" s="1"/>
  <c r="O331" i="38" s="1"/>
  <c r="J21" i="32"/>
  <c r="J23" i="32" s="1"/>
  <c r="T25" i="40" s="1"/>
  <c r="J22" i="36"/>
  <c r="T28" i="40"/>
  <c r="J25" i="36"/>
  <c r="X37" i="26" l="1"/>
  <c r="Y10" i="26"/>
  <c r="Y7" i="26" s="1"/>
  <c r="Y35" i="26" s="1"/>
  <c r="Y119" i="26" s="1"/>
  <c r="AA24" i="26"/>
  <c r="AA21" i="26" s="1"/>
  <c r="O322" i="38"/>
  <c r="O212" i="38"/>
  <c r="T23" i="40"/>
  <c r="O294" i="38"/>
  <c r="O392" i="38"/>
  <c r="O403" i="38" s="1"/>
  <c r="O421" i="38" s="1"/>
  <c r="O422" i="38" s="1"/>
  <c r="O436" i="38" s="1"/>
  <c r="O437" i="38" s="1"/>
  <c r="O337" i="38" s="1"/>
  <c r="O385" i="38"/>
  <c r="O364" i="38" s="1"/>
  <c r="X35" i="26"/>
  <c r="T29" i="40"/>
  <c r="J29" i="36"/>
  <c r="J22" i="32"/>
  <c r="O340" i="38" l="1"/>
  <c r="O348" i="38" s="1"/>
  <c r="O297" i="38"/>
  <c r="AH28" i="40" s="1"/>
  <c r="Z10" i="26"/>
  <c r="Z7" i="26" s="1"/>
  <c r="Z35" i="26" s="1"/>
  <c r="Z119" i="26" s="1"/>
  <c r="Y37" i="26"/>
  <c r="O365" i="38"/>
  <c r="J58" i="32"/>
  <c r="AB24" i="26"/>
  <c r="AB21" i="26" s="1"/>
  <c r="O214" i="38"/>
  <c r="AH21" i="40" s="1"/>
  <c r="AH19" i="40"/>
  <c r="P435" i="38"/>
  <c r="X119" i="26"/>
  <c r="T30" i="40"/>
  <c r="AH25" i="40"/>
  <c r="O296" i="38"/>
  <c r="T24" i="40"/>
  <c r="J24" i="32"/>
  <c r="O332" i="38" s="1"/>
  <c r="AA10" i="26" l="1"/>
  <c r="AA7" i="26" s="1"/>
  <c r="AA35" i="26" s="1"/>
  <c r="AA119" i="26" s="1"/>
  <c r="Z37" i="26"/>
  <c r="O367" i="38"/>
  <c r="AC24" i="26"/>
  <c r="AC21" i="26" s="1"/>
  <c r="O215" i="38"/>
  <c r="K15" i="38"/>
  <c r="K14" i="38" s="1"/>
  <c r="T26" i="40"/>
  <c r="T27" i="40" s="1"/>
  <c r="J69" i="32"/>
  <c r="AH27" i="40"/>
  <c r="O298" i="38"/>
  <c r="AA37" i="26" l="1"/>
  <c r="AB10" i="26"/>
  <c r="AB7" i="26" s="1"/>
  <c r="AB35" i="26" s="1"/>
  <c r="AD24" i="26"/>
  <c r="AD21" i="26" s="1"/>
  <c r="K11" i="38"/>
  <c r="O9" i="38" s="1"/>
  <c r="K13" i="38"/>
  <c r="O11" i="38" s="1"/>
  <c r="T54" i="40"/>
  <c r="J68" i="32"/>
  <c r="J106" i="32" s="1"/>
  <c r="AH22" i="40"/>
  <c r="O216" i="38"/>
  <c r="O299" i="38"/>
  <c r="AH30" i="40" s="1"/>
  <c r="AH29" i="40"/>
  <c r="J56" i="32"/>
  <c r="T47" i="40"/>
  <c r="AB37" i="26" l="1"/>
  <c r="AC10" i="26"/>
  <c r="AC7" i="26" s="1"/>
  <c r="AC35" i="26" s="1"/>
  <c r="AC119" i="26" s="1"/>
  <c r="AE24" i="26"/>
  <c r="AE21" i="26" s="1"/>
  <c r="BR21" i="26" s="1"/>
  <c r="BX21" i="26" s="1"/>
  <c r="P12" i="38"/>
  <c r="F43" i="40"/>
  <c r="T53" i="40"/>
  <c r="AB119" i="26"/>
  <c r="T45" i="40"/>
  <c r="J60" i="32"/>
  <c r="F41" i="40"/>
  <c r="P10" i="38"/>
  <c r="O221" i="38"/>
  <c r="AH23" i="40"/>
  <c r="O217" i="38"/>
  <c r="AH24" i="40" s="1"/>
  <c r="O276" i="38"/>
  <c r="O280" i="38" s="1"/>
  <c r="O256" i="38"/>
  <c r="O261" i="38" s="1"/>
  <c r="O241" i="38"/>
  <c r="O245" i="38" s="1"/>
  <c r="O226" i="38" l="1"/>
  <c r="O237" i="38" s="1"/>
  <c r="AD10" i="26"/>
  <c r="AD7" i="26" s="1"/>
  <c r="AD35" i="26" s="1"/>
  <c r="AD119" i="26" s="1"/>
  <c r="AC37" i="26"/>
  <c r="AF24" i="26"/>
  <c r="AF21" i="26" s="1"/>
  <c r="O278" i="38"/>
  <c r="O287" i="38"/>
  <c r="O286" i="38"/>
  <c r="AA27" i="40" s="1"/>
  <c r="K7" i="32"/>
  <c r="K9" i="36"/>
  <c r="O270" i="38"/>
  <c r="O258" i="38"/>
  <c r="O272" i="38"/>
  <c r="O271" i="38"/>
  <c r="AA26" i="40" s="1"/>
  <c r="T74" i="40"/>
  <c r="J107" i="32"/>
  <c r="O252" i="38"/>
  <c r="O243" i="38"/>
  <c r="O251" i="38"/>
  <c r="T48" i="40"/>
  <c r="O223" i="38" l="1"/>
  <c r="O235" i="38"/>
  <c r="O236" i="38"/>
  <c r="AA20" i="40" s="1"/>
  <c r="AD37" i="26"/>
  <c r="AE10" i="26"/>
  <c r="AE7" i="26" s="1"/>
  <c r="AG24" i="26"/>
  <c r="AG21" i="26" s="1"/>
  <c r="AA21" i="40"/>
  <c r="P309" i="38"/>
  <c r="U7" i="40"/>
  <c r="T75" i="40"/>
  <c r="J31" i="32"/>
  <c r="K105" i="32"/>
  <c r="AH24" i="26" l="1"/>
  <c r="AH21" i="26" s="1"/>
  <c r="AF10" i="26"/>
  <c r="AF7" i="26" s="1"/>
  <c r="AE37" i="26"/>
  <c r="AE35" i="26"/>
  <c r="BR7" i="26"/>
  <c r="U73" i="40"/>
  <c r="T36" i="40"/>
  <c r="J30" i="32"/>
  <c r="AI24" i="26" l="1"/>
  <c r="AI21" i="26" s="1"/>
  <c r="AF37" i="26"/>
  <c r="AG10" i="26"/>
  <c r="AG7" i="26" s="1"/>
  <c r="AG35" i="26" s="1"/>
  <c r="AG119" i="26" s="1"/>
  <c r="BX7" i="26"/>
  <c r="T35" i="40"/>
  <c r="J44" i="32"/>
  <c r="O349" i="38" s="1"/>
  <c r="K7" i="36"/>
  <c r="K8" i="36" s="1"/>
  <c r="K6" i="32"/>
  <c r="AF35" i="26"/>
  <c r="AE119" i="26"/>
  <c r="BR119" i="26" s="1"/>
  <c r="BR35" i="26"/>
  <c r="BX35" i="26" s="1"/>
  <c r="AJ24" i="26" l="1"/>
  <c r="AJ21" i="26" s="1"/>
  <c r="AG37" i="26"/>
  <c r="AH10" i="26"/>
  <c r="AH7" i="26" s="1"/>
  <c r="AH35" i="26" s="1"/>
  <c r="AH119" i="26" s="1"/>
  <c r="BX36" i="26"/>
  <c r="AF119" i="26"/>
  <c r="T41" i="40"/>
  <c r="J62" i="32"/>
  <c r="BX119" i="26"/>
  <c r="U6" i="40"/>
  <c r="K8" i="32"/>
  <c r="P308" i="38"/>
  <c r="K10" i="36"/>
  <c r="AK24" i="26" l="1"/>
  <c r="AK21" i="26" s="1"/>
  <c r="AI10" i="26"/>
  <c r="AI7" i="26" s="1"/>
  <c r="AH37" i="26"/>
  <c r="K11" i="36"/>
  <c r="K18" i="36"/>
  <c r="P320" i="38"/>
  <c r="P420" i="38"/>
  <c r="P310" i="38"/>
  <c r="P317" i="38" s="1"/>
  <c r="AL24" i="26"/>
  <c r="AL21" i="26" s="1"/>
  <c r="U8" i="40"/>
  <c r="U9" i="40" s="1"/>
  <c r="K15" i="32"/>
  <c r="AI37" i="26" l="1"/>
  <c r="AJ10" i="26"/>
  <c r="AJ7" i="26" s="1"/>
  <c r="AJ35" i="26" s="1"/>
  <c r="AJ119" i="26" s="1"/>
  <c r="AM24" i="26"/>
  <c r="AM21" i="26" s="1"/>
  <c r="AI35" i="26"/>
  <c r="K19" i="36"/>
  <c r="K24" i="36"/>
  <c r="K23" i="36" s="1"/>
  <c r="K21" i="36"/>
  <c r="U16" i="40"/>
  <c r="U17" i="40" s="1"/>
  <c r="K21" i="32"/>
  <c r="P318" i="38"/>
  <c r="P328" i="38"/>
  <c r="P321" i="38"/>
  <c r="AJ37" i="26" l="1"/>
  <c r="AK10" i="26"/>
  <c r="AK7" i="26" s="1"/>
  <c r="AK35" i="26" s="1"/>
  <c r="AK119" i="26" s="1"/>
  <c r="AI119" i="26"/>
  <c r="U23" i="40"/>
  <c r="K23" i="32"/>
  <c r="U25" i="40" s="1"/>
  <c r="AN24" i="26"/>
  <c r="AN21" i="26" s="1"/>
  <c r="P322" i="38"/>
  <c r="P212" i="38"/>
  <c r="P330" i="38"/>
  <c r="P329" i="38" s="1"/>
  <c r="P331" i="38" s="1"/>
  <c r="U28" i="40"/>
  <c r="K22" i="36"/>
  <c r="K25" i="36"/>
  <c r="AK37" i="26" l="1"/>
  <c r="AL10" i="26"/>
  <c r="AL7" i="26" s="1"/>
  <c r="P385" i="38"/>
  <c r="P364" i="38" s="1"/>
  <c r="K58" i="32" s="1"/>
  <c r="P392" i="38"/>
  <c r="P403" i="38" s="1"/>
  <c r="P421" i="38" s="1"/>
  <c r="P422" i="38" s="1"/>
  <c r="P436" i="38" s="1"/>
  <c r="P437" i="38" s="1"/>
  <c r="P294" i="38"/>
  <c r="AO24" i="26"/>
  <c r="AO21" i="26" s="1"/>
  <c r="U29" i="40"/>
  <c r="K29" i="36"/>
  <c r="AI19" i="40"/>
  <c r="P214" i="38"/>
  <c r="K22" i="32"/>
  <c r="AM10" i="26" l="1"/>
  <c r="AM7" i="26" s="1"/>
  <c r="AM35" i="26" s="1"/>
  <c r="AM119" i="26" s="1"/>
  <c r="AL37" i="26"/>
  <c r="U24" i="40"/>
  <c r="K24" i="32"/>
  <c r="P332" i="38" s="1"/>
  <c r="AP24" i="26"/>
  <c r="AP21" i="26" s="1"/>
  <c r="AL35" i="26"/>
  <c r="U30" i="40"/>
  <c r="AI25" i="40"/>
  <c r="P296" i="38"/>
  <c r="P337" i="38"/>
  <c r="P297" i="38" s="1"/>
  <c r="AI28" i="40" s="1"/>
  <c r="Q435" i="38"/>
  <c r="AI21" i="40"/>
  <c r="P365" i="38"/>
  <c r="AM37" i="26" l="1"/>
  <c r="AN10" i="26"/>
  <c r="AN7" i="26" s="1"/>
  <c r="AN35" i="26" s="1"/>
  <c r="AN119" i="26" s="1"/>
  <c r="P215" i="38"/>
  <c r="P340" i="38"/>
  <c r="P348" i="38" s="1"/>
  <c r="AQ24" i="26"/>
  <c r="AQ21" i="26" s="1"/>
  <c r="U26" i="40"/>
  <c r="U27" i="40" s="1"/>
  <c r="K69" i="32"/>
  <c r="AI27" i="40"/>
  <c r="P298" i="38"/>
  <c r="AL119" i="26"/>
  <c r="AN37" i="26" l="1"/>
  <c r="AO10" i="26"/>
  <c r="AO7" i="26" s="1"/>
  <c r="AO35" i="26" s="1"/>
  <c r="AO119" i="26" s="1"/>
  <c r="P367" i="38"/>
  <c r="AI29" i="40"/>
  <c r="P299" i="38"/>
  <c r="AI30" i="40" s="1"/>
  <c r="BS21" i="26"/>
  <c r="BY21" i="26" s="1"/>
  <c r="AR24" i="26"/>
  <c r="AR21" i="26" s="1"/>
  <c r="U54" i="40"/>
  <c r="K68" i="32"/>
  <c r="K56" i="32"/>
  <c r="U47" i="40"/>
  <c r="AI22" i="40"/>
  <c r="P216" i="38"/>
  <c r="AO37" i="26" l="1"/>
  <c r="AP10" i="26"/>
  <c r="AP7" i="26" s="1"/>
  <c r="AP35" i="26" s="1"/>
  <c r="AP119" i="26" s="1"/>
  <c r="U53" i="40"/>
  <c r="K106" i="32"/>
  <c r="P217" i="38"/>
  <c r="AI24" i="40" s="1"/>
  <c r="AI23" i="40"/>
  <c r="P276" i="38"/>
  <c r="P281" i="38" s="1"/>
  <c r="P241" i="38"/>
  <c r="P246" i="38" s="1"/>
  <c r="P256" i="38"/>
  <c r="P263" i="38" s="1"/>
  <c r="P221" i="38"/>
  <c r="U45" i="40"/>
  <c r="K60" i="32"/>
  <c r="AS24" i="26"/>
  <c r="AS21" i="26" s="1"/>
  <c r="AP37" i="26"/>
  <c r="L9" i="36"/>
  <c r="L7" i="32"/>
  <c r="P228" i="38" l="1"/>
  <c r="P237" i="38" s="1"/>
  <c r="AQ10" i="26"/>
  <c r="AQ7" i="26" s="1"/>
  <c r="AT24" i="26"/>
  <c r="AT21" i="26" s="1"/>
  <c r="P252" i="38"/>
  <c r="P243" i="38"/>
  <c r="P251" i="38"/>
  <c r="U74" i="40"/>
  <c r="K107" i="32"/>
  <c r="P258" i="38"/>
  <c r="P270" i="38"/>
  <c r="P272" i="38"/>
  <c r="P271" i="38"/>
  <c r="AB26" i="40" s="1"/>
  <c r="U48" i="40"/>
  <c r="Q309" i="38"/>
  <c r="V7" i="40"/>
  <c r="P278" i="38"/>
  <c r="P287" i="38"/>
  <c r="P286" i="38"/>
  <c r="P236" i="38" l="1"/>
  <c r="AB20" i="40" s="1"/>
  <c r="P223" i="38"/>
  <c r="P235" i="38"/>
  <c r="AR10" i="26"/>
  <c r="AR7" i="26" s="1"/>
  <c r="AQ37" i="26"/>
  <c r="AB21" i="40"/>
  <c r="AQ35" i="26"/>
  <c r="BS7" i="26"/>
  <c r="AB27" i="40"/>
  <c r="AF282" i="38"/>
  <c r="V282" i="38" s="1"/>
  <c r="U75" i="40"/>
  <c r="L105" i="32"/>
  <c r="K31" i="32"/>
  <c r="AU24" i="26"/>
  <c r="AU21" i="26" s="1"/>
  <c r="AS10" i="26" l="1"/>
  <c r="AS7" i="26" s="1"/>
  <c r="AS35" i="26" s="1"/>
  <c r="AS119" i="26" s="1"/>
  <c r="AR37" i="26"/>
  <c r="BY7" i="26"/>
  <c r="U36" i="40"/>
  <c r="K30" i="32"/>
  <c r="AV24" i="26"/>
  <c r="AV21" i="26" s="1"/>
  <c r="L7" i="36"/>
  <c r="L8" i="36" s="1"/>
  <c r="L6" i="32"/>
  <c r="AR35" i="26"/>
  <c r="V73" i="40"/>
  <c r="AQ119" i="26"/>
  <c r="BS119" i="26" s="1"/>
  <c r="BS35" i="26"/>
  <c r="BY35" i="26" s="1"/>
  <c r="AS37" i="26" l="1"/>
  <c r="AT10" i="26"/>
  <c r="AT7" i="26" s="1"/>
  <c r="AT35" i="26" s="1"/>
  <c r="AT119" i="26" s="1"/>
  <c r="BY36" i="26"/>
  <c r="U35" i="40"/>
  <c r="K44" i="32"/>
  <c r="P349" i="38" s="1"/>
  <c r="AR119" i="26"/>
  <c r="V6" i="40"/>
  <c r="L8" i="32"/>
  <c r="Q308" i="38"/>
  <c r="L10" i="36"/>
  <c r="BY119" i="26"/>
  <c r="AW24" i="26"/>
  <c r="AW21" i="26" s="1"/>
  <c r="AT37" i="26" l="1"/>
  <c r="AU10" i="26"/>
  <c r="AU7" i="26" s="1"/>
  <c r="AU35" i="26" s="1"/>
  <c r="AU119" i="26" s="1"/>
  <c r="AX24" i="26"/>
  <c r="AX21" i="26" s="1"/>
  <c r="Q320" i="38"/>
  <c r="Q420" i="38"/>
  <c r="Q310" i="38"/>
  <c r="Q317" i="38" s="1"/>
  <c r="V8" i="40"/>
  <c r="V9" i="40" s="1"/>
  <c r="L15" i="32"/>
  <c r="U41" i="40"/>
  <c r="K62" i="32"/>
  <c r="L11" i="36"/>
  <c r="L18" i="36"/>
  <c r="AV10" i="26" l="1"/>
  <c r="AV7" i="26" s="1"/>
  <c r="AU37" i="26"/>
  <c r="L19" i="36"/>
  <c r="L21" i="36"/>
  <c r="L24" i="36"/>
  <c r="L23" i="36" s="1"/>
  <c r="V16" i="40"/>
  <c r="V17" i="40" s="1"/>
  <c r="L21" i="32"/>
  <c r="Q318" i="38"/>
  <c r="Q328" i="38"/>
  <c r="Q321" i="38"/>
  <c r="AY24" i="26"/>
  <c r="AY21" i="26" s="1"/>
  <c r="AW10" i="26" l="1"/>
  <c r="AW7" i="26" s="1"/>
  <c r="AW35" i="26" s="1"/>
  <c r="AW119" i="26" s="1"/>
  <c r="AV37" i="26"/>
  <c r="AV35" i="26"/>
  <c r="Q322" i="38"/>
  <c r="Q212" i="38"/>
  <c r="Q330" i="38"/>
  <c r="Q329" i="38" s="1"/>
  <c r="Q331" i="38" s="1"/>
  <c r="AZ24" i="26"/>
  <c r="AZ21" i="26" s="1"/>
  <c r="V23" i="40"/>
  <c r="L23" i="32"/>
  <c r="V25" i="40" s="1"/>
  <c r="L22" i="36"/>
  <c r="V28" i="40"/>
  <c r="L25" i="36"/>
  <c r="AW37" i="26" l="1"/>
  <c r="AX10" i="26"/>
  <c r="AX7" i="26" s="1"/>
  <c r="AX35" i="26" s="1"/>
  <c r="AX119" i="26" s="1"/>
  <c r="Q385" i="38"/>
  <c r="Q364" i="38" s="1"/>
  <c r="L58" i="32" s="1"/>
  <c r="Q294" i="38"/>
  <c r="Q392" i="38"/>
  <c r="Q403" i="38" s="1"/>
  <c r="Q421" i="38" s="1"/>
  <c r="Q422" i="38" s="1"/>
  <c r="Q436" i="38" s="1"/>
  <c r="Q437" i="38" s="1"/>
  <c r="AJ19" i="40"/>
  <c r="Q214" i="38"/>
  <c r="V29" i="40"/>
  <c r="L29" i="36"/>
  <c r="L22" i="32"/>
  <c r="BA24" i="26"/>
  <c r="BA21" i="26" s="1"/>
  <c r="AV119" i="26"/>
  <c r="AY10" i="26" l="1"/>
  <c r="AY7" i="26" s="1"/>
  <c r="AY35" i="26" s="1"/>
  <c r="AX37" i="26"/>
  <c r="V24" i="40"/>
  <c r="L24" i="32"/>
  <c r="Q332" i="38" s="1"/>
  <c r="Q337" i="38"/>
  <c r="Q297" i="38" s="1"/>
  <c r="AJ28" i="40" s="1"/>
  <c r="R435" i="38"/>
  <c r="V30" i="40"/>
  <c r="BB24" i="26"/>
  <c r="BB21" i="26" s="1"/>
  <c r="AJ25" i="40"/>
  <c r="Q296" i="38"/>
  <c r="AJ21" i="40"/>
  <c r="Q365" i="38"/>
  <c r="AZ10" i="26" l="1"/>
  <c r="AZ7" i="26" s="1"/>
  <c r="AZ35" i="26" s="1"/>
  <c r="AZ119" i="26" s="1"/>
  <c r="AY37" i="26"/>
  <c r="BC24" i="26"/>
  <c r="BC21" i="26" s="1"/>
  <c r="BA10" i="26"/>
  <c r="BA7" i="26" s="1"/>
  <c r="Q215" i="38"/>
  <c r="Q340" i="38"/>
  <c r="Q348" i="38" s="1"/>
  <c r="AJ27" i="40"/>
  <c r="Q298" i="38"/>
  <c r="AY119" i="26"/>
  <c r="V26" i="40"/>
  <c r="V27" i="40" s="1"/>
  <c r="L69" i="32"/>
  <c r="AZ37" i="26" l="1"/>
  <c r="Q367" i="38"/>
  <c r="AJ22" i="40"/>
  <c r="Q216" i="38"/>
  <c r="Q221" i="38" s="1"/>
  <c r="BT21" i="26"/>
  <c r="BZ21" i="26" s="1"/>
  <c r="BD24" i="26"/>
  <c r="BD21" i="26" s="1"/>
  <c r="V47" i="40"/>
  <c r="L56" i="32"/>
  <c r="V54" i="40"/>
  <c r="L68" i="32"/>
  <c r="Q299" i="38"/>
  <c r="AJ30" i="40" s="1"/>
  <c r="AJ29" i="40"/>
  <c r="BA37" i="26"/>
  <c r="BA35" i="26"/>
  <c r="BB10" i="26"/>
  <c r="BB7" i="26" s="1"/>
  <c r="M9" i="36" l="1"/>
  <c r="M7" i="32"/>
  <c r="V45" i="40"/>
  <c r="L60" i="32"/>
  <c r="Q256" i="38"/>
  <c r="Q265" i="38" s="1"/>
  <c r="Q230" i="38"/>
  <c r="AJ23" i="40"/>
  <c r="Q217" i="38"/>
  <c r="AJ24" i="40" s="1"/>
  <c r="Q241" i="38"/>
  <c r="Q247" i="38" s="1"/>
  <c r="Q276" i="38"/>
  <c r="Q282" i="38" s="1"/>
  <c r="BB37" i="26"/>
  <c r="BB35" i="26"/>
  <c r="BB119" i="26" s="1"/>
  <c r="BC10" i="26"/>
  <c r="BC7" i="26" s="1"/>
  <c r="BA119" i="26"/>
  <c r="V53" i="40"/>
  <c r="L106" i="32"/>
  <c r="BE24" i="26"/>
  <c r="BE21" i="26" s="1"/>
  <c r="V48" i="40" l="1"/>
  <c r="Q287" i="38"/>
  <c r="Q278" i="38"/>
  <c r="Q286" i="38"/>
  <c r="AC27" i="40" s="1"/>
  <c r="Q223" i="38"/>
  <c r="Q237" i="38"/>
  <c r="Q235" i="38"/>
  <c r="Q236" i="38"/>
  <c r="R309" i="38"/>
  <c r="W7" i="40"/>
  <c r="BF24" i="26"/>
  <c r="BF21" i="26" s="1"/>
  <c r="V74" i="40"/>
  <c r="L107" i="32"/>
  <c r="BC37" i="26"/>
  <c r="BD10" i="26"/>
  <c r="BD7" i="26" s="1"/>
  <c r="Q243" i="38"/>
  <c r="Q252" i="38"/>
  <c r="Q251" i="38"/>
  <c r="Q272" i="38"/>
  <c r="Q270" i="38"/>
  <c r="Q258" i="38"/>
  <c r="Q271" i="38"/>
  <c r="AC26" i="40" s="1"/>
  <c r="AC20" i="40" l="1"/>
  <c r="AC21" i="40"/>
  <c r="BC35" i="26"/>
  <c r="BT7" i="26"/>
  <c r="BG24" i="26"/>
  <c r="BG21" i="26" s="1"/>
  <c r="V75" i="40"/>
  <c r="L31" i="32"/>
  <c r="M105" i="32"/>
  <c r="BD37" i="26"/>
  <c r="BE10" i="26"/>
  <c r="BE7" i="26" s="1"/>
  <c r="BZ7" i="26" l="1"/>
  <c r="BE37" i="26"/>
  <c r="BE35" i="26"/>
  <c r="BE119" i="26" s="1"/>
  <c r="BF10" i="26"/>
  <c r="BF7" i="26" s="1"/>
  <c r="BC119" i="26"/>
  <c r="BT119" i="26" s="1"/>
  <c r="BT35" i="26"/>
  <c r="BZ35" i="26" s="1"/>
  <c r="BH24" i="26"/>
  <c r="BH21" i="26" s="1"/>
  <c r="W73" i="40"/>
  <c r="BD35" i="26"/>
  <c r="V36" i="40"/>
  <c r="L30" i="32"/>
  <c r="M7" i="36"/>
  <c r="M8" i="36" s="1"/>
  <c r="M6" i="32"/>
  <c r="BZ36" i="26" l="1"/>
  <c r="M10" i="36"/>
  <c r="BI24" i="26"/>
  <c r="BI21" i="26" s="1"/>
  <c r="BF37" i="26"/>
  <c r="BG10" i="26"/>
  <c r="BG7" i="26" s="1"/>
  <c r="BD119" i="26"/>
  <c r="V35" i="40"/>
  <c r="L44" i="32"/>
  <c r="Q349" i="38" s="1"/>
  <c r="BZ119" i="26"/>
  <c r="W6" i="40"/>
  <c r="M8" i="32"/>
  <c r="R308" i="38"/>
  <c r="R320" i="38" l="1"/>
  <c r="R420" i="38"/>
  <c r="R310" i="38"/>
  <c r="R317" i="38" s="1"/>
  <c r="V41" i="40"/>
  <c r="L62" i="32"/>
  <c r="BG37" i="26"/>
  <c r="BG35" i="26"/>
  <c r="BG119" i="26" s="1"/>
  <c r="BH10" i="26"/>
  <c r="BH7" i="26" s="1"/>
  <c r="BJ24" i="26"/>
  <c r="BJ21" i="26" s="1"/>
  <c r="BF35" i="26"/>
  <c r="W8" i="40"/>
  <c r="W9" i="40" s="1"/>
  <c r="M15" i="32"/>
  <c r="M11" i="36"/>
  <c r="M18" i="36"/>
  <c r="BH37" i="26" l="1"/>
  <c r="BH35" i="26"/>
  <c r="BH119" i="26" s="1"/>
  <c r="BI10" i="26"/>
  <c r="BI7" i="26" s="1"/>
  <c r="R318" i="38"/>
  <c r="R328" i="38"/>
  <c r="R321" i="38"/>
  <c r="BF119" i="26"/>
  <c r="M21" i="32"/>
  <c r="W16" i="40"/>
  <c r="W17" i="40" s="1"/>
  <c r="BK24" i="26"/>
  <c r="BK21" i="26" s="1"/>
  <c r="M19" i="36"/>
  <c r="M24" i="36"/>
  <c r="M23" i="36" s="1"/>
  <c r="M21" i="36"/>
  <c r="BI37" i="26" l="1"/>
  <c r="BI35" i="26"/>
  <c r="BI119" i="26" s="1"/>
  <c r="BJ10" i="26"/>
  <c r="BJ7" i="26" s="1"/>
  <c r="R322" i="38"/>
  <c r="R212" i="38"/>
  <c r="W28" i="40"/>
  <c r="M22" i="36"/>
  <c r="M25" i="36"/>
  <c r="W23" i="40"/>
  <c r="M23" i="32"/>
  <c r="W25" i="40" s="1"/>
  <c r="R330" i="38"/>
  <c r="R329" i="38" s="1"/>
  <c r="R331" i="38" s="1"/>
  <c r="BL24" i="26"/>
  <c r="BL21" i="26" s="1"/>
  <c r="R385" i="38" l="1"/>
  <c r="R364" i="38" s="1"/>
  <c r="M58" i="32" s="1"/>
  <c r="R392" i="38"/>
  <c r="R403" i="38" s="1"/>
  <c r="R421" i="38" s="1"/>
  <c r="R422" i="38" s="1"/>
  <c r="R436" i="38" s="1"/>
  <c r="R437" i="38" s="1"/>
  <c r="R294" i="38"/>
  <c r="BJ37" i="26"/>
  <c r="BK10" i="26"/>
  <c r="BK7" i="26" s="1"/>
  <c r="BM24" i="26"/>
  <c r="BM21" i="26" s="1"/>
  <c r="M22" i="32"/>
  <c r="AK19" i="40"/>
  <c r="R214" i="38"/>
  <c r="M29" i="36"/>
  <c r="W29" i="40"/>
  <c r="BK37" i="26" l="1"/>
  <c r="BK35" i="26"/>
  <c r="BK119" i="26" s="1"/>
  <c r="BL10" i="26"/>
  <c r="BL7" i="26" s="1"/>
  <c r="W30" i="40"/>
  <c r="AK21" i="40"/>
  <c r="R296" i="38"/>
  <c r="AK25" i="40"/>
  <c r="R337" i="38"/>
  <c r="R297" i="38" s="1"/>
  <c r="AK28" i="40" s="1"/>
  <c r="S435" i="38"/>
  <c r="W24" i="40"/>
  <c r="M24" i="32"/>
  <c r="R332" i="38" s="1"/>
  <c r="BJ35" i="26"/>
  <c r="R365" i="38"/>
  <c r="BN24" i="26"/>
  <c r="BN21" i="26" s="1"/>
  <c r="AK27" i="40" l="1"/>
  <c r="R298" i="38"/>
  <c r="BL37" i="26"/>
  <c r="BL35" i="26"/>
  <c r="BL119" i="26" s="1"/>
  <c r="BM10" i="26"/>
  <c r="BM7" i="26" s="1"/>
  <c r="BO24" i="26"/>
  <c r="BO21" i="26" s="1"/>
  <c r="R215" i="38"/>
  <c r="R340" i="38"/>
  <c r="R348" i="38" s="1"/>
  <c r="BJ119" i="26"/>
  <c r="W26" i="40"/>
  <c r="W27" i="40" s="1"/>
  <c r="M69" i="32"/>
  <c r="R367" i="38" l="1"/>
  <c r="BU21" i="26"/>
  <c r="W47" i="40"/>
  <c r="M56" i="32"/>
  <c r="W54" i="40"/>
  <c r="M68" i="32"/>
  <c r="BM37" i="26"/>
  <c r="BM35" i="26"/>
  <c r="BN10" i="26"/>
  <c r="BN7" i="26" s="1"/>
  <c r="AK29" i="40"/>
  <c r="R299" i="38"/>
  <c r="AK30" i="40" s="1"/>
  <c r="AK22" i="40"/>
  <c r="R216" i="38"/>
  <c r="R221" i="38" s="1"/>
  <c r="N7" i="32" l="1"/>
  <c r="X7" i="40" s="1"/>
  <c r="CA21" i="26"/>
  <c r="N9" i="36"/>
  <c r="P9" i="36" s="1"/>
  <c r="M60" i="32"/>
  <c r="W45" i="40"/>
  <c r="W53" i="40"/>
  <c r="M106" i="32"/>
  <c r="BN37" i="26"/>
  <c r="BO10" i="26"/>
  <c r="BO7" i="26" s="1"/>
  <c r="BN35" i="26"/>
  <c r="BN119" i="26" s="1"/>
  <c r="AK23" i="40"/>
  <c r="R217" i="38"/>
  <c r="AK24" i="40" s="1"/>
  <c r="R241" i="38"/>
  <c r="R248" i="38" s="1"/>
  <c r="R232" i="38"/>
  <c r="R256" i="38"/>
  <c r="R267" i="38" s="1"/>
  <c r="R276" i="38"/>
  <c r="R283" i="38" s="1"/>
  <c r="BM119" i="26"/>
  <c r="S309" i="38" l="1"/>
  <c r="R258" i="38"/>
  <c r="R272" i="38"/>
  <c r="R270" i="38"/>
  <c r="R271" i="38"/>
  <c r="AD26" i="40" s="1"/>
  <c r="W74" i="40"/>
  <c r="M107" i="32"/>
  <c r="R235" i="38"/>
  <c r="R223" i="38"/>
  <c r="R237" i="38"/>
  <c r="R236" i="38"/>
  <c r="AD20" i="40" s="1"/>
  <c r="R252" i="38"/>
  <c r="R243" i="38"/>
  <c r="R251" i="38"/>
  <c r="BO37" i="26"/>
  <c r="R278" i="38"/>
  <c r="R287" i="38"/>
  <c r="R286" i="38"/>
  <c r="AD27" i="40" s="1"/>
  <c r="W48" i="40"/>
  <c r="AD21" i="40" l="1"/>
  <c r="AF267" i="38"/>
  <c r="V267" i="38" s="1"/>
  <c r="BO35" i="26"/>
  <c r="BU7" i="26"/>
  <c r="W75" i="40"/>
  <c r="M31" i="32"/>
  <c r="N105" i="32"/>
  <c r="CA7" i="26" l="1"/>
  <c r="X73" i="40"/>
  <c r="W36" i="40"/>
  <c r="M30" i="32"/>
  <c r="N7" i="36"/>
  <c r="N8" i="36" s="1"/>
  <c r="N6" i="32"/>
  <c r="BO119" i="26"/>
  <c r="BU119" i="26" s="1"/>
  <c r="BU35" i="26"/>
  <c r="CA35" i="26" s="1"/>
  <c r="CA36" i="26" l="1"/>
  <c r="W35" i="40"/>
  <c r="M44" i="32"/>
  <c r="R349" i="38" s="1"/>
  <c r="N10" i="36"/>
  <c r="P7" i="36"/>
  <c r="P10" i="36" s="1"/>
  <c r="X6" i="40"/>
  <c r="N8" i="32"/>
  <c r="S308" i="38"/>
  <c r="CA119" i="26"/>
  <c r="X8" i="40" l="1"/>
  <c r="X9" i="40" s="1"/>
  <c r="N15" i="32"/>
  <c r="S320" i="38"/>
  <c r="S310" i="38"/>
  <c r="S317" i="38" s="1"/>
  <c r="S420" i="38"/>
  <c r="P11" i="36"/>
  <c r="P18" i="36"/>
  <c r="W41" i="40"/>
  <c r="M62" i="32"/>
  <c r="N11" i="36"/>
  <c r="N18" i="36"/>
  <c r="N19" i="36" l="1"/>
  <c r="N24" i="36"/>
  <c r="N23" i="36" s="1"/>
  <c r="N21" i="36"/>
  <c r="S318" i="38"/>
  <c r="S328" i="38"/>
  <c r="S321" i="38"/>
  <c r="X16" i="40"/>
  <c r="X17" i="40" s="1"/>
  <c r="N21" i="32"/>
  <c r="P19" i="36"/>
  <c r="P24" i="36"/>
  <c r="P23" i="36" s="1"/>
  <c r="P21" i="36"/>
  <c r="N25" i="36" l="1"/>
  <c r="N22" i="36"/>
  <c r="X28" i="40"/>
  <c r="S330" i="38"/>
  <c r="S329" i="38" s="1"/>
  <c r="S331" i="38" s="1"/>
  <c r="S322" i="38"/>
  <c r="S212" i="38"/>
  <c r="P22" i="36"/>
  <c r="P25" i="36"/>
  <c r="P29" i="36" s="1"/>
  <c r="U30" i="36" s="1"/>
  <c r="N23" i="32"/>
  <c r="X25" i="40" s="1"/>
  <c r="X23" i="40"/>
  <c r="S385" i="38" l="1"/>
  <c r="S364" i="38" s="1"/>
  <c r="S294" i="38"/>
  <c r="S392" i="38"/>
  <c r="S403" i="38" s="1"/>
  <c r="S421" i="38" s="1"/>
  <c r="S422" i="38" s="1"/>
  <c r="S436" i="38" s="1"/>
  <c r="S437" i="38" s="1"/>
  <c r="S337" i="38" s="1"/>
  <c r="S297" i="38" s="1"/>
  <c r="AL28" i="40" s="1"/>
  <c r="N22" i="32"/>
  <c r="AL19" i="40"/>
  <c r="S214" i="38"/>
  <c r="X29" i="40"/>
  <c r="N29" i="36"/>
  <c r="S365" i="38" l="1"/>
  <c r="N58" i="32"/>
  <c r="X24" i="40"/>
  <c r="N24" i="32"/>
  <c r="S332" i="38" s="1"/>
  <c r="X30" i="40"/>
  <c r="AL25" i="40"/>
  <c r="S296" i="38"/>
  <c r="S215" i="38"/>
  <c r="AL22" i="40" s="1"/>
  <c r="S340" i="38"/>
  <c r="S348" i="38" s="1"/>
  <c r="AL21" i="40"/>
  <c r="S367" i="38" l="1"/>
  <c r="S216" i="38"/>
  <c r="S221" i="38" s="1"/>
  <c r="X26" i="40"/>
  <c r="X27" i="40" s="1"/>
  <c r="N69" i="32"/>
  <c r="AL27" i="40"/>
  <c r="S298" i="38"/>
  <c r="S234" i="38" l="1"/>
  <c r="S235" i="38" s="1"/>
  <c r="S217" i="38"/>
  <c r="AL24" i="40" s="1"/>
  <c r="S276" i="38"/>
  <c r="S284" i="38" s="1"/>
  <c r="S278" i="38" s="1"/>
  <c r="S256" i="38"/>
  <c r="S269" i="38" s="1"/>
  <c r="S272" i="38" s="1"/>
  <c r="AL23" i="40"/>
  <c r="S241" i="38"/>
  <c r="S249" i="38" s="1"/>
  <c r="S243" i="38" s="1"/>
  <c r="X54" i="40"/>
  <c r="N68" i="32"/>
  <c r="AL29" i="40"/>
  <c r="S299" i="38"/>
  <c r="AL30" i="40" s="1"/>
  <c r="X47" i="40"/>
  <c r="N56" i="32"/>
  <c r="S223" i="38" l="1"/>
  <c r="S237" i="38"/>
  <c r="S236" i="38"/>
  <c r="AE20" i="40" s="1"/>
  <c r="S287" i="38"/>
  <c r="S286" i="38"/>
  <c r="AE27" i="40" s="1"/>
  <c r="S258" i="38"/>
  <c r="S270" i="38"/>
  <c r="S271" i="38"/>
  <c r="AE26" i="40" s="1"/>
  <c r="S251" i="38"/>
  <c r="S252" i="38"/>
  <c r="N60" i="32"/>
  <c r="X45" i="40"/>
  <c r="X53" i="40"/>
  <c r="N106" i="32"/>
  <c r="AF229" i="38" l="1"/>
  <c r="V229" i="38" s="1"/>
  <c r="AE21" i="40"/>
  <c r="AF248" i="38"/>
  <c r="V248" i="38" s="1"/>
  <c r="X74" i="40"/>
  <c r="N107" i="32"/>
  <c r="X48" i="40"/>
  <c r="X75" i="40" l="1"/>
  <c r="N31" i="32"/>
  <c r="X36" i="40" l="1"/>
  <c r="N30" i="32"/>
  <c r="X35" i="40" l="1"/>
  <c r="N44" i="32"/>
  <c r="S349" i="38" s="1"/>
  <c r="X41" i="40" l="1"/>
  <c r="N62" i="32"/>
  <c r="L48" i="36"/>
  <c r="U31" i="36"/>
  <c r="N32" i="36" s="1"/>
  <c r="M48" i="36" l="1"/>
  <c r="K48" i="36"/>
  <c r="AJ7" i="40"/>
  <c r="N33" i="36"/>
  <c r="U35" i="36"/>
  <c r="U33" i="36"/>
  <c r="U34" i="36" s="1"/>
  <c r="J32" i="36"/>
  <c r="J33" i="36" s="1"/>
  <c r="L32" i="36"/>
  <c r="L33" i="36" s="1"/>
  <c r="V47" i="36"/>
  <c r="K32" i="36"/>
  <c r="K33" i="36" s="1"/>
  <c r="M32" i="36"/>
  <c r="M33" i="36" s="1"/>
  <c r="U36" i="36" l="1"/>
  <c r="L37" i="36" s="1"/>
  <c r="AF8" i="40" s="1"/>
  <c r="L36" i="36"/>
  <c r="AI7" i="40"/>
  <c r="J48" i="36"/>
  <c r="AH7" i="40" s="1"/>
  <c r="U47" i="36"/>
  <c r="T47" i="36" s="1"/>
  <c r="W47" i="36"/>
  <c r="X47" i="36" s="1"/>
  <c r="N48" i="36"/>
  <c r="AL7" i="40" s="1"/>
  <c r="AK7" i="40"/>
  <c r="L38" i="36" l="1"/>
  <c r="AF7" i="40"/>
  <c r="L40" i="36" l="1"/>
  <c r="AF9" i="40"/>
  <c r="S48" i="36"/>
  <c r="AF11" i="40" l="1"/>
  <c r="L42" i="36"/>
  <c r="AF13" i="4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안상우</author>
  </authors>
  <commentList>
    <comment ref="M72" authorId="0" shapeId="0" xr:uid="{00000000-0006-0000-0600-000001000000}">
      <text>
        <r>
          <rPr>
            <b/>
            <sz val="9"/>
            <color indexed="81"/>
            <rFont val="돋움"/>
            <family val="3"/>
            <charset val="129"/>
          </rPr>
          <t>안상우</t>
        </r>
        <r>
          <rPr>
            <b/>
            <sz val="9"/>
            <color indexed="81"/>
            <rFont val="Tahoma"/>
            <family val="2"/>
          </rPr>
          <t xml:space="preserve">: </t>
        </r>
        <r>
          <rPr>
            <sz val="9"/>
            <color indexed="81"/>
            <rFont val="돋움"/>
            <family val="3"/>
            <charset val="129"/>
          </rPr>
          <t>주당</t>
        </r>
        <r>
          <rPr>
            <sz val="9"/>
            <color indexed="81"/>
            <rFont val="Tahoma"/>
            <family val="2"/>
          </rPr>
          <t xml:space="preserve"> </t>
        </r>
        <r>
          <rPr>
            <sz val="9"/>
            <color indexed="81"/>
            <rFont val="돋움"/>
            <family val="3"/>
            <charset val="129"/>
          </rPr>
          <t>최대</t>
        </r>
        <r>
          <rPr>
            <sz val="9"/>
            <color indexed="81"/>
            <rFont val="Tahoma"/>
            <family val="2"/>
          </rPr>
          <t xml:space="preserve"> 6</t>
        </r>
        <r>
          <rPr>
            <sz val="9"/>
            <color indexed="81"/>
            <rFont val="돋움"/>
            <family val="3"/>
            <charset val="129"/>
          </rPr>
          <t>일</t>
        </r>
        <r>
          <rPr>
            <sz val="9"/>
            <color indexed="81"/>
            <rFont val="Tahoma"/>
            <family val="2"/>
          </rPr>
          <t xml:space="preserve"> </t>
        </r>
        <r>
          <rPr>
            <sz val="9"/>
            <color indexed="81"/>
            <rFont val="돋움"/>
            <family val="3"/>
            <charset val="129"/>
          </rPr>
          <t>운항</t>
        </r>
        <r>
          <rPr>
            <sz val="9"/>
            <color indexed="81"/>
            <rFont val="Tahoma"/>
            <family val="2"/>
          </rPr>
          <t xml:space="preserve"> / </t>
        </r>
        <r>
          <rPr>
            <sz val="9"/>
            <color indexed="81"/>
            <rFont val="돋움"/>
            <family val="3"/>
            <charset val="129"/>
          </rPr>
          <t>총</t>
        </r>
        <r>
          <rPr>
            <sz val="9"/>
            <color indexed="81"/>
            <rFont val="Tahoma"/>
            <family val="2"/>
          </rPr>
          <t xml:space="preserve"> </t>
        </r>
        <r>
          <rPr>
            <sz val="9"/>
            <color indexed="81"/>
            <rFont val="돋움"/>
            <family val="3"/>
            <charset val="129"/>
          </rPr>
          <t>운항가능시간</t>
        </r>
        <r>
          <rPr>
            <sz val="9"/>
            <color indexed="81"/>
            <rFont val="Tahoma"/>
            <family val="2"/>
          </rPr>
          <t xml:space="preserve"> 6</t>
        </r>
        <r>
          <rPr>
            <sz val="9"/>
            <color indexed="81"/>
            <rFont val="돋움"/>
            <family val="3"/>
            <charset val="129"/>
          </rPr>
          <t>일</t>
        </r>
        <r>
          <rPr>
            <sz val="9"/>
            <color indexed="81"/>
            <rFont val="Tahoma"/>
            <family val="2"/>
          </rPr>
          <t>*24=144</t>
        </r>
        <r>
          <rPr>
            <sz val="9"/>
            <color indexed="81"/>
            <rFont val="돋움"/>
            <family val="3"/>
            <charset val="129"/>
          </rPr>
          <t>시간</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안상우</author>
  </authors>
  <commentList>
    <comment ref="M34" authorId="0" shapeId="0" xr:uid="{00000000-0006-0000-0F00-000001000000}">
      <text>
        <r>
          <rPr>
            <b/>
            <sz val="9"/>
            <color indexed="81"/>
            <rFont val="돋움"/>
            <family val="3"/>
            <charset val="129"/>
          </rPr>
          <t>안상우</t>
        </r>
        <r>
          <rPr>
            <b/>
            <sz val="9"/>
            <color indexed="81"/>
            <rFont val="Tahoma"/>
            <family val="2"/>
          </rPr>
          <t xml:space="preserve">: </t>
        </r>
        <r>
          <rPr>
            <b/>
            <sz val="9"/>
            <color indexed="81"/>
            <rFont val="돋움"/>
            <family val="3"/>
            <charset val="129"/>
          </rPr>
          <t>기존회사계획에</t>
        </r>
        <r>
          <rPr>
            <b/>
            <sz val="9"/>
            <color indexed="81"/>
            <rFont val="Tahoma"/>
            <family val="2"/>
          </rPr>
          <t xml:space="preserve"> 12.5</t>
        </r>
        <r>
          <rPr>
            <b/>
            <sz val="9"/>
            <color indexed="81"/>
            <rFont val="돋움"/>
            <family val="3"/>
            <charset val="129"/>
          </rPr>
          <t>억정도의</t>
        </r>
        <r>
          <rPr>
            <b/>
            <sz val="9"/>
            <color indexed="81"/>
            <rFont val="Tahoma"/>
            <family val="2"/>
          </rPr>
          <t xml:space="preserve"> </t>
        </r>
        <r>
          <rPr>
            <b/>
            <sz val="9"/>
            <color indexed="81"/>
            <rFont val="돋움"/>
            <family val="3"/>
            <charset val="129"/>
          </rPr>
          <t>정비공구및장비</t>
        </r>
        <r>
          <rPr>
            <b/>
            <sz val="9"/>
            <color indexed="81"/>
            <rFont val="Tahoma"/>
            <family val="2"/>
          </rPr>
          <t>(</t>
        </r>
        <r>
          <rPr>
            <b/>
            <sz val="9"/>
            <color indexed="81"/>
            <rFont val="돋움"/>
            <family val="3"/>
            <charset val="129"/>
          </rPr>
          <t>원칙상</t>
        </r>
        <r>
          <rPr>
            <b/>
            <sz val="9"/>
            <color indexed="81"/>
            <rFont val="Tahoma"/>
            <family val="2"/>
          </rPr>
          <t xml:space="preserve"> 10</t>
        </r>
        <r>
          <rPr>
            <b/>
            <sz val="9"/>
            <color indexed="81"/>
            <rFont val="돋움"/>
            <family val="3"/>
            <charset val="129"/>
          </rPr>
          <t>억이상</t>
        </r>
        <r>
          <rPr>
            <b/>
            <sz val="9"/>
            <color indexed="81"/>
            <rFont val="Tahoma"/>
            <family val="2"/>
          </rPr>
          <t xml:space="preserve"> </t>
        </r>
        <r>
          <rPr>
            <b/>
            <sz val="9"/>
            <color indexed="81"/>
            <rFont val="돋움"/>
            <family val="3"/>
            <charset val="129"/>
          </rPr>
          <t>유지</t>
        </r>
        <r>
          <rPr>
            <b/>
            <sz val="9"/>
            <color indexed="81"/>
            <rFont val="Tahoma"/>
            <family val="2"/>
          </rPr>
          <t xml:space="preserve">) </t>
        </r>
        <r>
          <rPr>
            <b/>
            <sz val="9"/>
            <color indexed="81"/>
            <rFont val="돋움"/>
            <family val="3"/>
            <charset val="129"/>
          </rPr>
          <t>유지를</t>
        </r>
        <r>
          <rPr>
            <b/>
            <sz val="9"/>
            <color indexed="81"/>
            <rFont val="Tahoma"/>
            <family val="2"/>
          </rPr>
          <t xml:space="preserve"> </t>
        </r>
        <r>
          <rPr>
            <b/>
            <sz val="9"/>
            <color indexed="81"/>
            <rFont val="돋움"/>
            <family val="3"/>
            <charset val="129"/>
          </rPr>
          <t>위해</t>
        </r>
        <r>
          <rPr>
            <b/>
            <sz val="9"/>
            <color indexed="81"/>
            <rFont val="Tahoma"/>
            <family val="2"/>
          </rPr>
          <t xml:space="preserve"> </t>
        </r>
        <r>
          <rPr>
            <b/>
            <sz val="9"/>
            <color indexed="81"/>
            <rFont val="돋움"/>
            <family val="3"/>
            <charset val="129"/>
          </rPr>
          <t>추가로</t>
        </r>
        <r>
          <rPr>
            <b/>
            <sz val="9"/>
            <color indexed="81"/>
            <rFont val="Tahoma"/>
            <family val="2"/>
          </rPr>
          <t xml:space="preserve"> 360 </t>
        </r>
        <r>
          <rPr>
            <b/>
            <sz val="9"/>
            <color indexed="81"/>
            <rFont val="돋움"/>
            <family val="3"/>
            <charset val="129"/>
          </rPr>
          <t>가산함</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안상우</author>
  </authors>
  <commentList>
    <comment ref="F17" authorId="0" shapeId="0" xr:uid="{00000000-0006-0000-1200-000001000000}">
      <text>
        <r>
          <rPr>
            <b/>
            <sz val="9"/>
            <color indexed="81"/>
            <rFont val="돋움"/>
            <family val="3"/>
            <charset val="129"/>
          </rPr>
          <t>안상우</t>
        </r>
        <r>
          <rPr>
            <b/>
            <sz val="9"/>
            <color indexed="81"/>
            <rFont val="Tahoma"/>
            <family val="2"/>
          </rPr>
          <t>:</t>
        </r>
        <r>
          <rPr>
            <sz val="9"/>
            <color indexed="81"/>
            <rFont val="Tahoma"/>
            <family val="2"/>
          </rPr>
          <t xml:space="preserve">
</t>
        </r>
        <r>
          <rPr>
            <sz val="9"/>
            <color indexed="81"/>
            <rFont val="돋움"/>
            <family val="3"/>
            <charset val="129"/>
          </rPr>
          <t>보수적</t>
        </r>
        <r>
          <rPr>
            <sz val="9"/>
            <color indexed="81"/>
            <rFont val="Tahoma"/>
            <family val="2"/>
          </rPr>
          <t xml:space="preserve"> </t>
        </r>
        <r>
          <rPr>
            <sz val="9"/>
            <color indexed="81"/>
            <rFont val="돋움"/>
            <family val="3"/>
            <charset val="129"/>
          </rPr>
          <t>모든</t>
        </r>
        <r>
          <rPr>
            <sz val="9"/>
            <color indexed="81"/>
            <rFont val="Tahoma"/>
            <family val="2"/>
          </rPr>
          <t xml:space="preserve"> </t>
        </r>
        <r>
          <rPr>
            <sz val="9"/>
            <color indexed="81"/>
            <rFont val="돋움"/>
            <family val="3"/>
            <charset val="129"/>
          </rPr>
          <t>기장</t>
        </r>
        <r>
          <rPr>
            <sz val="9"/>
            <color indexed="81"/>
            <rFont val="Tahoma"/>
            <family val="2"/>
          </rPr>
          <t>/</t>
        </r>
        <r>
          <rPr>
            <sz val="9"/>
            <color indexed="81"/>
            <rFont val="돋움"/>
            <family val="3"/>
            <charset val="129"/>
          </rPr>
          <t>부기장</t>
        </r>
        <r>
          <rPr>
            <sz val="9"/>
            <color indexed="81"/>
            <rFont val="Tahoma"/>
            <family val="2"/>
          </rPr>
          <t xml:space="preserve"> </t>
        </r>
        <r>
          <rPr>
            <sz val="9"/>
            <color indexed="81"/>
            <rFont val="돋움"/>
            <family val="3"/>
            <charset val="129"/>
          </rPr>
          <t>주당</t>
        </r>
        <r>
          <rPr>
            <sz val="9"/>
            <color indexed="81"/>
            <rFont val="Tahoma"/>
            <family val="2"/>
          </rPr>
          <t xml:space="preserve"> 100</t>
        </r>
        <r>
          <rPr>
            <sz val="9"/>
            <color indexed="81"/>
            <rFont val="돋움"/>
            <family val="3"/>
            <charset val="129"/>
          </rPr>
          <t>시간씩</t>
        </r>
        <r>
          <rPr>
            <sz val="9"/>
            <color indexed="81"/>
            <rFont val="Tahoma"/>
            <family val="2"/>
          </rPr>
          <t xml:space="preserve"> </t>
        </r>
        <r>
          <rPr>
            <sz val="9"/>
            <color indexed="81"/>
            <rFont val="돋움"/>
            <family val="3"/>
            <charset val="129"/>
          </rPr>
          <t>비행가정</t>
        </r>
      </text>
    </comment>
    <comment ref="F84" authorId="0" shapeId="0" xr:uid="{00000000-0006-0000-1200-000002000000}">
      <text>
        <r>
          <rPr>
            <b/>
            <sz val="9"/>
            <color indexed="81"/>
            <rFont val="돋움"/>
            <family val="3"/>
            <charset val="129"/>
          </rPr>
          <t>안상우</t>
        </r>
        <r>
          <rPr>
            <b/>
            <sz val="9"/>
            <color indexed="81"/>
            <rFont val="Tahoma"/>
            <family val="2"/>
          </rPr>
          <t>:</t>
        </r>
        <r>
          <rPr>
            <b/>
            <sz val="9"/>
            <color indexed="81"/>
            <rFont val="돋움"/>
            <family val="3"/>
            <charset val="129"/>
          </rPr>
          <t>연간</t>
        </r>
        <r>
          <rPr>
            <b/>
            <sz val="9"/>
            <color indexed="81"/>
            <rFont val="Tahoma"/>
            <family val="2"/>
          </rPr>
          <t>: 737</t>
        </r>
        <r>
          <rPr>
            <b/>
            <sz val="9"/>
            <color indexed="81"/>
            <rFont val="돋움"/>
            <family val="3"/>
            <charset val="129"/>
          </rPr>
          <t>은</t>
        </r>
        <r>
          <rPr>
            <b/>
            <sz val="9"/>
            <color indexed="81"/>
            <rFont val="Tahoma"/>
            <family val="2"/>
          </rPr>
          <t xml:space="preserve"> 160</t>
        </r>
        <r>
          <rPr>
            <b/>
            <sz val="9"/>
            <color indexed="81"/>
            <rFont val="돋움"/>
            <family val="3"/>
            <charset val="129"/>
          </rPr>
          <t>백만원</t>
        </r>
        <r>
          <rPr>
            <b/>
            <sz val="9"/>
            <color indexed="81"/>
            <rFont val="Tahoma"/>
            <family val="2"/>
          </rPr>
          <t>/ 767</t>
        </r>
        <r>
          <rPr>
            <b/>
            <sz val="9"/>
            <color indexed="81"/>
            <rFont val="돋움"/>
            <family val="3"/>
            <charset val="129"/>
          </rPr>
          <t>은</t>
        </r>
        <r>
          <rPr>
            <b/>
            <sz val="9"/>
            <color indexed="81"/>
            <rFont val="Tahoma"/>
            <family val="2"/>
          </rPr>
          <t xml:space="preserve"> 300</t>
        </r>
        <r>
          <rPr>
            <b/>
            <sz val="9"/>
            <color indexed="81"/>
            <rFont val="돋움"/>
            <family val="3"/>
            <charset val="129"/>
          </rPr>
          <t>백만원</t>
        </r>
        <r>
          <rPr>
            <sz val="9"/>
            <color indexed="81"/>
            <rFont val="Tahoma"/>
            <family val="2"/>
          </rPr>
          <t xml:space="preserve">
</t>
        </r>
      </text>
    </comment>
    <comment ref="F87" authorId="0" shapeId="0" xr:uid="{00000000-0006-0000-1200-000003000000}">
      <text>
        <r>
          <rPr>
            <b/>
            <sz val="9"/>
            <color indexed="81"/>
            <rFont val="돋움"/>
            <family val="3"/>
            <charset val="129"/>
          </rPr>
          <t>안상우</t>
        </r>
        <r>
          <rPr>
            <b/>
            <sz val="9"/>
            <color indexed="81"/>
            <rFont val="Tahoma"/>
            <family val="2"/>
          </rPr>
          <t xml:space="preserve">: 180911-777 </t>
        </r>
        <r>
          <rPr>
            <b/>
            <sz val="9"/>
            <color indexed="81"/>
            <rFont val="돋움"/>
            <family val="3"/>
            <charset val="129"/>
          </rPr>
          <t>반영전</t>
        </r>
        <r>
          <rPr>
            <sz val="9"/>
            <color indexed="81"/>
            <rFont val="Tahoma"/>
            <family val="2"/>
          </rPr>
          <t xml:space="preserve">
</t>
        </r>
      </text>
    </comment>
    <comment ref="F123" authorId="0" shapeId="0" xr:uid="{00000000-0006-0000-1200-000004000000}">
      <text>
        <r>
          <rPr>
            <b/>
            <sz val="9"/>
            <color indexed="81"/>
            <rFont val="돋움"/>
            <family val="3"/>
            <charset val="129"/>
          </rPr>
          <t>안상우</t>
        </r>
        <r>
          <rPr>
            <b/>
            <sz val="9"/>
            <color indexed="81"/>
            <rFont val="Tahoma"/>
            <family val="2"/>
          </rPr>
          <t>:</t>
        </r>
        <r>
          <rPr>
            <sz val="9"/>
            <color indexed="81"/>
            <rFont val="Tahoma"/>
            <family val="2"/>
          </rPr>
          <t xml:space="preserve">
737: $200,000 * </t>
        </r>
        <r>
          <rPr>
            <sz val="9"/>
            <color indexed="81"/>
            <rFont val="돋움"/>
            <family val="3"/>
            <charset val="129"/>
          </rPr>
          <t>기준환율</t>
        </r>
        <r>
          <rPr>
            <sz val="9"/>
            <color indexed="81"/>
            <rFont val="Tahoma"/>
            <family val="2"/>
          </rPr>
          <t xml:space="preserve"> * 6</t>
        </r>
        <r>
          <rPr>
            <sz val="9"/>
            <color indexed="81"/>
            <rFont val="돋움"/>
            <family val="3"/>
            <charset val="129"/>
          </rPr>
          <t>개월</t>
        </r>
        <r>
          <rPr>
            <sz val="9"/>
            <color indexed="81"/>
            <rFont val="Tahoma"/>
            <family val="2"/>
          </rPr>
          <t xml:space="preserve"> / 767 : $250,000 * </t>
        </r>
        <r>
          <rPr>
            <sz val="9"/>
            <color indexed="81"/>
            <rFont val="돋움"/>
            <family val="3"/>
            <charset val="129"/>
          </rPr>
          <t>기준환율</t>
        </r>
        <r>
          <rPr>
            <sz val="9"/>
            <color indexed="81"/>
            <rFont val="Tahoma"/>
            <family val="2"/>
          </rPr>
          <t xml:space="preserve"> * 6</t>
        </r>
        <r>
          <rPr>
            <sz val="9"/>
            <color indexed="81"/>
            <rFont val="돋움"/>
            <family val="3"/>
            <charset val="129"/>
          </rPr>
          <t>개월</t>
        </r>
      </text>
    </comment>
    <comment ref="F175" authorId="0" shapeId="0" xr:uid="{00000000-0006-0000-1200-000005000000}">
      <text>
        <r>
          <rPr>
            <b/>
            <sz val="9"/>
            <color indexed="81"/>
            <rFont val="돋움"/>
            <family val="3"/>
            <charset val="129"/>
          </rPr>
          <t>안상우</t>
        </r>
        <r>
          <rPr>
            <b/>
            <sz val="9"/>
            <color indexed="81"/>
            <rFont val="Tahoma"/>
            <family val="2"/>
          </rPr>
          <t>:</t>
        </r>
        <r>
          <rPr>
            <sz val="9"/>
            <color indexed="81"/>
            <rFont val="Tahoma"/>
            <family val="2"/>
          </rPr>
          <t xml:space="preserve">
*737 1</t>
        </r>
        <r>
          <rPr>
            <sz val="9"/>
            <color indexed="81"/>
            <rFont val="돋움"/>
            <family val="3"/>
            <charset val="129"/>
          </rPr>
          <t>대당</t>
        </r>
        <r>
          <rPr>
            <sz val="9"/>
            <color indexed="81"/>
            <rFont val="Tahoma"/>
            <family val="2"/>
          </rPr>
          <t xml:space="preserve"> 3</t>
        </r>
        <r>
          <rPr>
            <sz val="9"/>
            <color indexed="81"/>
            <rFont val="돋움"/>
            <family val="3"/>
            <charset val="129"/>
          </rPr>
          <t>명</t>
        </r>
        <r>
          <rPr>
            <sz val="9"/>
            <color indexed="81"/>
            <rFont val="Tahoma"/>
            <family val="2"/>
          </rPr>
          <t xml:space="preserve"> </t>
        </r>
        <r>
          <rPr>
            <sz val="9"/>
            <color indexed="81"/>
            <rFont val="돋움"/>
            <family val="3"/>
            <charset val="129"/>
          </rPr>
          <t>추가</t>
        </r>
        <r>
          <rPr>
            <sz val="9"/>
            <color indexed="81"/>
            <rFont val="Tahoma"/>
            <family val="2"/>
          </rPr>
          <t xml:space="preserve"> / 767 1</t>
        </r>
        <r>
          <rPr>
            <sz val="9"/>
            <color indexed="81"/>
            <rFont val="돋움"/>
            <family val="3"/>
            <charset val="129"/>
          </rPr>
          <t>대당</t>
        </r>
        <r>
          <rPr>
            <sz val="9"/>
            <color indexed="81"/>
            <rFont val="Tahoma"/>
            <family val="2"/>
          </rPr>
          <t xml:space="preserve"> 5</t>
        </r>
        <r>
          <rPr>
            <sz val="9"/>
            <color indexed="81"/>
            <rFont val="돋움"/>
            <family val="3"/>
            <charset val="129"/>
          </rPr>
          <t>명</t>
        </r>
        <r>
          <rPr>
            <sz val="9"/>
            <color indexed="81"/>
            <rFont val="Tahoma"/>
            <family val="2"/>
          </rPr>
          <t xml:space="preserve"> </t>
        </r>
        <r>
          <rPr>
            <sz val="9"/>
            <color indexed="81"/>
            <rFont val="돋움"/>
            <family val="3"/>
            <charset val="129"/>
          </rPr>
          <t xml:space="preserve">추가
</t>
        </r>
        <r>
          <rPr>
            <sz val="9"/>
            <color indexed="81"/>
            <rFont val="Tahoma"/>
            <family val="2"/>
          </rPr>
          <t>180911-777</t>
        </r>
        <r>
          <rPr>
            <sz val="9"/>
            <color indexed="81"/>
            <rFont val="돋움"/>
            <family val="3"/>
            <charset val="129"/>
          </rPr>
          <t>은</t>
        </r>
        <r>
          <rPr>
            <sz val="9"/>
            <color indexed="81"/>
            <rFont val="Tahoma"/>
            <family val="2"/>
          </rPr>
          <t xml:space="preserve"> </t>
        </r>
        <r>
          <rPr>
            <sz val="9"/>
            <color indexed="81"/>
            <rFont val="돋움"/>
            <family val="3"/>
            <charset val="129"/>
          </rPr>
          <t>반영</t>
        </r>
        <r>
          <rPr>
            <sz val="9"/>
            <color indexed="81"/>
            <rFont val="Tahoma"/>
            <family val="2"/>
          </rPr>
          <t>x</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안상우</author>
  </authors>
  <commentList>
    <comment ref="M4" authorId="0" shapeId="0" xr:uid="{00000000-0006-0000-1800-000001000000}">
      <text>
        <r>
          <rPr>
            <b/>
            <sz val="9"/>
            <color indexed="81"/>
            <rFont val="돋움"/>
            <family val="3"/>
            <charset val="129"/>
          </rPr>
          <t>안상우</t>
        </r>
        <r>
          <rPr>
            <b/>
            <sz val="9"/>
            <color indexed="81"/>
            <rFont val="Tahoma"/>
            <family val="2"/>
          </rPr>
          <t xml:space="preserve">: </t>
        </r>
        <r>
          <rPr>
            <b/>
            <sz val="9"/>
            <color indexed="81"/>
            <rFont val="돋움"/>
            <family val="3"/>
            <charset val="129"/>
          </rPr>
          <t>환산시간</t>
        </r>
        <r>
          <rPr>
            <b/>
            <sz val="9"/>
            <color indexed="81"/>
            <rFont val="Tahoma"/>
            <family val="2"/>
          </rPr>
          <t>*2+</t>
        </r>
        <r>
          <rPr>
            <b/>
            <sz val="9"/>
            <color indexed="81"/>
            <rFont val="돋움"/>
            <family val="3"/>
            <charset val="129"/>
          </rPr>
          <t>대기시간</t>
        </r>
        <r>
          <rPr>
            <b/>
            <sz val="9"/>
            <color indexed="81"/>
            <rFont val="Tahoma"/>
            <family val="2"/>
          </rPr>
          <t xml:space="preserve"> 1hr*2</t>
        </r>
        <r>
          <rPr>
            <sz val="9"/>
            <color indexed="81"/>
            <rFont val="Tahoma"/>
            <family val="2"/>
          </rPr>
          <t xml:space="preserve">
</t>
        </r>
      </text>
    </comment>
  </commentList>
</comments>
</file>

<file path=xl/sharedStrings.xml><?xml version="1.0" encoding="utf-8"?>
<sst xmlns="http://schemas.openxmlformats.org/spreadsheetml/2006/main" count="3421" uniqueCount="1492">
  <si>
    <t>#</t>
    <phoneticPr fontId="24" type="noConversion"/>
  </si>
  <si>
    <t>출발</t>
    <phoneticPr fontId="24" type="noConversion"/>
  </si>
  <si>
    <t>도착</t>
    <phoneticPr fontId="24" type="noConversion"/>
  </si>
  <si>
    <t>NM</t>
  </si>
  <si>
    <t>KM</t>
  </si>
  <si>
    <t>소요시간</t>
  </si>
  <si>
    <t>환산</t>
  </si>
  <si>
    <t>제주</t>
  </si>
  <si>
    <t>한국</t>
  </si>
  <si>
    <t>1시간</t>
  </si>
  <si>
    <t>국가</t>
    <phoneticPr fontId="24" type="noConversion"/>
  </si>
  <si>
    <t>청주</t>
  </si>
  <si>
    <t>GSA
영업</t>
  </si>
  <si>
    <t>직접
영업</t>
  </si>
  <si>
    <t>물류시스템
연계</t>
  </si>
  <si>
    <t>하노이</t>
  </si>
  <si>
    <t>베트남</t>
  </si>
  <si>
    <t>4시간58분</t>
  </si>
  <si>
    <t>인천</t>
  </si>
  <si>
    <t>호치민</t>
  </si>
  <si>
    <t>5시간47분</t>
  </si>
  <si>
    <t>옌타이</t>
  </si>
  <si>
    <t>중국(산둥성)</t>
  </si>
  <si>
    <t>1시간37분</t>
  </si>
  <si>
    <t>칭다오</t>
  </si>
  <si>
    <t>1시간30분</t>
  </si>
  <si>
    <t>다낭</t>
  </si>
  <si>
    <t>4시간37분</t>
  </si>
  <si>
    <t>나리타</t>
  </si>
  <si>
    <t>일본</t>
  </si>
  <si>
    <t>2시간9분</t>
  </si>
  <si>
    <t>간사이</t>
  </si>
  <si>
    <t>1시간34분</t>
  </si>
  <si>
    <t>지난</t>
  </si>
  <si>
    <t>웨이하이</t>
  </si>
  <si>
    <t>1시간28분</t>
  </si>
  <si>
    <t>시안</t>
  </si>
  <si>
    <t>중국</t>
  </si>
  <si>
    <t>3시간55분</t>
  </si>
  <si>
    <t>충칭</t>
  </si>
  <si>
    <t>4시간15분</t>
  </si>
  <si>
    <t>마닐라</t>
  </si>
  <si>
    <t>필리핀</t>
  </si>
  <si>
    <t>4시간34분</t>
  </si>
  <si>
    <t>칼리보</t>
  </si>
  <si>
    <t>4시간4분</t>
  </si>
  <si>
    <t>수빅</t>
  </si>
  <si>
    <t>약4시간</t>
  </si>
  <si>
    <t>울란바토르</t>
  </si>
  <si>
    <t>몽골</t>
  </si>
  <si>
    <t>3시간57분</t>
  </si>
  <si>
    <t>방콕</t>
  </si>
  <si>
    <t>태국</t>
  </si>
  <si>
    <t>6시간10분</t>
  </si>
  <si>
    <t>자카르타</t>
  </si>
  <si>
    <t>인도네시아</t>
  </si>
  <si>
    <t>7시간3분</t>
  </si>
  <si>
    <t>양곤</t>
  </si>
  <si>
    <t>미얀마</t>
  </si>
  <si>
    <t>6시간15분</t>
  </si>
  <si>
    <t>델리</t>
  </si>
  <si>
    <t>인도</t>
  </si>
  <si>
    <t>9시간42분</t>
  </si>
  <si>
    <t>항공기</t>
  </si>
  <si>
    <t>Spec</t>
    <phoneticPr fontId="24" type="noConversion"/>
  </si>
  <si>
    <t>구분</t>
  </si>
  <si>
    <t>MTOW(ton)</t>
  </si>
  <si>
    <t>Payload(kg)</t>
  </si>
  <si>
    <t>비용</t>
  </si>
  <si>
    <t>노선명</t>
    <phoneticPr fontId="24" type="noConversion"/>
  </si>
  <si>
    <t>C1</t>
    <phoneticPr fontId="24" type="noConversion"/>
  </si>
  <si>
    <t>C2</t>
    <phoneticPr fontId="24" type="noConversion"/>
  </si>
  <si>
    <t>C3</t>
    <phoneticPr fontId="24" type="noConversion"/>
  </si>
  <si>
    <t>C4</t>
    <phoneticPr fontId="24" type="noConversion"/>
  </si>
  <si>
    <t>C5</t>
    <phoneticPr fontId="24" type="noConversion"/>
  </si>
  <si>
    <t>C6</t>
    <phoneticPr fontId="24" type="noConversion"/>
  </si>
  <si>
    <t>C7</t>
    <phoneticPr fontId="24" type="noConversion"/>
  </si>
  <si>
    <t>C8</t>
    <phoneticPr fontId="24" type="noConversion"/>
  </si>
  <si>
    <t>I1</t>
    <phoneticPr fontId="24" type="noConversion"/>
  </si>
  <si>
    <t>I2</t>
    <phoneticPr fontId="24" type="noConversion"/>
  </si>
  <si>
    <t>I3</t>
    <phoneticPr fontId="24" type="noConversion"/>
  </si>
  <si>
    <t>I4</t>
    <phoneticPr fontId="24" type="noConversion"/>
  </si>
  <si>
    <t>I5</t>
    <phoneticPr fontId="24" type="noConversion"/>
  </si>
  <si>
    <t>I6</t>
    <phoneticPr fontId="24" type="noConversion"/>
  </si>
  <si>
    <t>I7</t>
    <phoneticPr fontId="24" type="noConversion"/>
  </si>
  <si>
    <t>I8</t>
    <phoneticPr fontId="24" type="noConversion"/>
  </si>
  <si>
    <t>I9</t>
    <phoneticPr fontId="24" type="noConversion"/>
  </si>
  <si>
    <t>I10</t>
    <phoneticPr fontId="24" type="noConversion"/>
  </si>
  <si>
    <t>I11</t>
    <phoneticPr fontId="24" type="noConversion"/>
  </si>
  <si>
    <t>I12</t>
    <phoneticPr fontId="24" type="noConversion"/>
  </si>
  <si>
    <t>연료비</t>
    <phoneticPr fontId="24" type="noConversion"/>
  </si>
  <si>
    <t>항공기</t>
    <phoneticPr fontId="24" type="noConversion"/>
  </si>
  <si>
    <t>비용</t>
    <phoneticPr fontId="24" type="noConversion"/>
  </si>
  <si>
    <t>유지비</t>
    <phoneticPr fontId="24" type="noConversion"/>
  </si>
  <si>
    <t>수당</t>
    <phoneticPr fontId="24" type="noConversion"/>
  </si>
  <si>
    <t>백만원/hr</t>
  </si>
  <si>
    <t>운항</t>
  </si>
  <si>
    <t>지상조업</t>
  </si>
  <si>
    <t>기장</t>
  </si>
  <si>
    <t>부기장</t>
  </si>
  <si>
    <t>L/D 수당</t>
  </si>
  <si>
    <t>공항시설 이용료</t>
  </si>
  <si>
    <t>공항시설 이용료</t>
    <phoneticPr fontId="24" type="noConversion"/>
  </si>
  <si>
    <t>국내</t>
    <phoneticPr fontId="24" type="noConversion"/>
  </si>
  <si>
    <t>국제</t>
    <phoneticPr fontId="24" type="noConversion"/>
  </si>
  <si>
    <t>LEG당</t>
    <phoneticPr fontId="24" type="noConversion"/>
  </si>
  <si>
    <t>리스료</t>
  </si>
  <si>
    <t>리스료</t>
    <phoneticPr fontId="24" type="noConversion"/>
  </si>
  <si>
    <t>보험료</t>
  </si>
  <si>
    <t>보험료</t>
    <phoneticPr fontId="24" type="noConversion"/>
  </si>
  <si>
    <t>월당</t>
    <phoneticPr fontId="24" type="noConversion"/>
  </si>
  <si>
    <t>FC</t>
    <phoneticPr fontId="24" type="noConversion"/>
  </si>
  <si>
    <t>FC</t>
    <phoneticPr fontId="24" type="noConversion"/>
  </si>
  <si>
    <t>VC</t>
    <phoneticPr fontId="24" type="noConversion"/>
  </si>
  <si>
    <t>VC</t>
    <phoneticPr fontId="24" type="noConversion"/>
  </si>
  <si>
    <t>Capacity</t>
    <phoneticPr fontId="24" type="noConversion"/>
  </si>
  <si>
    <t>Out</t>
    <phoneticPr fontId="24" type="noConversion"/>
  </si>
  <si>
    <t>In</t>
    <phoneticPr fontId="24" type="noConversion"/>
  </si>
  <si>
    <t>GSA</t>
    <phoneticPr fontId="24" type="noConversion"/>
  </si>
  <si>
    <t>Check</t>
    <phoneticPr fontId="24" type="noConversion"/>
  </si>
  <si>
    <t>GSA</t>
    <phoneticPr fontId="24" type="noConversion"/>
  </si>
  <si>
    <t>Payload
(kg)</t>
    <phoneticPr fontId="24" type="noConversion"/>
  </si>
  <si>
    <t>Control Factors</t>
    <phoneticPr fontId="24" type="noConversion"/>
  </si>
  <si>
    <t>적재율</t>
    <phoneticPr fontId="24" type="noConversion"/>
  </si>
  <si>
    <t>주당 운행계획수</t>
    <phoneticPr fontId="24" type="noConversion"/>
  </si>
  <si>
    <t>영업방식 
가중평균가격</t>
    <phoneticPr fontId="24" type="noConversion"/>
  </si>
  <si>
    <t>백만원/LEG</t>
  </si>
  <si>
    <t>백만원/LEG</t>
    <phoneticPr fontId="24" type="noConversion"/>
  </si>
  <si>
    <t>백만원/월</t>
  </si>
  <si>
    <t>백만원/월</t>
    <phoneticPr fontId="24" type="noConversion"/>
  </si>
  <si>
    <t>QnA</t>
    <phoneticPr fontId="24" type="noConversion"/>
  </si>
  <si>
    <t>Question</t>
    <phoneticPr fontId="24" type="noConversion"/>
  </si>
  <si>
    <t>$/월</t>
    <phoneticPr fontId="24" type="noConversion"/>
  </si>
  <si>
    <t>$/hr</t>
    <phoneticPr fontId="24" type="noConversion"/>
  </si>
  <si>
    <t>Ref</t>
    <phoneticPr fontId="24" type="noConversion"/>
  </si>
  <si>
    <t>From 기초자료 sheet</t>
    <phoneticPr fontId="24" type="noConversion"/>
  </si>
  <si>
    <t>백만원/hr</t>
    <phoneticPr fontId="24" type="noConversion"/>
  </si>
  <si>
    <t>출도착지점</t>
    <phoneticPr fontId="24" type="noConversion"/>
  </si>
  <si>
    <t>지점간거리</t>
    <phoneticPr fontId="24" type="noConversion"/>
  </si>
  <si>
    <t>소요시간</t>
    <phoneticPr fontId="24" type="noConversion"/>
  </si>
  <si>
    <t>기준가격(KRW mm/kg)</t>
    <phoneticPr fontId="24" type="noConversion"/>
  </si>
  <si>
    <t>투입기종</t>
    <phoneticPr fontId="24" type="noConversion"/>
  </si>
  <si>
    <t>왕복 
총시간</t>
    <phoneticPr fontId="24" type="noConversion"/>
  </si>
  <si>
    <t>Max Cycle(일당)</t>
    <phoneticPr fontId="24" type="noConversion"/>
  </si>
  <si>
    <t>주당횟수</t>
    <phoneticPr fontId="24" type="noConversion"/>
  </si>
  <si>
    <t>노선 정리_열 증가 가능, 행 축소 불가능</t>
    <phoneticPr fontId="24" type="noConversion"/>
  </si>
  <si>
    <t>#</t>
    <phoneticPr fontId="24" type="noConversion"/>
  </si>
  <si>
    <t>Details</t>
    <phoneticPr fontId="24" type="noConversion"/>
  </si>
  <si>
    <t>월별
LEG(편도)</t>
    <phoneticPr fontId="24" type="noConversion"/>
  </si>
  <si>
    <t>Modeling apporach</t>
    <phoneticPr fontId="24" type="noConversion"/>
  </si>
  <si>
    <t>항공기별 공헌이익 분석</t>
    <phoneticPr fontId="24" type="noConversion"/>
  </si>
  <si>
    <t>시간당</t>
    <phoneticPr fontId="24" type="noConversion"/>
  </si>
  <si>
    <t>*노선구간에 따른 인원수 구분해야함/혹은 총LEG수와 총기장/부기장 인원수 구한후 산출</t>
    <phoneticPr fontId="24" type="noConversion"/>
  </si>
  <si>
    <t>Commentary</t>
    <phoneticPr fontId="24" type="noConversion"/>
  </si>
  <si>
    <t>인건비</t>
  </si>
  <si>
    <t>임원</t>
  </si>
  <si>
    <t xml:space="preserve">정비 </t>
  </si>
  <si>
    <t>관리</t>
  </si>
  <si>
    <t>영업</t>
  </si>
  <si>
    <t>비행수당</t>
  </si>
  <si>
    <t>Landing Fee(운항인력)</t>
  </si>
  <si>
    <t>퇴직충당금</t>
  </si>
  <si>
    <t>복리후생비</t>
  </si>
  <si>
    <t>4대보험</t>
  </si>
  <si>
    <t>식대</t>
  </si>
  <si>
    <t>회식비</t>
  </si>
  <si>
    <t>명절선물비</t>
  </si>
  <si>
    <t>기타</t>
  </si>
  <si>
    <t>임차료</t>
  </si>
  <si>
    <t>서울 사무실</t>
  </si>
  <si>
    <t>인천공항 지사</t>
  </si>
  <si>
    <t>인천공항 보세창고</t>
  </si>
  <si>
    <t>인천공항 정비사무실</t>
  </si>
  <si>
    <t>인천공항 부품보관소</t>
  </si>
  <si>
    <t>청주본사 사무실</t>
  </si>
  <si>
    <t>청주공항 보세창고</t>
  </si>
  <si>
    <t>청주공항 정비사무실</t>
  </si>
  <si>
    <t>청주공항 부품보관소</t>
  </si>
  <si>
    <t>자동차(운항및정비지원)</t>
  </si>
  <si>
    <t>화물보험</t>
  </si>
  <si>
    <t>항공기리스</t>
  </si>
  <si>
    <t>자동차(운항지원)</t>
  </si>
  <si>
    <t>운항관련 비용</t>
  </si>
  <si>
    <t>유류대</t>
  </si>
  <si>
    <t>BH 정비비</t>
  </si>
  <si>
    <t>공항사용료</t>
  </si>
  <si>
    <t>추가 정비비</t>
  </si>
  <si>
    <t>C/D Check 충당금</t>
  </si>
  <si>
    <t>지급수수료</t>
  </si>
  <si>
    <t>외주인력</t>
  </si>
  <si>
    <t>감항검사 외</t>
  </si>
  <si>
    <t>외주정비 수수료</t>
  </si>
  <si>
    <t>물류관리시스템 수수료</t>
  </si>
  <si>
    <t>교육훈련비</t>
  </si>
  <si>
    <t>조종사 레이팅</t>
  </si>
  <si>
    <t>정비사 레이팅</t>
  </si>
  <si>
    <t>승무원 교육</t>
  </si>
  <si>
    <t>대관</t>
  </si>
  <si>
    <t>통신비</t>
  </si>
  <si>
    <t>수도광열비</t>
  </si>
  <si>
    <t>도서인쇄비</t>
  </si>
  <si>
    <t>운반비(자체물량트러킹)</t>
  </si>
  <si>
    <t>사무용품비</t>
  </si>
  <si>
    <t>소모품비</t>
  </si>
  <si>
    <t>건물관리비</t>
  </si>
  <si>
    <t>피복비</t>
  </si>
  <si>
    <t>세금과공과</t>
  </si>
  <si>
    <t>수선비</t>
  </si>
  <si>
    <t>광고선전비</t>
  </si>
  <si>
    <t>감가상각비</t>
  </si>
  <si>
    <t>차량유지비</t>
  </si>
  <si>
    <t>여비교통비</t>
  </si>
  <si>
    <t>감가상각</t>
  </si>
  <si>
    <t>지급이자</t>
  </si>
  <si>
    <t>영업이익</t>
  </si>
  <si>
    <t>Fuel</t>
  </si>
  <si>
    <t>정비</t>
  </si>
  <si>
    <t>항로이용료</t>
  </si>
  <si>
    <t>C-Check 정비 충당금</t>
  </si>
  <si>
    <t>D-Check 정비 충당금</t>
  </si>
  <si>
    <t>공항 정류료</t>
  </si>
  <si>
    <t>공항료 (국내)</t>
  </si>
  <si>
    <t>공항료 (국제)</t>
  </si>
  <si>
    <t>Landing Fee</t>
  </si>
  <si>
    <t>Type</t>
    <phoneticPr fontId="24" type="noConversion"/>
  </si>
  <si>
    <t>F</t>
  </si>
  <si>
    <t>v</t>
  </si>
  <si>
    <t>Maintenance</t>
    <phoneticPr fontId="24" type="noConversion"/>
  </si>
  <si>
    <t xml:space="preserve">Matching </t>
    <phoneticPr fontId="24" type="noConversion"/>
  </si>
  <si>
    <t>Driver</t>
    <phoneticPr fontId="24" type="noConversion"/>
  </si>
  <si>
    <t>LEG</t>
    <phoneticPr fontId="24" type="noConversion"/>
  </si>
  <si>
    <t>LEG</t>
    <phoneticPr fontId="24" type="noConversion"/>
  </si>
  <si>
    <t>Matching</t>
    <phoneticPr fontId="24" type="noConversion"/>
  </si>
  <si>
    <t>비고</t>
    <phoneticPr fontId="24" type="noConversion"/>
  </si>
  <si>
    <t>항목</t>
    <phoneticPr fontId="24" type="noConversion"/>
  </si>
  <si>
    <t>Landing fee</t>
    <phoneticPr fontId="24" type="noConversion"/>
  </si>
  <si>
    <t>공항정류료</t>
    <phoneticPr fontId="24" type="noConversion"/>
  </si>
  <si>
    <t>Matching!A1</t>
  </si>
  <si>
    <t>기초자료_정리!A1</t>
  </si>
  <si>
    <t>공항료; sheet 별 차이 발생</t>
    <phoneticPr fontId="24" type="noConversion"/>
  </si>
  <si>
    <t>Diff</t>
    <phoneticPr fontId="24" type="noConversion"/>
  </si>
  <si>
    <t>Nature</t>
    <phoneticPr fontId="24" type="noConversion"/>
  </si>
  <si>
    <t>Response</t>
    <phoneticPr fontId="24" type="noConversion"/>
  </si>
  <si>
    <t>Date</t>
    <phoneticPr fontId="24" type="noConversion"/>
  </si>
  <si>
    <t>2018-09-02</t>
    <phoneticPr fontId="24" type="noConversion"/>
  </si>
  <si>
    <t xml:space="preserve">[2.기초자료]에서 수당관련 비용관련하여 질문드립니다.
 - Nature 설명부탁드립니다.
 - 세부적으로 수당관련 운항시간당/기장부기장 인원당 0.03백만원씩 비용이 발생하는지?
</t>
    <phoneticPr fontId="24" type="noConversion"/>
  </si>
  <si>
    <t>자료확인</t>
    <phoneticPr fontId="24" type="noConversion"/>
  </si>
  <si>
    <t xml:space="preserve">시간당 유지비 관련 자료 확인 요청
- 현재 기종 당 유지비는 $/hr 단위로 1,486 / 2,440인데 (1133 환율적용시)
백만원 환산시 1.68 / 2,76 으로 계산되나 기초자료 sheet상 0.7 / 1.5로 적혀있습니다
</t>
    <phoneticPr fontId="24" type="noConversion"/>
  </si>
  <si>
    <t>자료확인</t>
    <phoneticPr fontId="24" type="noConversion"/>
  </si>
  <si>
    <t>[2.기초자료]</t>
    <phoneticPr fontId="24" type="noConversion"/>
  </si>
  <si>
    <t>자료확인</t>
    <phoneticPr fontId="24" type="noConversion"/>
  </si>
  <si>
    <t xml:space="preserve">LEG당 공항시설이용료(국제/국내) 관련되서 자료 matching 하였는데 767기와 관련된 관련 비용내역이 제공해주신 sheet간 차이가 납니다. 우측 Ref sheet 참고하시고 확인부탁드립니다.
</t>
    <phoneticPr fontId="24" type="noConversion"/>
  </si>
  <si>
    <t>자료확인</t>
    <phoneticPr fontId="24" type="noConversion"/>
  </si>
  <si>
    <t xml:space="preserve">[3.매출및변동비] 항로이용료는 현재 동일한 수치로 계산되어있는데, 항로별로 다르지 않나요?
</t>
    <phoneticPr fontId="24" type="noConversion"/>
  </si>
  <si>
    <t>[2.기초자료]</t>
    <phoneticPr fontId="24" type="noConversion"/>
  </si>
  <si>
    <t>[3.매출및변동비]</t>
    <phoneticPr fontId="24" type="noConversion"/>
  </si>
  <si>
    <t>[2.기초자료]</t>
    <phoneticPr fontId="24" type="noConversion"/>
  </si>
  <si>
    <t>Modeling 고려사항</t>
    <phoneticPr fontId="24" type="noConversion"/>
  </si>
  <si>
    <t xml:space="preserve">747/767 비행기가 몇월에 몇대 들어가는 가에 따라 수익이 어떻게 달라지는지
</t>
    <phoneticPr fontId="24" type="noConversion"/>
  </si>
  <si>
    <t xml:space="preserve">비행기가 각 노선에 다르게 투입될 때 수익이 어떻게 달라지는지
</t>
    <phoneticPr fontId="24" type="noConversion"/>
  </si>
  <si>
    <t xml:space="preserve">GSA/직접영업/물류센터 비중(ASW; P로 보여짐)과 PQ변동(ASW; Q는 적재율로 보여짐)에 따라 달라지는지
</t>
    <phoneticPr fontId="24" type="noConversion"/>
  </si>
  <si>
    <t>ToDoList</t>
    <phoneticPr fontId="24" type="noConversion"/>
  </si>
  <si>
    <t>Detail</t>
    <phoneticPr fontId="24" type="noConversion"/>
  </si>
  <si>
    <t>Output</t>
    <phoneticPr fontId="24" type="noConversion"/>
  </si>
  <si>
    <t>Comment</t>
    <phoneticPr fontId="24" type="noConversion"/>
  </si>
  <si>
    <t>Nature파악 및 질문리스트 구성</t>
  </si>
  <si>
    <t>항공기</t>
    <phoneticPr fontId="24" type="noConversion"/>
  </si>
  <si>
    <t>비용</t>
    <phoneticPr fontId="24" type="noConversion"/>
  </si>
  <si>
    <t>시간당</t>
    <phoneticPr fontId="24" type="noConversion"/>
  </si>
  <si>
    <t>LEG당</t>
    <phoneticPr fontId="24" type="noConversion"/>
  </si>
  <si>
    <t>비용</t>
    <phoneticPr fontId="24" type="noConversion"/>
  </si>
  <si>
    <t>시간당</t>
    <phoneticPr fontId="24" type="noConversion"/>
  </si>
  <si>
    <t>연료비</t>
    <phoneticPr fontId="24" type="noConversion"/>
  </si>
  <si>
    <t>유지비</t>
    <phoneticPr fontId="24" type="noConversion"/>
  </si>
  <si>
    <t>백만원/hr</t>
    <phoneticPr fontId="24" type="noConversion"/>
  </si>
  <si>
    <t>백만원/LEG</t>
    <phoneticPr fontId="24" type="noConversion"/>
  </si>
  <si>
    <t>공항시설 이용료</t>
    <phoneticPr fontId="24" type="noConversion"/>
  </si>
  <si>
    <t>국제</t>
    <phoneticPr fontId="24" type="noConversion"/>
  </si>
  <si>
    <t>*노선구간에 따른 인원수 구분해야함/혹은 총LEG수와 총기장/부기장 인원수 구한후 산출</t>
    <phoneticPr fontId="24" type="noConversion"/>
  </si>
  <si>
    <t>월당</t>
    <phoneticPr fontId="24" type="noConversion"/>
  </si>
  <si>
    <t>리스료</t>
    <phoneticPr fontId="24" type="noConversion"/>
  </si>
  <si>
    <t>백만원/월</t>
    <phoneticPr fontId="24" type="noConversion"/>
  </si>
  <si>
    <t>시간당 비용</t>
    <phoneticPr fontId="24" type="noConversion"/>
  </si>
  <si>
    <t>*Nature 질문</t>
    <phoneticPr fontId="24" type="noConversion"/>
  </si>
  <si>
    <t>비율</t>
    <phoneticPr fontId="24" type="noConversion"/>
  </si>
  <si>
    <t>C-Check 정비충당금</t>
    <phoneticPr fontId="24" type="noConversion"/>
  </si>
  <si>
    <t>D-Check 정비충당금</t>
  </si>
  <si>
    <t>D-Check 정비충당금</t>
    <phoneticPr fontId="24" type="noConversion"/>
  </si>
  <si>
    <t>연료비</t>
    <phoneticPr fontId="24" type="noConversion"/>
  </si>
  <si>
    <t>C-Check 정비충당금</t>
    <phoneticPr fontId="24" type="noConversion"/>
  </si>
  <si>
    <t>정류료</t>
  </si>
  <si>
    <t>정류료</t>
    <phoneticPr fontId="24" type="noConversion"/>
  </si>
  <si>
    <t>Gal/hr</t>
  </si>
  <si>
    <t>노선 외 Control</t>
    <phoneticPr fontId="24" type="noConversion"/>
  </si>
  <si>
    <t>적재율</t>
    <phoneticPr fontId="24" type="noConversion"/>
  </si>
  <si>
    <t>국내</t>
    <phoneticPr fontId="24" type="noConversion"/>
  </si>
  <si>
    <t>영업방식</t>
    <phoneticPr fontId="24" type="noConversion"/>
  </si>
  <si>
    <t>직접영업</t>
    <phoneticPr fontId="24" type="noConversion"/>
  </si>
  <si>
    <t>물류시스템</t>
    <phoneticPr fontId="24" type="noConversion"/>
  </si>
  <si>
    <t>환율</t>
    <phoneticPr fontId="24" type="noConversion"/>
  </si>
  <si>
    <t>USD(원/$)</t>
    <phoneticPr fontId="24" type="noConversion"/>
  </si>
  <si>
    <t>유가</t>
    <phoneticPr fontId="24" type="noConversion"/>
  </si>
  <si>
    <t>원/Gal</t>
    <phoneticPr fontId="24" type="noConversion"/>
  </si>
  <si>
    <t>항공기별 노선 Control</t>
    <phoneticPr fontId="24" type="noConversion"/>
  </si>
  <si>
    <t>투입기종</t>
    <phoneticPr fontId="24" type="noConversion"/>
  </si>
  <si>
    <t>도착지</t>
    <phoneticPr fontId="24" type="noConversion"/>
  </si>
  <si>
    <t>주당 노선 소요시간</t>
    <phoneticPr fontId="24" type="noConversion"/>
  </si>
  <si>
    <t>편도 운항당매출(백만원)</t>
    <phoneticPr fontId="24" type="noConversion"/>
  </si>
  <si>
    <t>영업방식 
가중평균가격</t>
    <phoneticPr fontId="24" type="noConversion"/>
  </si>
  <si>
    <t>주당 
공헌비용</t>
    <phoneticPr fontId="24" type="noConversion"/>
  </si>
  <si>
    <t>LEG당
비용</t>
    <phoneticPr fontId="24" type="noConversion"/>
  </si>
  <si>
    <t>국내</t>
    <phoneticPr fontId="24" type="noConversion"/>
  </si>
  <si>
    <t>직접영업</t>
    <phoneticPr fontId="24" type="noConversion"/>
  </si>
  <si>
    <t>물류시스템</t>
    <phoneticPr fontId="24" type="noConversion"/>
  </si>
  <si>
    <t>기준가격(백만원/kg)</t>
    <phoneticPr fontId="24" type="noConversion"/>
  </si>
  <si>
    <t>노선명</t>
    <phoneticPr fontId="24" type="noConversion"/>
  </si>
  <si>
    <t>국제/국내</t>
    <phoneticPr fontId="24" type="noConversion"/>
  </si>
  <si>
    <t>총 왕복 
소요시간</t>
    <phoneticPr fontId="24" type="noConversion"/>
  </si>
  <si>
    <t>주당 운행계획수</t>
    <phoneticPr fontId="24" type="noConversion"/>
  </si>
  <si>
    <t>편도 운항당매출(백만원)</t>
    <phoneticPr fontId="24" type="noConversion"/>
  </si>
  <si>
    <t>적재율</t>
    <phoneticPr fontId="24" type="noConversion"/>
  </si>
  <si>
    <t>시설이용료에 포함</t>
    <phoneticPr fontId="24" type="noConversion"/>
  </si>
  <si>
    <t>LEG당 비용</t>
    <phoneticPr fontId="24" type="noConversion"/>
  </si>
  <si>
    <t>착륙료</t>
  </si>
  <si>
    <t>소음부담금</t>
  </si>
  <si>
    <t>항행안전 시설료</t>
  </si>
  <si>
    <t>조명료</t>
  </si>
  <si>
    <t>항공기상정보</t>
  </si>
  <si>
    <t>탑승교 사용료</t>
  </si>
  <si>
    <t>계류장</t>
  </si>
  <si>
    <t>여객공항이용료 (국내)</t>
  </si>
  <si>
    <t>여객공항이용료 (국제)</t>
  </si>
  <si>
    <t>Check in 카운터</t>
  </si>
  <si>
    <t>시간당비용이라 제외</t>
    <phoneticPr fontId="24" type="noConversion"/>
  </si>
  <si>
    <t>L/D수당</t>
    <phoneticPr fontId="24" type="noConversion"/>
  </si>
  <si>
    <t>기장</t>
    <phoneticPr fontId="24" type="noConversion"/>
  </si>
  <si>
    <t>부기장</t>
    <phoneticPr fontId="24" type="noConversion"/>
  </si>
  <si>
    <t>&gt; 따라서 CM비용내 제거</t>
    <phoneticPr fontId="24" type="noConversion"/>
  </si>
  <si>
    <t>기종별 공헌비용분석</t>
    <phoneticPr fontId="24" type="noConversion"/>
  </si>
  <si>
    <t>*화물이라 해당안되는 것으로 파악</t>
    <phoneticPr fontId="24" type="noConversion"/>
  </si>
  <si>
    <t>From [2.기초자료]상 내용</t>
    <phoneticPr fontId="24" type="noConversion"/>
  </si>
  <si>
    <t>항공기 1대당 1주당 공헌이익(Rev-관련VC) 계산 후, 기타변동비용, 고정비용 계산후 EBITDA 산출</t>
    <phoneticPr fontId="24" type="noConversion"/>
  </si>
  <si>
    <t>관련 VC는 두개의 요소; 운항시간당/LEG당 비용으로 구분후, 각 세부내역 파악</t>
    <phoneticPr fontId="24" type="noConversion"/>
  </si>
  <si>
    <t xml:space="preserve">기타 VC와 FC는 Driver별로 구분필요; 예) 인건비-기장/부기장, 그외 인력, </t>
    <phoneticPr fontId="24" type="noConversion"/>
  </si>
  <si>
    <t>*항공산업진흥법에 따라 신규업체는 착륙료, 조명료, 항행료가 3년동안 면제 고려필요</t>
    <phoneticPr fontId="24" type="noConversion"/>
  </si>
  <si>
    <t>왕복
운항시간</t>
  </si>
  <si>
    <t>왕복
운항시간</t>
    <phoneticPr fontId="24" type="noConversion"/>
  </si>
  <si>
    <t>정류시간</t>
  </si>
  <si>
    <t>정류시간</t>
    <phoneticPr fontId="24" type="noConversion"/>
  </si>
  <si>
    <t>*운항시간이 Driver가 아님, 180903 LEG당 비용으로 수정함</t>
    <phoneticPr fontId="24" type="noConversion"/>
  </si>
  <si>
    <t>주당 총 
운행시간</t>
  </si>
  <si>
    <t>주당 총 
운행시간</t>
    <phoneticPr fontId="24" type="noConversion"/>
  </si>
  <si>
    <t>주당 총 
정류시간</t>
  </si>
  <si>
    <t>주당 총 
정류시간</t>
    <phoneticPr fontId="24" type="noConversion"/>
  </si>
  <si>
    <t>운행시간당 
비용</t>
    <phoneticPr fontId="24" type="noConversion"/>
  </si>
  <si>
    <t>주당 총Payload
(kg)</t>
    <phoneticPr fontId="24" type="noConversion"/>
  </si>
  <si>
    <t>가중평균
적재율</t>
    <phoneticPr fontId="24" type="noConversion"/>
  </si>
  <si>
    <t>KPI</t>
    <phoneticPr fontId="24" type="noConversion"/>
  </si>
  <si>
    <t>주당 
공헌이익</t>
    <phoneticPr fontId="24" type="noConversion"/>
  </si>
  <si>
    <t>NeedToUpdate</t>
    <phoneticPr fontId="24" type="noConversion"/>
  </si>
  <si>
    <t xml:space="preserve">C-Check 정비충당금 / D-Check 정비충당금 관련하여 Nature 질문드립니다.
 - 정비충당금이라면 직접현금비용이 발생하는 개념이 아니라 특정기간만족시 예: 7,000hr, 20,000LEG 시 교체해주는 그런식의 비용인지요?
</t>
    <phoneticPr fontId="24" type="noConversion"/>
  </si>
  <si>
    <t>2018-09-03</t>
    <phoneticPr fontId="24" type="noConversion"/>
  </si>
  <si>
    <t>[2.기초자료]</t>
    <phoneticPr fontId="24" type="noConversion"/>
  </si>
  <si>
    <t>항공기별 노선 구성 내역</t>
    <phoneticPr fontId="24" type="noConversion"/>
  </si>
  <si>
    <t>항공기별 요약</t>
    <phoneticPr fontId="24" type="noConversion"/>
  </si>
  <si>
    <t>Financial Information &gt;&gt;</t>
    <phoneticPr fontId="24" type="noConversion"/>
  </si>
  <si>
    <t>Income statement</t>
    <phoneticPr fontId="24" type="noConversion"/>
  </si>
  <si>
    <t>M1</t>
  </si>
  <si>
    <t>M2</t>
  </si>
  <si>
    <t>M3</t>
  </si>
  <si>
    <t>M4</t>
  </si>
  <si>
    <t>M5</t>
  </si>
  <si>
    <t>M6</t>
  </si>
  <si>
    <t>M7</t>
  </si>
  <si>
    <t>M8</t>
  </si>
  <si>
    <t>M9</t>
  </si>
  <si>
    <t>M10</t>
  </si>
  <si>
    <t>M11</t>
  </si>
  <si>
    <t>M12</t>
  </si>
  <si>
    <t>FY1</t>
    <phoneticPr fontId="24" type="noConversion"/>
  </si>
  <si>
    <t>FY2</t>
    <phoneticPr fontId="24" type="noConversion"/>
  </si>
  <si>
    <t>FY3</t>
    <phoneticPr fontId="24" type="noConversion"/>
  </si>
  <si>
    <t>FY4</t>
    <phoneticPr fontId="24" type="noConversion"/>
  </si>
  <si>
    <t>FY5</t>
    <phoneticPr fontId="24" type="noConversion"/>
  </si>
  <si>
    <t>KRW in millions</t>
    <phoneticPr fontId="24" type="noConversion"/>
  </si>
  <si>
    <t>M13</t>
  </si>
  <si>
    <t>M14</t>
  </si>
  <si>
    <t>M15</t>
  </si>
  <si>
    <t>M16</t>
  </si>
  <si>
    <t>M17</t>
  </si>
  <si>
    <t>M18</t>
  </si>
  <si>
    <t>M19</t>
  </si>
  <si>
    <t>M20</t>
  </si>
  <si>
    <t>M21</t>
  </si>
  <si>
    <t>M22</t>
  </si>
  <si>
    <t>M23</t>
  </si>
  <si>
    <t>M24</t>
  </si>
  <si>
    <t>M25</t>
  </si>
  <si>
    <t>M26</t>
  </si>
  <si>
    <t>M27</t>
  </si>
  <si>
    <t>M28</t>
  </si>
  <si>
    <t>M29</t>
  </si>
  <si>
    <t>M30</t>
  </si>
  <si>
    <t>M31</t>
  </si>
  <si>
    <t>M32</t>
  </si>
  <si>
    <t>M33</t>
  </si>
  <si>
    <t>M34</t>
  </si>
  <si>
    <t>M35</t>
  </si>
  <si>
    <t>M36</t>
  </si>
  <si>
    <t>M37</t>
  </si>
  <si>
    <t>M38</t>
  </si>
  <si>
    <t>M39</t>
  </si>
  <si>
    <t>M40</t>
  </si>
  <si>
    <t>M41</t>
  </si>
  <si>
    <t>M42</t>
  </si>
  <si>
    <t>M43</t>
  </si>
  <si>
    <t>M44</t>
  </si>
  <si>
    <t>M45</t>
  </si>
  <si>
    <t>M46</t>
  </si>
  <si>
    <t>M47</t>
  </si>
  <si>
    <t>M48</t>
  </si>
  <si>
    <t>M49</t>
  </si>
  <si>
    <t>M50</t>
  </si>
  <si>
    <t>M51</t>
  </si>
  <si>
    <t>M52</t>
  </si>
  <si>
    <t>M53</t>
  </si>
  <si>
    <t>M54</t>
  </si>
  <si>
    <t>M55</t>
  </si>
  <si>
    <t>M56</t>
  </si>
  <si>
    <t>M57</t>
  </si>
  <si>
    <t>M58</t>
  </si>
  <si>
    <t>M59</t>
  </si>
  <si>
    <t>M60</t>
  </si>
  <si>
    <t>투입시기</t>
    <phoneticPr fontId="24" type="noConversion"/>
  </si>
  <si>
    <t>기종</t>
    <phoneticPr fontId="24" type="noConversion"/>
  </si>
  <si>
    <t>From Control</t>
    <phoneticPr fontId="24" type="noConversion"/>
  </si>
  <si>
    <t>주</t>
    <phoneticPr fontId="24" type="noConversion"/>
  </si>
  <si>
    <t xml:space="preserve">공항정류료 관련하여 질문드립니다.
 - Nature 설명 간략하게 부탁드립니다.
 - MTOW에 연동이 되어있는 것으로 보이는데 맞나요? 수식 설명 부탁드립니다.
 - LEG당 비용으로 전환시키는 것이 좀 더 의미있기에 전환하였으니 확인부탁드립니다. 
(비용정리 Sheet 참고부탁드립니다; "수식=0.00011*기종별MTOW*2*1"으로 적용하였으나 "*2"는 무슨의미인지요? 제가 "*1"한것은 정류시간 1시간으로 가정한 것입니다.)
</t>
    <phoneticPr fontId="24" type="noConversion"/>
  </si>
  <si>
    <t xml:space="preserve">[2.기초자료]에서 항공산업진흥법에 따라 신규업체는 착륙료, 조명료, 항행료가 3년동안 면제 고려필요 한다고 설명이 써져있는데 관련내용 질문드립니다.
 - 여기서 항행료가 항행안전시설료를 말하는지요?
 - 3년동안 면세가 시작되는 시기는 언제인가요?; 첫 항공기가 운항을 시작하는 달부터 3년인가요?
</t>
    <phoneticPr fontId="24" type="noConversion"/>
  </si>
  <si>
    <t>공헌비용</t>
    <phoneticPr fontId="24" type="noConversion"/>
  </si>
  <si>
    <t>공헌수익</t>
    <phoneticPr fontId="24" type="noConversion"/>
  </si>
  <si>
    <t>공헌이익</t>
    <phoneticPr fontId="24" type="noConversion"/>
  </si>
  <si>
    <t>"$/hr 단위"로 되어있는 부분이 아니라 "시간당 Maintenance"의 금액이 최종 확인된 금액입니다.
-&gt;내부 정비사를 두고 + 국내 정비위탁업체에 의뢰된 금액
$/hr의 경우 100% 외주로 정비를 운영했을 경우 
※ 델타, 버진아틀란타, GECAS 등</t>
  </si>
  <si>
    <t>운항승무원의 경우는 비행시간당 비행수당과 LEG별 랜딩수당이 추가됩니다.</t>
  </si>
  <si>
    <t xml:space="preserve">항로이용료는 항로별로 다른 것이 맞습니다.
항로별 항로이용료 확인 후 평균값으로 적용되어있습니다. 
 ※ 이유는 투자 미팅 시, 10개 회사 중 8개 회사 정도의 비율로 너무 복잡하다 하여 간단히 해달라는 요청으로 그렇게 된것입니다. 
3년차 기준으로 취항지 
제주  0불 
하노이  255불
호치민  255불
나리타  2820불
다낭  455불
방콕  455불
옌타이  281불
투자처의 요청으로 3년치 취항지 7곳의 항로이용료를 더하여 나눈 수치가 
645불 
당시 환율을 고려하여 나온 수치입니다. </t>
  </si>
  <si>
    <t>일정 주기(운항시간 혹은 운항LEG)가 도래하면 주기마다 정비를 해야 합니다.
실제로는 해당 주기마다 비용이 발생하지만, 충당금의 형식으로 적용되어있습니다.</t>
  </si>
  <si>
    <t>MTOW 별로 적용이 됩니다.
MTOW 외 시간기준이 매30분이 적용되어있어,
1시간으로 책정하기 위해서 "*2"의 수식이 들어가 있습니다.
※ 실제로는 훨씬 가격이 싼 청주공항에 취항하지만 가장 비싸고 보수적인 기준이 될 수 있는 인천공항을 기준으로 부과기준 삼게됨</t>
  </si>
  <si>
    <t>항행료는 항행안전시설료 입니다.
AIP에 정확하게 기재되어 있음
신규취항의 경우, 착륙료, 정류료, 조명료가 3년간 면제 됩니다.</t>
  </si>
  <si>
    <t>*QnA 답변통해 [2.기초자료]의 시간당 Maintenenace의 금액이 최종확인</t>
    <phoneticPr fontId="24" type="noConversion"/>
  </si>
  <si>
    <t>*QnA통하여 [2.기초자료]의 시간당 Maintenance가 최종 data로 확인</t>
    <phoneticPr fontId="24" type="noConversion"/>
  </si>
  <si>
    <t>2018-09-06</t>
    <phoneticPr fontId="24" type="noConversion"/>
  </si>
  <si>
    <t>질문</t>
    <phoneticPr fontId="24" type="noConversion"/>
  </si>
  <si>
    <t xml:space="preserve">상기 질문에 대한 답변에 이어서,
 - LEG별 랜딩수당은 해당 항공기에 타고 있는 모든 기장/부기장이 LEG 횟수에 따라 받는것인가요?
 - 비행시간당 비행수당 역시 상기 질문과 동일하게 해당 항공기에 타고 있는 모든 기장/부기장이 비행시간에 따라 받는 것인가요?
</t>
    <phoneticPr fontId="24" type="noConversion"/>
  </si>
  <si>
    <t>[2.기초자료_정리]&amp;[CM]에 해당사항 반영함</t>
    <phoneticPr fontId="24" type="noConversion"/>
  </si>
  <si>
    <t>관련내용 하기에 추가질의 및 답변에 따라 CM에 반영여부</t>
    <phoneticPr fontId="24" type="noConversion"/>
  </si>
  <si>
    <t xml:space="preserve">[3.매출 및 변동비] 의 "공항료(국내)" 의 경우,
엑셀 수정시 고정값으로 수정된 것으로 확인하였습니다.
현재 적용되어 있는 값은 비용이 더 많이 나가도록 되도록 하기 위해서 수정한 것으로 확인됩니다.
</t>
    <phoneticPr fontId="24" type="noConversion"/>
  </si>
  <si>
    <t>*1</t>
    <phoneticPr fontId="24" type="noConversion"/>
  </si>
  <si>
    <t>*시간당비용이라 LEG당비용에서 제거했으나, LEG당 시간으로 계산 전환필요; (180904 Nature파악전; 반영 기존 [2.기초자료]상 수식에 정류시간 1시간 반영 &gt; 180906 QnA 답변상 30분 단위라 *2로 수식(1시간적용완료))</t>
    <phoneticPr fontId="24" type="noConversion"/>
  </si>
  <si>
    <t>반영함</t>
    <phoneticPr fontId="24" type="noConversion"/>
  </si>
  <si>
    <t xml:space="preserve">상기 질문에 대한 답변에 대하여, AIP가 무엇인가요?
</t>
    <phoneticPr fontId="24" type="noConversion"/>
  </si>
  <si>
    <t>2018-09-06</t>
    <phoneticPr fontId="24" type="noConversion"/>
  </si>
  <si>
    <t>반영함; 현재 CM상 반영된 내역으로 인정</t>
    <phoneticPr fontId="24" type="noConversion"/>
  </si>
  <si>
    <t>항로이용료</t>
    <phoneticPr fontId="24" type="noConversion"/>
  </si>
  <si>
    <t>자료요청</t>
    <phoneticPr fontId="24" type="noConversion"/>
  </si>
  <si>
    <t xml:space="preserve">[노선정리]sheet의 T열에 노선별 항로이용료(편도) USD 기준으로 자료요청드립니다. 
</t>
    <phoneticPr fontId="24" type="noConversion"/>
  </si>
  <si>
    <t>Details</t>
    <phoneticPr fontId="24" type="noConversion"/>
  </si>
  <si>
    <t>Status</t>
    <phoneticPr fontId="24" type="noConversion"/>
  </si>
  <si>
    <t>Respond</t>
  </si>
  <si>
    <t>Respond</t>
    <phoneticPr fontId="24" type="noConversion"/>
  </si>
  <si>
    <t>Waiting</t>
    <phoneticPr fontId="24" type="noConversion"/>
  </si>
  <si>
    <t xml:space="preserve">B777 관련하여 자료 기존에 제공된 방식과 동일한 방식으로 자료요청드립니다.
</t>
    <phoneticPr fontId="24" type="noConversion"/>
  </si>
  <si>
    <t>연료비</t>
    <phoneticPr fontId="24" type="noConversion"/>
  </si>
  <si>
    <t>유지비</t>
    <phoneticPr fontId="24" type="noConversion"/>
  </si>
  <si>
    <t>공항료(국내+국제)+착류료</t>
    <phoneticPr fontId="24" type="noConversion"/>
  </si>
  <si>
    <t>질문</t>
    <phoneticPr fontId="24" type="noConversion"/>
  </si>
  <si>
    <t>지상조업</t>
    <phoneticPr fontId="24" type="noConversion"/>
  </si>
  <si>
    <t xml:space="preserve">운항관련 비용 중 추가정비비는 무엇인가요?
 - 수식확인 결과 737,767 모두 연간 1억 발생이되는 것으로 파악됩니다.
</t>
    <phoneticPr fontId="24" type="noConversion"/>
  </si>
  <si>
    <t>추가질문</t>
    <phoneticPr fontId="24" type="noConversion"/>
  </si>
  <si>
    <t>비행수당</t>
    <phoneticPr fontId="24" type="noConversion"/>
  </si>
  <si>
    <t>추가정비비</t>
    <phoneticPr fontId="24" type="noConversion"/>
  </si>
  <si>
    <t>기타변동비용</t>
    <phoneticPr fontId="24" type="noConversion"/>
  </si>
  <si>
    <t>기타고정비용</t>
    <phoneticPr fontId="24" type="noConversion"/>
  </si>
  <si>
    <t>인건비</t>
    <phoneticPr fontId="24" type="noConversion"/>
  </si>
  <si>
    <t>임원</t>
    <phoneticPr fontId="24" type="noConversion"/>
  </si>
  <si>
    <t>운항</t>
    <phoneticPr fontId="24" type="noConversion"/>
  </si>
  <si>
    <t>정비</t>
    <phoneticPr fontId="24" type="noConversion"/>
  </si>
  <si>
    <t>관리</t>
    <phoneticPr fontId="24" type="noConversion"/>
  </si>
  <si>
    <t>영업</t>
    <phoneticPr fontId="24" type="noConversion"/>
  </si>
  <si>
    <t>퇴직충당금</t>
    <phoneticPr fontId="24" type="noConversion"/>
  </si>
  <si>
    <t>복리후생비</t>
    <phoneticPr fontId="24" type="noConversion"/>
  </si>
  <si>
    <t>공헌비용 포함여부 
Driver 분석</t>
    <phoneticPr fontId="24" type="noConversion"/>
  </si>
  <si>
    <t>기타비용분석</t>
    <phoneticPr fontId="24" type="noConversion"/>
  </si>
  <si>
    <t>비행기대수</t>
    <phoneticPr fontId="24" type="noConversion"/>
  </si>
  <si>
    <t>인원수</t>
    <phoneticPr fontId="24" type="noConversion"/>
  </si>
  <si>
    <t>대표이사</t>
  </si>
  <si>
    <t>전략기획본부장 (부사장)</t>
  </si>
  <si>
    <t>고문, 임원 (AOC 담당)</t>
  </si>
  <si>
    <t># Driver</t>
    <phoneticPr fontId="24" type="noConversion"/>
  </si>
  <si>
    <t>본부장</t>
  </si>
  <si>
    <t>여객팀장</t>
  </si>
  <si>
    <t>여객팀 사무장</t>
  </si>
  <si>
    <t>객실승무원</t>
  </si>
  <si>
    <t>운항관리사 선임</t>
  </si>
  <si>
    <t>운항관리사</t>
  </si>
  <si>
    <t>안전보안</t>
  </si>
  <si>
    <t>운항통제실장</t>
  </si>
  <si>
    <t>운항통제</t>
  </si>
  <si>
    <t>운항교육 (2년 계약)</t>
  </si>
  <si>
    <t>화물운송관리</t>
  </si>
  <si>
    <t>항공기/노선수</t>
    <phoneticPr fontId="24" type="noConversion"/>
  </si>
  <si>
    <t>Commentary</t>
    <phoneticPr fontId="24" type="noConversion"/>
  </si>
  <si>
    <t>n.a.</t>
    <phoneticPr fontId="24" type="noConversion"/>
  </si>
  <si>
    <t>정비관리</t>
  </si>
  <si>
    <t>책임</t>
  </si>
  <si>
    <t>라인정비</t>
  </si>
  <si>
    <t>인턴, 실습</t>
  </si>
  <si>
    <t>비행기종류/대수</t>
    <phoneticPr fontId="24" type="noConversion"/>
  </si>
  <si>
    <t>실장</t>
  </si>
  <si>
    <t>부장</t>
  </si>
  <si>
    <t>차장</t>
  </si>
  <si>
    <t>과장</t>
  </si>
  <si>
    <t>대리</t>
  </si>
  <si>
    <t>사원</t>
  </si>
  <si>
    <t>겸직자</t>
  </si>
  <si>
    <t>지사 1</t>
  </si>
  <si>
    <t>인원수*임금*0.1/month</t>
    <phoneticPr fontId="24" type="noConversion"/>
  </si>
  <si>
    <t>인당 3만/월</t>
  </si>
  <si>
    <t>인당 20만/연</t>
  </si>
  <si>
    <t>차량대수</t>
    <phoneticPr fontId="24" type="noConversion"/>
  </si>
  <si>
    <t>*1</t>
    <phoneticPr fontId="24" type="noConversion"/>
  </si>
  <si>
    <t>사무실 보증금</t>
  </si>
  <si>
    <t>사무실 월세</t>
  </si>
  <si>
    <t>정비창고</t>
  </si>
  <si>
    <t>헹어</t>
  </si>
  <si>
    <t>화물터미널</t>
  </si>
  <si>
    <t>기장 숙소</t>
  </si>
  <si>
    <t>FOQA</t>
  </si>
  <si>
    <t>ETD</t>
  </si>
  <si>
    <t>물류관리시스템</t>
  </si>
  <si>
    <t>운항관리시스템</t>
  </si>
  <si>
    <t>리저브 파트</t>
  </si>
  <si>
    <t>소모파트</t>
  </si>
  <si>
    <t>정비 공구 및 장비</t>
  </si>
  <si>
    <t>정비예비비</t>
  </si>
  <si>
    <t>정비차량구매</t>
  </si>
  <si>
    <t>항공기리스보증금</t>
  </si>
  <si>
    <t>사무실보증금</t>
  </si>
  <si>
    <t>시스템</t>
  </si>
  <si>
    <t>정비공구 및 장비</t>
  </si>
  <si>
    <t>차량</t>
  </si>
  <si>
    <t>차량(정비,지사,운항지원 등)</t>
  </si>
  <si>
    <t>자산비용</t>
    <phoneticPr fontId="24" type="noConversion"/>
  </si>
  <si>
    <t>일반적인 리스기간은 얼마인지? IFRS 수정으로 운용리스모두 금융리스로 전환, 계약기간상 남은 리스료의 잔존금액을 금융자산/금융부채로인식하여야함 - 신용따라 다르나, 3년,5년,10년 -  현재회사는 5년</t>
    <phoneticPr fontId="24" type="noConversion"/>
  </si>
  <si>
    <t>Cost per Driver</t>
    <phoneticPr fontId="24" type="noConversion"/>
  </si>
  <si>
    <t>KRW in millions</t>
    <phoneticPr fontId="24" type="noConversion"/>
  </si>
  <si>
    <t>FC</t>
  </si>
  <si>
    <t>FC</t>
    <phoneticPr fontId="24" type="noConversion"/>
  </si>
  <si>
    <t>n.a</t>
  </si>
  <si>
    <t>n.a</t>
    <phoneticPr fontId="24" type="noConversion"/>
  </si>
  <si>
    <t>회사제시</t>
    <phoneticPr fontId="24" type="noConversion"/>
  </si>
  <si>
    <t>기타고정비용</t>
  </si>
  <si>
    <t>인원수</t>
  </si>
  <si>
    <t>n.a.</t>
  </si>
  <si>
    <t>항공기/노선수</t>
  </si>
  <si>
    <t># 비행기, # 노선, 노선시간</t>
  </si>
  <si>
    <t># 비행기</t>
  </si>
  <si>
    <t>비행기대수</t>
  </si>
  <si>
    <t>비행기종류/대수</t>
  </si>
  <si>
    <t># 취항국가</t>
  </si>
  <si>
    <t>인원수*임금*0.1/month</t>
  </si>
  <si>
    <t>퇴직충당금 제외 인건비의 0.08435</t>
  </si>
  <si>
    <t>차량대수</t>
  </si>
  <si>
    <t>자산비용</t>
  </si>
  <si>
    <t>적용방법</t>
    <phoneticPr fontId="24" type="noConversion"/>
  </si>
  <si>
    <t>FC/VC</t>
    <phoneticPr fontId="24" type="noConversion"/>
  </si>
  <si>
    <t>회사제시</t>
    <phoneticPr fontId="24" type="noConversion"/>
  </si>
  <si>
    <t>따로분석</t>
    <phoneticPr fontId="24" type="noConversion"/>
  </si>
  <si>
    <t>따로분석</t>
    <phoneticPr fontId="24" type="noConversion"/>
  </si>
  <si>
    <t>기타고정비용 - 인원수</t>
    <phoneticPr fontId="24" type="noConversion"/>
  </si>
  <si>
    <t>회사제시</t>
    <phoneticPr fontId="24" type="noConversion"/>
  </si>
  <si>
    <t>FC</t>
    <phoneticPr fontId="24" type="noConversion"/>
  </si>
  <si>
    <t>VC</t>
    <phoneticPr fontId="24" type="noConversion"/>
  </si>
  <si>
    <t>평수비례&amp;연간</t>
    <phoneticPr fontId="24" type="noConversion"/>
  </si>
  <si>
    <t>인건비</t>
    <phoneticPr fontId="24" type="noConversion"/>
  </si>
  <si>
    <t>첫 비행기 투입시기보다 2-3개월 먼저</t>
    <phoneticPr fontId="24" type="noConversion"/>
  </si>
  <si>
    <t>임차료</t>
    <phoneticPr fontId="24" type="noConversion"/>
  </si>
  <si>
    <t>Y1</t>
    <phoneticPr fontId="24" type="noConversion"/>
  </si>
  <si>
    <t>인천</t>
    <phoneticPr fontId="24" type="noConversion"/>
  </si>
  <si>
    <t>청주</t>
    <phoneticPr fontId="24" type="noConversion"/>
  </si>
  <si>
    <t>지사</t>
  </si>
  <si>
    <t>보세</t>
  </si>
  <si>
    <t>부품</t>
  </si>
  <si>
    <t>본사</t>
  </si>
  <si>
    <t>Y2</t>
    <phoneticPr fontId="24" type="noConversion"/>
  </si>
  <si>
    <t>Y3</t>
    <phoneticPr fontId="24" type="noConversion"/>
  </si>
  <si>
    <t>Y4</t>
    <phoneticPr fontId="24" type="noConversion"/>
  </si>
  <si>
    <t>Y5</t>
    <phoneticPr fontId="24" type="noConversion"/>
  </si>
  <si>
    <t>회사제시</t>
    <phoneticPr fontId="24" type="noConversion"/>
  </si>
  <si>
    <t>차량</t>
    <phoneticPr fontId="24" type="noConversion"/>
  </si>
  <si>
    <t>대수</t>
    <phoneticPr fontId="24" type="noConversion"/>
  </si>
  <si>
    <t>공헌비용으로 올림</t>
    <phoneticPr fontId="24" type="noConversion"/>
  </si>
  <si>
    <t>DCF</t>
    <phoneticPr fontId="24" type="noConversion"/>
  </si>
  <si>
    <t xml:space="preserve">항공기 리스 보증금 및 사무실 보증금은 Cash based DCF 측면에서 현금유출은 있으나 실제로 이자비용만큼 부담하는 것이므로 관련된 금액의 기간이자비용을 지급이자 항목에 넣어서 처리하는 것이 어떠한가?
</t>
    <phoneticPr fontId="24" type="noConversion"/>
  </si>
  <si>
    <t xml:space="preserve">일정기간 유지해야하는 정비공구 및 장치는 초기 최대 금액이 들어가고 예상평균감가상각률 만큼 재투자되는 식으로 가정이 들어가야하는 것이 올바르지않은가?
</t>
    <phoneticPr fontId="24" type="noConversion"/>
  </si>
  <si>
    <t>2018-09-10</t>
    <phoneticPr fontId="24" type="noConversion"/>
  </si>
  <si>
    <t>항공기</t>
    <phoneticPr fontId="24" type="noConversion"/>
  </si>
  <si>
    <t>From Control</t>
    <phoneticPr fontId="24" type="noConversion"/>
  </si>
  <si>
    <t>항공기</t>
    <phoneticPr fontId="24" type="noConversion"/>
  </si>
  <si>
    <t>주당 노선 소요시간</t>
    <phoneticPr fontId="24" type="noConversion"/>
  </si>
  <si>
    <t>필요 
기장수</t>
    <phoneticPr fontId="24" type="noConversion"/>
  </si>
  <si>
    <t>기장/부기장수</t>
    <phoneticPr fontId="24" type="noConversion"/>
  </si>
  <si>
    <t>기장</t>
    <phoneticPr fontId="24" type="noConversion"/>
  </si>
  <si>
    <t>부기장</t>
    <phoneticPr fontId="24" type="noConversion"/>
  </si>
  <si>
    <t>비행기대수*2</t>
    <phoneticPr fontId="24" type="noConversion"/>
  </si>
  <si>
    <t>기종대수</t>
    <phoneticPr fontId="24" type="noConversion"/>
  </si>
  <si>
    <t>주당 노선 LEG</t>
    <phoneticPr fontId="24" type="noConversion"/>
  </si>
  <si>
    <t>항공기수</t>
    <phoneticPr fontId="24" type="noConversion"/>
  </si>
  <si>
    <t>연간 대당 100백만원</t>
    <phoneticPr fontId="24" type="noConversion"/>
  </si>
  <si>
    <t>LEG정리</t>
    <phoneticPr fontId="24" type="noConversion"/>
  </si>
  <si>
    <t>LEG</t>
    <phoneticPr fontId="24" type="noConversion"/>
  </si>
  <si>
    <t>Monthly LEG</t>
    <phoneticPr fontId="24" type="noConversion"/>
  </si>
  <si>
    <t>항공기리스보증금</t>
    <phoneticPr fontId="24" type="noConversion"/>
  </si>
  <si>
    <t>항공기리스보증금_정리</t>
    <phoneticPr fontId="24" type="noConversion"/>
  </si>
  <si>
    <t>FY1</t>
    <phoneticPr fontId="24" type="noConversion"/>
  </si>
  <si>
    <t>FY2</t>
    <phoneticPr fontId="24" type="noConversion"/>
  </si>
  <si>
    <t>FY3</t>
    <phoneticPr fontId="24" type="noConversion"/>
  </si>
  <si>
    <t>FY4</t>
    <phoneticPr fontId="24" type="noConversion"/>
  </si>
  <si>
    <t>FY5</t>
    <phoneticPr fontId="24" type="noConversion"/>
  </si>
  <si>
    <t>EBIT</t>
    <phoneticPr fontId="24" type="noConversion"/>
  </si>
  <si>
    <t>Cost per year</t>
    <phoneticPr fontId="24" type="noConversion"/>
  </si>
  <si>
    <t>기타운항변동비용</t>
    <phoneticPr fontId="24" type="noConversion"/>
  </si>
  <si>
    <t>기타그외변동비용</t>
    <phoneticPr fontId="24" type="noConversion"/>
  </si>
  <si>
    <t>기타고정비용</t>
    <phoneticPr fontId="24" type="noConversion"/>
  </si>
  <si>
    <t>유형자산감가상각비</t>
    <phoneticPr fontId="24" type="noConversion"/>
  </si>
  <si>
    <t>무형자산상각비</t>
    <phoneticPr fontId="24" type="noConversion"/>
  </si>
  <si>
    <t>CapEx</t>
    <phoneticPr fontId="24" type="noConversion"/>
  </si>
  <si>
    <t>회사제시 - 자산비용</t>
    <phoneticPr fontId="24" type="noConversion"/>
  </si>
  <si>
    <t>투입기종</t>
  </si>
  <si>
    <t>USD mn</t>
    <phoneticPr fontId="24" type="noConversion"/>
  </si>
  <si>
    <t>From IS_other sheet</t>
    <phoneticPr fontId="24" type="noConversion"/>
  </si>
  <si>
    <t>FY5</t>
    <phoneticPr fontId="24" type="noConversion"/>
  </si>
  <si>
    <t>FY1</t>
    <phoneticPr fontId="24" type="noConversion"/>
  </si>
  <si>
    <t>FY2</t>
    <phoneticPr fontId="24" type="noConversion"/>
  </si>
  <si>
    <t>FY3</t>
    <phoneticPr fontId="24" type="noConversion"/>
  </si>
  <si>
    <t>FY4</t>
    <phoneticPr fontId="24" type="noConversion"/>
  </si>
  <si>
    <t>FY5</t>
    <phoneticPr fontId="24" type="noConversion"/>
  </si>
  <si>
    <t>공헌비용</t>
    <phoneticPr fontId="24" type="noConversion"/>
  </si>
  <si>
    <t>공헌수익</t>
    <phoneticPr fontId="24" type="noConversion"/>
  </si>
  <si>
    <t>기타비용</t>
    <phoneticPr fontId="24" type="noConversion"/>
  </si>
  <si>
    <t>기타운항변동비용</t>
    <phoneticPr fontId="24" type="noConversion"/>
  </si>
  <si>
    <t>기타그외변동비용</t>
    <phoneticPr fontId="24" type="noConversion"/>
  </si>
  <si>
    <t>기타고정비용</t>
    <phoneticPr fontId="24" type="noConversion"/>
  </si>
  <si>
    <t>무형자산상각비</t>
    <phoneticPr fontId="24" type="noConversion"/>
  </si>
  <si>
    <t>유형자산감가상각비</t>
    <phoneticPr fontId="24" type="noConversion"/>
  </si>
  <si>
    <t>EBIT</t>
    <phoneticPr fontId="24" type="noConversion"/>
  </si>
  <si>
    <t>이자수익</t>
    <phoneticPr fontId="24" type="noConversion"/>
  </si>
  <si>
    <t>이자비용</t>
    <phoneticPr fontId="24" type="noConversion"/>
  </si>
  <si>
    <t>기타수익</t>
    <phoneticPr fontId="24" type="noConversion"/>
  </si>
  <si>
    <t>Non Operating Income/Expense</t>
    <phoneticPr fontId="24" type="noConversion"/>
  </si>
  <si>
    <t>EBT</t>
    <phoneticPr fontId="24" type="noConversion"/>
  </si>
  <si>
    <t>Tax</t>
    <phoneticPr fontId="24" type="noConversion"/>
  </si>
  <si>
    <t>NI</t>
    <phoneticPr fontId="24" type="noConversion"/>
  </si>
  <si>
    <t>유형자산</t>
    <phoneticPr fontId="24" type="noConversion"/>
  </si>
  <si>
    <t>무형자산</t>
    <phoneticPr fontId="24" type="noConversion"/>
  </si>
  <si>
    <t>정비공구및장비</t>
  </si>
  <si>
    <t>정비공구및장비</t>
    <phoneticPr fontId="24" type="noConversion"/>
  </si>
  <si>
    <t>차랑운반구</t>
  </si>
  <si>
    <t>차랑운반구</t>
    <phoneticPr fontId="24" type="noConversion"/>
  </si>
  <si>
    <t>내용연수</t>
    <phoneticPr fontId="24" type="noConversion"/>
  </si>
  <si>
    <t>시스템</t>
    <phoneticPr fontId="24" type="noConversion"/>
  </si>
  <si>
    <t>시스템</t>
    <phoneticPr fontId="24" type="noConversion"/>
  </si>
  <si>
    <t>기초</t>
    <phoneticPr fontId="24" type="noConversion"/>
  </si>
  <si>
    <t>취득</t>
    <phoneticPr fontId="24" type="noConversion"/>
  </si>
  <si>
    <t>상각</t>
    <phoneticPr fontId="24" type="noConversion"/>
  </si>
  <si>
    <t>처분</t>
    <phoneticPr fontId="24" type="noConversion"/>
  </si>
  <si>
    <t>기말</t>
    <phoneticPr fontId="24" type="noConversion"/>
  </si>
  <si>
    <t>유형자산</t>
    <phoneticPr fontId="24" type="noConversion"/>
  </si>
  <si>
    <t>현금및현금성자산</t>
    <phoneticPr fontId="24" type="noConversion"/>
  </si>
  <si>
    <t>매출채권</t>
    <phoneticPr fontId="24" type="noConversion"/>
  </si>
  <si>
    <t>기타유동자산</t>
    <phoneticPr fontId="24" type="noConversion"/>
  </si>
  <si>
    <t>비유동자산</t>
    <phoneticPr fontId="24" type="noConversion"/>
  </si>
  <si>
    <t>보증금</t>
    <phoneticPr fontId="24" type="noConversion"/>
  </si>
  <si>
    <t>항공기리스보증금</t>
    <phoneticPr fontId="24" type="noConversion"/>
  </si>
  <si>
    <t>기타보증금</t>
    <phoneticPr fontId="24" type="noConversion"/>
  </si>
  <si>
    <t>Others</t>
    <phoneticPr fontId="24" type="noConversion"/>
  </si>
  <si>
    <t>PP&amp;E and Intangible assets</t>
    <phoneticPr fontId="24" type="noConversion"/>
  </si>
  <si>
    <t>Other non-current assets</t>
    <phoneticPr fontId="24" type="noConversion"/>
  </si>
  <si>
    <t>보증금</t>
    <phoneticPr fontId="24" type="noConversion"/>
  </si>
  <si>
    <t>기타보증금</t>
    <phoneticPr fontId="24" type="noConversion"/>
  </si>
  <si>
    <t>항공기보증금</t>
    <phoneticPr fontId="24" type="noConversion"/>
  </si>
  <si>
    <t>Schedule</t>
    <phoneticPr fontId="24" type="noConversion"/>
  </si>
  <si>
    <t>추가취득</t>
    <phoneticPr fontId="24" type="noConversion"/>
  </si>
  <si>
    <t>Financial Statements</t>
    <phoneticPr fontId="24" type="noConversion"/>
  </si>
  <si>
    <t>정비공구및장비</t>
    <phoneticPr fontId="24" type="noConversion"/>
  </si>
  <si>
    <t>차량운반구</t>
    <phoneticPr fontId="24" type="noConversion"/>
  </si>
  <si>
    <t>무형자산</t>
    <phoneticPr fontId="24" type="noConversion"/>
  </si>
  <si>
    <t>시스템</t>
    <phoneticPr fontId="24" type="noConversion"/>
  </si>
  <si>
    <t>유동부채</t>
    <phoneticPr fontId="24" type="noConversion"/>
  </si>
  <si>
    <t>비유동부채</t>
    <phoneticPr fontId="24" type="noConversion"/>
  </si>
  <si>
    <t>자본</t>
    <phoneticPr fontId="24" type="noConversion"/>
  </si>
  <si>
    <t>자본금</t>
    <phoneticPr fontId="24" type="noConversion"/>
  </si>
  <si>
    <t>이익잉여금</t>
    <phoneticPr fontId="24" type="noConversion"/>
  </si>
  <si>
    <t>Income Statement</t>
    <phoneticPr fontId="24" type="noConversion"/>
  </si>
  <si>
    <t>총자산</t>
    <phoneticPr fontId="24" type="noConversion"/>
  </si>
  <si>
    <t>Cashflow statement</t>
    <phoneticPr fontId="24" type="noConversion"/>
  </si>
  <si>
    <t>영업활동현금흐름</t>
    <phoneticPr fontId="24" type="noConversion"/>
  </si>
  <si>
    <t>당기순이익</t>
    <phoneticPr fontId="24" type="noConversion"/>
  </si>
  <si>
    <t>과표</t>
  </si>
  <si>
    <t>세율</t>
  </si>
  <si>
    <t>차감액</t>
  </si>
  <si>
    <t>Tax rate</t>
    <phoneticPr fontId="24" type="noConversion"/>
  </si>
  <si>
    <t>현금흐름이없는비용등의가산</t>
    <phoneticPr fontId="24" type="noConversion"/>
  </si>
  <si>
    <t>감가상각비</t>
    <phoneticPr fontId="24" type="noConversion"/>
  </si>
  <si>
    <t>현금유입이없는수익등의차감</t>
    <phoneticPr fontId="24" type="noConversion"/>
  </si>
  <si>
    <t>영업활동으로인한자산부채변동</t>
    <phoneticPr fontId="24" type="noConversion"/>
  </si>
  <si>
    <t>매출채권의감소(증가)</t>
    <phoneticPr fontId="24" type="noConversion"/>
  </si>
  <si>
    <t>기타유동자산의감소(증가)</t>
    <phoneticPr fontId="24" type="noConversion"/>
  </si>
  <si>
    <t>매입채무의증가(감소)</t>
    <phoneticPr fontId="24" type="noConversion"/>
  </si>
  <si>
    <t>기타유동부채의증가(감소)</t>
    <phoneticPr fontId="24" type="noConversion"/>
  </si>
  <si>
    <t>투자활동으로인한현금흐름</t>
    <phoneticPr fontId="24" type="noConversion"/>
  </si>
  <si>
    <t>투자활동으로인한현금유입액</t>
    <phoneticPr fontId="24" type="noConversion"/>
  </si>
  <si>
    <t>투자활동으로인한현금유출액</t>
    <phoneticPr fontId="24" type="noConversion"/>
  </si>
  <si>
    <t>보증금</t>
    <phoneticPr fontId="24" type="noConversion"/>
  </si>
  <si>
    <t>항공기보증금</t>
    <phoneticPr fontId="24" type="noConversion"/>
  </si>
  <si>
    <t>기타보증금</t>
    <phoneticPr fontId="24" type="noConversion"/>
  </si>
  <si>
    <t>유형자산의취득</t>
    <phoneticPr fontId="24" type="noConversion"/>
  </si>
  <si>
    <t>무형자산의취득</t>
    <phoneticPr fontId="24" type="noConversion"/>
  </si>
  <si>
    <t>정비공구및장비</t>
    <phoneticPr fontId="24" type="noConversion"/>
  </si>
  <si>
    <t>차량운반구</t>
    <phoneticPr fontId="24" type="noConversion"/>
  </si>
  <si>
    <t>시스템</t>
    <phoneticPr fontId="24" type="noConversion"/>
  </si>
  <si>
    <t>기초현금</t>
    <phoneticPr fontId="24" type="noConversion"/>
  </si>
  <si>
    <t>현금의증감</t>
    <phoneticPr fontId="24" type="noConversion"/>
  </si>
  <si>
    <t>기말현금</t>
    <phoneticPr fontId="24" type="noConversion"/>
  </si>
  <si>
    <t>재무활동으로인한현금흐름</t>
    <phoneticPr fontId="24" type="noConversion"/>
  </si>
  <si>
    <t>재무활동으로인한현금유입액</t>
    <phoneticPr fontId="24" type="noConversion"/>
  </si>
  <si>
    <t>재무활동으로인한현금유출액</t>
    <phoneticPr fontId="24" type="noConversion"/>
  </si>
  <si>
    <t>총부채</t>
    <phoneticPr fontId="24" type="noConversion"/>
  </si>
  <si>
    <t>총부채와자본</t>
    <phoneticPr fontId="24" type="noConversion"/>
  </si>
  <si>
    <t>Check</t>
    <phoneticPr fontId="24" type="noConversion"/>
  </si>
  <si>
    <t>2018-09-21</t>
    <phoneticPr fontId="24" type="noConversion"/>
  </si>
  <si>
    <t xml:space="preserve"> </t>
    <phoneticPr fontId="24" type="noConversion"/>
  </si>
  <si>
    <t>Discounted Cashflow</t>
    <phoneticPr fontId="24" type="noConversion"/>
  </si>
  <si>
    <t>DCF</t>
    <phoneticPr fontId="24" type="noConversion"/>
  </si>
  <si>
    <t>Growth, year-over-year</t>
    <phoneticPr fontId="24" type="noConversion"/>
  </si>
  <si>
    <t>Schedule for CapEx and D&amp;A</t>
    <phoneticPr fontId="24" type="noConversion"/>
  </si>
  <si>
    <t>Contribution cost</t>
    <phoneticPr fontId="24" type="noConversion"/>
  </si>
  <si>
    <t>n.a.</t>
    <phoneticPr fontId="24" type="noConversion"/>
  </si>
  <si>
    <t>Contribution revenue</t>
    <phoneticPr fontId="24" type="noConversion"/>
  </si>
  <si>
    <t>Contribution margin</t>
    <phoneticPr fontId="24" type="noConversion"/>
  </si>
  <si>
    <t>Contribution Margin %</t>
    <phoneticPr fontId="24" type="noConversion"/>
  </si>
  <si>
    <t>Other Cost</t>
    <phoneticPr fontId="24" type="noConversion"/>
  </si>
  <si>
    <t>Other flight cost</t>
    <phoneticPr fontId="24" type="noConversion"/>
  </si>
  <si>
    <t>Other variable cost</t>
    <phoneticPr fontId="24" type="noConversion"/>
  </si>
  <si>
    <t>유형자산상각비</t>
    <phoneticPr fontId="24" type="noConversion"/>
  </si>
  <si>
    <t>무형자산상각비</t>
    <phoneticPr fontId="24" type="noConversion"/>
  </si>
  <si>
    <t>EBIT</t>
    <phoneticPr fontId="24" type="noConversion"/>
  </si>
  <si>
    <t>EBIT %</t>
    <phoneticPr fontId="24" type="noConversion"/>
  </si>
  <si>
    <t>D&amp;A</t>
    <phoneticPr fontId="24" type="noConversion"/>
  </si>
  <si>
    <t>EBITDA</t>
    <phoneticPr fontId="24" type="noConversion"/>
  </si>
  <si>
    <t>EBITDA %</t>
    <phoneticPr fontId="24" type="noConversion"/>
  </si>
  <si>
    <t>Tax expense</t>
    <phoneticPr fontId="24" type="noConversion"/>
  </si>
  <si>
    <t>Effective Tax rate</t>
    <phoneticPr fontId="24" type="noConversion"/>
  </si>
  <si>
    <t>NOPLAT</t>
    <phoneticPr fontId="24" type="noConversion"/>
  </si>
  <si>
    <t>(+) D&amp;A</t>
    <phoneticPr fontId="24" type="noConversion"/>
  </si>
  <si>
    <t>(-) CapEx</t>
    <phoneticPr fontId="24" type="noConversion"/>
  </si>
  <si>
    <t>CapEx</t>
    <phoneticPr fontId="24" type="noConversion"/>
  </si>
  <si>
    <t>유형자산</t>
    <phoneticPr fontId="24" type="noConversion"/>
  </si>
  <si>
    <t>정비공구및장비</t>
    <phoneticPr fontId="24" type="noConversion"/>
  </si>
  <si>
    <t>차량운반구</t>
    <phoneticPr fontId="24" type="noConversion"/>
  </si>
  <si>
    <t>무형자산</t>
    <phoneticPr fontId="24" type="noConversion"/>
  </si>
  <si>
    <t>시스템</t>
    <phoneticPr fontId="24" type="noConversion"/>
  </si>
  <si>
    <t>Unlevered Free Cash Flow</t>
    <phoneticPr fontId="24" type="noConversion"/>
  </si>
  <si>
    <t>Partial period factor</t>
    <phoneticPr fontId="24" type="noConversion"/>
  </si>
  <si>
    <t>Mid-year conversion</t>
    <phoneticPr fontId="24" type="noConversion"/>
  </si>
  <si>
    <t>Present value factor</t>
    <phoneticPr fontId="24" type="noConversion"/>
  </si>
  <si>
    <t>TV</t>
    <phoneticPr fontId="24" type="noConversion"/>
  </si>
  <si>
    <t>Terminal value</t>
  </si>
  <si>
    <t>Residual cash flow</t>
  </si>
  <si>
    <t>Weighted-avg cost of capital (WACC)</t>
  </si>
  <si>
    <t>Long-term growth rate (g)</t>
  </si>
  <si>
    <t>Divided by capitalization rate (WACC - g)</t>
  </si>
  <si>
    <t>Equals nominal residual value</t>
  </si>
  <si>
    <t>Times PV factor</t>
  </si>
  <si>
    <t>Present value of residual value</t>
  </si>
  <si>
    <t>Present value of Free Cash Flow</t>
    <phoneticPr fontId="24" type="noConversion"/>
  </si>
  <si>
    <t>Source: Management data</t>
    <phoneticPr fontId="24" type="noConversion"/>
  </si>
  <si>
    <t>Net present value of discrete cash flows(a)</t>
  </si>
  <si>
    <t>Net present value of residual value(b)</t>
  </si>
  <si>
    <t>Operating Enterprise value(c)=(a)+(b)</t>
  </si>
  <si>
    <t>Non operating asset(d)</t>
  </si>
  <si>
    <t>Firm value(e)=(c)+(d)</t>
  </si>
  <si>
    <t>Total shareholder's equity value(100%, Control)(g)=(e)-(f)</t>
  </si>
  <si>
    <t>Net Debt (f)</t>
  </si>
  <si>
    <t>Source: Management data</t>
    <phoneticPr fontId="33" type="noConversion"/>
  </si>
  <si>
    <t>Sensitivity Analysis</t>
    <phoneticPr fontId="33" type="noConversion"/>
  </si>
  <si>
    <t>WACC</t>
    <phoneticPr fontId="33" type="noConversion"/>
  </si>
  <si>
    <t>growth rate</t>
    <phoneticPr fontId="33" type="noConversion"/>
  </si>
  <si>
    <t>Long term</t>
    <phoneticPr fontId="33" type="noConversion"/>
  </si>
  <si>
    <t>WACC &amp; Growth rate</t>
    <phoneticPr fontId="24" type="noConversion"/>
  </si>
  <si>
    <t>Weighted Average Cost of Capital</t>
    <phoneticPr fontId="24" type="noConversion"/>
  </si>
  <si>
    <t>Ticker</t>
    <phoneticPr fontId="30" type="noConversion"/>
  </si>
  <si>
    <t>Country</t>
  </si>
  <si>
    <t>Debt (MM)</t>
  </si>
  <si>
    <t>Market 
capitalization (MM)</t>
  </si>
  <si>
    <t>D/E</t>
    <phoneticPr fontId="30" type="noConversion"/>
  </si>
  <si>
    <t>Debt 
/ TIC</t>
    <phoneticPr fontId="30" type="noConversion"/>
  </si>
  <si>
    <t>Tax rate</t>
    <phoneticPr fontId="30" type="noConversion"/>
  </si>
  <si>
    <t>Business similarity</t>
  </si>
  <si>
    <t>Constant Growth Rate</t>
  </si>
  <si>
    <t>국제선</t>
    <phoneticPr fontId="34" type="noConversion"/>
  </si>
  <si>
    <t>← 외항사 물량만 고려함</t>
    <phoneticPr fontId="34" type="noConversion"/>
  </si>
  <si>
    <t>국내선</t>
    <phoneticPr fontId="34" type="noConversion"/>
  </si>
  <si>
    <t>← 국내선 화물 모두 고려</t>
    <phoneticPr fontId="34" type="noConversion"/>
  </si>
  <si>
    <t>합계</t>
    <phoneticPr fontId="34" type="noConversion"/>
  </si>
  <si>
    <t>CAGR</t>
    <phoneticPr fontId="34" type="noConversion"/>
  </si>
  <si>
    <t>보증금</t>
    <phoneticPr fontId="24" type="noConversion"/>
  </si>
  <si>
    <t>항공기보증금</t>
    <phoneticPr fontId="24" type="noConversion"/>
  </si>
  <si>
    <t>기타보증금</t>
    <phoneticPr fontId="24" type="noConversion"/>
  </si>
  <si>
    <t>Guideline public company</t>
    <phoneticPr fontId="24" type="noConversion"/>
  </si>
  <si>
    <t>2yr weekly
Beta</t>
    <phoneticPr fontId="33" type="noConversion"/>
  </si>
  <si>
    <t>Unlevered Beta</t>
    <phoneticPr fontId="33" type="noConversion"/>
  </si>
  <si>
    <t>PJT Guardians</t>
    <phoneticPr fontId="24" type="noConversion"/>
  </si>
  <si>
    <t>Model</t>
    <phoneticPr fontId="24" type="noConversion"/>
  </si>
  <si>
    <t>KRW mn unless otherwise noted</t>
    <phoneticPr fontId="24" type="noConversion"/>
  </si>
  <si>
    <t>FY1</t>
  </si>
  <si>
    <t>FY2</t>
  </si>
  <si>
    <t>FY3</t>
  </si>
  <si>
    <t>FY4</t>
  </si>
  <si>
    <t>FY5</t>
  </si>
  <si>
    <t>(1 = Base / 2= Downside / 3 = Severe Downside)</t>
  </si>
  <si>
    <t>(1 = On / 0 = Off)</t>
  </si>
  <si>
    <t>Transaction Assumptions</t>
    <phoneticPr fontId="24" type="noConversion"/>
  </si>
  <si>
    <t>Entry Assmuption</t>
    <phoneticPr fontId="24" type="noConversion"/>
  </si>
  <si>
    <t>Investment Date</t>
    <phoneticPr fontId="24" type="noConversion"/>
  </si>
  <si>
    <t>EBITDA Multiple</t>
    <phoneticPr fontId="24" type="noConversion"/>
  </si>
  <si>
    <t>Enterprise value</t>
    <phoneticPr fontId="24" type="noConversion"/>
  </si>
  <si>
    <t>(-) Minority Interest</t>
  </si>
  <si>
    <t>(±) Others</t>
  </si>
  <si>
    <t>Target stake</t>
    <phoneticPr fontId="24" type="noConversion"/>
  </si>
  <si>
    <t>Deal value</t>
    <phoneticPr fontId="24" type="noConversion"/>
  </si>
  <si>
    <t>Implied Multiples</t>
  </si>
  <si>
    <t>EV / Adj. EBITDA (FY XX)</t>
    <phoneticPr fontId="24" type="noConversion"/>
  </si>
  <si>
    <t>EV / Adj. EBITDA (FY XY)</t>
    <phoneticPr fontId="24" type="noConversion"/>
  </si>
  <si>
    <t>P / E (FY XX)</t>
    <phoneticPr fontId="24" type="noConversion"/>
  </si>
  <si>
    <t>P / E (FY XY)</t>
    <phoneticPr fontId="24" type="noConversion"/>
  </si>
  <si>
    <t>Transaction Assumption</t>
  </si>
  <si>
    <t>Entry EBITDA multiple</t>
  </si>
  <si>
    <t>Exit EBITDA multiple</t>
  </si>
  <si>
    <t>Other Transaction Assumptions</t>
  </si>
  <si>
    <t>Minimum cash</t>
  </si>
  <si>
    <t>of revenue</t>
  </si>
  <si>
    <t>Cash interest</t>
  </si>
  <si>
    <t>Mgmt Incentive</t>
  </si>
  <si>
    <t>WH tax for Dividend</t>
  </si>
  <si>
    <t>Transaction cost</t>
  </si>
  <si>
    <t>Financial</t>
  </si>
  <si>
    <t>Accounting</t>
  </si>
  <si>
    <t>Commercial</t>
  </si>
  <si>
    <t>Tax</t>
  </si>
  <si>
    <t>Legal</t>
  </si>
  <si>
    <t>Background check</t>
  </si>
  <si>
    <t>Capital Policy</t>
  </si>
  <si>
    <t>Recap</t>
  </si>
  <si>
    <t>Leverage Assumption</t>
  </si>
  <si>
    <t>Structure Table</t>
  </si>
  <si>
    <t>Capitalization Table</t>
  </si>
  <si>
    <t>Sources &amp; Uses of Fund</t>
  </si>
  <si>
    <t>Shareholding</t>
  </si>
  <si>
    <t>Income Statement</t>
    <phoneticPr fontId="24" type="noConversion"/>
  </si>
  <si>
    <t>Balance Sheets</t>
    <phoneticPr fontId="24" type="noConversion"/>
  </si>
  <si>
    <t>유동자산</t>
    <phoneticPr fontId="24" type="noConversion"/>
  </si>
  <si>
    <t>Check</t>
    <phoneticPr fontId="24" type="noConversion"/>
  </si>
  <si>
    <t>Beginning cash</t>
  </si>
  <si>
    <t>(-) Minimum cash</t>
  </si>
  <si>
    <t>Cash available for debt repayment</t>
  </si>
  <si>
    <t>D&amp;A</t>
    <phoneticPr fontId="24" type="noConversion"/>
  </si>
  <si>
    <t>% Sales</t>
  </si>
  <si>
    <t>% Sales</t>
    <phoneticPr fontId="24" type="noConversion"/>
  </si>
  <si>
    <t>EBITDA</t>
  </si>
  <si>
    <t>EBITDA</t>
    <phoneticPr fontId="24" type="noConversion"/>
  </si>
  <si>
    <t>(+) Cashflow available for debt paydown</t>
    <phoneticPr fontId="24" type="noConversion"/>
  </si>
  <si>
    <t>Structure Case</t>
  </si>
  <si>
    <t>Selected</t>
  </si>
  <si>
    <t>Investment amount (excluding deal expense)</t>
  </si>
  <si>
    <t>Premium</t>
  </si>
  <si>
    <t>Investment amount</t>
    <phoneticPr fontId="24" type="noConversion"/>
  </si>
  <si>
    <t>Ownership</t>
  </si>
  <si>
    <t>Pre Trx</t>
  </si>
  <si>
    <t>shares</t>
    <phoneticPr fontId="24" type="noConversion"/>
  </si>
  <si>
    <t>% shares</t>
    <phoneticPr fontId="24" type="noConversion"/>
  </si>
  <si>
    <t>Total</t>
    <phoneticPr fontId="24" type="noConversion"/>
  </si>
  <si>
    <t>Post Trx</t>
    <phoneticPr fontId="24" type="noConversion"/>
  </si>
  <si>
    <t>Equity</t>
    <phoneticPr fontId="24" type="noConversion"/>
  </si>
  <si>
    <t>Ending balance</t>
  </si>
  <si>
    <t>Exit multiple</t>
  </si>
  <si>
    <t>Enterprise value</t>
  </si>
  <si>
    <t>Implied P / E</t>
  </si>
  <si>
    <t>Net debt (net cash)</t>
    <phoneticPr fontId="24" type="noConversion"/>
  </si>
  <si>
    <t>Exit equity value</t>
    <phoneticPr fontId="24" type="noConversion"/>
  </si>
  <si>
    <t>2018-09-28</t>
    <phoneticPr fontId="24" type="noConversion"/>
  </si>
  <si>
    <t>Deal EBITDA (FY 19E)</t>
    <phoneticPr fontId="24" type="noConversion"/>
  </si>
  <si>
    <t>Investment amount</t>
  </si>
  <si>
    <t>Preferred dividend</t>
  </si>
  <si>
    <t>YTM</t>
  </si>
  <si>
    <t>(-) Debt (FY 19E)</t>
    <phoneticPr fontId="24" type="noConversion"/>
  </si>
  <si>
    <t>RCPS</t>
    <phoneticPr fontId="24" type="noConversion"/>
  </si>
  <si>
    <t>CB</t>
    <phoneticPr fontId="24" type="noConversion"/>
  </si>
  <si>
    <t>RCPS</t>
    <phoneticPr fontId="24" type="noConversion"/>
  </si>
  <si>
    <t>CB</t>
    <phoneticPr fontId="24" type="noConversion"/>
  </si>
  <si>
    <t>Interest rate</t>
    <phoneticPr fontId="24" type="noConversion"/>
  </si>
  <si>
    <t>RCPS</t>
    <phoneticPr fontId="24" type="noConversion"/>
  </si>
  <si>
    <t>CB</t>
    <phoneticPr fontId="24" type="noConversion"/>
  </si>
  <si>
    <t>투자액</t>
  </si>
  <si>
    <t>투자액</t>
    <phoneticPr fontId="24" type="noConversion"/>
  </si>
  <si>
    <t>발행가액</t>
  </si>
  <si>
    <t>발행가액</t>
    <phoneticPr fontId="24" type="noConversion"/>
  </si>
  <si>
    <t>주식수</t>
  </si>
  <si>
    <t>주식수</t>
    <phoneticPr fontId="24" type="noConversion"/>
  </si>
  <si>
    <t>Return Analysis_PER</t>
    <phoneticPr fontId="24" type="noConversion"/>
  </si>
  <si>
    <t>Return Analysis_EBITDA</t>
    <phoneticPr fontId="24" type="noConversion"/>
  </si>
  <si>
    <t>NI</t>
    <phoneticPr fontId="24" type="noConversion"/>
  </si>
  <si>
    <t>Exit PER multiple</t>
    <phoneticPr fontId="24" type="noConversion"/>
  </si>
  <si>
    <t>Exit P/E</t>
    <phoneticPr fontId="24" type="noConversion"/>
  </si>
  <si>
    <t>Deal NI (FY 19E)</t>
    <phoneticPr fontId="24" type="noConversion"/>
  </si>
  <si>
    <t>PER Multiple</t>
    <phoneticPr fontId="24" type="noConversion"/>
  </si>
  <si>
    <t>(+) Cash&amp;Equiv. (FY 19E)</t>
    <phoneticPr fontId="24" type="noConversion"/>
  </si>
  <si>
    <t>Entry PER multiple</t>
    <phoneticPr fontId="24" type="noConversion"/>
  </si>
  <si>
    <t>Implied EBITDA</t>
    <phoneticPr fontId="24" type="noConversion"/>
  </si>
  <si>
    <t>RCPS investor</t>
  </si>
  <si>
    <t>Investment @ close</t>
  </si>
  <si>
    <t>Exit value - Year 1</t>
  </si>
  <si>
    <t>Exit value - Year 2</t>
  </si>
  <si>
    <t>Exit value - Year 3</t>
  </si>
  <si>
    <t>Exit value - Year 4</t>
  </si>
  <si>
    <t>Exit value - Year 5</t>
  </si>
  <si>
    <t>RCPS investors return</t>
  </si>
  <si>
    <t>IRR</t>
  </si>
  <si>
    <t>MoM</t>
  </si>
  <si>
    <t>Dividend</t>
  </si>
  <si>
    <t>전환일</t>
    <phoneticPr fontId="24" type="noConversion"/>
  </si>
  <si>
    <t>Debt_Schedule</t>
    <phoneticPr fontId="24" type="noConversion"/>
  </si>
  <si>
    <t>KRW</t>
    <phoneticPr fontId="24" type="noConversion"/>
  </si>
  <si>
    <t>Shares</t>
    <phoneticPr fontId="24" type="noConversion"/>
  </si>
  <si>
    <t>From IRR</t>
    <phoneticPr fontId="24" type="noConversion"/>
  </si>
  <si>
    <t>Switch 1= Yes, 0=No</t>
    <phoneticPr fontId="24" type="noConversion"/>
  </si>
  <si>
    <t>Opening Balance</t>
  </si>
  <si>
    <t xml:space="preserve">Drawdown </t>
  </si>
  <si>
    <t>End Balance</t>
  </si>
  <si>
    <t>Account</t>
    <phoneticPr fontId="24" type="noConversion"/>
  </si>
  <si>
    <t>Conversion</t>
  </si>
  <si>
    <t>Conversion</t>
    <phoneticPr fontId="24" type="noConversion"/>
  </si>
  <si>
    <t>Repayment Marker</t>
    <phoneticPr fontId="24" type="noConversion"/>
  </si>
  <si>
    <t>Repayment</t>
  </si>
  <si>
    <t>Repayment</t>
    <phoneticPr fontId="24" type="noConversion"/>
  </si>
  <si>
    <t>Conversion Marker</t>
    <phoneticPr fontId="24" type="noConversion"/>
  </si>
  <si>
    <t>만기</t>
    <phoneticPr fontId="24" type="noConversion"/>
  </si>
  <si>
    <t>Coupon payment</t>
    <phoneticPr fontId="24" type="noConversion"/>
  </si>
  <si>
    <t>Debt Summary</t>
    <phoneticPr fontId="24" type="noConversion"/>
  </si>
  <si>
    <t>Debt balance</t>
    <phoneticPr fontId="24" type="noConversion"/>
  </si>
  <si>
    <t>Debt interest</t>
    <phoneticPr fontId="24" type="noConversion"/>
  </si>
  <si>
    <t>Equity conversion</t>
    <phoneticPr fontId="24" type="noConversion"/>
  </si>
  <si>
    <t>Equity conversion</t>
    <phoneticPr fontId="24" type="noConversion"/>
  </si>
  <si>
    <t>Capital</t>
    <phoneticPr fontId="24" type="noConversion"/>
  </si>
  <si>
    <t>Earned Surplus</t>
    <phoneticPr fontId="24" type="noConversion"/>
  </si>
  <si>
    <t>Beginning capital</t>
    <phoneticPr fontId="24" type="noConversion"/>
  </si>
  <si>
    <t>total share</t>
    <phoneticPr fontId="24" type="noConversion"/>
  </si>
  <si>
    <t>book</t>
    <phoneticPr fontId="24" type="noConversion"/>
  </si>
  <si>
    <t>2차 RCPS</t>
  </si>
  <si>
    <t>Beginning balance</t>
    <phoneticPr fontId="24" type="noConversion"/>
  </si>
  <si>
    <t>2차 CB</t>
  </si>
  <si>
    <t>Change in cash</t>
    <phoneticPr fontId="24" type="noConversion"/>
  </si>
  <si>
    <t>Dividends</t>
    <phoneticPr fontId="24" type="noConversion"/>
  </si>
  <si>
    <t>Conversion 1= Yes, 0=No</t>
    <phoneticPr fontId="24" type="noConversion"/>
  </si>
  <si>
    <t>CB investor</t>
    <phoneticPr fontId="24" type="noConversion"/>
  </si>
  <si>
    <t>Interest</t>
    <phoneticPr fontId="24" type="noConversion"/>
  </si>
  <si>
    <t>CB investors return</t>
    <phoneticPr fontId="24" type="noConversion"/>
  </si>
  <si>
    <t>YTM</t>
    <phoneticPr fontId="24" type="noConversion"/>
  </si>
  <si>
    <t>Conversion 1= Yes, 0=No</t>
  </si>
  <si>
    <t>전환일</t>
  </si>
  <si>
    <t>1차 RCPS</t>
  </si>
  <si>
    <t>Equity conversion</t>
    <phoneticPr fontId="24" type="noConversion"/>
  </si>
  <si>
    <t>Value of RCPS</t>
    <phoneticPr fontId="24" type="noConversion"/>
  </si>
  <si>
    <t xml:space="preserve">Value of CB </t>
    <phoneticPr fontId="24" type="noConversion"/>
  </si>
  <si>
    <t>shares</t>
  </si>
  <si>
    <t>% shares</t>
  </si>
  <si>
    <t>For sensitivity, this number shouldn't be changed</t>
  </si>
  <si>
    <t>vs. 2020</t>
  </si>
  <si>
    <t>Exit EV/EBITDA (2020E)</t>
  </si>
  <si>
    <t>vs. 2021</t>
    <phoneticPr fontId="24" type="noConversion"/>
  </si>
  <si>
    <t>vs. 2020</t>
    <phoneticPr fontId="24" type="noConversion"/>
  </si>
  <si>
    <t>vs. 2020</t>
    <phoneticPr fontId="24" type="noConversion"/>
  </si>
  <si>
    <t>vs. 2022</t>
    <phoneticPr fontId="24" type="noConversion"/>
  </si>
  <si>
    <t>GSA, 직접영업, 물류시스템의 명확한 구별</t>
    <phoneticPr fontId="24" type="noConversion"/>
  </si>
  <si>
    <t>Summary</t>
    <phoneticPr fontId="24" type="noConversion"/>
  </si>
  <si>
    <t>Full-Structure</t>
    <phoneticPr fontId="24" type="noConversion"/>
  </si>
  <si>
    <t>Equity value (FY 19E)</t>
    <phoneticPr fontId="24" type="noConversion"/>
  </si>
  <si>
    <t xml:space="preserve">Assumptions for Exit multiples </t>
    <phoneticPr fontId="24" type="noConversion"/>
  </si>
  <si>
    <t>Control</t>
    <phoneticPr fontId="24" type="noConversion"/>
  </si>
  <si>
    <t>Summary</t>
    <phoneticPr fontId="24" type="noConversion"/>
  </si>
  <si>
    <t>단위: 억원</t>
    <phoneticPr fontId="24" type="noConversion"/>
  </si>
  <si>
    <t>I. Scenario 가정</t>
    <phoneticPr fontId="24" type="noConversion"/>
  </si>
  <si>
    <t>Balance Sheet</t>
    <phoneticPr fontId="24" type="noConversion"/>
  </si>
  <si>
    <t>CM %</t>
    <phoneticPr fontId="24" type="noConversion"/>
  </si>
  <si>
    <t>Tax rate %</t>
    <phoneticPr fontId="24" type="noConversion"/>
  </si>
  <si>
    <t>Free Cash Flow</t>
    <phoneticPr fontId="24" type="noConversion"/>
  </si>
  <si>
    <t>NI %</t>
    <phoneticPr fontId="24" type="noConversion"/>
  </si>
  <si>
    <t xml:space="preserve">     └ Long term growth rate</t>
    <phoneticPr fontId="24" type="noConversion"/>
  </si>
  <si>
    <t>Valuation Summary</t>
    <phoneticPr fontId="24" type="noConversion"/>
  </si>
  <si>
    <t>┌ WACC</t>
    <phoneticPr fontId="24" type="noConversion"/>
  </si>
  <si>
    <t>Sensitivity Analysis_Equity Value</t>
    <phoneticPr fontId="24" type="noConversion"/>
  </si>
  <si>
    <t>Firm Value &amp; Equity Value</t>
    <phoneticPr fontId="24" type="noConversion"/>
  </si>
  <si>
    <t>Shareholding</t>
    <phoneticPr fontId="24" type="noConversion"/>
  </si>
  <si>
    <t>투자전</t>
    <phoneticPr fontId="24" type="noConversion"/>
  </si>
  <si>
    <t>1차투자</t>
    <phoneticPr fontId="24" type="noConversion"/>
  </si>
  <si>
    <t>2차투자</t>
    <phoneticPr fontId="24" type="noConversion"/>
  </si>
  <si>
    <t>PCS</t>
    <phoneticPr fontId="24" type="noConversion"/>
  </si>
  <si>
    <t>Int/Div %</t>
  </si>
  <si>
    <t>2차 투자</t>
  </si>
  <si>
    <t>1차 투자</t>
  </si>
  <si>
    <t>합계</t>
    <phoneticPr fontId="24" type="noConversion"/>
  </si>
  <si>
    <t>발행가액(원)</t>
    <phoneticPr fontId="24" type="noConversion"/>
  </si>
  <si>
    <t>금액(억원)</t>
    <phoneticPr fontId="24" type="noConversion"/>
  </si>
  <si>
    <t>1차</t>
    <phoneticPr fontId="24" type="noConversion"/>
  </si>
  <si>
    <t>2차</t>
    <phoneticPr fontId="24" type="noConversion"/>
  </si>
  <si>
    <t>발행주수㈜</t>
    <phoneticPr fontId="24" type="noConversion"/>
  </si>
  <si>
    <t>1. 투자금 가정</t>
    <phoneticPr fontId="24" type="noConversion"/>
  </si>
  <si>
    <t>만기일</t>
    <phoneticPr fontId="24" type="noConversion"/>
  </si>
  <si>
    <t>NI</t>
  </si>
  <si>
    <t>Exit P/E</t>
  </si>
  <si>
    <t>Net debt (net cash)</t>
  </si>
  <si>
    <t>Implied EBITDA</t>
  </si>
  <si>
    <t>Return Analysis</t>
    <phoneticPr fontId="24" type="noConversion"/>
  </si>
  <si>
    <t>IRR for Investors</t>
    <phoneticPr fontId="24" type="noConversion"/>
  </si>
  <si>
    <t>1차 투자자</t>
    <phoneticPr fontId="24" type="noConversion"/>
  </si>
  <si>
    <t>2차 투자자</t>
    <phoneticPr fontId="24" type="noConversion"/>
  </si>
  <si>
    <t>Multiples</t>
    <phoneticPr fontId="24" type="noConversion"/>
  </si>
  <si>
    <t>2. Exit Multiples 가정</t>
    <phoneticPr fontId="24" type="noConversion"/>
  </si>
  <si>
    <t>1. 항공기 노선 가정</t>
    <phoneticPr fontId="24" type="noConversion"/>
  </si>
  <si>
    <t>평수</t>
    <phoneticPr fontId="24" type="noConversion"/>
  </si>
  <si>
    <t>2. 기타 가정</t>
    <phoneticPr fontId="24" type="noConversion"/>
  </si>
  <si>
    <t>Scenario 미정</t>
    <phoneticPr fontId="24" type="noConversion"/>
  </si>
  <si>
    <t>투입시기(개월)</t>
    <phoneticPr fontId="24" type="noConversion"/>
  </si>
  <si>
    <t>출발지</t>
    <phoneticPr fontId="24" type="noConversion"/>
  </si>
  <si>
    <t>주당 운행</t>
    <phoneticPr fontId="24" type="noConversion"/>
  </si>
  <si>
    <t>노선코드</t>
    <phoneticPr fontId="24" type="noConversion"/>
  </si>
  <si>
    <t>청주</t>
    <phoneticPr fontId="24" type="noConversion"/>
  </si>
  <si>
    <t>인천</t>
    <phoneticPr fontId="24" type="noConversion"/>
  </si>
  <si>
    <t>II. Valuation 가정</t>
    <phoneticPr fontId="24" type="noConversion"/>
  </si>
  <si>
    <t>III. 항공기 및 기타가정</t>
    <phoneticPr fontId="24" type="noConversion"/>
  </si>
  <si>
    <t>Imp P/E</t>
    <phoneticPr fontId="24" type="noConversion"/>
  </si>
  <si>
    <t>EV</t>
    <phoneticPr fontId="24" type="noConversion"/>
  </si>
  <si>
    <t>Exit equity value</t>
    <phoneticPr fontId="24" type="noConversion"/>
  </si>
  <si>
    <t>2018-10-30</t>
    <phoneticPr fontId="24" type="noConversion"/>
  </si>
  <si>
    <t>3. 할인율 가정</t>
    <phoneticPr fontId="24" type="noConversion"/>
  </si>
  <si>
    <t xml:space="preserve">       ┌ Max 144시간</t>
    <phoneticPr fontId="24" type="noConversion"/>
  </si>
  <si>
    <t>iferror</t>
    <phoneticPr fontId="24" type="noConversion"/>
  </si>
  <si>
    <t>투자일</t>
    <phoneticPr fontId="24" type="noConversion"/>
  </si>
  <si>
    <t>Pre-money Value</t>
    <phoneticPr fontId="24" type="noConversion"/>
  </si>
  <si>
    <t>Post-money Value</t>
    <phoneticPr fontId="24" type="noConversion"/>
  </si>
  <si>
    <t>억원</t>
    <phoneticPr fontId="24" type="noConversion"/>
  </si>
  <si>
    <t xml:space="preserve">Cash Flows </t>
    <phoneticPr fontId="24" type="noConversion"/>
  </si>
  <si>
    <t>장진호</t>
    <phoneticPr fontId="24" type="noConversion"/>
  </si>
  <si>
    <t>경영진</t>
    <phoneticPr fontId="24" type="noConversion"/>
  </si>
  <si>
    <t>금액(백만)</t>
    <phoneticPr fontId="24" type="noConversion"/>
  </si>
  <si>
    <t>투자전 경영진 추가 증자 예정</t>
    <phoneticPr fontId="24" type="noConversion"/>
  </si>
  <si>
    <t>FI</t>
    <phoneticPr fontId="24" type="noConversion"/>
  </si>
  <si>
    <t>SI</t>
    <phoneticPr fontId="24" type="noConversion"/>
  </si>
  <si>
    <t>1차 인센</t>
    <phoneticPr fontId="24" type="noConversion"/>
  </si>
  <si>
    <t>2차 인센</t>
    <phoneticPr fontId="24" type="noConversion"/>
  </si>
  <si>
    <t>보통주</t>
    <phoneticPr fontId="24" type="noConversion"/>
  </si>
  <si>
    <t>2차후</t>
    <phoneticPr fontId="24" type="noConversion"/>
  </si>
  <si>
    <t>1차후</t>
    <phoneticPr fontId="24" type="noConversion"/>
  </si>
  <si>
    <t>I13</t>
  </si>
  <si>
    <t>타이페이</t>
  </si>
  <si>
    <t>대만</t>
  </si>
  <si>
    <t>2시간45분</t>
  </si>
  <si>
    <t>I14</t>
  </si>
  <si>
    <t>마카오</t>
  </si>
  <si>
    <t>4시간05분</t>
  </si>
  <si>
    <t>I15</t>
  </si>
  <si>
    <t>광저우</t>
  </si>
  <si>
    <t>3시간20분</t>
  </si>
  <si>
    <t>Trading multiple</t>
    <phoneticPr fontId="24" type="noConversion"/>
  </si>
  <si>
    <t>Company name</t>
    <phoneticPr fontId="59" type="noConversion"/>
  </si>
  <si>
    <t>Native language name</t>
    <phoneticPr fontId="59" type="noConversion"/>
  </si>
  <si>
    <t>Exchange ticker
(Use CIQ ticker)</t>
    <phoneticPr fontId="59" type="noConversion"/>
  </si>
  <si>
    <t xml:space="preserve">Share 
price </t>
  </si>
  <si>
    <t>Shares 
outstanding (m)</t>
    <phoneticPr fontId="59" type="noConversion"/>
  </si>
  <si>
    <t>Market cap.(m)</t>
    <phoneticPr fontId="59" type="noConversion"/>
  </si>
  <si>
    <t>Total debt (m)</t>
    <phoneticPr fontId="59" type="noConversion"/>
  </si>
  <si>
    <t>Cash &amp; equivalent</t>
    <phoneticPr fontId="59" type="noConversion"/>
  </si>
  <si>
    <t>Cash &amp; ST investment</t>
    <phoneticPr fontId="59" type="noConversion"/>
  </si>
  <si>
    <t>Net debt</t>
    <phoneticPr fontId="59" type="noConversion"/>
  </si>
  <si>
    <t>Common stock (m)</t>
    <phoneticPr fontId="59" type="noConversion"/>
  </si>
  <si>
    <t>Preferred stock</t>
    <phoneticPr fontId="59" type="noConversion"/>
  </si>
  <si>
    <t xml:space="preserve">Minority interest </t>
    <phoneticPr fontId="59" type="noConversion"/>
  </si>
  <si>
    <t>Total Equity</t>
    <phoneticPr fontId="59" type="noConversion"/>
  </si>
  <si>
    <t>Enterprise value</t>
    <phoneticPr fontId="59" type="noConversion"/>
  </si>
  <si>
    <t>LTM revenue</t>
  </si>
  <si>
    <t>LTM EBITDA</t>
  </si>
  <si>
    <t>LTM EBIT</t>
  </si>
  <si>
    <t>EV/Revenue</t>
    <phoneticPr fontId="59" type="noConversion"/>
  </si>
  <si>
    <t>EV/EBITDA</t>
    <phoneticPr fontId="59" type="noConversion"/>
  </si>
  <si>
    <t>EV/EBIT</t>
    <phoneticPr fontId="59" type="noConversion"/>
  </si>
  <si>
    <t>PER</t>
    <phoneticPr fontId="59" type="noConversion"/>
  </si>
  <si>
    <t>PBR</t>
    <phoneticPr fontId="59" type="noConversion"/>
  </si>
  <si>
    <t>Jin Air Co., Ltd.</t>
  </si>
  <si>
    <t>진에어</t>
  </si>
  <si>
    <t>A272450</t>
    <phoneticPr fontId="33" type="noConversion"/>
  </si>
  <si>
    <t>T'Way Air Co., Ltd.</t>
  </si>
  <si>
    <t>(주)티웨이항공</t>
  </si>
  <si>
    <t>A091810</t>
    <phoneticPr fontId="33" type="noConversion"/>
  </si>
  <si>
    <t>Jeju Air Co., Ltd.</t>
  </si>
  <si>
    <t>제주항공</t>
  </si>
  <si>
    <t>A089590</t>
    <phoneticPr fontId="33" type="noConversion"/>
  </si>
  <si>
    <t>Korean Air Lines Co.,Ltd.</t>
  </si>
  <si>
    <t>(주)대한항공</t>
  </si>
  <si>
    <t>A003490</t>
    <phoneticPr fontId="33" type="noConversion"/>
  </si>
  <si>
    <t>Asiana Airlines, Inc.</t>
  </si>
  <si>
    <t>아시아나항공(주)</t>
  </si>
  <si>
    <t>A020560</t>
    <phoneticPr fontId="33" type="noConversion"/>
  </si>
  <si>
    <t>Average(all)</t>
  </si>
  <si>
    <t>Median(all)</t>
  </si>
  <si>
    <t>Transaction multiple</t>
    <phoneticPr fontId="24" type="noConversion"/>
  </si>
  <si>
    <t>As of Sep 30, 2018 (KRW in millions)</t>
  </si>
  <si>
    <t>All Transactions Announced Date</t>
  </si>
  <si>
    <t>Target/Issuer</t>
  </si>
  <si>
    <t>Exchange:Ticker</t>
  </si>
  <si>
    <t>Transaction Types</t>
  </si>
  <si>
    <t>Transaction Status</t>
  </si>
  <si>
    <t>Total Transaction Value (KRWmm, Historical rate)</t>
  </si>
  <si>
    <t>Buyers/Investors</t>
  </si>
  <si>
    <t>Sellers</t>
  </si>
  <si>
    <t>CIQ Transaction ID</t>
  </si>
  <si>
    <t>Industry Classifications [Target/Issuer]</t>
  </si>
  <si>
    <t>M&amp;A Announced Date</t>
  </si>
  <si>
    <t>Implied Enterprise Value/EBITDA (x)</t>
  </si>
  <si>
    <t>Business Description [Target/Issuer]</t>
  </si>
  <si>
    <t>Azul S.A. (BOVESPA:AZUL4)</t>
  </si>
  <si>
    <t>BOVESPA:AZUL4</t>
  </si>
  <si>
    <t>Merger/Acquisition</t>
  </si>
  <si>
    <t>Closed</t>
  </si>
  <si>
    <t>CALFINCO Inc.</t>
  </si>
  <si>
    <t>Hainan Airlines Holding Co.,Ltd. (SHSE:900945)</t>
  </si>
  <si>
    <t>IQTR560890848</t>
  </si>
  <si>
    <t>Commercial Airlines (Primary)</t>
  </si>
  <si>
    <t xml:space="preserve">As of December 29, 2017,  PT Rimau Multi Putra Pratama Tbk  was acquired by PT Indonesia Airasia, in a reverse merger transaction. 
</t>
  </si>
  <si>
    <t>Cathay Pacific Airways Limited (SEHK:293)</t>
  </si>
  <si>
    <t>SEHK:293</t>
  </si>
  <si>
    <t>Qatar Airways Q.C.S.C.</t>
  </si>
  <si>
    <t>-</t>
  </si>
  <si>
    <t>IQTR550415201</t>
  </si>
  <si>
    <t>Virgin Australia Holdings Limited engages in the operation of domestic and international airline business in Australia. The company operates through Virgin Australia Domestic, Virgin Australia International, Velocity, and Tigerair Australia segments. Its aircraft flies to domestic destinations, including regional network, charter, and cargo operations; and international destinations comprising Trans-Pacific, Trans-Tasman, Pacific Island, and South East Asian routes, as well as international cargo operations. The company’s fleet primarily includes Boeing B737 and B777, Airbus A320 and A330, ATR, Embraer E190, and Fokker F100 aircraft. It also operates a frequent flyer program. The company serves corporate, government, leisure, low cost, regional, charter travelers, and air freight customers. It has strategic alliances with Air New Zealand Limited, Delta Air Lines Inc., Etihad Airways P.J.S.C., Singapore Airlines Limited, and HNA Aviation Group. The company was formerly known as Virgin Blue Holdings Limited and changed its name to Virgin Australia Holdings Limited in 2011. Virgin Australia Holdings Limited was founded in 2000 and is based in Bowen Hills, Australia.</t>
  </si>
  <si>
    <t>Asia Aviation Public Company Limited (SET:AAV)</t>
  </si>
  <si>
    <t>SET:AAV</t>
  </si>
  <si>
    <t>IQTR547849337</t>
  </si>
  <si>
    <t>GOL Linhas Aéreas Inteligentes S.A. provides scheduled air transportation services for passengers cargoes, and mailbags in Brazil and internationally. The company operates through Flight Transportation and Smiles Loyalty Program segments. It also offers logistics services. In addition, the company offers Smiles loyalty programs with approximately 13.7 million members, allowing clients to accumulate and redeem miles. As of October 24, 2018, it operated a fleet of approximately 120 aircraft and 700 daily flights to 67 destinations. GOL Linhas Aéreas Inteligentes S.A. was founded in 2001 and is based in Sao Paulo, Brazil.</t>
  </si>
  <si>
    <t>Kingboard Holdings Limited (SEHK:148); Kingboard Laminates Limited; Kingboard Investments Limited</t>
  </si>
  <si>
    <t>IQTR542736252</t>
  </si>
  <si>
    <t>Asia Aviation Public Company Limited, through its subsidiary, provides airline services primarily in Thailand. The company operates through Scheduled Flight Operations and Charter Flight Operations segments. The Scheduled Flight Operations segment offers passenger air transportation services to routine destinations for scheduled flights. This segment sells tickets through its distribution channels, including Website, sale counters, travel agents, etc. The Chartered Flight Operations segment provides passenger air transportation services to non-routine destinations. This segment primarily serves tourist agency companies. Asia Aviation Public Company Limited was founded in 2004 and is headquartered in Bangkok, Thailand.</t>
  </si>
  <si>
    <t>LATAM Airlines Group S.A. (SNSE:LTM)</t>
  </si>
  <si>
    <t>SNSE:LTM</t>
  </si>
  <si>
    <t>Tep Chile S.A.</t>
  </si>
  <si>
    <t>IQTR418326105</t>
  </si>
  <si>
    <t>IQTR364508974</t>
  </si>
  <si>
    <t>Cathay Pacific Airways Limited, together with its subsidiaries, operates as an airline that provides scheduled passenger and cargo services to approximately 200 destinations in Asia, North America, Australia, Europe, and Africa. It operates in two segments, Airline Business and Non-Airline Business. The company conducts airline operations principally to and from Hong Kong. It also offers airline catering, ground handling, aircraft ramp handling, aircraft engineering, property investment, financial, computer network for interchange of air cargo related information, information processing, laundry and dry cleaning, and food processing and catering services, as well as provides travel reward programs. In addition, the company operates as a travel tour operator and as an aircraft leasing facilitator; and cargo terminals. It operates a fleet of approximately 200 aircraft. The company was founded in 1946 and is headquartered in Lantau, Hong Kong.</t>
  </si>
  <si>
    <t>Virgin Australia Holdings Limited (ASX:VAH)</t>
  </si>
  <si>
    <t>ASX:VAH</t>
  </si>
  <si>
    <t>Nanshan Group Co., Ltd.</t>
  </si>
  <si>
    <t>Air New Zealand Limited (NZSE:AIR)</t>
  </si>
  <si>
    <t>IQTR347546964</t>
  </si>
  <si>
    <t xml:space="preserve">As of December 2016, Virgin America Inc. acquired by Alaska Airlines, Inc.Virgin America Inc. provides scheduled air travel services. The company has a fleet of 60 Airbus single-aisle aircraft consisting of 10 Airbus A319s and 50 Airbus A320s. As of December 31, 2015, it provided services to 23 airports in the United States and Mexico. The company was formerly known as Best Air Holdings, Inc., and changed its name to Virgin America Inc. in November 2005. Virgin America Inc. was incorporated in 2004 and is headquartered in Burlingame, California. </t>
  </si>
  <si>
    <t>International Consolidated Airlines Group, S.A. (LSE:IAG)</t>
  </si>
  <si>
    <t>LSE:IAG</t>
  </si>
  <si>
    <t>Qatar Airways Limited</t>
  </si>
  <si>
    <t>IQTR339815718</t>
  </si>
  <si>
    <t>LATAM Airlines Group S.A., together with its subsidiaries, provides passenger and cargo air transportation services in Peru, Argentina, the United States, Colombia, Brazil, Ecuador, Chile, rest of Latin America, Europe, and the Asia Pacific. The company operates in two segments, Air Transportation; and Coalition and Loyalty Program Multiplus. It provides passenger transport services to approximately 137 destinations in 24 countries and cargo services to approximately 144 destinations in 29 countries with a fleet of 307 aircraft. The company was formerly known as LAN Airlines S.A. and changed its name to LATAM Airlines Group S.A. in June 2012. LATAM Airlines Group S.A. was founded in 1929 and is based in Santiago, Chile.</t>
  </si>
  <si>
    <t>El Al Israel Airlines Ltd (TASE:ELAL)</t>
  </si>
  <si>
    <t>TASE:ELAL</t>
  </si>
  <si>
    <t>Knafaim Holdings Ltd (TASE:KNFM)</t>
  </si>
  <si>
    <t>IQTR331637018</t>
  </si>
  <si>
    <t>Virgin America Inc.</t>
  </si>
  <si>
    <t>Alaska Air Group, Inc. (NYSE:ALK)</t>
  </si>
  <si>
    <t>Virgin.com Limited; PAR Capital Management, Inc.; Cyrus Capital Partners, L.P.; CM Finance Inc. (NasdaqGS:CMFN); Virgin Group Holdings Limited; CM Investment Partners LLC; Cyrus Aviation Holdings, LLC</t>
  </si>
  <si>
    <t>IQTR329999098</t>
  </si>
  <si>
    <t>Hainan Airlines Holding Co.,Ltd. provides passenger and cargo air transportation services in the People’s Republic of China and internationally. The company operates approximately 300 aircraft, including Boeing 737 and 787, as well as Airbus 330 in 1,400 domestic and international flight routes to approximately 110 cities. It also provides lounge and limousine services. Hainan Airlines Holding Co.,Ltd. operates a flight network covering China, Asia, Europe, North America, and the South Pacific. The company was formerly known as Hainan Airlines Co., Ltd. and changed its name to H Hainan Airlines Holding Co.,Ltd. in May 2017. Hainan Airlines Holding Co.,Ltd. was founded in 1993 and is headquartered in Haikou, the People’s Republic of China.</t>
  </si>
  <si>
    <t>Grupo Aeroméxico, S.A.B. de C.V. (BMV:AEROMEX *)</t>
  </si>
  <si>
    <t>BMV:AEROMEX *</t>
  </si>
  <si>
    <t>Delta Air Lines, Inc. (NYSE:DAL)</t>
  </si>
  <si>
    <t>IQTR317268318</t>
  </si>
  <si>
    <t>Comair Limited (JSE:COM)</t>
  </si>
  <si>
    <t>JSE:COM</t>
  </si>
  <si>
    <t>HNA Group (International) (Netherlands) One BV</t>
  </si>
  <si>
    <t>Thelo Aviation Investments (Pty) Ltd.</t>
  </si>
  <si>
    <t>IQTR309259436</t>
  </si>
  <si>
    <t>Azul S.A. provides passenger and cargo air transportation services in Brazil. As of March 31, 2018, it operated 739 daily flights to 106 destinations through a network of 206 non-stop routes with a fleet of 120 aircraft. The company was incorporated in 2008 and is headquartered in Barueri, Brazil.</t>
  </si>
  <si>
    <t>Public Joint Stock Company Aeroflot - Russian Airlines (MISX:AFLT)</t>
  </si>
  <si>
    <t>MISX:AFLT</t>
  </si>
  <si>
    <t>IQTR280462669</t>
  </si>
  <si>
    <t>Aer Lingus Group DAC</t>
  </si>
  <si>
    <t>Ryanair Holdings plc (ISE:RY4C); Etihad Airways PJSC; Department of Finance, Ireland</t>
  </si>
  <si>
    <t>IQTR280258960</t>
  </si>
  <si>
    <t>Grupo Aeroméxico, S.A.B. de C.V., through its subsidiaries, provides commercial aviation services for passengers and cargo in Mexico and internationally. As of October 17, 2018, it operated a fleet of approximately 130 aircraft comprising Boeing 787 and 737 jet airliners, and Embraer 170 and 190 aircraft covering approximately 1,000 destinations in 179 countries. The company was founded in 1934 and is based in Mexico City, Mexico.</t>
  </si>
  <si>
    <t>SHSE:900945</t>
  </si>
  <si>
    <t>Grand China Air Co., Ltd.</t>
  </si>
  <si>
    <t>Hainan Development Holdings Co., Ltd.</t>
  </si>
  <si>
    <t>IQTR279744173</t>
  </si>
  <si>
    <t>International Consolidated Airlines Group, S.A., together with its subsidiaries, engages in the provision of passenger and cargo transportation services in the United Kingdom, Spain, Ireland, the United States, and rest of the world. The company operates under the British Airways, Iberia, Vueling, LEVEL, IAG Cargo, Avios, and Aer Lingus brands. As of February 12, 2018, it operated a fleet of 547 aircraft flying to 268 destinations. The company was incorporated in 2010 and is based in Madrid, Spain.</t>
  </si>
  <si>
    <t>PAR Capital Management, Inc.</t>
  </si>
  <si>
    <t>Virgin.com Limited; Cyrus Capital Partners, L.P.</t>
  </si>
  <si>
    <t>IQTR278002681</t>
  </si>
  <si>
    <t>IQTR252350893</t>
  </si>
  <si>
    <t>NZSE:AIR</t>
  </si>
  <si>
    <t>New Zealand</t>
  </si>
  <si>
    <t>IQTR251861020</t>
  </si>
  <si>
    <t>Aer Lingus Group DAC, together with its subsidiaries, provides air travel services in Ireland. It offers passenger and cargo transportation services from Ireland to the United Kingdom, Europe, and the United States. The company also provides insurance claims management services. As of December 31, 2015, it operated a fleet of 49 aircraft. The company was formerly known as Aer Lingus Group plc. The company was founded in 1936 and is headquartered in Dublin, Ireland. As of September 1, 2015, Aer Lingus Group DAC operates as a subsidiary of International Consolidated Airlines Group, S.A.</t>
  </si>
  <si>
    <t>IQTR247769189</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</si>
  <si>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</si>
  <si>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Bankia, SA., Investment Arm</t>
  </si>
  <si>
    <t>IQTR257435585</t>
  </si>
  <si>
    <t>Shenzhen Airlines Co., Ltd provides air passenger and cargo transport services. As of March 31, 2018, it had 204 Boeing 737, Airbus 330, 320, 319, and other passenger aircraft operating approximately 300 domestic and international routes. The company was founded in 1992 and is based in Shenzhen, China. Shenzhen Airlines Co., Ltd is a subsidiary of Air China Limited.</t>
  </si>
  <si>
    <t>Widerøes Flyveselskap As</t>
  </si>
  <si>
    <t>Torghatten ASA (OTCNO:TORG); Fjord1 ASA (OB:FJORD); Nordland fylkeskommune</t>
  </si>
  <si>
    <t>SAS AB (publ) (OM:SAS)</t>
  </si>
  <si>
    <t>IQTR238067635</t>
  </si>
  <si>
    <t>PT. Garuda Indonesia (Persero) Tbk provides airline services in Indonesia and internationally. The company operates through Flight Operations, Aircraft Maintenance, and Others segments. The company provides scheduled and non-scheduled airline services for domestic and international markets; and aircraft repair, maintenance, and overhaul services. The company also offers computerized reservation system (CRS); training facilities for the employees of travel agencies; technical assistance in the CRS for travel agents, as well as rents computer equipment for travel agents. In addition, it provides travel agency, ticketing, aircraft rental, catering, hotel management, cargo, information technology, ground handling, and health care services. The company serves 68 domestic destinations and 20 international destinations. As of December 31, 2017, it operated 202 fleets. The company was founded in 1949 and is headquartered in Central Jakarta, Indonesia.</t>
  </si>
  <si>
    <t>Singapore Airlines Limited (SGX:C6L)</t>
  </si>
  <si>
    <t>Virgin.com Limited</t>
  </si>
  <si>
    <t>IQTR237396082</t>
  </si>
  <si>
    <t>Jeju Air Co., Ltd. (KOSE:A089590)</t>
  </si>
  <si>
    <t>KOSE:A089590</t>
  </si>
  <si>
    <t>AK Holdings, Inc. (KOSE:A006840)</t>
  </si>
  <si>
    <t>IQTR233462724</t>
  </si>
  <si>
    <t>Widerøes Flyveselskap AS operates as an airline company in Norway. It offers cargo and charter services. The company carries approximately 2.8 million passengers annually and flies to 47 domestic and international destinations; and operates approximately 450 flights every day. It operates a fleet of 41 Bombardier Dash-8 turbo-prop aircraft. The company, through its subsidiary, Widerøe Internet AS, also operates wideroe.no for helping customers with online booking of tickets, and hotel and car rental, as well as develops solutions for other airlines. In addition, it offers technical line and base maintenance, component repair, and training services, as well as sells spares. Widerøes Flyveselskap AS was founded in 1934 and is headquartered in Bodo, Norway. Widerøes Flyveselskap As operates as a subsidiary of Torghatten ASA.</t>
  </si>
  <si>
    <t>PT Rimau Multi Putra Pratama Tbk</t>
  </si>
  <si>
    <t>PT Rimau Multi Investama</t>
  </si>
  <si>
    <t>PT Centris Mekarlestari</t>
  </si>
  <si>
    <t>IQTR225961587</t>
  </si>
  <si>
    <t>Jeju Air Co., Ltd. provides air travel services in South Korea, Japan, China, Taiwan, the Philippines, Vietnam, Thailand, and Guam. It also offers in-flight fun, airport, and other additional services. The company was founded in 2005 and is based in Jeju, South Korea. Jeju Air Co., Ltd. is a subsidiary of AK Holdings, Inc.</t>
  </si>
  <si>
    <t>Skywest Airlines Ltd</t>
  </si>
  <si>
    <t>Amati Global Investors Ltd.; UBS Asset Management (UK) Ltd; Centaurus Capital Limited; Amati VCT plc; Credit Suisse, Investment Banking and Securities Investments</t>
  </si>
  <si>
    <t>IQTR223675222</t>
  </si>
  <si>
    <t>Public Joint Stock Company Aeroflot - Russian Airlines, together with its subsidiaries, provides passenger and cargo air transportation services in Russia and internationally. It also offers other aviation-related services from Moscow Sheremetyevo Airport. In addition, the company provides airline catering, finance, and technical maintenance services, as well as operates a hotel. As of February 01, 2018, it operated a fleet of 228 aircraft. The company was founded in 1923 and is headquartered in Moscow, Russia.</t>
  </si>
  <si>
    <t>PT. Garuda Indonesia (Persero) Tbk (IDX:GIAA)</t>
  </si>
  <si>
    <t>IDX:GIAA</t>
  </si>
  <si>
    <t>PT Trans Airways</t>
  </si>
  <si>
    <t>PT Bahana Securities; PT. Danareksa Sekuritas; PT Mandiri Sekuritas</t>
  </si>
  <si>
    <t>IQTR207244563</t>
  </si>
  <si>
    <t>Comair Limited provides scheduled and non-scheduled airline services in South Africa, sub-Saharan Africa, and the Indian Ocean Islands. It operates through two segments, Airline and Non-airline. The company operates its airline services under the kulula.com and British Airways brands. It also provides travel, holiday packaging, and ramp-handling services; and operates airport lounges under the SLOW brand. In addition, the company offers a range of aviation-related ground school subjects and flight simulator training for various Boeing 737 type aircrafts, as well as ancillary subjects, and cabin crew and flight dispatcher training services through Comair Training Centre. Further, it engages in travel agency business; and provides ticketing fulfilment and catering service to third parties. The company operates a fleet of 26 aircraft. Comair Limited was founded in 1946 and is headquartered in Kempton Park, South Africa.</t>
  </si>
  <si>
    <t>GOL Linhas Aéreas Inteligentes S.A. (BOVESPA:GOLL4)</t>
  </si>
  <si>
    <t>BOVESPA:GOLL4</t>
  </si>
  <si>
    <t>IQTR144144082</t>
  </si>
  <si>
    <t>Shenzhen Airlines Co., Ltd</t>
  </si>
  <si>
    <t>Shenzhen International Total Logistics (Shenzhen) Co., Ltd.</t>
  </si>
  <si>
    <t>Shenzhen Huirun Investment Co. Ltd.</t>
  </si>
  <si>
    <t>IQTR132067837</t>
  </si>
  <si>
    <t>Air New Zealand Limited provides passenger and cargo transportation services on scheduled airlines primarily in New Zealand, Australia, the Pacific Islands, the United Kingdom, Europe, Asia, and the United States. The company also offers ground handling services; engineering and maintenance services, including aircraft and component maintenance, repair, and overhaul services; and aircraft leasing and financing services. As of December 31, 2017, it had a fleet of 105 aircrafts. The company was formerly known as Tasman Empire Airways Limited and changed its name to Air New Zealand Limited in April 1965. Air New Zealand Limited was founded in 1940 and is headquartered in Auckland, New Zealand.</t>
  </si>
  <si>
    <t>IQTR118472856</t>
  </si>
  <si>
    <t>El Al Israel Airlines Ltd, together with its subsidiaries, provides passengers and cargo transportation services in Israel and internationally. It operates in two segments, Air Transport on Passenger Aircraft and Air transport on Cargo Aircraft. The company engages in the transportation of passengers and cargo, including baggage and mail on regular and chartered flights to approximately 35 direct destinations in 25 countries in Europe, the United States and Canada, the Middle East, Central Asia, and internationally. It also provides aircraft maintenance services; sells duty-free products; manages travel agencies; and produces and supplies prepared kosher in-flight meals. In addition, the company offers institutional catering services; and markets tour packages and airline tickets to travel agents and individual travelers, as well as operates various restaurants. El Al Israel Airlines Ltd was founded in 1948 and is headquartered in Lod, Israel.</t>
  </si>
  <si>
    <t>유상증자</t>
    <phoneticPr fontId="24" type="noConversion"/>
  </si>
  <si>
    <t>추가투자</t>
    <phoneticPr fontId="24" type="noConversion"/>
  </si>
  <si>
    <t>FY0</t>
    <phoneticPr fontId="24" type="noConversion"/>
  </si>
  <si>
    <t>영업권</t>
    <phoneticPr fontId="24" type="noConversion"/>
  </si>
  <si>
    <t>기존주주</t>
    <phoneticPr fontId="24" type="noConversion"/>
  </si>
  <si>
    <t>1차 투자</t>
    <phoneticPr fontId="24" type="noConversion"/>
  </si>
  <si>
    <t>2차 투자</t>
    <phoneticPr fontId="24" type="noConversion"/>
  </si>
  <si>
    <t>┌ [Control] sheet 에서 직접 조정</t>
    <phoneticPr fontId="24" type="noConversion"/>
  </si>
  <si>
    <t>1차 인센</t>
    <phoneticPr fontId="24" type="noConversion"/>
  </si>
  <si>
    <t>2차 인센</t>
    <phoneticPr fontId="24" type="noConversion"/>
  </si>
  <si>
    <t>1차 투자후 (전환가정)</t>
    <phoneticPr fontId="24" type="noConversion"/>
  </si>
  <si>
    <t>2차 투자후 (전환가정)</t>
    <phoneticPr fontId="24" type="noConversion"/>
  </si>
  <si>
    <t>1차 투자_RCPS</t>
    <phoneticPr fontId="24" type="noConversion"/>
  </si>
  <si>
    <t>1차 투자_CB</t>
    <phoneticPr fontId="24" type="noConversion"/>
  </si>
  <si>
    <t>2차 투자_RCPS</t>
    <phoneticPr fontId="24" type="noConversion"/>
  </si>
  <si>
    <t>2차 투자_CB</t>
    <phoneticPr fontId="24" type="noConversion"/>
  </si>
  <si>
    <t>공헌손익</t>
    <phoneticPr fontId="24" type="noConversion"/>
  </si>
  <si>
    <t>매입채무</t>
    <phoneticPr fontId="24" type="noConversion"/>
  </si>
  <si>
    <t>기타유동부채</t>
    <phoneticPr fontId="24" type="noConversion"/>
  </si>
  <si>
    <t>1차 CB</t>
    <phoneticPr fontId="24" type="noConversion"/>
  </si>
  <si>
    <t>1차 RCPS</t>
    <phoneticPr fontId="24" type="noConversion"/>
  </si>
  <si>
    <t>2차 CB</t>
    <phoneticPr fontId="24" type="noConversion"/>
  </si>
  <si>
    <t>2차 RCPS</t>
    <phoneticPr fontId="24" type="noConversion"/>
  </si>
  <si>
    <t>재무활동으로인한 현금 유입액</t>
    <phoneticPr fontId="24" type="noConversion"/>
  </si>
  <si>
    <t>재무활동으로인한 현금 유출액</t>
    <phoneticPr fontId="24" type="noConversion"/>
  </si>
  <si>
    <t>1차 CB 상환</t>
    <phoneticPr fontId="24" type="noConversion"/>
  </si>
  <si>
    <t>2차 CB 상환</t>
    <phoneticPr fontId="24" type="noConversion"/>
  </si>
  <si>
    <t>1. Ind. Avg.</t>
    <phoneticPr fontId="24" type="noConversion"/>
  </si>
  <si>
    <t>2. Ind. Median</t>
    <phoneticPr fontId="24" type="noConversion"/>
  </si>
  <si>
    <t>3. M&amp;A transaction (global)</t>
    <phoneticPr fontId="24" type="noConversion"/>
  </si>
  <si>
    <t>기타비용 정리</t>
    <phoneticPr fontId="24" type="noConversion"/>
  </si>
  <si>
    <t>Driver 분석</t>
    <phoneticPr fontId="24" type="noConversion"/>
  </si>
  <si>
    <t>운항인력(기장/부기장)</t>
    <phoneticPr fontId="24" type="noConversion"/>
  </si>
  <si>
    <t>LD수당(운항인력)</t>
    <phoneticPr fontId="24" type="noConversion"/>
  </si>
  <si>
    <t>LEG/운항인력(기장/부기장)</t>
    <phoneticPr fontId="24" type="noConversion"/>
  </si>
  <si>
    <t>월간 고정 8백만원</t>
    <phoneticPr fontId="24" type="noConversion"/>
  </si>
  <si>
    <t>항공기 대수 및 기종</t>
    <phoneticPr fontId="24" type="noConversion"/>
  </si>
  <si>
    <t>고정비용으로 전환</t>
    <phoneticPr fontId="24" type="noConversion"/>
  </si>
  <si>
    <t>*항공기 도입시기로 수정</t>
    <phoneticPr fontId="24" type="noConversion"/>
  </si>
  <si>
    <t>*사업시작 첫달부터 발생 가정+금액은 회사제시 이용</t>
    <phoneticPr fontId="24" type="noConversion"/>
  </si>
  <si>
    <t>*필요없는 항목 제거</t>
    <phoneticPr fontId="24" type="noConversion"/>
  </si>
  <si>
    <t>회사설명상 약 10억정도 매년 보유해야함</t>
    <phoneticPr fontId="24" type="noConversion"/>
  </si>
  <si>
    <t>*사업시작 첫달부터 발생 가정+금액은 회사제시 이용, n=5년</t>
    <phoneticPr fontId="24" type="noConversion"/>
  </si>
  <si>
    <t>*사업시작 첫달부터 발생 가정+금액은 회사제시 이용, n=5년/대당 2백</t>
    <phoneticPr fontId="24" type="noConversion"/>
  </si>
  <si>
    <t>*회사제시 인원수를 최대한 따랐으나, 최대한 연초부터 적용가능한 것으로 수정 &gt; 추후에 관련 control 만들지 여부는 고민</t>
    <phoneticPr fontId="24" type="noConversion"/>
  </si>
  <si>
    <t>YoY</t>
    <phoneticPr fontId="24" type="noConversion"/>
  </si>
  <si>
    <t>자산비용 - 수정</t>
    <phoneticPr fontId="24" type="noConversion"/>
  </si>
  <si>
    <t>&gt;BS;항공기보증금</t>
    <phoneticPr fontId="24" type="noConversion"/>
  </si>
  <si>
    <t>&gt;BS;기타보증금</t>
    <phoneticPr fontId="24" type="noConversion"/>
  </si>
  <si>
    <t>&gt;무형자산</t>
    <phoneticPr fontId="24" type="noConversion"/>
  </si>
  <si>
    <t>&gt;유형자산;장비</t>
    <phoneticPr fontId="24" type="noConversion"/>
  </si>
  <si>
    <t>&gt;유형자산;차량</t>
    <phoneticPr fontId="24" type="noConversion"/>
  </si>
  <si>
    <t>Source: Bloomberg, S&amp;P Capital IQ, PwC analysis</t>
  </si>
  <si>
    <t>WACC = ke * E + kd * D</t>
  </si>
  <si>
    <t>Weighted Average Cost of Capital (WACC)</t>
  </si>
  <si>
    <t>Cost of debt (kd)</t>
  </si>
  <si>
    <t>Cost of equity (ke)</t>
  </si>
  <si>
    <t>WACC</t>
  </si>
  <si>
    <t>Weighting</t>
  </si>
  <si>
    <t>Required return</t>
  </si>
  <si>
    <t>Cost of Debt (kd) = i * (1 - t)</t>
    <phoneticPr fontId="35" type="noConversion"/>
  </si>
  <si>
    <t>Marginal corporate tax rate in South Korea</t>
    <phoneticPr fontId="35" type="noConversion"/>
  </si>
  <si>
    <t>Effective tax rate (t)</t>
  </si>
  <si>
    <t>5 year BBB0 unsecured corporate bond yield as of value analysis date from KIS Pricing</t>
    <phoneticPr fontId="35" type="noConversion"/>
  </si>
  <si>
    <t>Pretax cost of debt (i)</t>
    <phoneticPr fontId="35" type="noConversion"/>
  </si>
  <si>
    <t>Cost of Equity (ke) = Rf + B(Rp) + Size premium + Firm specific premium</t>
    <phoneticPr fontId="35" type="noConversion"/>
  </si>
  <si>
    <t>Cost of equity (ke adj)</t>
    <phoneticPr fontId="35" type="noConversion"/>
  </si>
  <si>
    <t>2018 Duff &amp; Phelps Valuation Handbook</t>
    <phoneticPr fontId="84" type="noConversion"/>
  </si>
  <si>
    <t>Company specific risk premium</t>
    <phoneticPr fontId="35" type="noConversion"/>
  </si>
  <si>
    <t>Market risk premium for South Korea as of Valuation Date from Bloomberg</t>
  </si>
  <si>
    <t>Equity risk premium (Rp)</t>
  </si>
  <si>
    <t>Interest rate for 10-year South Korea Government Bonds as of Valuation Date from Bloomberg</t>
  </si>
  <si>
    <t>Risk-free rate (Rf)</t>
  </si>
  <si>
    <t>Sources</t>
  </si>
  <si>
    <t>Assumptions</t>
  </si>
  <si>
    <t>Selected</t>
    <phoneticPr fontId="85" type="noConversion"/>
  </si>
  <si>
    <t>Median(all)</t>
    <phoneticPr fontId="84" type="noConversion"/>
  </si>
  <si>
    <t>Average(all)</t>
    <phoneticPr fontId="85" type="noConversion"/>
  </si>
  <si>
    <t>Level1</t>
  </si>
  <si>
    <t>South Korea</t>
  </si>
  <si>
    <t>A020560</t>
  </si>
  <si>
    <t>아시아나*</t>
  </si>
  <si>
    <t>A003490</t>
  </si>
  <si>
    <t>대한항공*</t>
  </si>
  <si>
    <t>A089590</t>
  </si>
  <si>
    <t>제주항공*</t>
  </si>
  <si>
    <t>A091810</t>
  </si>
  <si>
    <t>티웨이항공</t>
  </si>
  <si>
    <t>Level1</t>
    <phoneticPr fontId="24" type="noConversion"/>
  </si>
  <si>
    <t>A272450</t>
  </si>
  <si>
    <t>진에어*</t>
  </si>
  <si>
    <t>As of Sep 30, 2018 (KRW in millions)</t>
    <phoneticPr fontId="24" type="noConversion"/>
  </si>
  <si>
    <t>개월마다</t>
    <phoneticPr fontId="24" type="noConversion"/>
  </si>
  <si>
    <t>AOC담당이 전환 (18개월)</t>
    <phoneticPr fontId="24" type="noConversion"/>
  </si>
  <si>
    <t>VC</t>
    <phoneticPr fontId="24" type="noConversion"/>
  </si>
  <si>
    <t>비행기대수</t>
    <phoneticPr fontId="24" type="noConversion"/>
  </si>
  <si>
    <t>명</t>
  </si>
  <si>
    <t>명</t>
    <phoneticPr fontId="24" type="noConversion"/>
  </si>
  <si>
    <t>FC</t>
    <phoneticPr fontId="24" type="noConversion"/>
  </si>
  <si>
    <t>500만원/월</t>
    <phoneticPr fontId="24" type="noConversion"/>
  </si>
  <si>
    <t>없음</t>
    <phoneticPr fontId="24" type="noConversion"/>
  </si>
  <si>
    <t>2,000만원</t>
    <phoneticPr fontId="24" type="noConversion"/>
  </si>
  <si>
    <t>자동차(정비지원)</t>
    <phoneticPr fontId="24" type="noConversion"/>
  </si>
  <si>
    <t>대</t>
    <phoneticPr fontId="24" type="noConversion"/>
  </si>
  <si>
    <t>본사</t>
    <phoneticPr fontId="24" type="noConversion"/>
  </si>
  <si>
    <t>기장</t>
    <phoneticPr fontId="24" type="noConversion"/>
  </si>
  <si>
    <t>부기장</t>
    <phoneticPr fontId="24" type="noConversion"/>
  </si>
  <si>
    <t>평균시간 가정</t>
    <phoneticPr fontId="24" type="noConversion"/>
  </si>
  <si>
    <t>CAPEX</t>
    <phoneticPr fontId="24" type="noConversion"/>
  </si>
  <si>
    <t>개발비</t>
  </si>
  <si>
    <t>개발비</t>
    <phoneticPr fontId="24" type="noConversion"/>
  </si>
  <si>
    <t>훈련지원시스템</t>
    <phoneticPr fontId="24" type="noConversion"/>
  </si>
  <si>
    <t>Total</t>
    <phoneticPr fontId="24" type="noConversion"/>
  </si>
  <si>
    <t>YEAR</t>
    <phoneticPr fontId="24" type="noConversion"/>
  </si>
  <si>
    <t>Monthly</t>
    <phoneticPr fontId="24" type="noConversion"/>
  </si>
  <si>
    <t>물류관리시스템</t>
    <phoneticPr fontId="24" type="noConversion"/>
  </si>
  <si>
    <t>운항관리시스템</t>
    <phoneticPr fontId="24" type="noConversion"/>
  </si>
  <si>
    <t>노선정리!A1</t>
  </si>
  <si>
    <t>회사제시&gt;&gt;</t>
    <phoneticPr fontId="24" type="noConversion"/>
  </si>
  <si>
    <t>[2.기초자료]</t>
    <phoneticPr fontId="24" type="noConversion"/>
  </si>
  <si>
    <t>공항시설 이용료 (국내/국제)</t>
    <phoneticPr fontId="24" type="noConversion"/>
  </si>
  <si>
    <t>*[2.기초자료] 상 국내국제 공항시설 이용료 동일</t>
    <phoneticPr fontId="24" type="noConversion"/>
  </si>
  <si>
    <t>공항료(국내)</t>
    <phoneticPr fontId="24" type="noConversion"/>
  </si>
  <si>
    <t>*[3.매출및변동비]상 국제/내 공항료 동일</t>
    <phoneticPr fontId="24" type="noConversion"/>
  </si>
  <si>
    <t>공항시설이용료(국내/국제)</t>
    <phoneticPr fontId="24" type="noConversion"/>
  </si>
  <si>
    <t>*회사계획상 M18이후 없음</t>
    <phoneticPr fontId="24" type="noConversion"/>
  </si>
  <si>
    <t># 비행기, # 노선, 노선시간</t>
    <phoneticPr fontId="24" type="noConversion"/>
  </si>
  <si>
    <t xml:space="preserve">8hr 이하 취항지, 기장 4명/부기장 4명(항공당국측) (Min 3명식) // 8hr 이상 기장 6명/부기장 6명 필요 : 기장/부기장 1달 최대 100시간 max &gt; 디렉기장 8hr 이하 취항지 기장 4+2(디렉2)/부기장 4명 (1.3억) /   디렉기장 2명 추가되면 600시간까지 (없으면 400시간까지) </t>
    <phoneticPr fontId="24" type="noConversion"/>
  </si>
  <si>
    <t>&gt;&gt; 좀더 고민좀해보자…</t>
    <phoneticPr fontId="24" type="noConversion"/>
  </si>
  <si>
    <t># 비행기</t>
    <phoneticPr fontId="24" type="noConversion"/>
  </si>
  <si>
    <t>매년 2명씩 증가하는 이유는? ; 비행기 한대당 2명</t>
    <phoneticPr fontId="24" type="noConversion"/>
  </si>
  <si>
    <t>없어도 되나? ; 겸직이 가능(신생회사의 경우 기장이 겸직)</t>
    <phoneticPr fontId="24" type="noConversion"/>
  </si>
  <si>
    <t>회사제시 - 회사계획사 1명에서 증가하여 3명이 됨, 어떤 이유로 증가하는지? 노선 관리자 - 회사제시 따름</t>
    <phoneticPr fontId="24" type="noConversion"/>
  </si>
  <si>
    <t># 비행기</t>
    <phoneticPr fontId="24" type="noConversion"/>
  </si>
  <si>
    <t>회사제시 - 회사계획사 1명에서 증가하여 3명이 됨, 어떤이유로 증가하는지? - 운항일지 signiture 해야하는데, 항공기대수에 비례하는 경향, 회사 BP 따라감</t>
    <phoneticPr fontId="24" type="noConversion"/>
  </si>
  <si>
    <t>*737 1대당 3명 추가 / 767 1대당 5명 추가</t>
    <phoneticPr fontId="24" type="noConversion"/>
  </si>
  <si>
    <t>*현재 BP상 밀고나가면 될듯</t>
    <phoneticPr fontId="24" type="noConversion"/>
  </si>
  <si>
    <t># 취항국가</t>
    <phoneticPr fontId="24" type="noConversion"/>
  </si>
  <si>
    <t>노선별로 증가하는 것인가? 나라별로 증가</t>
    <phoneticPr fontId="24" type="noConversion"/>
  </si>
  <si>
    <t>퇴직충당금 제외 인건비의 0.08435</t>
    <phoneticPr fontId="24" type="noConversion"/>
  </si>
  <si>
    <t>연간: 737은 160백만원/ 767은 300백만원</t>
    <phoneticPr fontId="24" type="noConversion"/>
  </si>
  <si>
    <t>회사제시 - 질문: 화물량에 비례할 것 같은데? - 기본적으로 항공보험에 화물보험이 포함되어있으나, 보수적으로 접근하기 위해서 화물보험을 추가함</t>
    <phoneticPr fontId="24" type="noConversion"/>
  </si>
  <si>
    <t>*현재 BP상 아무런 자료도 없는데, 관련항목이 진짜 없는것인지? 없는것으로</t>
    <phoneticPr fontId="24" type="noConversion"/>
  </si>
  <si>
    <t>&gt;[4.비용및자산명세]상 기타의 지상조업은 지급수수료의 지상조업임 ; 기타비용분석에서는 삭제</t>
    <phoneticPr fontId="24" type="noConversion"/>
  </si>
  <si>
    <r>
      <t>*수정필요: 회사제시상 감가상각에 사무실보증금도 포함되어있음</t>
    </r>
    <r>
      <rPr>
        <b/>
        <sz val="9"/>
        <color theme="1"/>
        <rFont val="Arial"/>
        <family val="2"/>
        <scheme val="minor"/>
      </rPr>
      <t/>
    </r>
    <phoneticPr fontId="24" type="noConversion"/>
  </si>
  <si>
    <t>*차입금에 대한 지급이자 투자구조 및 Debt에서 끌어오면 될듯</t>
    <phoneticPr fontId="24" type="noConversion"/>
  </si>
  <si>
    <t>*현재 BP상 밀고나가면 될듯(제외: 리스보증금, 소모파트)</t>
    <phoneticPr fontId="24" type="noConversion"/>
  </si>
  <si>
    <t>737: $200,000 * 기준환율 * 6개월 / 767 : $250,000 * 기준환율 * 6개월</t>
    <phoneticPr fontId="24" type="noConversion"/>
  </si>
  <si>
    <t>*국토교통부 하 검사관 감독하에 10억원 정도 보유하고 있어야함 + Spare 4억(보수적) =&gt; 10억 Minium</t>
    <phoneticPr fontId="24" type="noConversion"/>
  </si>
  <si>
    <t>대당 2백</t>
    <phoneticPr fontId="24" type="noConversion"/>
  </si>
  <si>
    <t>비용정리</t>
    <phoneticPr fontId="24" type="noConversion"/>
  </si>
  <si>
    <t>/w 2.기초자료 Sheet</t>
    <phoneticPr fontId="24" type="noConversion"/>
  </si>
  <si>
    <t>From 4.비용및자산상세 Sheet</t>
    <phoneticPr fontId="24" type="noConversion"/>
  </si>
  <si>
    <t>From 3.매출 및 변동비</t>
    <phoneticPr fontId="24" type="noConversion"/>
  </si>
  <si>
    <t>Fuel(유류대)</t>
    <phoneticPr fontId="24" type="noConversion"/>
  </si>
  <si>
    <t>운항시간</t>
    <phoneticPr fontId="24" type="noConversion"/>
  </si>
  <si>
    <t>운항시간</t>
    <phoneticPr fontId="24" type="noConversion"/>
  </si>
  <si>
    <t>항로이용료는 어떻게 산출되는지?</t>
    <phoneticPr fontId="24" type="noConversion"/>
  </si>
  <si>
    <t>Nature 질문</t>
    <phoneticPr fontId="24" type="noConversion"/>
  </si>
  <si>
    <t>정류시간당</t>
    <phoneticPr fontId="24" type="noConversion"/>
  </si>
  <si>
    <t>MTOW에 연동되어있는듯? 2배곱하는 이유는?</t>
    <phoneticPr fontId="24" type="noConversion"/>
  </si>
  <si>
    <t>C/D Chech 충당금</t>
    <phoneticPr fontId="24" type="noConversion"/>
  </si>
  <si>
    <t xml:space="preserve">&gt;[4.비용및자산명세]상 기타의 지상조업은 지급수수료의 지상조업임 ; </t>
    <phoneticPr fontId="24" type="noConversion"/>
  </si>
  <si>
    <t>정리자료&gt;&gt;</t>
    <phoneticPr fontId="24" type="noConversion"/>
  </si>
  <si>
    <t>기장/부기장 정리</t>
    <phoneticPr fontId="24" type="noConversion"/>
  </si>
  <si>
    <t>항공기정리</t>
    <phoneticPr fontId="24" type="noConversion"/>
  </si>
  <si>
    <t>&gt; 12억 수준 유지 위한 추가 취득</t>
    <phoneticPr fontId="24" type="noConversion"/>
  </si>
  <si>
    <t>1차 CB</t>
    <phoneticPr fontId="24" type="noConversion"/>
  </si>
  <si>
    <t>2차 CB</t>
    <phoneticPr fontId="24" type="noConversion"/>
  </si>
  <si>
    <t>1차 RCPS</t>
    <phoneticPr fontId="24" type="noConversion"/>
  </si>
  <si>
    <t>공헌손익</t>
    <phoneticPr fontId="24" type="noConversion"/>
  </si>
  <si>
    <r>
      <t>Selected relevered beta (B)</t>
    </r>
    <r>
      <rPr>
        <vertAlign val="superscript"/>
        <sz val="9"/>
        <color theme="1"/>
        <rFont val="맑은 고딕"/>
        <family val="3"/>
        <charset val="129"/>
      </rPr>
      <t>(5)</t>
    </r>
  </si>
  <si>
    <t>Applied targeted equity structure based on guideline public companies</t>
  </si>
  <si>
    <t>*반기말 공시기준</t>
    <phoneticPr fontId="34" type="noConversion"/>
  </si>
  <si>
    <t>(-) △NWC</t>
    <phoneticPr fontId="24" type="noConversion"/>
  </si>
  <si>
    <t>전반적인 자료 파악 후 Modeling approach 도출</t>
    <phoneticPr fontId="24" type="noConversion"/>
  </si>
  <si>
    <t>기종별/노선별 공헌이익(Rev-관련VC)로 접근</t>
    <phoneticPr fontId="24" type="noConversion"/>
  </si>
  <si>
    <t>Monthly로 DCF구현시 특정 월에 시작가능하게 Modeling 필요</t>
    <phoneticPr fontId="24" type="noConversion"/>
  </si>
  <si>
    <t>기행기 기종별 공헌이익 도출(1/3)</t>
    <phoneticPr fontId="24" type="noConversion"/>
  </si>
  <si>
    <t>투입시기 고려한 IS sheet 만들기</t>
    <phoneticPr fontId="24" type="noConversion"/>
  </si>
  <si>
    <t>정류비 LEG당 비용으로 전환</t>
    <phoneticPr fontId="24" type="noConversion"/>
  </si>
  <si>
    <t>질문내역 답변수령 받아 수정함</t>
    <phoneticPr fontId="24" type="noConversion"/>
  </si>
  <si>
    <t>추가 질문리스트 작성</t>
    <phoneticPr fontId="24" type="noConversion"/>
  </si>
  <si>
    <t>기타비용 Driver 분석 및 관련 질문 devleoping</t>
    <phoneticPr fontId="24" type="noConversion"/>
  </si>
  <si>
    <t>추가 질문리스트 작성</t>
    <phoneticPr fontId="24" type="noConversion"/>
  </si>
  <si>
    <t>기타비용 관련 내역 질문 및 파악 후 비용 도출</t>
    <phoneticPr fontId="24" type="noConversion"/>
  </si>
  <si>
    <t>비행기수 및 운항인력 관련 sheet 구성</t>
    <phoneticPr fontId="24" type="noConversion"/>
  </si>
  <si>
    <t>간략 IS, BS 및 기타 세부계정 schedule 완성</t>
    <phoneticPr fontId="24" type="noConversion"/>
  </si>
  <si>
    <t>무자본 상황에서 상기 IS BS CF 검증</t>
    <phoneticPr fontId="24" type="noConversion"/>
  </si>
  <si>
    <t>기초 자본 세팅</t>
    <phoneticPr fontId="24" type="noConversion"/>
  </si>
  <si>
    <t>IRR 기본양식 완성</t>
    <phoneticPr fontId="24" type="noConversion"/>
  </si>
  <si>
    <t>Exit Multiples 작성</t>
    <phoneticPr fontId="24" type="noConversion"/>
  </si>
  <si>
    <t>WACC 및 IRR 작성</t>
    <phoneticPr fontId="24" type="noConversion"/>
  </si>
  <si>
    <t>쿠알라룸푸르</t>
  </si>
  <si>
    <t>뭄바이</t>
  </si>
  <si>
    <t>I16</t>
    <phoneticPr fontId="24" type="noConversion"/>
  </si>
  <si>
    <t>쿠알라룸푸르</t>
    <phoneticPr fontId="24" type="noConversion"/>
  </si>
  <si>
    <t>말레이지아</t>
    <phoneticPr fontId="24" type="noConversion"/>
  </si>
  <si>
    <t>6시간20분</t>
    <phoneticPr fontId="24" type="noConversion"/>
  </si>
  <si>
    <t>I17</t>
    <phoneticPr fontId="24" type="noConversion"/>
  </si>
  <si>
    <t>뭄바이</t>
    <phoneticPr fontId="24" type="noConversion"/>
  </si>
  <si>
    <t>인도</t>
    <phoneticPr fontId="24" type="noConversion"/>
  </si>
  <si>
    <t>4시간30분</t>
    <phoneticPr fontId="24" type="noConversion"/>
  </si>
  <si>
    <t>9시간50분</t>
    <phoneticPr fontId="24" type="noConversion"/>
  </si>
  <si>
    <t>도하</t>
  </si>
  <si>
    <t>도하</t>
    <phoneticPr fontId="24" type="noConversion"/>
  </si>
  <si>
    <t>카타르</t>
    <phoneticPr fontId="24" type="noConversion"/>
  </si>
  <si>
    <t>I18</t>
    <phoneticPr fontId="24" type="noConversion"/>
  </si>
  <si>
    <t>투자전</t>
  </si>
  <si>
    <t>1차 투자후 (전환가정)</t>
  </si>
  <si>
    <t>2차 투자후 (전환가정)</t>
  </si>
  <si>
    <t>1차투자</t>
  </si>
  <si>
    <t>2차투자</t>
  </si>
  <si>
    <t>Total</t>
  </si>
  <si>
    <t>2차투자</t>
    <phoneticPr fontId="24" type="noConversion"/>
  </si>
  <si>
    <t>shares</t>
    <phoneticPr fontId="24" type="noConversion"/>
  </si>
  <si>
    <t>% shares</t>
    <phoneticPr fontId="24" type="noConversion"/>
  </si>
  <si>
    <t>% shares</t>
    <phoneticPr fontId="24" type="noConversion"/>
  </si>
  <si>
    <t>1차후</t>
    <phoneticPr fontId="24" type="noConversion"/>
  </si>
  <si>
    <t>2차후</t>
    <phoneticPr fontId="24" type="noConversion"/>
  </si>
  <si>
    <t>1차투자</t>
    <phoneticPr fontId="24" type="noConversion"/>
  </si>
  <si>
    <t>Total</t>
    <phoneticPr fontId="24" type="noConversion"/>
  </si>
  <si>
    <t>전환가격 : 25,000원</t>
    <phoneticPr fontId="24" type="noConversion"/>
  </si>
  <si>
    <t>전환가격 : 20,000원</t>
    <phoneticPr fontId="24" type="noConversion"/>
  </si>
  <si>
    <t>→11/29 증자금 포함 가정</t>
    <phoneticPr fontId="24" type="noConversion"/>
  </si>
  <si>
    <t>→ 11/29 증자완료됨</t>
    <phoneticPr fontId="24" type="noConversion"/>
  </si>
  <si>
    <t>A</t>
  </si>
  <si>
    <t>K(1)</t>
  </si>
  <si>
    <t>K(2)</t>
  </si>
  <si>
    <t>K</t>
  </si>
  <si>
    <t>J 외 1인</t>
  </si>
  <si>
    <t>G</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</si>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</sst>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41" formatCode="_-* #,##0_-;\-* #,##0_-;_-* &quot;-&quot;_-;_-@_-"/>
    <numFmt numFmtId="176" formatCode="_(* #,##0_);_(* \(#,##0\);_(* &quot;-&quot;_);@_)"/>
    <numFmt numFmtId="177" formatCode="0%_);\(0%\)"/>
    <numFmt numFmtId="178" formatCode="_(* #,##0.0_);_(* \(#,##0.0\);_(* &quot;-&quot;_);@_)"/>
    <numFmt numFmtId="179" formatCode="_(* #,##0.00_);_(* \(#,##0.00\);_(* &quot;-&quot;_);@_)"/>
    <numFmt numFmtId="180" formatCode="_(* #,##0.000_);_(* \(#,##0.000\);_(* &quot;-&quot;_);@_)"/>
    <numFmt numFmtId="181" formatCode="_(* #,##0.0000_);_(* \(#,##0.0000\);_(* &quot;-&quot;_);@_)"/>
    <numFmt numFmtId="182" formatCode="_-* #,##0.0_-;\-* #,##0.0_-;_-* &quot;-&quot;_-;_-@_-"/>
    <numFmt numFmtId="183" formatCode="_-* #,##0.00_-;\-* #,##0.00_-;_-* &quot;-&quot;_-;_-@_-"/>
    <numFmt numFmtId="184" formatCode="0.0%"/>
    <numFmt numFmtId="185" formatCode="[$¥-411]#,##0_);\([$¥-411]#,##0\)"/>
    <numFmt numFmtId="186" formatCode="_([$€-2]* #,##0.00_);_([$€-2]* \(#,##0.00\);_([$€-2]* &quot;-&quot;??_)"/>
    <numFmt numFmtId="187" formatCode="#,##0_);[Red]\(#,##0\);\-_)"/>
    <numFmt numFmtId="188" formatCode="#,##0.0\x"/>
    <numFmt numFmtId="189" formatCode="###0&quot;E&quot;_);\(#,##0\);0.0_);@_)"/>
    <numFmt numFmtId="190" formatCode="&quot;YES&quot;_);\(#,##0\);&quot;NO&quot;_);@_)"/>
    <numFmt numFmtId="191" formatCode="#,##0_);\(#,##0\)"/>
    <numFmt numFmtId="192" formatCode="#,##0.0%_);\(#,##0.0%\);\-_);@_)"/>
    <numFmt numFmtId="193" formatCode="#,##0.0_);\(#,##0.0\)_)"/>
    <numFmt numFmtId="194" formatCode="0.0&quot;x&quot;"/>
    <numFmt numFmtId="195" formatCode="0.0%_);\(0.0\)%_)"/>
    <numFmt numFmtId="196" formatCode="_(\ #,##0_);\(\ #,##0\);_(* &quot;-&quot;_)"/>
    <numFmt numFmtId="199" formatCode="#,##0.0"/>
    <numFmt numFmtId="200" formatCode="&quot;FY&quot;0#"/>
    <numFmt numFmtId="201" formatCode="0.00%_);\(0.00%\)"/>
    <numFmt numFmtId="202" formatCode="0.0%_);\(0.0%\)"/>
    <numFmt numFmtId="203" formatCode="&quot;YR&quot;\ #,##0_)"/>
    <numFmt numFmtId="204" formatCode="&quot;Y&quot;#,##0;[Red]\-#,##0"/>
  </numFmts>
  <fonts count="99">
    <font>
      <sz val="9"/>
      <color theme="1"/>
      <name val="Arial"/>
      <family val="2"/>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9"/>
      <color rgb="FF9C0006"/>
      <name val="Arial"/>
      <family val="2"/>
    </font>
    <font>
      <b/>
      <sz val="9"/>
      <color rgb="FFFA7D00"/>
      <name val="Arial"/>
      <family val="2"/>
    </font>
    <font>
      <b/>
      <sz val="9"/>
      <color theme="0"/>
      <name val="Arial"/>
      <family val="2"/>
      <scheme val="minor"/>
    </font>
    <font>
      <sz val="9"/>
      <color theme="1"/>
      <name val="Arial"/>
      <family val="2"/>
      <scheme val="minor"/>
    </font>
    <font>
      <i/>
      <sz val="9"/>
      <color rgb="FF7F7F7F"/>
      <name val="Arial"/>
      <family val="2"/>
      <scheme val="minor"/>
    </font>
    <font>
      <sz val="9"/>
      <color rgb="FF006100"/>
      <name val="Arial"/>
      <family val="2"/>
    </font>
    <font>
      <b/>
      <sz val="9"/>
      <color theme="3"/>
      <name val="Arial"/>
      <family val="2"/>
    </font>
    <font>
      <b/>
      <sz val="9"/>
      <color theme="3"/>
      <name val="Arial"/>
      <family val="2"/>
      <scheme val="major"/>
    </font>
    <font>
      <sz val="9"/>
      <color theme="3"/>
      <name val="Arial"/>
      <family val="2"/>
      <scheme val="major"/>
    </font>
    <font>
      <sz val="9"/>
      <color rgb="FF3F3F76"/>
      <name val="Arial"/>
      <family val="2"/>
      <scheme val="minor"/>
    </font>
    <font>
      <sz val="9"/>
      <color rgb="FFFA7D00"/>
      <name val="Arial"/>
      <family val="2"/>
      <scheme val="minor"/>
    </font>
    <font>
      <sz val="9"/>
      <color rgb="FF9C6500"/>
      <name val="Arial"/>
      <family val="2"/>
    </font>
    <font>
      <b/>
      <sz val="9"/>
      <color rgb="FF3F3F3F"/>
      <name val="Arial"/>
      <family val="2"/>
      <scheme val="minor"/>
    </font>
    <font>
      <b/>
      <sz val="9"/>
      <color theme="3"/>
      <name val="Arial"/>
      <family val="2"/>
      <scheme val="minor"/>
    </font>
    <font>
      <sz val="8"/>
      <color theme="1"/>
      <name val="Arial"/>
      <family val="2"/>
      <scheme val="minor"/>
    </font>
    <font>
      <b/>
      <sz val="9"/>
      <color theme="1"/>
      <name val="Arial"/>
      <family val="2"/>
      <scheme val="minor"/>
    </font>
    <font>
      <b/>
      <sz val="11"/>
      <color theme="3"/>
      <name val="Arial"/>
      <family val="2"/>
      <scheme val="minor"/>
    </font>
    <font>
      <b/>
      <sz val="11"/>
      <color theme="3"/>
      <name val="Arial"/>
      <family val="2"/>
      <scheme val="major"/>
    </font>
    <font>
      <b/>
      <sz val="9"/>
      <color theme="1"/>
      <name val="Arial"/>
      <family val="2"/>
      <scheme val="major"/>
    </font>
    <font>
      <sz val="8"/>
      <name val="돋움"/>
      <family val="3"/>
      <charset val="129"/>
      <scheme val="minor"/>
    </font>
    <font>
      <sz val="9"/>
      <color indexed="81"/>
      <name val="Tahoma"/>
      <family val="2"/>
    </font>
    <font>
      <b/>
      <sz val="9"/>
      <color indexed="81"/>
      <name val="Tahoma"/>
      <family val="2"/>
    </font>
    <font>
      <b/>
      <sz val="9"/>
      <color indexed="81"/>
      <name val="돋움"/>
      <family val="3"/>
      <charset val="129"/>
    </font>
    <font>
      <u/>
      <sz val="9"/>
      <color theme="10"/>
      <name val="Arial"/>
      <family val="2"/>
      <scheme val="minor"/>
    </font>
    <font>
      <sz val="9"/>
      <color indexed="81"/>
      <name val="돋움"/>
      <family val="3"/>
      <charset val="129"/>
    </font>
    <font>
      <sz val="11"/>
      <color theme="1"/>
      <name val="Arial"/>
      <family val="2"/>
      <scheme val="minor"/>
    </font>
    <font>
      <sz val="6"/>
      <name val="Arial"/>
      <family val="2"/>
    </font>
    <font>
      <sz val="11"/>
      <color theme="1"/>
      <name val="Arial"/>
      <family val="2"/>
      <charset val="129"/>
      <scheme val="minor"/>
    </font>
    <font>
      <sz val="8"/>
      <name val="Arial"/>
      <family val="3"/>
      <charset val="129"/>
      <scheme val="minor"/>
    </font>
    <font>
      <sz val="8"/>
      <name val="맑은 고딕"/>
      <family val="2"/>
      <charset val="129"/>
      <scheme val="minor"/>
    </font>
    <font>
      <sz val="11"/>
      <color theme="1"/>
      <name val="맑은 고딕"/>
      <family val="2"/>
      <scheme val="minor"/>
    </font>
    <font>
      <b/>
      <i/>
      <sz val="8"/>
      <color theme="3"/>
      <name val="맑은 고딕"/>
      <family val="3"/>
      <charset val="129"/>
    </font>
    <font>
      <i/>
      <sz val="8"/>
      <color theme="1"/>
      <name val="맑은 고딕"/>
      <family val="3"/>
      <charset val="129"/>
    </font>
    <font>
      <i/>
      <sz val="8"/>
      <color theme="9" tint="-0.499984740745262"/>
      <name val="맑은 고딕"/>
      <family val="3"/>
      <charset val="129"/>
    </font>
    <font>
      <sz val="8"/>
      <color theme="1"/>
      <name val="맑은 고딕"/>
      <family val="3"/>
      <charset val="129"/>
    </font>
    <font>
      <b/>
      <sz val="8"/>
      <color theme="1"/>
      <name val="맑은 고딕"/>
      <family val="3"/>
      <charset val="129"/>
    </font>
    <font>
      <b/>
      <sz val="8"/>
      <color theme="0"/>
      <name val="맑은 고딕"/>
      <family val="3"/>
      <charset val="129"/>
    </font>
    <font>
      <sz val="8"/>
      <color theme="0"/>
      <name val="맑은 고딕"/>
      <family val="3"/>
      <charset val="129"/>
    </font>
    <font>
      <i/>
      <sz val="8"/>
      <color theme="0"/>
      <name val="맑은 고딕"/>
      <family val="3"/>
      <charset val="129"/>
    </font>
    <font>
      <b/>
      <i/>
      <sz val="8"/>
      <color theme="0"/>
      <name val="맑은 고딕"/>
      <family val="3"/>
      <charset val="129"/>
    </font>
    <font>
      <sz val="10"/>
      <name val="Times New Roman"/>
      <family val="1"/>
    </font>
    <font>
      <sz val="8"/>
      <color theme="3"/>
      <name val="맑은 고딕"/>
      <family val="3"/>
      <charset val="129"/>
    </font>
    <font>
      <sz val="8"/>
      <name val="맑은 고딕"/>
      <family val="3"/>
      <charset val="129"/>
    </font>
    <font>
      <i/>
      <sz val="8"/>
      <color theme="3"/>
      <name val="맑은 고딕"/>
      <family val="3"/>
      <charset val="129"/>
    </font>
    <font>
      <b/>
      <strike/>
      <sz val="8"/>
      <color theme="0"/>
      <name val="맑은 고딕"/>
      <family val="3"/>
      <charset val="129"/>
    </font>
    <font>
      <strike/>
      <sz val="8"/>
      <color theme="1"/>
      <name val="맑은 고딕"/>
      <family val="3"/>
      <charset val="129"/>
    </font>
    <font>
      <b/>
      <strike/>
      <sz val="8"/>
      <color theme="1"/>
      <name val="맑은 고딕"/>
      <family val="3"/>
      <charset val="129"/>
    </font>
    <font>
      <b/>
      <sz val="8"/>
      <color theme="3"/>
      <name val="맑은 고딕"/>
      <family val="3"/>
      <charset val="129"/>
    </font>
    <font>
      <b/>
      <i/>
      <sz val="8"/>
      <color theme="1"/>
      <name val="맑은 고딕"/>
      <family val="3"/>
      <charset val="129"/>
    </font>
    <font>
      <sz val="8"/>
      <color rgb="FFFF0000"/>
      <name val="맑은 고딕"/>
      <family val="3"/>
      <charset val="129"/>
    </font>
    <font>
      <i/>
      <sz val="8"/>
      <name val="맑은 고딕"/>
      <family val="3"/>
      <charset val="129"/>
    </font>
    <font>
      <b/>
      <i/>
      <sz val="8"/>
      <color rgb="FFFF0000"/>
      <name val="맑은 고딕"/>
      <family val="3"/>
      <charset val="129"/>
    </font>
    <font>
      <b/>
      <sz val="8"/>
      <color rgb="FFFF0000"/>
      <name val="맑은 고딕"/>
      <family val="3"/>
      <charset val="129"/>
    </font>
    <font>
      <sz val="9"/>
      <color theme="1"/>
      <name val="맑은 고딕"/>
      <family val="3"/>
      <charset val="129"/>
    </font>
    <font>
      <sz val="8"/>
      <name val="Arial"/>
      <family val="2"/>
      <charset val="129"/>
      <scheme val="minor"/>
    </font>
    <font>
      <sz val="9"/>
      <color theme="1"/>
      <name val="맑은 고딕"/>
      <family val="2"/>
      <scheme val="minor"/>
    </font>
    <font>
      <b/>
      <sz val="9"/>
      <color theme="1"/>
      <name val="맑은 고딕"/>
      <family val="2"/>
      <scheme val="minor"/>
    </font>
    <font>
      <b/>
      <sz val="11"/>
      <color theme="3"/>
      <name val="맑은 고딕"/>
      <family val="3"/>
      <charset val="129"/>
    </font>
    <font>
      <b/>
      <sz val="9"/>
      <color theme="3"/>
      <name val="맑은 고딕"/>
      <family val="3"/>
      <charset val="129"/>
    </font>
    <font>
      <b/>
      <sz val="9"/>
      <color theme="1"/>
      <name val="맑은 고딕"/>
      <family val="3"/>
      <charset val="129"/>
    </font>
    <font>
      <b/>
      <sz val="9"/>
      <color theme="0"/>
      <name val="맑은 고딕"/>
      <family val="3"/>
      <charset val="129"/>
    </font>
    <font>
      <sz val="9"/>
      <color rgb="FFFF0000"/>
      <name val="맑은 고딕"/>
      <family val="3"/>
      <charset val="129"/>
    </font>
    <font>
      <b/>
      <sz val="9"/>
      <color rgb="FFFF0000"/>
      <name val="맑은 고딕"/>
      <family val="3"/>
      <charset val="129"/>
    </font>
    <font>
      <sz val="9"/>
      <color rgb="FF0000FF"/>
      <name val="맑은 고딕"/>
      <family val="3"/>
      <charset val="129"/>
    </font>
    <font>
      <i/>
      <sz val="9"/>
      <color rgb="FFFF0000"/>
      <name val="맑은 고딕"/>
      <family val="3"/>
      <charset val="129"/>
    </font>
    <font>
      <b/>
      <sz val="9"/>
      <color rgb="FF0000FF"/>
      <name val="맑은 고딕"/>
      <family val="3"/>
      <charset val="129"/>
    </font>
    <font>
      <b/>
      <i/>
      <sz val="9"/>
      <color rgb="FF0000FF"/>
      <name val="맑은 고딕"/>
      <family val="3"/>
      <charset val="129"/>
    </font>
    <font>
      <sz val="9"/>
      <color theme="3"/>
      <name val="맑은 고딕"/>
      <family val="3"/>
      <charset val="129"/>
    </font>
    <font>
      <i/>
      <sz val="9"/>
      <color theme="1"/>
      <name val="맑은 고딕"/>
      <family val="3"/>
      <charset val="129"/>
    </font>
    <font>
      <b/>
      <u/>
      <sz val="9"/>
      <name val="맑은 고딕"/>
      <family val="3"/>
      <charset val="129"/>
    </font>
    <font>
      <b/>
      <sz val="9"/>
      <name val="맑은 고딕"/>
      <family val="3"/>
      <charset val="129"/>
    </font>
    <font>
      <i/>
      <sz val="9"/>
      <name val="맑은 고딕"/>
      <family val="3"/>
      <charset val="129"/>
    </font>
    <font>
      <b/>
      <i/>
      <sz val="9"/>
      <color theme="3"/>
      <name val="맑은 고딕"/>
      <family val="3"/>
      <charset val="129"/>
    </font>
    <font>
      <b/>
      <i/>
      <sz val="9"/>
      <color theme="1"/>
      <name val="맑은 고딕"/>
      <family val="3"/>
      <charset val="129"/>
    </font>
    <font>
      <sz val="9"/>
      <name val="맑은 고딕"/>
      <family val="3"/>
      <charset val="129"/>
    </font>
    <font>
      <sz val="9"/>
      <color rgb="FF000000"/>
      <name val="맑은 고딕"/>
      <family val="3"/>
      <charset val="129"/>
    </font>
    <font>
      <b/>
      <i/>
      <sz val="9"/>
      <color rgb="FFFF0000"/>
      <name val="맑은 고딕"/>
      <family val="3"/>
      <charset val="129"/>
    </font>
    <font>
      <b/>
      <i/>
      <sz val="9"/>
      <color rgb="FF00B050"/>
      <name val="맑은 고딕"/>
      <family val="3"/>
      <charset val="129"/>
    </font>
    <font>
      <sz val="9"/>
      <color theme="0"/>
      <name val="맑은 고딕"/>
      <family val="3"/>
      <charset val="129"/>
    </font>
    <font>
      <sz val="8"/>
      <name val="맑은 고딕"/>
      <family val="3"/>
      <charset val="129"/>
      <scheme val="minor"/>
    </font>
    <font>
      <b/>
      <sz val="9"/>
      <color theme="4"/>
      <name val="맑은 고딕"/>
      <family val="2"/>
      <scheme val="minor"/>
    </font>
    <font>
      <b/>
      <i/>
      <sz val="11"/>
      <color theme="0"/>
      <name val="맑은 고딕"/>
      <family val="3"/>
      <charset val="129"/>
    </font>
    <font>
      <i/>
      <sz val="9"/>
      <color theme="0"/>
      <name val="맑은 고딕"/>
      <family val="3"/>
      <charset val="129"/>
    </font>
    <font>
      <b/>
      <i/>
      <sz val="9"/>
      <name val="맑은 고딕"/>
      <family val="3"/>
      <charset val="129"/>
    </font>
    <font>
      <strike/>
      <sz val="9"/>
      <color theme="1"/>
      <name val="맑은 고딕"/>
      <family val="3"/>
      <charset val="129"/>
    </font>
    <font>
      <b/>
      <i/>
      <sz val="9"/>
      <color theme="0" tint="-0.499984740745262"/>
      <name val="맑은 고딕"/>
      <family val="3"/>
      <charset val="129"/>
    </font>
    <font>
      <u/>
      <sz val="9"/>
      <color theme="10"/>
      <name val="맑은 고딕"/>
      <family val="3"/>
      <charset val="129"/>
    </font>
    <font>
      <b/>
      <u/>
      <sz val="9"/>
      <color theme="10"/>
      <name val="맑은 고딕"/>
      <family val="3"/>
      <charset val="129"/>
    </font>
    <font>
      <sz val="32"/>
      <color theme="3"/>
      <name val="맑은 고딕"/>
      <family val="3"/>
      <charset val="129"/>
    </font>
    <font>
      <b/>
      <i/>
      <sz val="9"/>
      <color theme="0"/>
      <name val="맑은 고딕"/>
      <family val="3"/>
      <charset val="129"/>
    </font>
    <font>
      <vertAlign val="superscript"/>
      <sz val="9"/>
      <color theme="1"/>
      <name val="맑은 고딕"/>
      <family val="3"/>
      <charset val="129"/>
    </font>
    <font>
      <b/>
      <sz val="9"/>
      <color theme="2"/>
      <name val="맑은 고딕"/>
      <family val="3"/>
      <charset val="129"/>
    </font>
    <font>
      <b/>
      <sz val="9"/>
      <color rgb="FF000000"/>
      <name val="맑은 고딕"/>
      <family val="3"/>
      <charset val="129"/>
    </font>
    <font>
      <b/>
      <sz val="10"/>
      <color theme="3"/>
      <name val="맑은 고딕"/>
      <family val="3"/>
      <charset val="129"/>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FCD4B6"/>
        <bgColor indexed="64"/>
      </patternFill>
    </fill>
    <fill>
      <patternFill patternType="solid">
        <fgColor rgb="FFE8E6DF"/>
        <bgColor indexed="64"/>
      </patternFill>
    </fill>
    <fill>
      <patternFill patternType="solid">
        <fgColor rgb="FFFFFF00"/>
        <bgColor indexed="64"/>
      </patternFill>
    </fill>
    <fill>
      <patternFill patternType="solid">
        <fgColor rgb="FF92D050"/>
        <bgColor indexed="64"/>
      </patternFill>
    </fill>
    <fill>
      <patternFill patternType="solid">
        <fgColor theme="3"/>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theme="3" tint="-0.499984740745262"/>
        <bgColor indexed="64"/>
      </patternFill>
    </fill>
    <fill>
      <patternFill patternType="solid">
        <fgColor rgb="FFFFC000"/>
        <bgColor indexed="64"/>
      </patternFill>
    </fill>
    <fill>
      <patternFill patternType="solid">
        <fgColor theme="6" tint="0.79998168889431442"/>
        <bgColor indexed="64"/>
      </patternFill>
    </fill>
    <fill>
      <patternFill patternType="solid">
        <fgColor rgb="FFCCFFFF"/>
        <bgColor indexed="64"/>
      </patternFill>
    </fill>
    <fill>
      <patternFill patternType="solid">
        <fgColor rgb="FFFFFF99"/>
        <bgColor indexed="64"/>
      </patternFill>
    </fill>
    <fill>
      <patternFill patternType="solid">
        <fgColor rgb="FFFFFFFF"/>
        <bgColor rgb="FF000000"/>
      </patternFill>
    </fill>
    <fill>
      <patternFill patternType="solid">
        <fgColor rgb="FFD9D9D9"/>
        <bgColor rgb="FF000000"/>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8" tint="0.59999389629810485"/>
        <bgColor indexed="64"/>
      </patternFill>
    </fill>
  </fills>
  <borders count="6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thin">
        <color theme="4"/>
      </bottom>
      <diagonal/>
    </border>
    <border>
      <left/>
      <right/>
      <top style="thin">
        <color theme="4"/>
      </top>
      <bottom/>
      <diagonal/>
    </border>
    <border>
      <left/>
      <right/>
      <top style="thin">
        <color theme="4"/>
      </top>
      <bottom style="medium">
        <color theme="4"/>
      </bottom>
      <diagonal/>
    </border>
    <border>
      <left/>
      <right/>
      <top style="medium">
        <color theme="4"/>
      </top>
      <bottom/>
      <diagonal/>
    </border>
    <border>
      <left/>
      <right/>
      <top/>
      <bottom style="dashed">
        <color theme="3"/>
      </bottom>
      <diagonal/>
    </border>
    <border>
      <left/>
      <right/>
      <top style="dashed">
        <color theme="3"/>
      </top>
      <bottom style="dashed">
        <color theme="3"/>
      </bottom>
      <diagonal/>
    </border>
    <border>
      <left/>
      <right/>
      <top style="medium">
        <color theme="4"/>
      </top>
      <bottom style="dotted">
        <color theme="4"/>
      </bottom>
      <diagonal/>
    </border>
    <border>
      <left/>
      <right/>
      <top style="dotted">
        <color theme="4"/>
      </top>
      <bottom style="dotted">
        <color theme="4"/>
      </bottom>
      <diagonal/>
    </border>
    <border>
      <left/>
      <right style="thin">
        <color theme="3"/>
      </right>
      <top/>
      <bottom style="thin">
        <color theme="3"/>
      </bottom>
      <diagonal/>
    </border>
    <border>
      <left style="thin">
        <color theme="3"/>
      </left>
      <right style="thin">
        <color theme="3"/>
      </right>
      <top/>
      <bottom style="thin">
        <color theme="3"/>
      </bottom>
      <diagonal/>
    </border>
    <border>
      <left style="thin">
        <color theme="3"/>
      </left>
      <right/>
      <top/>
      <bottom style="thin">
        <color theme="3"/>
      </bottom>
      <diagonal/>
    </border>
    <border>
      <left/>
      <right style="thin">
        <color theme="3"/>
      </right>
      <top style="thin">
        <color theme="3"/>
      </top>
      <bottom style="thin">
        <color theme="3"/>
      </bottom>
      <diagonal/>
    </border>
    <border>
      <left style="thin">
        <color theme="3"/>
      </left>
      <right style="thin">
        <color theme="3"/>
      </right>
      <top style="thin">
        <color theme="3"/>
      </top>
      <bottom style="thin">
        <color theme="3"/>
      </bottom>
      <diagonal/>
    </border>
    <border>
      <left style="thin">
        <color theme="3"/>
      </left>
      <right/>
      <top style="thin">
        <color theme="3"/>
      </top>
      <bottom style="thin">
        <color theme="3"/>
      </bottom>
      <diagonal/>
    </border>
    <border>
      <left/>
      <right style="thin">
        <color theme="3"/>
      </right>
      <top style="medium">
        <color theme="3"/>
      </top>
      <bottom style="medium">
        <color theme="3"/>
      </bottom>
      <diagonal/>
    </border>
    <border>
      <left style="thin">
        <color theme="3"/>
      </left>
      <right style="thin">
        <color theme="3"/>
      </right>
      <top style="medium">
        <color theme="3"/>
      </top>
      <bottom style="medium">
        <color theme="3"/>
      </bottom>
      <diagonal/>
    </border>
    <border>
      <left style="thin">
        <color theme="3"/>
      </left>
      <right/>
      <top style="medium">
        <color theme="3"/>
      </top>
      <bottom style="medium">
        <color theme="3"/>
      </bottom>
      <diagonal/>
    </border>
    <border>
      <left/>
      <right/>
      <top/>
      <bottom style="thin">
        <color rgb="FF821A1A"/>
      </bottom>
      <diagonal/>
    </border>
    <border>
      <left/>
      <right/>
      <top style="thin">
        <color rgb="FF821A1A"/>
      </top>
      <bottom style="medium">
        <color rgb="FF821A1A"/>
      </bottom>
      <diagonal/>
    </border>
    <border>
      <left/>
      <right/>
      <top/>
      <bottom style="medium">
        <color theme="3"/>
      </bottom>
      <diagonal/>
    </border>
    <border>
      <left/>
      <right/>
      <top style="medium">
        <color theme="3"/>
      </top>
      <bottom/>
      <diagonal/>
    </border>
    <border>
      <left style="medium">
        <color theme="3"/>
      </left>
      <right/>
      <top style="medium">
        <color theme="3"/>
      </top>
      <bottom/>
      <diagonal/>
    </border>
    <border>
      <left style="medium">
        <color theme="3"/>
      </left>
      <right/>
      <top/>
      <bottom/>
      <diagonal/>
    </border>
    <border>
      <left/>
      <right/>
      <top style="thin">
        <color theme="3"/>
      </top>
      <bottom style="medium">
        <color theme="3"/>
      </bottom>
      <diagonal/>
    </border>
    <border>
      <left style="thin">
        <color auto="1"/>
      </left>
      <right style="thin">
        <color auto="1"/>
      </right>
      <top style="thin">
        <color auto="1"/>
      </top>
      <bottom style="thin">
        <color auto="1"/>
      </bottom>
      <diagonal/>
    </border>
    <border>
      <left style="thin">
        <color theme="4"/>
      </left>
      <right style="thin">
        <color theme="4"/>
      </right>
      <top style="medium">
        <color theme="4"/>
      </top>
      <bottom style="thin">
        <color theme="4"/>
      </bottom>
      <diagonal/>
    </border>
    <border>
      <left/>
      <right/>
      <top style="thin">
        <color theme="3"/>
      </top>
      <bottom style="thin">
        <color theme="3"/>
      </bottom>
      <diagonal/>
    </border>
    <border>
      <left style="thin">
        <color theme="4"/>
      </left>
      <right style="thin">
        <color theme="4"/>
      </right>
      <top style="thin">
        <color theme="4"/>
      </top>
      <bottom style="medium">
        <color theme="4"/>
      </bottom>
      <diagonal/>
    </border>
    <border>
      <left style="thin">
        <color theme="4"/>
      </left>
      <right/>
      <top/>
      <bottom style="medium">
        <color theme="4"/>
      </bottom>
      <diagonal/>
    </border>
    <border>
      <left style="thin">
        <color theme="3"/>
      </left>
      <right/>
      <top style="thin">
        <color theme="3"/>
      </top>
      <bottom/>
      <diagonal/>
    </border>
    <border>
      <left/>
      <right/>
      <top style="thin">
        <color theme="3"/>
      </top>
      <bottom/>
      <diagonal/>
    </border>
    <border>
      <left/>
      <right style="thin">
        <color theme="3"/>
      </right>
      <top style="thin">
        <color theme="3"/>
      </top>
      <bottom/>
      <diagonal/>
    </border>
    <border>
      <left/>
      <right/>
      <top/>
      <bottom style="thin">
        <color theme="3"/>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right/>
      <top/>
      <bottom style="thin">
        <color indexed="64"/>
      </bottom>
      <diagonal/>
    </border>
    <border>
      <left/>
      <right style="thin">
        <color auto="1"/>
      </right>
      <top/>
      <bottom style="thin">
        <color auto="1"/>
      </bottom>
      <diagonal/>
    </border>
    <border>
      <left/>
      <right style="thin">
        <color indexed="64"/>
      </right>
      <top/>
      <bottom/>
      <diagonal/>
    </border>
    <border>
      <left style="thin">
        <color auto="1"/>
      </left>
      <right style="thin">
        <color auto="1"/>
      </right>
      <top/>
      <bottom/>
      <diagonal/>
    </border>
    <border>
      <left/>
      <right style="dotted">
        <color theme="4"/>
      </right>
      <top/>
      <bottom style="medium">
        <color theme="4"/>
      </bottom>
      <diagonal/>
    </border>
    <border>
      <left/>
      <right style="dotted">
        <color theme="4"/>
      </right>
      <top/>
      <bottom/>
      <diagonal/>
    </border>
    <border>
      <left/>
      <right style="dotted">
        <color theme="4"/>
      </right>
      <top style="thin">
        <color theme="4"/>
      </top>
      <bottom style="medium">
        <color theme="4"/>
      </bottom>
      <diagonal/>
    </border>
    <border>
      <left style="dotted">
        <color theme="4"/>
      </left>
      <right/>
      <top/>
      <bottom/>
      <diagonal/>
    </border>
    <border>
      <left/>
      <right/>
      <top/>
      <bottom style="dotted">
        <color theme="4"/>
      </bottom>
      <diagonal/>
    </border>
    <border>
      <left/>
      <right style="dotted">
        <color theme="4"/>
      </right>
      <top/>
      <bottom style="dotted">
        <color theme="4"/>
      </bottom>
      <diagonal/>
    </border>
    <border>
      <left/>
      <right/>
      <top/>
      <bottom style="dotted">
        <color theme="3"/>
      </bottom>
      <diagonal/>
    </border>
    <border>
      <left/>
      <right style="dotted">
        <color theme="4"/>
      </right>
      <top/>
      <bottom style="dotted">
        <color theme="3"/>
      </bottom>
      <diagonal/>
    </border>
    <border>
      <left style="medium">
        <color theme="4"/>
      </left>
      <right style="medium">
        <color theme="4"/>
      </right>
      <top style="medium">
        <color theme="4"/>
      </top>
      <bottom style="medium">
        <color theme="4"/>
      </bottom>
      <diagonal/>
    </border>
    <border>
      <left/>
      <right style="dotted">
        <color theme="4"/>
      </right>
      <top style="medium">
        <color theme="4"/>
      </top>
      <bottom/>
      <diagonal/>
    </border>
    <border>
      <left/>
      <right style="dotted">
        <color theme="3"/>
      </right>
      <top/>
      <bottom style="medium">
        <color theme="3"/>
      </bottom>
      <diagonal/>
    </border>
    <border>
      <left/>
      <right style="dotted">
        <color theme="3"/>
      </right>
      <top/>
      <bottom style="medium">
        <color theme="4"/>
      </bottom>
      <diagonal/>
    </border>
    <border>
      <left/>
      <right style="dotted">
        <color theme="3"/>
      </right>
      <top/>
      <bottom/>
      <diagonal/>
    </border>
  </borders>
  <cellStyleXfs count="63">
    <xf numFmtId="176" fontId="0" fillId="0" borderId="0"/>
    <xf numFmtId="9" fontId="8" fillId="0" borderId="0" applyFont="0" applyFill="0" applyBorder="0" applyAlignment="0" applyProtection="0"/>
    <xf numFmtId="49" fontId="22" fillId="0" borderId="0" applyAlignment="0" applyProtection="0"/>
    <xf numFmtId="49" fontId="11" fillId="0" borderId="6" applyFill="0" applyProtection="0">
      <alignment horizontal="right" wrapText="1"/>
    </xf>
    <xf numFmtId="49" fontId="12" fillId="0" borderId="0" applyProtection="0">
      <alignment wrapText="1"/>
    </xf>
    <xf numFmtId="49" fontId="13" fillId="0" borderId="7" applyFill="0" applyProtection="0">
      <alignment horizontal="right" wrapText="1"/>
    </xf>
    <xf numFmtId="49" fontId="13" fillId="0" borderId="0" applyProtection="0">
      <alignment wrapText="1"/>
    </xf>
    <xf numFmtId="0" fontId="10" fillId="2" borderId="0" applyNumberFormat="0" applyBorder="0" applyAlignment="0" applyProtection="0"/>
    <xf numFmtId="0" fontId="5" fillId="3" borderId="0" applyNumberFormat="0" applyBorder="0" applyAlignment="0" applyProtection="0"/>
    <xf numFmtId="0" fontId="16" fillId="4" borderId="0" applyNumberFormat="0" applyBorder="0" applyAlignment="0" applyProtection="0"/>
    <xf numFmtId="0" fontId="14" fillId="5" borderId="1" applyNumberFormat="0" applyAlignment="0" applyProtection="0"/>
    <xf numFmtId="0" fontId="17" fillId="6" borderId="2" applyNumberFormat="0" applyAlignment="0" applyProtection="0"/>
    <xf numFmtId="0" fontId="6" fillId="6" borderId="1" applyNumberFormat="0" applyAlignment="0" applyProtection="0"/>
    <xf numFmtId="0" fontId="15" fillId="0" borderId="3" applyNumberFormat="0" applyFill="0" applyAlignment="0" applyProtection="0"/>
    <xf numFmtId="0" fontId="7" fillId="7" borderId="4" applyNumberFormat="0" applyAlignment="0" applyProtection="0"/>
    <xf numFmtId="0" fontId="8" fillId="8" borderId="5" applyNumberFormat="0" applyAlignment="0" applyProtection="0"/>
    <xf numFmtId="0" fontId="9" fillId="0" borderId="0" applyNumberFormat="0" applyFill="0" applyBorder="0" applyAlignment="0" applyProtection="0"/>
    <xf numFmtId="0" fontId="23" fillId="0" borderId="9" applyNumberFormat="0" applyFill="0" applyAlignment="0" applyProtection="0"/>
    <xf numFmtId="176" fontId="18" fillId="0" borderId="0" applyNumberFormat="0" applyFill="0" applyBorder="0" applyAlignment="0" applyProtection="0"/>
    <xf numFmtId="176" fontId="8" fillId="9" borderId="0" applyNumberFormat="0" applyFont="0" applyBorder="0" applyAlignment="0" applyProtection="0"/>
    <xf numFmtId="0" fontId="8" fillId="0" borderId="0" applyFill="0" applyBorder="0" applyProtection="0"/>
    <xf numFmtId="176" fontId="8" fillId="10" borderId="0" applyNumberFormat="0" applyFont="0" applyBorder="0" applyAlignment="0" applyProtection="0"/>
    <xf numFmtId="177" fontId="8" fillId="0" borderId="0" applyFill="0" applyBorder="0" applyAlignment="0" applyProtection="0"/>
    <xf numFmtId="0" fontId="19" fillId="0" borderId="0" applyNumberFormat="0" applyAlignment="0" applyProtection="0"/>
    <xf numFmtId="0" fontId="18" fillId="0" borderId="6" applyFill="0" applyProtection="0">
      <alignment horizontal="right" wrapText="1"/>
    </xf>
    <xf numFmtId="0" fontId="18" fillId="0" borderId="0" applyFill="0" applyProtection="0">
      <alignment wrapText="1"/>
    </xf>
    <xf numFmtId="176" fontId="20" fillId="0" borderId="8" applyNumberFormat="0" applyFill="0" applyAlignment="0" applyProtection="0"/>
    <xf numFmtId="0" fontId="21" fillId="0" borderId="0" applyAlignment="0" applyProtection="0"/>
    <xf numFmtId="0" fontId="20" fillId="0" borderId="9" applyNumberFormat="0" applyFill="0" applyAlignment="0" applyProtection="0"/>
    <xf numFmtId="0" fontId="18" fillId="0" borderId="10" applyFill="0" applyProtection="0">
      <alignment wrapText="1"/>
    </xf>
    <xf numFmtId="41" fontId="8" fillId="0" borderId="0" applyFont="0" applyFill="0" applyBorder="0" applyAlignment="0" applyProtection="0">
      <alignment vertical="center"/>
    </xf>
    <xf numFmtId="176" fontId="28" fillId="0" borderId="0" applyNumberFormat="0" applyFill="0" applyBorder="0" applyAlignment="0" applyProtection="0"/>
    <xf numFmtId="176" fontId="30" fillId="0" borderId="0"/>
    <xf numFmtId="185" fontId="31" fillId="0" borderId="0"/>
    <xf numFmtId="185" fontId="32" fillId="0" borderId="0">
      <alignment vertical="center"/>
    </xf>
    <xf numFmtId="177" fontId="8" fillId="0" borderId="0" applyFont="0" applyFill="0" applyBorder="0" applyAlignment="0" applyProtection="0"/>
    <xf numFmtId="176" fontId="8" fillId="0" borderId="0"/>
    <xf numFmtId="185" fontId="21" fillId="0" borderId="0" applyAlignment="0" applyProtection="0"/>
    <xf numFmtId="176" fontId="8" fillId="0" borderId="0"/>
    <xf numFmtId="185" fontId="18" fillId="0" borderId="6" applyFill="0" applyProtection="0">
      <alignment horizontal="right" wrapText="1"/>
    </xf>
    <xf numFmtId="186" fontId="4" fillId="0" borderId="0">
      <alignment vertical="center"/>
    </xf>
    <xf numFmtId="185" fontId="4" fillId="0" borderId="0">
      <alignment vertical="center"/>
    </xf>
    <xf numFmtId="0" fontId="18" fillId="0" borderId="6" applyFill="0" applyProtection="0">
      <alignment horizontal="right" wrapText="1"/>
    </xf>
    <xf numFmtId="9" fontId="3" fillId="0" borderId="0" applyFont="0" applyFill="0" applyBorder="0" applyAlignment="0" applyProtection="0">
      <alignment vertical="center"/>
    </xf>
    <xf numFmtId="9" fontId="35" fillId="0" borderId="0" applyFont="0" applyFill="0" applyBorder="0" applyAlignment="0" applyProtection="0"/>
    <xf numFmtId="176" fontId="8" fillId="0" borderId="0"/>
    <xf numFmtId="196" fontId="45" fillId="0" borderId="0" applyFont="0" applyFill="0" applyBorder="0" applyAlignment="0" applyProtection="0"/>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176" fontId="60" fillId="0" borderId="0"/>
    <xf numFmtId="185" fontId="61" fillId="0" borderId="9" applyNumberFormat="0" applyFill="0" applyAlignment="0" applyProtection="0"/>
    <xf numFmtId="177" fontId="60" fillId="0" borderId="0" applyFont="0" applyFill="0" applyBorder="0" applyAlignment="0" applyProtection="0"/>
    <xf numFmtId="41" fontId="60" fillId="0" borderId="0" applyFont="0" applyFill="0" applyBorder="0" applyAlignment="0" applyProtection="0">
      <alignment vertical="center"/>
    </xf>
    <xf numFmtId="177" fontId="60" fillId="0" borderId="0" applyFont="0" applyFill="0" applyBorder="0" applyAlignment="0" applyProtection="0"/>
    <xf numFmtId="41" fontId="8" fillId="0" borderId="0" applyFont="0" applyFill="0" applyBorder="0" applyAlignment="0" applyProtection="0">
      <alignment vertical="center"/>
    </xf>
    <xf numFmtId="186" fontId="1" fillId="0" borderId="0">
      <alignment vertical="center"/>
    </xf>
    <xf numFmtId="185" fontId="1" fillId="0" borderId="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41" fontId="60" fillId="0" borderId="0" applyFont="0" applyFill="0" applyBorder="0" applyAlignment="0" applyProtection="0">
      <alignment vertical="center"/>
    </xf>
  </cellStyleXfs>
  <cellXfs count="561">
    <xf numFmtId="176" fontId="0" fillId="0" borderId="0" xfId="0"/>
    <xf numFmtId="176" fontId="36" fillId="0" borderId="0" xfId="45" applyFont="1" applyAlignment="1">
      <alignment vertical="center"/>
    </xf>
    <xf numFmtId="176" fontId="37" fillId="0" borderId="0" xfId="45" applyFont="1"/>
    <xf numFmtId="176" fontId="37" fillId="0" borderId="0" xfId="45" applyFont="1" applyAlignment="1">
      <alignment vertical="center"/>
    </xf>
    <xf numFmtId="176" fontId="38" fillId="0" borderId="0" xfId="45" applyFont="1" applyAlignment="1">
      <alignment horizontal="right" vertical="center"/>
    </xf>
    <xf numFmtId="176" fontId="37" fillId="0" borderId="0" xfId="45" applyFont="1" applyAlignment="1">
      <alignment shrinkToFit="1"/>
    </xf>
    <xf numFmtId="176" fontId="37" fillId="32" borderId="0" xfId="45" applyFont="1" applyFill="1" applyAlignment="1">
      <alignment shrinkToFit="1"/>
    </xf>
    <xf numFmtId="176" fontId="39" fillId="0" borderId="0" xfId="45" applyFont="1" applyAlignment="1">
      <alignment horizontal="center" vertical="center"/>
    </xf>
    <xf numFmtId="176" fontId="40" fillId="0" borderId="0" xfId="45" applyFont="1" applyAlignment="1">
      <alignment vertical="center"/>
    </xf>
    <xf numFmtId="176" fontId="39" fillId="0" borderId="0" xfId="45" applyFont="1" applyAlignment="1">
      <alignment vertical="center"/>
    </xf>
    <xf numFmtId="176" fontId="39" fillId="0" borderId="0" xfId="45" applyFont="1" applyAlignment="1">
      <alignment shrinkToFit="1"/>
    </xf>
    <xf numFmtId="176" fontId="39" fillId="32" borderId="0" xfId="45" applyFont="1" applyFill="1" applyAlignment="1">
      <alignment shrinkToFit="1"/>
    </xf>
    <xf numFmtId="176" fontId="39" fillId="0" borderId="0" xfId="45" applyFont="1"/>
    <xf numFmtId="176" fontId="41" fillId="13" borderId="0" xfId="45" applyFont="1" applyFill="1" applyAlignment="1">
      <alignment horizontal="left" vertical="center"/>
    </xf>
    <xf numFmtId="176" fontId="41" fillId="13" borderId="0" xfId="45" applyFont="1" applyFill="1" applyAlignment="1">
      <alignment vertical="center"/>
    </xf>
    <xf numFmtId="176" fontId="42" fillId="13" borderId="0" xfId="45" applyFont="1" applyFill="1" applyAlignment="1">
      <alignment vertical="center"/>
    </xf>
    <xf numFmtId="176" fontId="43" fillId="13" borderId="0" xfId="45" applyFont="1" applyFill="1" applyAlignment="1">
      <alignment horizontal="right" vertical="center"/>
    </xf>
    <xf numFmtId="176" fontId="46" fillId="0" borderId="0" xfId="45" applyFont="1" applyAlignment="1">
      <alignment horizontal="center" vertical="center"/>
    </xf>
    <xf numFmtId="0" fontId="36" fillId="0" borderId="0" xfId="27" applyFont="1" applyAlignment="1">
      <alignment horizontal="left" vertical="top"/>
    </xf>
    <xf numFmtId="176" fontId="41" fillId="13" borderId="0" xfId="0" applyFont="1" applyFill="1"/>
    <xf numFmtId="0" fontId="52" fillId="0" borderId="6" xfId="24" applyFont="1" applyAlignment="1">
      <alignment horizontal="left"/>
    </xf>
    <xf numFmtId="0" fontId="52" fillId="0" borderId="6" xfId="24" applyFont="1">
      <alignment horizontal="right" wrapText="1"/>
    </xf>
    <xf numFmtId="176" fontId="40" fillId="0" borderId="0" xfId="0" applyFont="1"/>
    <xf numFmtId="176" fontId="40" fillId="0" borderId="8" xfId="26" applyFont="1"/>
    <xf numFmtId="176" fontId="39" fillId="0" borderId="0" xfId="0" applyFont="1"/>
    <xf numFmtId="41" fontId="39" fillId="0" borderId="0" xfId="30" applyFont="1" applyAlignment="1"/>
    <xf numFmtId="176" fontId="37" fillId="0" borderId="0" xfId="0" applyFont="1"/>
    <xf numFmtId="184" fontId="37" fillId="0" borderId="0" xfId="1" applyNumberFormat="1" applyFont="1"/>
    <xf numFmtId="176" fontId="40" fillId="0" borderId="9" xfId="28" applyNumberFormat="1" applyFont="1"/>
    <xf numFmtId="176" fontId="40" fillId="0" borderId="39" xfId="0" applyFont="1" applyBorder="1"/>
    <xf numFmtId="176" fontId="39" fillId="0" borderId="39" xfId="0" applyFont="1" applyBorder="1"/>
    <xf numFmtId="176" fontId="40" fillId="0" borderId="26" xfId="0" applyFont="1" applyBorder="1"/>
    <xf numFmtId="176" fontId="43" fillId="0" borderId="0" xfId="0" applyFont="1"/>
    <xf numFmtId="184" fontId="48" fillId="0" borderId="0" xfId="0" applyNumberFormat="1" applyFont="1"/>
    <xf numFmtId="176" fontId="39" fillId="0" borderId="0" xfId="45" applyFont="1" applyAlignment="1">
      <alignment horizontal="left" vertical="center" indent="1"/>
    </xf>
    <xf numFmtId="176" fontId="40" fillId="0" borderId="30" xfId="0" applyFont="1" applyBorder="1"/>
    <xf numFmtId="176" fontId="39" fillId="0" borderId="30" xfId="0" applyFont="1" applyBorder="1"/>
    <xf numFmtId="176" fontId="39" fillId="0" borderId="26" xfId="0" applyFont="1" applyBorder="1"/>
    <xf numFmtId="176" fontId="40" fillId="0" borderId="8" xfId="28" applyNumberFormat="1" applyFont="1" applyBorder="1"/>
    <xf numFmtId="184" fontId="48" fillId="0" borderId="26" xfId="0" applyNumberFormat="1" applyFont="1" applyBorder="1"/>
    <xf numFmtId="0" fontId="48" fillId="0" borderId="0" xfId="45" applyNumberFormat="1" applyFont="1" applyAlignment="1">
      <alignment horizontal="left"/>
    </xf>
    <xf numFmtId="176" fontId="52" fillId="0" borderId="0" xfId="0" applyFont="1"/>
    <xf numFmtId="176" fontId="39" fillId="0" borderId="37" xfId="0" applyFont="1" applyBorder="1"/>
    <xf numFmtId="176" fontId="36" fillId="0" borderId="0" xfId="0" applyFont="1"/>
    <xf numFmtId="176" fontId="36" fillId="0" borderId="0" xfId="0" applyFont="1" applyAlignment="1">
      <alignment horizontal="left"/>
    </xf>
    <xf numFmtId="184" fontId="52" fillId="0" borderId="0" xfId="0" applyNumberFormat="1" applyFont="1"/>
    <xf numFmtId="10" fontId="52" fillId="0" borderId="0" xfId="0" applyNumberFormat="1" applyFont="1"/>
    <xf numFmtId="176" fontId="39" fillId="0" borderId="28" xfId="0" applyFont="1" applyBorder="1"/>
    <xf numFmtId="176" fontId="39" fillId="0" borderId="27" xfId="0" applyFont="1" applyBorder="1"/>
    <xf numFmtId="176" fontId="39" fillId="0" borderId="29" xfId="0" applyFont="1" applyBorder="1"/>
    <xf numFmtId="0" fontId="52" fillId="0" borderId="6" xfId="42" applyFont="1" applyAlignment="1">
      <alignment horizontal="left"/>
    </xf>
    <xf numFmtId="0" fontId="52" fillId="0" borderId="6" xfId="42" applyFont="1" applyAlignment="1">
      <alignment horizontal="right"/>
    </xf>
    <xf numFmtId="0" fontId="52" fillId="0" borderId="48" xfId="42" applyFont="1" applyBorder="1" applyAlignment="1">
      <alignment horizontal="right"/>
    </xf>
    <xf numFmtId="184" fontId="37" fillId="0" borderId="49" xfId="1" applyNumberFormat="1" applyFont="1" applyBorder="1"/>
    <xf numFmtId="184" fontId="39" fillId="0" borderId="49" xfId="0" applyNumberFormat="1" applyFont="1" applyBorder="1"/>
    <xf numFmtId="184" fontId="39" fillId="0" borderId="0" xfId="0" applyNumberFormat="1" applyFont="1"/>
    <xf numFmtId="184" fontId="53" fillId="0" borderId="50" xfId="1" applyNumberFormat="1" applyFont="1" applyBorder="1"/>
    <xf numFmtId="184" fontId="53" fillId="0" borderId="9" xfId="1" applyNumberFormat="1" applyFont="1" applyBorder="1"/>
    <xf numFmtId="184" fontId="39" fillId="0" borderId="0" xfId="1" applyNumberFormat="1" applyFont="1"/>
    <xf numFmtId="176" fontId="40" fillId="0" borderId="26" xfId="45" applyFont="1" applyBorder="1" applyAlignment="1">
      <alignment vertical="center"/>
    </xf>
    <xf numFmtId="176" fontId="39" fillId="0" borderId="26" xfId="45" applyFont="1" applyBorder="1" applyAlignment="1">
      <alignment vertical="center"/>
    </xf>
    <xf numFmtId="176" fontId="52" fillId="0" borderId="26" xfId="45" applyFont="1" applyBorder="1" applyAlignment="1">
      <alignment vertical="center" shrinkToFit="1"/>
    </xf>
    <xf numFmtId="176" fontId="52" fillId="0" borderId="0" xfId="45" applyFont="1" applyAlignment="1">
      <alignment vertical="center"/>
    </xf>
    <xf numFmtId="176" fontId="40" fillId="0" borderId="30" xfId="45" applyFont="1" applyBorder="1" applyAlignment="1">
      <alignment vertical="center"/>
    </xf>
    <xf numFmtId="14" fontId="39" fillId="0" borderId="0" xfId="45" applyNumberFormat="1" applyFont="1" applyAlignment="1">
      <alignment vertical="center"/>
    </xf>
    <xf numFmtId="184" fontId="39" fillId="0" borderId="0" xfId="45" applyNumberFormat="1" applyFont="1" applyAlignment="1">
      <alignment vertical="center"/>
    </xf>
    <xf numFmtId="176" fontId="39" fillId="0" borderId="39" xfId="45" applyFont="1" applyBorder="1" applyAlignment="1">
      <alignment vertical="center"/>
    </xf>
    <xf numFmtId="176" fontId="39" fillId="0" borderId="27" xfId="45" applyFont="1" applyBorder="1" applyAlignment="1">
      <alignment vertical="center"/>
    </xf>
    <xf numFmtId="178" fontId="39" fillId="11" borderId="0" xfId="45" applyNumberFormat="1" applyFont="1" applyFill="1" applyAlignment="1">
      <alignment vertical="center"/>
    </xf>
    <xf numFmtId="178" fontId="40" fillId="0" borderId="30" xfId="45" applyNumberFormat="1" applyFont="1" applyBorder="1" applyAlignment="1">
      <alignment vertical="center"/>
    </xf>
    <xf numFmtId="176" fontId="52" fillId="30" borderId="26" xfId="45" applyFont="1" applyFill="1" applyBorder="1" applyAlignment="1">
      <alignment vertical="center" shrinkToFit="1"/>
    </xf>
    <xf numFmtId="0" fontId="52" fillId="11" borderId="19" xfId="42" applyFont="1" applyFill="1" applyBorder="1" applyAlignment="1">
      <alignment horizontal="center"/>
    </xf>
    <xf numFmtId="188" fontId="39" fillId="0" borderId="16" xfId="0" applyNumberFormat="1" applyFont="1" applyBorder="1"/>
    <xf numFmtId="188" fontId="54" fillId="11" borderId="19" xfId="0" applyNumberFormat="1" applyFont="1" applyFill="1" applyBorder="1"/>
    <xf numFmtId="189" fontId="52" fillId="0" borderId="6" xfId="24" applyNumberFormat="1" applyFont="1">
      <alignment horizontal="right" wrapText="1"/>
    </xf>
    <xf numFmtId="188" fontId="39" fillId="0" borderId="19" xfId="0" applyNumberFormat="1" applyFont="1" applyBorder="1"/>
    <xf numFmtId="176" fontId="39" fillId="0" borderId="0" xfId="0" applyFont="1" applyAlignment="1">
      <alignment horizontal="center"/>
    </xf>
    <xf numFmtId="188" fontId="39" fillId="0" borderId="0" xfId="0" applyNumberFormat="1" applyFont="1"/>
    <xf numFmtId="188" fontId="39" fillId="0" borderId="26" xfId="0" applyNumberFormat="1" applyFont="1" applyBorder="1"/>
    <xf numFmtId="9" fontId="39" fillId="11" borderId="0" xfId="1" applyFont="1" applyFill="1"/>
    <xf numFmtId="176" fontId="39" fillId="0" borderId="0" xfId="0" applyFont="1" applyAlignment="1">
      <alignment horizontal="right"/>
    </xf>
    <xf numFmtId="176" fontId="39" fillId="11" borderId="0" xfId="0" applyFont="1" applyFill="1"/>
    <xf numFmtId="0" fontId="52" fillId="0" borderId="39" xfId="24" applyFont="1" applyBorder="1" applyAlignment="1">
      <alignment horizontal="left" wrapText="1"/>
    </xf>
    <xf numFmtId="0" fontId="52" fillId="0" borderId="39" xfId="24" applyFont="1" applyBorder="1">
      <alignment horizontal="right" wrapText="1"/>
    </xf>
    <xf numFmtId="3" fontId="39" fillId="0" borderId="0" xfId="45" applyNumberFormat="1" applyFont="1" applyAlignment="1">
      <alignment horizontal="center" vertical="center"/>
    </xf>
    <xf numFmtId="3" fontId="39" fillId="0" borderId="0" xfId="45" applyNumberFormat="1" applyFont="1" applyAlignment="1">
      <alignment horizontal="left" vertical="center"/>
    </xf>
    <xf numFmtId="176" fontId="41" fillId="0" borderId="0" xfId="45" applyFont="1" applyAlignment="1">
      <alignment horizontal="left" vertical="center"/>
    </xf>
    <xf numFmtId="0" fontId="44" fillId="0" borderId="0" xfId="46" applyNumberFormat="1" applyFont="1" applyAlignment="1">
      <alignment horizontal="center" vertical="center"/>
    </xf>
    <xf numFmtId="3" fontId="40" fillId="0" borderId="0" xfId="45" applyNumberFormat="1" applyFont="1" applyAlignment="1">
      <alignment horizontal="center" vertical="center"/>
    </xf>
    <xf numFmtId="184" fontId="40" fillId="0" borderId="0" xfId="45" applyNumberFormat="1" applyFont="1" applyAlignment="1">
      <alignment vertical="center"/>
    </xf>
    <xf numFmtId="176" fontId="49" fillId="0" borderId="0" xfId="45" applyFont="1" applyAlignment="1">
      <alignment horizontal="left" vertical="center"/>
    </xf>
    <xf numFmtId="176" fontId="50" fillId="0" borderId="0" xfId="45" applyFont="1" applyAlignment="1">
      <alignment vertical="center"/>
    </xf>
    <xf numFmtId="3" fontId="50" fillId="0" borderId="0" xfId="45" applyNumberFormat="1" applyFont="1" applyAlignment="1">
      <alignment horizontal="center" vertical="center"/>
    </xf>
    <xf numFmtId="3" fontId="51" fillId="0" borderId="0" xfId="45" applyNumberFormat="1" applyFont="1" applyAlignment="1">
      <alignment horizontal="center" vertical="center"/>
    </xf>
    <xf numFmtId="184" fontId="50" fillId="0" borderId="0" xfId="45" applyNumberFormat="1" applyFont="1" applyAlignment="1">
      <alignment vertical="center"/>
    </xf>
    <xf numFmtId="176" fontId="50" fillId="0" borderId="0" xfId="45" applyFont="1" applyAlignment="1">
      <alignment horizontal="center" vertical="center"/>
    </xf>
    <xf numFmtId="176" fontId="51" fillId="0" borderId="0" xfId="45" applyFont="1" applyAlignment="1">
      <alignment vertical="center"/>
    </xf>
    <xf numFmtId="0" fontId="52" fillId="0" borderId="6" xfId="24" applyFont="1" applyAlignment="1">
      <alignment horizontal="center"/>
    </xf>
    <xf numFmtId="176" fontId="40" fillId="11" borderId="0" xfId="0" applyFont="1" applyFill="1"/>
    <xf numFmtId="0" fontId="52" fillId="0" borderId="6" xfId="24" applyFont="1" applyAlignment="1">
      <alignment horizontal="center" shrinkToFit="1"/>
    </xf>
    <xf numFmtId="3" fontId="52" fillId="0" borderId="6" xfId="24" applyNumberFormat="1" applyFont="1" applyAlignment="1">
      <alignment horizontal="center"/>
    </xf>
    <xf numFmtId="3" fontId="39" fillId="0" borderId="0" xfId="0" applyNumberFormat="1" applyFont="1" applyAlignment="1">
      <alignment horizontal="center"/>
    </xf>
    <xf numFmtId="3" fontId="40" fillId="18" borderId="0" xfId="0" applyNumberFormat="1" applyFont="1" applyFill="1" applyAlignment="1">
      <alignment horizontal="center"/>
    </xf>
    <xf numFmtId="176" fontId="40" fillId="18" borderId="0" xfId="0" applyFont="1" applyFill="1"/>
    <xf numFmtId="9" fontId="39" fillId="0" borderId="0" xfId="45" applyNumberFormat="1" applyFont="1" applyAlignment="1">
      <alignment horizontal="right" vertical="center"/>
    </xf>
    <xf numFmtId="184" fontId="39" fillId="0" borderId="0" xfId="45" applyNumberFormat="1" applyFont="1" applyAlignment="1">
      <alignment horizontal="right" vertical="center"/>
    </xf>
    <xf numFmtId="9" fontId="39" fillId="0" borderId="39" xfId="1" applyFont="1" applyBorder="1"/>
    <xf numFmtId="9" fontId="39" fillId="11" borderId="39" xfId="1" applyFont="1" applyFill="1" applyBorder="1"/>
    <xf numFmtId="176" fontId="39" fillId="0" borderId="33" xfId="0" applyFont="1" applyBorder="1"/>
    <xf numFmtId="176" fontId="39" fillId="11" borderId="33" xfId="0" applyFont="1" applyFill="1" applyBorder="1"/>
    <xf numFmtId="176" fontId="39" fillId="16" borderId="0" xfId="0" applyFont="1" applyFill="1"/>
    <xf numFmtId="9" fontId="39" fillId="0" borderId="39" xfId="0" applyNumberFormat="1" applyFont="1" applyBorder="1"/>
    <xf numFmtId="176" fontId="40" fillId="11" borderId="26" xfId="0" applyFont="1" applyFill="1" applyBorder="1"/>
    <xf numFmtId="0" fontId="52" fillId="0" borderId="59" xfId="24" applyFont="1" applyBorder="1" applyAlignment="1">
      <alignment horizontal="center" shrinkToFit="1"/>
    </xf>
    <xf numFmtId="176" fontId="40" fillId="11" borderId="60" xfId="0" applyFont="1" applyFill="1" applyBorder="1"/>
    <xf numFmtId="176" fontId="40" fillId="11" borderId="58" xfId="0" applyFont="1" applyFill="1" applyBorder="1"/>
    <xf numFmtId="3" fontId="37" fillId="0" borderId="0" xfId="0" applyNumberFormat="1" applyFont="1" applyAlignment="1">
      <alignment horizontal="center"/>
    </xf>
    <xf numFmtId="3" fontId="39" fillId="0" borderId="39" xfId="0" applyNumberFormat="1" applyFont="1" applyBorder="1" applyAlignment="1">
      <alignment horizontal="center"/>
    </xf>
    <xf numFmtId="3" fontId="37" fillId="0" borderId="26" xfId="0" applyNumberFormat="1" applyFont="1" applyBorder="1" applyAlignment="1">
      <alignment horizontal="center"/>
    </xf>
    <xf numFmtId="176" fontId="39" fillId="11" borderId="39" xfId="0" applyFont="1" applyFill="1" applyBorder="1"/>
    <xf numFmtId="176" fontId="39" fillId="11" borderId="26" xfId="0" applyFont="1" applyFill="1" applyBorder="1"/>
    <xf numFmtId="188" fontId="54" fillId="0" borderId="0" xfId="0" applyNumberFormat="1" applyFont="1"/>
    <xf numFmtId="176" fontId="40" fillId="0" borderId="33" xfId="0" applyFont="1" applyBorder="1"/>
    <xf numFmtId="176" fontId="55" fillId="0" borderId="0" xfId="45" applyFont="1"/>
    <xf numFmtId="176" fontId="56" fillId="0" borderId="0" xfId="0" applyFont="1"/>
    <xf numFmtId="176" fontId="57" fillId="18" borderId="0" xfId="0" applyFont="1" applyFill="1"/>
    <xf numFmtId="176" fontId="40" fillId="18" borderId="0" xfId="0" applyFont="1" applyFill="1" applyAlignment="1">
      <alignment horizontal="center"/>
    </xf>
    <xf numFmtId="176" fontId="39" fillId="0" borderId="39" xfId="0" applyFont="1" applyBorder="1" applyAlignment="1">
      <alignment horizontal="center"/>
    </xf>
    <xf numFmtId="176" fontId="39" fillId="0" borderId="26" xfId="0" applyFont="1" applyBorder="1" applyAlignment="1">
      <alignment horizontal="center"/>
    </xf>
    <xf numFmtId="3" fontId="39" fillId="0" borderId="26" xfId="0" applyNumberFormat="1" applyFont="1" applyBorder="1" applyAlignment="1">
      <alignment horizontal="center"/>
    </xf>
    <xf numFmtId="0" fontId="52" fillId="0" borderId="6" xfId="24" applyFont="1" applyAlignment="1">
      <alignment horizontal="center" wrapText="1"/>
    </xf>
    <xf numFmtId="176" fontId="39" fillId="11" borderId="0" xfId="0" applyFont="1" applyFill="1" applyAlignment="1">
      <alignment horizontal="center"/>
    </xf>
    <xf numFmtId="176" fontId="39" fillId="11" borderId="39" xfId="0" applyFont="1" applyFill="1" applyBorder="1" applyAlignment="1">
      <alignment horizontal="center"/>
    </xf>
    <xf numFmtId="176" fontId="39" fillId="11" borderId="26" xfId="0" applyFont="1" applyFill="1" applyBorder="1" applyAlignment="1">
      <alignment horizontal="center"/>
    </xf>
    <xf numFmtId="184" fontId="39" fillId="11" borderId="0" xfId="45" applyNumberFormat="1" applyFont="1" applyFill="1" applyAlignment="1">
      <alignment vertical="center"/>
    </xf>
    <xf numFmtId="3" fontId="39" fillId="0" borderId="26" xfId="0" applyNumberFormat="1" applyFont="1" applyBorder="1"/>
    <xf numFmtId="199" fontId="39" fillId="0" borderId="26" xfId="0" applyNumberFormat="1" applyFont="1" applyBorder="1"/>
    <xf numFmtId="3" fontId="39" fillId="0" borderId="0" xfId="0" applyNumberFormat="1" applyFont="1"/>
    <xf numFmtId="176" fontId="58" fillId="11" borderId="31" xfId="0" applyFont="1" applyFill="1" applyBorder="1"/>
    <xf numFmtId="176" fontId="58" fillId="0" borderId="0" xfId="0" applyFont="1"/>
    <xf numFmtId="176" fontId="39" fillId="11" borderId="0" xfId="45" applyFont="1" applyFill="1" applyAlignment="1">
      <alignment vertical="center"/>
    </xf>
    <xf numFmtId="178" fontId="39" fillId="0" borderId="0" xfId="45" applyNumberFormat="1" applyFont="1" applyAlignment="1">
      <alignment vertical="center"/>
    </xf>
    <xf numFmtId="176" fontId="39" fillId="0" borderId="49" xfId="0" applyFont="1" applyBorder="1"/>
    <xf numFmtId="176" fontId="39" fillId="32" borderId="0" xfId="0" applyFont="1" applyFill="1"/>
    <xf numFmtId="176" fontId="43" fillId="32" borderId="0" xfId="0" applyFont="1" applyFill="1"/>
    <xf numFmtId="176" fontId="37" fillId="32" borderId="0" xfId="0" applyFont="1" applyFill="1"/>
    <xf numFmtId="176" fontId="40" fillId="32" borderId="0" xfId="0" applyFont="1" applyFill="1"/>
    <xf numFmtId="176" fontId="39" fillId="0" borderId="0" xfId="0" applyFont="1" applyAlignment="1">
      <alignment shrinkToFit="1"/>
    </xf>
    <xf numFmtId="176" fontId="40" fillId="0" borderId="9" xfId="28" applyNumberFormat="1" applyFont="1" applyAlignment="1">
      <alignment shrinkToFit="1"/>
    </xf>
    <xf numFmtId="176" fontId="52" fillId="0" borderId="26" xfId="0" applyFont="1" applyBorder="1"/>
    <xf numFmtId="184" fontId="39" fillId="0" borderId="26" xfId="0" applyNumberFormat="1" applyFont="1" applyBorder="1"/>
    <xf numFmtId="14" fontId="40" fillId="0" borderId="30" xfId="45" applyNumberFormat="1" applyFont="1" applyBorder="1" applyAlignment="1">
      <alignment vertical="center"/>
    </xf>
    <xf numFmtId="178" fontId="39" fillId="0" borderId="30" xfId="0" applyNumberFormat="1" applyFont="1" applyBorder="1"/>
    <xf numFmtId="0" fontId="62" fillId="0" borderId="0" xfId="27" applyFont="1"/>
    <xf numFmtId="0" fontId="63" fillId="0" borderId="6" xfId="24" applyFont="1">
      <alignment horizontal="right" wrapText="1"/>
    </xf>
    <xf numFmtId="176" fontId="64" fillId="0" borderId="0" xfId="0" applyFont="1"/>
    <xf numFmtId="176" fontId="65" fillId="13" borderId="0" xfId="0" applyFont="1" applyFill="1"/>
    <xf numFmtId="0" fontId="63" fillId="0" borderId="6" xfId="24" applyFont="1" applyAlignment="1">
      <alignment horizontal="left"/>
    </xf>
    <xf numFmtId="176" fontId="58" fillId="0" borderId="0" xfId="0" applyFont="1" applyAlignment="1">
      <alignment horizontal="left"/>
    </xf>
    <xf numFmtId="0" fontId="63" fillId="0" borderId="6" xfId="42" applyFont="1" applyAlignment="1">
      <alignment horizontal="left"/>
    </xf>
    <xf numFmtId="0" fontId="63" fillId="11" borderId="56" xfId="42" applyFont="1" applyFill="1" applyBorder="1" applyAlignment="1">
      <alignment horizontal="center"/>
    </xf>
    <xf numFmtId="188" fontId="58" fillId="11" borderId="31" xfId="0" applyNumberFormat="1" applyFont="1" applyFill="1" applyBorder="1"/>
    <xf numFmtId="188" fontId="66" fillId="11" borderId="31" xfId="0" applyNumberFormat="1" applyFont="1" applyFill="1" applyBorder="1"/>
    <xf numFmtId="176" fontId="67" fillId="11" borderId="31" xfId="0" applyFont="1" applyFill="1" applyBorder="1" applyAlignment="1">
      <alignment horizontal="right"/>
    </xf>
    <xf numFmtId="188" fontId="58" fillId="0" borderId="0" xfId="0" applyNumberFormat="1" applyFont="1"/>
    <xf numFmtId="176" fontId="58" fillId="0" borderId="0" xfId="0" applyFont="1" applyAlignment="1">
      <alignment horizontal="right"/>
    </xf>
    <xf numFmtId="176" fontId="68" fillId="0" borderId="33" xfId="0" applyFont="1" applyBorder="1"/>
    <xf numFmtId="176" fontId="58" fillId="16" borderId="0" xfId="0" applyFont="1" applyFill="1"/>
    <xf numFmtId="176" fontId="64" fillId="0" borderId="8" xfId="26" applyFont="1"/>
    <xf numFmtId="176" fontId="66" fillId="16" borderId="0" xfId="0" applyFont="1" applyFill="1"/>
    <xf numFmtId="0" fontId="63" fillId="0" borderId="0" xfId="42" applyFont="1" applyBorder="1" applyAlignment="1">
      <alignment horizontal="left"/>
    </xf>
    <xf numFmtId="0" fontId="63" fillId="0" borderId="6" xfId="42" applyFont="1" applyAlignment="1">
      <alignment horizontal="right"/>
    </xf>
    <xf numFmtId="176" fontId="66" fillId="0" borderId="19" xfId="0" applyFont="1" applyBorder="1"/>
    <xf numFmtId="184" fontId="69" fillId="0" borderId="0" xfId="1" applyNumberFormat="1" applyFont="1"/>
    <xf numFmtId="176" fontId="64" fillId="16" borderId="0" xfId="26" applyFont="1" applyFill="1" applyBorder="1"/>
    <xf numFmtId="176" fontId="70" fillId="16" borderId="0" xfId="26" applyFont="1" applyFill="1" applyBorder="1"/>
    <xf numFmtId="176" fontId="64" fillId="0" borderId="0" xfId="26" applyFont="1" applyBorder="1"/>
    <xf numFmtId="184" fontId="71" fillId="16" borderId="0" xfId="1" applyNumberFormat="1" applyFont="1" applyFill="1"/>
    <xf numFmtId="176" fontId="70" fillId="11" borderId="8" xfId="26" applyFont="1" applyFill="1"/>
    <xf numFmtId="184" fontId="71" fillId="0" borderId="0" xfId="1" applyNumberFormat="1" applyFont="1"/>
    <xf numFmtId="188" fontId="66" fillId="0" borderId="31" xfId="0" applyNumberFormat="1" applyFont="1" applyBorder="1"/>
    <xf numFmtId="176" fontId="72" fillId="0" borderId="6" xfId="42" applyNumberFormat="1" applyFont="1" applyAlignment="1">
      <alignment horizontal="left"/>
    </xf>
    <xf numFmtId="176" fontId="66" fillId="0" borderId="0" xfId="0" applyFont="1"/>
    <xf numFmtId="176" fontId="73" fillId="0" borderId="0" xfId="0" applyFont="1"/>
    <xf numFmtId="0" fontId="63" fillId="18" borderId="0" xfId="42" applyFont="1" applyFill="1" applyBorder="1" applyAlignment="1">
      <alignment horizontal="left"/>
    </xf>
    <xf numFmtId="184" fontId="66" fillId="0" borderId="0" xfId="1" applyNumberFormat="1" applyFont="1"/>
    <xf numFmtId="0" fontId="74" fillId="24" borderId="0" xfId="42" applyFont="1" applyFill="1" applyBorder="1" applyAlignment="1">
      <alignment horizontal="center"/>
    </xf>
    <xf numFmtId="176" fontId="63" fillId="11" borderId="34" xfId="42" applyNumberFormat="1" applyFont="1" applyFill="1" applyBorder="1" applyAlignment="1">
      <alignment horizontal="right"/>
    </xf>
    <xf numFmtId="176" fontId="58" fillId="0" borderId="35" xfId="0" applyFont="1" applyBorder="1"/>
    <xf numFmtId="0" fontId="63" fillId="24" borderId="26" xfId="42" applyFont="1" applyFill="1" applyBorder="1" applyAlignment="1">
      <alignment horizontal="right"/>
    </xf>
    <xf numFmtId="0" fontId="63" fillId="0" borderId="6" xfId="42" applyFont="1" applyAlignment="1"/>
    <xf numFmtId="0" fontId="75" fillId="24" borderId="0" xfId="42" applyFont="1" applyFill="1" applyBorder="1" applyAlignment="1">
      <alignment horizontal="right"/>
    </xf>
    <xf numFmtId="176" fontId="64" fillId="19" borderId="0" xfId="0" applyFont="1" applyFill="1"/>
    <xf numFmtId="176" fontId="58" fillId="19" borderId="0" xfId="0" applyFont="1" applyFill="1"/>
    <xf numFmtId="41" fontId="75" fillId="19" borderId="0" xfId="42" applyNumberFormat="1" applyFont="1" applyFill="1" applyBorder="1" applyAlignment="1">
      <alignment horizontal="right"/>
    </xf>
    <xf numFmtId="176" fontId="64" fillId="30" borderId="0" xfId="0" applyFont="1" applyFill="1"/>
    <xf numFmtId="176" fontId="58" fillId="30" borderId="0" xfId="0" applyFont="1" applyFill="1"/>
    <xf numFmtId="41" fontId="75" fillId="30" borderId="0" xfId="30" applyFont="1" applyFill="1" applyAlignment="1">
      <alignment horizontal="right"/>
    </xf>
    <xf numFmtId="41" fontId="75" fillId="24" borderId="0" xfId="30" applyFont="1" applyFill="1" applyAlignment="1">
      <alignment horizontal="right"/>
    </xf>
    <xf numFmtId="190" fontId="75" fillId="24" borderId="0" xfId="30" applyNumberFormat="1" applyFont="1" applyFill="1" applyAlignment="1">
      <alignment horizontal="right"/>
    </xf>
    <xf numFmtId="190" fontId="58" fillId="0" borderId="0" xfId="0" applyNumberFormat="1" applyFont="1"/>
    <xf numFmtId="14" fontId="75" fillId="24" borderId="0" xfId="30" applyNumberFormat="1" applyFont="1" applyFill="1" applyAlignment="1">
      <alignment horizontal="right"/>
    </xf>
    <xf numFmtId="14" fontId="58" fillId="0" borderId="0" xfId="0" applyNumberFormat="1" applyFont="1"/>
    <xf numFmtId="41" fontId="76" fillId="24" borderId="0" xfId="30" applyFont="1" applyFill="1" applyAlignment="1">
      <alignment horizontal="right"/>
    </xf>
    <xf numFmtId="14" fontId="73" fillId="0" borderId="0" xfId="0" applyNumberFormat="1" applyFont="1"/>
    <xf numFmtId="176" fontId="64" fillId="31" borderId="0" xfId="0" applyFont="1" applyFill="1"/>
    <xf numFmtId="176" fontId="58" fillId="31" borderId="0" xfId="0" applyFont="1" applyFill="1"/>
    <xf numFmtId="41" fontId="75" fillId="31" borderId="0" xfId="30" applyFont="1" applyFill="1" applyAlignment="1">
      <alignment horizontal="right"/>
    </xf>
    <xf numFmtId="176" fontId="64" fillId="33" borderId="0" xfId="0" applyFont="1" applyFill="1"/>
    <xf numFmtId="176" fontId="58" fillId="33" borderId="0" xfId="0" applyFont="1" applyFill="1"/>
    <xf numFmtId="41" fontId="75" fillId="33" borderId="0" xfId="30" applyFont="1" applyFill="1" applyAlignment="1">
      <alignment horizontal="right"/>
    </xf>
    <xf numFmtId="176" fontId="63" fillId="0" borderId="0" xfId="0" applyFont="1"/>
    <xf numFmtId="176" fontId="77" fillId="28" borderId="0" xfId="0" applyFont="1" applyFill="1"/>
    <xf numFmtId="176" fontId="58" fillId="28" borderId="0" xfId="0" applyFont="1" applyFill="1"/>
    <xf numFmtId="176" fontId="77" fillId="29" borderId="0" xfId="0" applyFont="1" applyFill="1"/>
    <xf numFmtId="176" fontId="58" fillId="29" borderId="0" xfId="0" applyFont="1" applyFill="1"/>
    <xf numFmtId="176" fontId="58" fillId="0" borderId="49" xfId="0" applyFont="1" applyBorder="1"/>
    <xf numFmtId="0" fontId="63" fillId="0" borderId="48" xfId="42" applyFont="1" applyBorder="1" applyAlignment="1">
      <alignment horizontal="right"/>
    </xf>
    <xf numFmtId="176" fontId="58" fillId="0" borderId="10" xfId="0" applyFont="1" applyBorder="1"/>
    <xf numFmtId="184" fontId="73" fillId="0" borderId="57" xfId="1" applyNumberFormat="1" applyFont="1" applyBorder="1"/>
    <xf numFmtId="184" fontId="73" fillId="0" borderId="10" xfId="1" applyNumberFormat="1" applyFont="1" applyBorder="1"/>
    <xf numFmtId="176" fontId="58" fillId="11" borderId="0" xfId="0" applyFont="1" applyFill="1"/>
    <xf numFmtId="184" fontId="73" fillId="0" borderId="49" xfId="1" applyNumberFormat="1" applyFont="1" applyBorder="1"/>
    <xf numFmtId="184" fontId="73" fillId="0" borderId="0" xfId="1" applyNumberFormat="1" applyFont="1"/>
    <xf numFmtId="176" fontId="58" fillId="0" borderId="26" xfId="0" applyFont="1" applyBorder="1"/>
    <xf numFmtId="176" fontId="58" fillId="0" borderId="52" xfId="0" applyFont="1" applyBorder="1"/>
    <xf numFmtId="184" fontId="73" fillId="0" borderId="53" xfId="1" applyNumberFormat="1" applyFont="1" applyBorder="1"/>
    <xf numFmtId="184" fontId="73" fillId="0" borderId="52" xfId="1" applyNumberFormat="1" applyFont="1" applyBorder="1"/>
    <xf numFmtId="176" fontId="58" fillId="0" borderId="54" xfId="0" applyFont="1" applyBorder="1"/>
    <xf numFmtId="176" fontId="58" fillId="0" borderId="55" xfId="0" applyFont="1" applyBorder="1"/>
    <xf numFmtId="184" fontId="73" fillId="0" borderId="55" xfId="1" applyNumberFormat="1" applyFont="1" applyBorder="1"/>
    <xf numFmtId="184" fontId="73" fillId="0" borderId="54" xfId="1" applyNumberFormat="1" applyFont="1" applyBorder="1"/>
    <xf numFmtId="176" fontId="64" fillId="0" borderId="9" xfId="28" applyNumberFormat="1" applyFont="1"/>
    <xf numFmtId="184" fontId="78" fillId="0" borderId="50" xfId="1" applyNumberFormat="1" applyFont="1" applyBorder="1"/>
    <xf numFmtId="184" fontId="78" fillId="0" borderId="9" xfId="1" applyNumberFormat="1" applyFont="1" applyBorder="1"/>
    <xf numFmtId="200" fontId="63" fillId="0" borderId="6" xfId="24" applyNumberFormat="1" applyFont="1">
      <alignment horizontal="right" wrapText="1"/>
    </xf>
    <xf numFmtId="192" fontId="69" fillId="25" borderId="31" xfId="0" applyNumberFormat="1" applyFont="1" applyFill="1" applyBorder="1"/>
    <xf numFmtId="176" fontId="69" fillId="0" borderId="0" xfId="0" applyFont="1"/>
    <xf numFmtId="41" fontId="58" fillId="0" borderId="0" xfId="30" applyFont="1" applyAlignment="1"/>
    <xf numFmtId="176" fontId="58" fillId="0" borderId="33" xfId="0" applyFont="1" applyBorder="1"/>
    <xf numFmtId="191" fontId="58" fillId="0" borderId="33" xfId="30" applyNumberFormat="1" applyFont="1" applyBorder="1" applyAlignment="1"/>
    <xf numFmtId="191" fontId="58" fillId="0" borderId="0" xfId="0" applyNumberFormat="1" applyFont="1"/>
    <xf numFmtId="194" fontId="58" fillId="0" borderId="0" xfId="0" applyNumberFormat="1" applyFont="1"/>
    <xf numFmtId="193" fontId="79" fillId="26" borderId="40" xfId="41" applyNumberFormat="1" applyFont="1" applyFill="1" applyBorder="1" applyAlignment="1">
      <alignment horizontal="center" vertical="center"/>
    </xf>
    <xf numFmtId="193" fontId="79" fillId="26" borderId="41" xfId="41" applyNumberFormat="1" applyFont="1" applyFill="1" applyBorder="1" applyAlignment="1">
      <alignment horizontal="left" vertical="center"/>
    </xf>
    <xf numFmtId="0" fontId="80" fillId="26" borderId="41" xfId="41" applyNumberFormat="1" applyFont="1" applyFill="1" applyBorder="1" applyAlignment="1">
      <alignment horizontal="center" vertical="center"/>
    </xf>
    <xf numFmtId="193" fontId="79" fillId="26" borderId="41" xfId="41" applyNumberFormat="1" applyFont="1" applyFill="1" applyBorder="1" applyAlignment="1">
      <alignment horizontal="center" vertical="center"/>
    </xf>
    <xf numFmtId="0" fontId="80" fillId="26" borderId="42" xfId="41" applyNumberFormat="1" applyFont="1" applyFill="1" applyBorder="1" applyAlignment="1">
      <alignment horizontal="center" vertical="center"/>
    </xf>
    <xf numFmtId="192" fontId="79" fillId="26" borderId="43" xfId="41" applyNumberFormat="1" applyFont="1" applyFill="1" applyBorder="1" applyAlignment="1">
      <alignment horizontal="center" vertical="center"/>
    </xf>
    <xf numFmtId="194" fontId="79" fillId="26" borderId="44" xfId="41" applyNumberFormat="1" applyFont="1" applyFill="1" applyBorder="1">
      <alignment vertical="center"/>
    </xf>
    <xf numFmtId="194" fontId="79" fillId="26" borderId="45" xfId="41" applyNumberFormat="1" applyFont="1" applyFill="1" applyBorder="1">
      <alignment vertical="center"/>
    </xf>
    <xf numFmtId="9" fontId="76" fillId="26" borderId="40" xfId="43" applyFont="1" applyFill="1" applyBorder="1" applyAlignment="1">
      <alignment horizontal="center" vertical="center"/>
    </xf>
    <xf numFmtId="195" fontId="76" fillId="26" borderId="0" xfId="44" quotePrefix="1" applyNumberFormat="1" applyFont="1" applyFill="1" applyAlignment="1">
      <alignment vertical="center"/>
    </xf>
    <xf numFmtId="195" fontId="76" fillId="26" borderId="0" xfId="44" applyNumberFormat="1" applyFont="1" applyFill="1" applyAlignment="1">
      <alignment vertical="center"/>
    </xf>
    <xf numFmtId="195" fontId="76" fillId="27" borderId="0" xfId="44" applyNumberFormat="1" applyFont="1" applyFill="1" applyAlignment="1">
      <alignment vertical="center"/>
    </xf>
    <xf numFmtId="195" fontId="76" fillId="26" borderId="46" xfId="44" applyNumberFormat="1" applyFont="1" applyFill="1" applyBorder="1" applyAlignment="1">
      <alignment vertical="center"/>
    </xf>
    <xf numFmtId="9" fontId="73" fillId="0" borderId="0" xfId="1" applyFont="1"/>
    <xf numFmtId="9" fontId="76" fillId="26" borderId="47" xfId="43" applyFont="1" applyFill="1" applyBorder="1" applyAlignment="1">
      <alignment horizontal="center" vertical="center"/>
    </xf>
    <xf numFmtId="195" fontId="76" fillId="27" borderId="46" xfId="44" applyNumberFormat="1" applyFont="1" applyFill="1" applyBorder="1" applyAlignment="1">
      <alignment vertical="center"/>
    </xf>
    <xf numFmtId="9" fontId="76" fillId="26" borderId="43" xfId="43" applyFont="1" applyFill="1" applyBorder="1" applyAlignment="1">
      <alignment horizontal="center" vertical="center"/>
    </xf>
    <xf numFmtId="195" fontId="76" fillId="26" borderId="44" xfId="44" applyNumberFormat="1" applyFont="1" applyFill="1" applyBorder="1" applyAlignment="1">
      <alignment vertical="center"/>
    </xf>
    <xf numFmtId="195" fontId="76" fillId="27" borderId="44" xfId="44" applyNumberFormat="1" applyFont="1" applyFill="1" applyBorder="1" applyAlignment="1">
      <alignment vertical="center"/>
    </xf>
    <xf numFmtId="195" fontId="76" fillId="26" borderId="45" xfId="44" applyNumberFormat="1" applyFont="1" applyFill="1" applyBorder="1" applyAlignment="1">
      <alignment vertical="center"/>
    </xf>
    <xf numFmtId="176" fontId="64" fillId="0" borderId="33" xfId="0" applyFont="1" applyBorder="1"/>
    <xf numFmtId="191" fontId="64" fillId="0" borderId="33" xfId="0" applyNumberFormat="1" applyFont="1" applyBorder="1"/>
    <xf numFmtId="176" fontId="58" fillId="0" borderId="36" xfId="0" applyFont="1" applyBorder="1"/>
    <xf numFmtId="176" fontId="58" fillId="0" borderId="37" xfId="0" applyFont="1" applyBorder="1"/>
    <xf numFmtId="184" fontId="58" fillId="0" borderId="37" xfId="1" applyNumberFormat="1" applyFont="1" applyBorder="1"/>
    <xf numFmtId="184" fontId="58" fillId="0" borderId="38" xfId="1" applyNumberFormat="1" applyFont="1" applyBorder="1"/>
    <xf numFmtId="176" fontId="58" fillId="0" borderId="17" xfId="0" applyFont="1" applyBorder="1"/>
    <xf numFmtId="176" fontId="58" fillId="0" borderId="39" xfId="0" applyFont="1" applyBorder="1"/>
    <xf numFmtId="188" fontId="58" fillId="0" borderId="39" xfId="0" applyNumberFormat="1" applyFont="1" applyBorder="1"/>
    <xf numFmtId="188" fontId="58" fillId="0" borderId="15" xfId="0" applyNumberFormat="1" applyFont="1" applyBorder="1"/>
    <xf numFmtId="188" fontId="58" fillId="0" borderId="33" xfId="0" applyNumberFormat="1" applyFont="1" applyBorder="1"/>
    <xf numFmtId="184" fontId="58" fillId="0" borderId="37" xfId="0" applyNumberFormat="1" applyFont="1" applyBorder="1"/>
    <xf numFmtId="184" fontId="58" fillId="0" borderId="38" xfId="0" applyNumberFormat="1" applyFont="1" applyBorder="1"/>
    <xf numFmtId="189" fontId="63" fillId="0" borderId="26" xfId="24" applyNumberFormat="1" applyFont="1" applyBorder="1">
      <alignment horizontal="right" wrapText="1"/>
    </xf>
    <xf numFmtId="176" fontId="73" fillId="0" borderId="0" xfId="26" applyFont="1" applyBorder="1"/>
    <xf numFmtId="176" fontId="58" fillId="0" borderId="0" xfId="26" applyFont="1" applyBorder="1"/>
    <xf numFmtId="176" fontId="68" fillId="0" borderId="0" xfId="0" applyFont="1"/>
    <xf numFmtId="3" fontId="58" fillId="0" borderId="15" xfId="32" applyNumberFormat="1" applyFont="1" applyBorder="1" applyAlignment="1">
      <alignment horizontal="center"/>
    </xf>
    <xf numFmtId="184" fontId="58" fillId="0" borderId="16" xfId="32" applyNumberFormat="1" applyFont="1" applyBorder="1" applyAlignment="1">
      <alignment horizontal="center"/>
    </xf>
    <xf numFmtId="3" fontId="58" fillId="0" borderId="17" xfId="32" applyNumberFormat="1" applyFont="1" applyBorder="1" applyAlignment="1">
      <alignment horizontal="center"/>
    </xf>
    <xf numFmtId="3" fontId="58" fillId="0" borderId="18" xfId="32" applyNumberFormat="1" applyFont="1" applyBorder="1" applyAlignment="1">
      <alignment horizontal="center"/>
    </xf>
    <xf numFmtId="184" fontId="58" fillId="0" borderId="19" xfId="32" applyNumberFormat="1" applyFont="1" applyBorder="1" applyAlignment="1">
      <alignment horizontal="center"/>
    </xf>
    <xf numFmtId="3" fontId="58" fillId="0" borderId="20" xfId="32" applyNumberFormat="1" applyFont="1" applyBorder="1" applyAlignment="1">
      <alignment horizontal="center"/>
    </xf>
    <xf numFmtId="176" fontId="78" fillId="0" borderId="0" xfId="0" applyFont="1"/>
    <xf numFmtId="14" fontId="66" fillId="11" borderId="32" xfId="0" applyNumberFormat="1" applyFont="1" applyFill="1" applyBorder="1" applyAlignment="1">
      <alignment shrinkToFit="1"/>
    </xf>
    <xf numFmtId="176" fontId="52" fillId="0" borderId="0" xfId="0" applyFont="1" applyAlignment="1">
      <alignment shrinkToFit="1"/>
    </xf>
    <xf numFmtId="0" fontId="52" fillId="0" borderId="6" xfId="24" applyFont="1" applyAlignment="1">
      <alignment horizontal="left" shrinkToFit="1"/>
    </xf>
    <xf numFmtId="176" fontId="40" fillId="0" borderId="8" xfId="26" applyFont="1" applyAlignment="1">
      <alignment shrinkToFit="1"/>
    </xf>
    <xf numFmtId="176" fontId="39" fillId="0" borderId="26" xfId="0" applyFont="1" applyBorder="1" applyAlignment="1">
      <alignment shrinkToFit="1"/>
    </xf>
    <xf numFmtId="184" fontId="39" fillId="28" borderId="26" xfId="45" applyNumberFormat="1" applyFont="1" applyFill="1" applyBorder="1" applyAlignment="1">
      <alignment horizontal="right" vertical="center"/>
    </xf>
    <xf numFmtId="176" fontId="40" fillId="28" borderId="26" xfId="45" applyFont="1" applyFill="1" applyBorder="1" applyAlignment="1">
      <alignment vertical="center"/>
    </xf>
    <xf numFmtId="199" fontId="39" fillId="0" borderId="0" xfId="0" applyNumberFormat="1" applyFont="1"/>
    <xf numFmtId="176" fontId="40" fillId="28" borderId="39" xfId="45" applyFont="1" applyFill="1" applyBorder="1" applyAlignment="1">
      <alignment vertical="center"/>
    </xf>
    <xf numFmtId="184" fontId="39" fillId="28" borderId="39" xfId="45" applyNumberFormat="1" applyFont="1" applyFill="1" applyBorder="1" applyAlignment="1">
      <alignment horizontal="right" vertical="center"/>
    </xf>
    <xf numFmtId="176" fontId="39" fillId="0" borderId="0" xfId="0" applyFont="1" applyAlignment="1">
      <alignment horizontal="left"/>
    </xf>
    <xf numFmtId="176" fontId="64" fillId="18" borderId="0" xfId="0" applyFont="1" applyFill="1"/>
    <xf numFmtId="176" fontId="64" fillId="17" borderId="0" xfId="0" applyFont="1" applyFill="1"/>
    <xf numFmtId="176" fontId="65" fillId="20" borderId="0" xfId="0" applyFont="1" applyFill="1"/>
    <xf numFmtId="176" fontId="65" fillId="21" borderId="0" xfId="0" applyFont="1" applyFill="1"/>
    <xf numFmtId="176" fontId="64" fillId="21" borderId="0" xfId="0" applyFont="1" applyFill="1"/>
    <xf numFmtId="0" fontId="63" fillId="0" borderId="6" xfId="24" applyFont="1" applyAlignment="1">
      <alignment horizontal="left" wrapText="1"/>
    </xf>
    <xf numFmtId="0" fontId="63" fillId="0" borderId="6" xfId="24" applyFont="1" applyAlignment="1">
      <alignment horizontal="right"/>
    </xf>
    <xf numFmtId="176" fontId="73" fillId="0" borderId="0" xfId="0" applyFont="1" applyAlignment="1">
      <alignment horizontal="right"/>
    </xf>
    <xf numFmtId="176" fontId="75" fillId="0" borderId="0" xfId="0" applyFont="1"/>
    <xf numFmtId="176" fontId="75" fillId="0" borderId="0" xfId="0" applyFont="1" applyAlignment="1">
      <alignment horizontal="left"/>
    </xf>
    <xf numFmtId="176" fontId="75" fillId="0" borderId="0" xfId="0" applyFont="1" applyAlignment="1">
      <alignment horizontal="right"/>
    </xf>
    <xf numFmtId="176" fontId="58" fillId="15" borderId="0" xfId="0" applyFont="1" applyFill="1"/>
    <xf numFmtId="176" fontId="64" fillId="11" borderId="0" xfId="0" applyFont="1" applyFill="1"/>
    <xf numFmtId="178" fontId="58" fillId="0" borderId="0" xfId="0" applyNumberFormat="1" applyFont="1"/>
    <xf numFmtId="176" fontId="81" fillId="0" borderId="0" xfId="0" applyFont="1"/>
    <xf numFmtId="176" fontId="64" fillId="23" borderId="0" xfId="0" applyFont="1" applyFill="1"/>
    <xf numFmtId="176" fontId="83" fillId="13" borderId="0" xfId="0" applyFont="1" applyFill="1"/>
    <xf numFmtId="194" fontId="58" fillId="18" borderId="0" xfId="0" applyNumberFormat="1" applyFont="1" applyFill="1"/>
    <xf numFmtId="176" fontId="78" fillId="19" borderId="0" xfId="0" applyFont="1" applyFill="1"/>
    <xf numFmtId="10" fontId="52" fillId="11" borderId="19" xfId="42" applyNumberFormat="1" applyFont="1" applyFill="1" applyBorder="1" applyAlignment="1">
      <alignment horizontal="center"/>
    </xf>
    <xf numFmtId="176" fontId="52" fillId="0" borderId="0" xfId="45" applyFont="1" applyAlignment="1">
      <alignment vertical="center" shrinkToFit="1"/>
    </xf>
    <xf numFmtId="176" fontId="58" fillId="0" borderId="0" xfId="0" applyFont="1" applyAlignment="1">
      <alignment shrinkToFit="1"/>
    </xf>
    <xf numFmtId="188" fontId="47" fillId="0" borderId="19" xfId="0" applyNumberFormat="1" applyFont="1" applyBorder="1"/>
    <xf numFmtId="0" fontId="86" fillId="13" borderId="0" xfId="27" applyFont="1" applyFill="1"/>
    <xf numFmtId="176" fontId="87" fillId="13" borderId="0" xfId="0" applyFont="1" applyFill="1"/>
    <xf numFmtId="0" fontId="77" fillId="0" borderId="6" xfId="24" applyFont="1" applyAlignment="1">
      <alignment horizontal="left"/>
    </xf>
    <xf numFmtId="9" fontId="58" fillId="11" borderId="0" xfId="1" applyFont="1" applyFill="1"/>
    <xf numFmtId="176" fontId="73" fillId="0" borderId="0" xfId="0" applyFont="1" applyAlignment="1">
      <alignment horizontal="left"/>
    </xf>
    <xf numFmtId="176" fontId="58" fillId="0" borderId="11" xfId="0" applyFont="1" applyBorder="1"/>
    <xf numFmtId="9" fontId="58" fillId="0" borderId="11" xfId="1" applyFont="1" applyBorder="1"/>
    <xf numFmtId="9" fontId="58" fillId="11" borderId="11" xfId="1" applyFont="1" applyFill="1" applyBorder="1"/>
    <xf numFmtId="176" fontId="73" fillId="0" borderId="11" xfId="0" applyFont="1" applyBorder="1" applyAlignment="1">
      <alignment horizontal="left"/>
    </xf>
    <xf numFmtId="176" fontId="58" fillId="0" borderId="12" xfId="0" applyFont="1" applyBorder="1"/>
    <xf numFmtId="176" fontId="58" fillId="11" borderId="12" xfId="0" applyFont="1" applyFill="1" applyBorder="1"/>
    <xf numFmtId="0" fontId="63" fillId="0" borderId="0" xfId="24" applyFont="1" applyBorder="1" applyAlignment="1">
      <alignment horizontal="left"/>
    </xf>
    <xf numFmtId="0" fontId="77" fillId="14" borderId="0" xfId="24" applyFont="1" applyFill="1" applyBorder="1" applyAlignment="1">
      <alignment wrapText="1"/>
    </xf>
    <xf numFmtId="0" fontId="88" fillId="14" borderId="0" xfId="24" applyFont="1" applyFill="1" applyBorder="1" applyAlignment="1"/>
    <xf numFmtId="0" fontId="63" fillId="18" borderId="6" xfId="24" applyFont="1" applyFill="1">
      <alignment horizontal="right" wrapText="1"/>
    </xf>
    <xf numFmtId="0" fontId="63" fillId="0" borderId="0" xfId="24" applyFont="1" applyBorder="1">
      <alignment horizontal="right" wrapText="1"/>
    </xf>
    <xf numFmtId="179" fontId="64" fillId="0" borderId="0" xfId="0" applyNumberFormat="1" applyFont="1"/>
    <xf numFmtId="176" fontId="58" fillId="18" borderId="0" xfId="0" applyFont="1" applyFill="1"/>
    <xf numFmtId="176" fontId="64" fillId="11" borderId="26" xfId="0" applyFont="1" applyFill="1" applyBorder="1"/>
    <xf numFmtId="176" fontId="58" fillId="11" borderId="26" xfId="0" applyFont="1" applyFill="1" applyBorder="1"/>
    <xf numFmtId="176" fontId="58" fillId="18" borderId="26" xfId="0" applyFont="1" applyFill="1" applyBorder="1"/>
    <xf numFmtId="9" fontId="58" fillId="0" borderId="0" xfId="1" applyFont="1"/>
    <xf numFmtId="176" fontId="64" fillId="28" borderId="0" xfId="0" applyFont="1" applyFill="1"/>
    <xf numFmtId="182" fontId="64" fillId="28" borderId="0" xfId="0" applyNumberFormat="1" applyFont="1" applyFill="1"/>
    <xf numFmtId="0" fontId="63" fillId="28" borderId="0" xfId="24" applyFont="1" applyFill="1" applyBorder="1">
      <alignment horizontal="right" wrapText="1"/>
    </xf>
    <xf numFmtId="182" fontId="58" fillId="0" borderId="0" xfId="30" applyNumberFormat="1" applyFont="1" applyAlignment="1"/>
    <xf numFmtId="181" fontId="58" fillId="0" borderId="0" xfId="0" applyNumberFormat="1" applyFont="1"/>
    <xf numFmtId="176" fontId="58" fillId="11" borderId="39" xfId="0" applyFont="1" applyFill="1" applyBorder="1"/>
    <xf numFmtId="41" fontId="64" fillId="28" borderId="0" xfId="0" applyNumberFormat="1" applyFont="1" applyFill="1"/>
    <xf numFmtId="41" fontId="64" fillId="28" borderId="0" xfId="30" applyFont="1" applyFill="1" applyAlignment="1"/>
    <xf numFmtId="182" fontId="58" fillId="0" borderId="39" xfId="30" applyNumberFormat="1" applyFont="1" applyBorder="1" applyAlignment="1"/>
    <xf numFmtId="41" fontId="58" fillId="0" borderId="39" xfId="30" applyFont="1" applyBorder="1" applyAlignment="1"/>
    <xf numFmtId="9" fontId="58" fillId="0" borderId="39" xfId="1" applyFont="1" applyBorder="1"/>
    <xf numFmtId="181" fontId="58" fillId="0" borderId="39" xfId="0" applyNumberFormat="1" applyFont="1" applyBorder="1"/>
    <xf numFmtId="178" fontId="64" fillId="23" borderId="0" xfId="0" applyNumberFormat="1" applyFont="1" applyFill="1"/>
    <xf numFmtId="176" fontId="58" fillId="32" borderId="0" xfId="0" applyFont="1" applyFill="1"/>
    <xf numFmtId="176" fontId="58" fillId="32" borderId="0" xfId="0" applyFont="1" applyFill="1" applyAlignment="1">
      <alignment horizontal="left"/>
    </xf>
    <xf numFmtId="178" fontId="58" fillId="32" borderId="0" xfId="0" applyNumberFormat="1" applyFont="1" applyFill="1"/>
    <xf numFmtId="178" fontId="58" fillId="0" borderId="0" xfId="0" applyNumberFormat="1" applyFont="1" applyAlignment="1">
      <alignment horizontal="right"/>
    </xf>
    <xf numFmtId="176" fontId="82" fillId="0" borderId="0" xfId="0" applyFont="1"/>
    <xf numFmtId="178" fontId="58" fillId="11" borderId="0" xfId="0" applyNumberFormat="1" applyFont="1" applyFill="1"/>
    <xf numFmtId="176" fontId="89" fillId="0" borderId="0" xfId="0" applyFont="1"/>
    <xf numFmtId="179" fontId="58" fillId="0" borderId="0" xfId="0" applyNumberFormat="1" applyFont="1"/>
    <xf numFmtId="0" fontId="63" fillId="0" borderId="6" xfId="24" applyFont="1" applyAlignment="1"/>
    <xf numFmtId="183" fontId="64" fillId="0" borderId="0" xfId="30" applyNumberFormat="1" applyFont="1" applyAlignment="1"/>
    <xf numFmtId="183" fontId="58" fillId="0" borderId="0" xfId="30" applyNumberFormat="1" applyFont="1" applyAlignment="1"/>
    <xf numFmtId="179" fontId="58" fillId="22" borderId="0" xfId="0" applyNumberFormat="1" applyFont="1" applyFill="1"/>
    <xf numFmtId="176" fontId="73" fillId="15" borderId="0" xfId="0" applyFont="1" applyFill="1"/>
    <xf numFmtId="176" fontId="73" fillId="16" borderId="0" xfId="0" applyFont="1" applyFill="1"/>
    <xf numFmtId="176" fontId="58" fillId="12" borderId="0" xfId="0" applyFont="1" applyFill="1"/>
    <xf numFmtId="179" fontId="58" fillId="12" borderId="0" xfId="0" applyNumberFormat="1" applyFont="1" applyFill="1"/>
    <xf numFmtId="176" fontId="73" fillId="12" borderId="0" xfId="0" applyFont="1" applyFill="1"/>
    <xf numFmtId="176" fontId="58" fillId="14" borderId="0" xfId="0" applyFont="1" applyFill="1"/>
    <xf numFmtId="179" fontId="58" fillId="14" borderId="0" xfId="0" applyNumberFormat="1" applyFont="1" applyFill="1"/>
    <xf numFmtId="179" fontId="58" fillId="11" borderId="0" xfId="0" applyNumberFormat="1" applyFont="1" applyFill="1"/>
    <xf numFmtId="0" fontId="63" fillId="0" borderId="0" xfId="27" applyFont="1"/>
    <xf numFmtId="0" fontId="63" fillId="0" borderId="0" xfId="24" applyFont="1" applyBorder="1" applyAlignment="1">
      <alignment horizontal="left" wrapText="1"/>
    </xf>
    <xf numFmtId="203" fontId="90" fillId="0" borderId="0" xfId="0" applyNumberFormat="1" applyFont="1" applyAlignment="1">
      <alignment horizontal="center"/>
    </xf>
    <xf numFmtId="204" fontId="52" fillId="0" borderId="39" xfId="24" applyNumberFormat="1" applyFont="1" applyBorder="1">
      <alignment horizontal="right" wrapText="1"/>
    </xf>
    <xf numFmtId="0" fontId="62" fillId="0" borderId="0" xfId="27" applyFont="1" applyAlignment="1">
      <alignment vertical="top"/>
    </xf>
    <xf numFmtId="176" fontId="58" fillId="0" borderId="0" xfId="0" applyFont="1" applyAlignment="1">
      <alignment vertical="top"/>
    </xf>
    <xf numFmtId="0" fontId="63" fillId="0" borderId="6" xfId="24" applyFont="1" applyAlignment="1">
      <alignment horizontal="left" vertical="top"/>
    </xf>
    <xf numFmtId="176" fontId="58" fillId="0" borderId="13" xfId="0" applyFont="1" applyBorder="1" applyAlignment="1">
      <alignment vertical="top"/>
    </xf>
    <xf numFmtId="176" fontId="58" fillId="0" borderId="13" xfId="0" applyFont="1" applyBorder="1" applyAlignment="1">
      <alignment vertical="top" wrapText="1"/>
    </xf>
    <xf numFmtId="176" fontId="91" fillId="0" borderId="13" xfId="31" applyFont="1" applyBorder="1" applyAlignment="1">
      <alignment vertical="top"/>
    </xf>
    <xf numFmtId="0" fontId="58" fillId="0" borderId="13" xfId="0" applyNumberFormat="1" applyFont="1" applyBorder="1" applyAlignment="1">
      <alignment vertical="top" wrapText="1"/>
    </xf>
    <xf numFmtId="176" fontId="58" fillId="0" borderId="13" xfId="0" quotePrefix="1" applyFont="1" applyBorder="1" applyAlignment="1">
      <alignment vertical="top"/>
    </xf>
    <xf numFmtId="176" fontId="58" fillId="0" borderId="14" xfId="0" applyFont="1" applyBorder="1" applyAlignment="1">
      <alignment vertical="top"/>
    </xf>
    <xf numFmtId="176" fontId="58" fillId="0" borderId="14" xfId="0" applyFont="1" applyBorder="1" applyAlignment="1">
      <alignment vertical="top" wrapText="1"/>
    </xf>
    <xf numFmtId="0" fontId="58" fillId="0" borderId="14" xfId="0" applyNumberFormat="1" applyFont="1" applyBorder="1" applyAlignment="1">
      <alignment vertical="top" wrapText="1"/>
    </xf>
    <xf numFmtId="176" fontId="58" fillId="0" borderId="14" xfId="0" quotePrefix="1" applyFont="1" applyBorder="1" applyAlignment="1">
      <alignment vertical="top"/>
    </xf>
    <xf numFmtId="176" fontId="64" fillId="0" borderId="14" xfId="0" applyFont="1" applyBorder="1" applyAlignment="1">
      <alignment vertical="top"/>
    </xf>
    <xf numFmtId="176" fontId="64" fillId="0" borderId="14" xfId="0" applyFont="1" applyBorder="1" applyAlignment="1">
      <alignment vertical="top" wrapText="1"/>
    </xf>
    <xf numFmtId="0" fontId="64" fillId="0" borderId="14" xfId="0" applyNumberFormat="1" applyFont="1" applyBorder="1" applyAlignment="1">
      <alignment vertical="top" wrapText="1"/>
    </xf>
    <xf numFmtId="176" fontId="64" fillId="0" borderId="14" xfId="0" quotePrefix="1" applyFont="1" applyBorder="1" applyAlignment="1">
      <alignment vertical="top"/>
    </xf>
    <xf numFmtId="176" fontId="64" fillId="0" borderId="0" xfId="0" applyFont="1" applyAlignment="1">
      <alignment vertical="top"/>
    </xf>
    <xf numFmtId="176" fontId="91" fillId="0" borderId="14" xfId="31" applyFont="1" applyBorder="1" applyAlignment="1">
      <alignment vertical="top"/>
    </xf>
    <xf numFmtId="176" fontId="92" fillId="0" borderId="14" xfId="31" applyFont="1" applyBorder="1" applyAlignment="1">
      <alignment vertical="top"/>
    </xf>
    <xf numFmtId="0" fontId="93" fillId="0" borderId="0" xfId="27" applyFont="1"/>
    <xf numFmtId="179" fontId="58" fillId="0" borderId="11" xfId="0" applyNumberFormat="1" applyFont="1" applyBorder="1"/>
    <xf numFmtId="178" fontId="73" fillId="0" borderId="0" xfId="0" applyNumberFormat="1" applyFont="1"/>
    <xf numFmtId="176" fontId="67" fillId="0" borderId="0" xfId="0" applyFont="1"/>
    <xf numFmtId="180" fontId="58" fillId="0" borderId="0" xfId="0" applyNumberFormat="1" applyFont="1"/>
    <xf numFmtId="0" fontId="63" fillId="12" borderId="6" xfId="24" applyFont="1" applyFill="1" applyAlignment="1">
      <alignment horizontal="left" wrapText="1"/>
    </xf>
    <xf numFmtId="181" fontId="58" fillId="11" borderId="0" xfId="0" applyNumberFormat="1" applyFont="1" applyFill="1"/>
    <xf numFmtId="176" fontId="58" fillId="11" borderId="0" xfId="0" applyFont="1" applyFill="1" applyAlignment="1">
      <alignment horizontal="right"/>
    </xf>
    <xf numFmtId="181" fontId="58" fillId="0" borderId="26" xfId="0" applyNumberFormat="1" applyFont="1" applyBorder="1"/>
    <xf numFmtId="0" fontId="63" fillId="0" borderId="0" xfId="24" applyFont="1" applyBorder="1" applyAlignment="1">
      <alignment horizontal="right"/>
    </xf>
    <xf numFmtId="0" fontId="63" fillId="0" borderId="26" xfId="24" applyFont="1" applyBorder="1" applyAlignment="1">
      <alignment horizontal="left"/>
    </xf>
    <xf numFmtId="0" fontId="63" fillId="0" borderId="26" xfId="24" applyFont="1" applyBorder="1" applyAlignment="1">
      <alignment horizontal="left" wrapText="1"/>
    </xf>
    <xf numFmtId="0" fontId="63" fillId="0" borderId="26" xfId="24" applyFont="1" applyBorder="1" applyAlignment="1">
      <alignment horizontal="right"/>
    </xf>
    <xf numFmtId="0" fontId="63" fillId="0" borderId="26" xfId="24" applyFont="1" applyBorder="1">
      <alignment horizontal="right" wrapText="1"/>
    </xf>
    <xf numFmtId="176" fontId="73" fillId="0" borderId="26" xfId="0" applyFont="1" applyBorder="1"/>
    <xf numFmtId="176" fontId="93" fillId="0" borderId="0" xfId="18" applyFont="1"/>
    <xf numFmtId="176" fontId="64" fillId="0" borderId="0" xfId="0" quotePrefix="1" applyFont="1" applyAlignment="1">
      <alignment horizontal="right"/>
    </xf>
    <xf numFmtId="176" fontId="64" fillId="0" borderId="0" xfId="0" quotePrefix="1" applyFont="1"/>
    <xf numFmtId="176" fontId="58" fillId="0" borderId="0" xfId="0" quotePrefix="1" applyFont="1" applyAlignment="1">
      <alignment horizontal="right"/>
    </xf>
    <xf numFmtId="176" fontId="58" fillId="0" borderId="0" xfId="0" quotePrefix="1" applyFont="1"/>
    <xf numFmtId="176" fontId="78" fillId="0" borderId="0" xfId="0" quotePrefix="1" applyFont="1" applyAlignment="1">
      <alignment horizontal="right"/>
    </xf>
    <xf numFmtId="176" fontId="78" fillId="0" borderId="0" xfId="0" quotePrefix="1" applyFont="1"/>
    <xf numFmtId="189" fontId="63" fillId="0" borderId="0" xfId="24" applyNumberFormat="1" applyFont="1" applyBorder="1">
      <alignment horizontal="right" wrapText="1"/>
    </xf>
    <xf numFmtId="176" fontId="94" fillId="13" borderId="0" xfId="0" applyFont="1" applyFill="1"/>
    <xf numFmtId="176" fontId="78" fillId="0" borderId="26" xfId="0" applyFont="1" applyBorder="1"/>
    <xf numFmtId="176" fontId="78" fillId="13" borderId="0" xfId="0" applyFont="1" applyFill="1"/>
    <xf numFmtId="176" fontId="94" fillId="16" borderId="0" xfId="0" applyFont="1" applyFill="1"/>
    <xf numFmtId="176" fontId="78" fillId="16" borderId="0" xfId="0" applyFont="1" applyFill="1"/>
    <xf numFmtId="184" fontId="73" fillId="0" borderId="19" xfId="1" applyNumberFormat="1" applyFont="1" applyBorder="1"/>
    <xf numFmtId="176" fontId="73" fillId="13" borderId="0" xfId="0" applyFont="1" applyFill="1"/>
    <xf numFmtId="194" fontId="58" fillId="0" borderId="0" xfId="30" applyNumberFormat="1" applyFont="1" applyAlignment="1"/>
    <xf numFmtId="185" fontId="58" fillId="0" borderId="8" xfId="50" applyNumberFormat="1" applyFont="1" applyBorder="1" applyAlignment="1">
      <alignment vertical="center"/>
    </xf>
    <xf numFmtId="194" fontId="58" fillId="0" borderId="8" xfId="30" applyNumberFormat="1" applyFont="1" applyBorder="1" applyAlignment="1"/>
    <xf numFmtId="185" fontId="58" fillId="0" borderId="0" xfId="50" applyNumberFormat="1" applyFont="1" applyAlignment="1">
      <alignment vertical="center"/>
    </xf>
    <xf numFmtId="185" fontId="58" fillId="0" borderId="7" xfId="50" applyNumberFormat="1" applyFont="1" applyBorder="1" applyAlignment="1">
      <alignment vertical="center"/>
    </xf>
    <xf numFmtId="185" fontId="64" fillId="0" borderId="9" xfId="51" applyFont="1" applyAlignment="1">
      <alignment vertical="center"/>
    </xf>
    <xf numFmtId="194" fontId="58" fillId="0" borderId="9" xfId="30" applyNumberFormat="1" applyFont="1" applyBorder="1" applyAlignment="1"/>
    <xf numFmtId="185" fontId="64" fillId="0" borderId="0" xfId="51" applyFont="1" applyBorder="1" applyAlignment="1">
      <alignment vertical="center"/>
    </xf>
    <xf numFmtId="0" fontId="63" fillId="0" borderId="6" xfId="24" applyFont="1" applyAlignment="1">
      <alignment horizontal="left" vertical="center" wrapText="1"/>
    </xf>
    <xf numFmtId="0" fontId="63" fillId="0" borderId="6" xfId="24" applyFont="1" applyAlignment="1">
      <alignment horizontal="left" vertical="center"/>
    </xf>
    <xf numFmtId="179" fontId="63" fillId="0" borderId="6" xfId="24" applyNumberFormat="1" applyFont="1" applyAlignment="1">
      <alignment horizontal="left" vertical="center" wrapText="1"/>
    </xf>
    <xf numFmtId="176" fontId="58" fillId="0" borderId="0" xfId="0" applyFont="1" applyAlignment="1">
      <alignment horizontal="left" vertical="center"/>
    </xf>
    <xf numFmtId="179" fontId="58" fillId="0" borderId="0" xfId="0" applyNumberFormat="1" applyFont="1" applyAlignment="1">
      <alignment horizontal="left"/>
    </xf>
    <xf numFmtId="179" fontId="58" fillId="0" borderId="0" xfId="0" applyNumberFormat="1" applyFont="1" applyAlignment="1">
      <alignment horizontal="right"/>
    </xf>
    <xf numFmtId="179" fontId="58" fillId="28" borderId="0" xfId="0" applyNumberFormat="1" applyFont="1" applyFill="1" applyAlignment="1">
      <alignment horizontal="right"/>
    </xf>
    <xf numFmtId="183" fontId="58" fillId="0" borderId="8" xfId="30" applyNumberFormat="1" applyFont="1" applyBorder="1" applyAlignment="1">
      <alignment horizontal="right" vertical="center"/>
    </xf>
    <xf numFmtId="183" fontId="58" fillId="28" borderId="8" xfId="30" applyNumberFormat="1" applyFont="1" applyFill="1" applyBorder="1" applyAlignment="1">
      <alignment horizontal="right" vertical="center"/>
    </xf>
    <xf numFmtId="183" fontId="58" fillId="0" borderId="7" xfId="30" applyNumberFormat="1" applyFont="1" applyBorder="1" applyAlignment="1">
      <alignment horizontal="right" vertical="center"/>
    </xf>
    <xf numFmtId="183" fontId="58" fillId="28" borderId="7" xfId="30" applyNumberFormat="1" applyFont="1" applyFill="1" applyBorder="1" applyAlignment="1">
      <alignment horizontal="right" vertical="center"/>
    </xf>
    <xf numFmtId="183" fontId="64" fillId="0" borderId="9" xfId="30" applyNumberFormat="1" applyFont="1" applyBorder="1" applyAlignment="1">
      <alignment horizontal="right" vertical="center"/>
    </xf>
    <xf numFmtId="183" fontId="64" fillId="28" borderId="9" xfId="30" applyNumberFormat="1" applyFont="1" applyFill="1" applyBorder="1" applyAlignment="1">
      <alignment horizontal="right" vertical="center"/>
    </xf>
    <xf numFmtId="0" fontId="63" fillId="0" borderId="10" xfId="24" applyFont="1" applyBorder="1" applyAlignment="1">
      <alignment horizontal="left"/>
    </xf>
    <xf numFmtId="0" fontId="63" fillId="0" borderId="10" xfId="24" applyFont="1" applyBorder="1" applyAlignment="1">
      <alignment horizontal="right"/>
    </xf>
    <xf numFmtId="0" fontId="64" fillId="0" borderId="10" xfId="24" applyFont="1" applyBorder="1" applyAlignment="1">
      <alignment horizontal="right"/>
    </xf>
    <xf numFmtId="0" fontId="58" fillId="0" borderId="0" xfId="24" applyFont="1" applyBorder="1" applyAlignment="1">
      <alignment horizontal="right"/>
    </xf>
    <xf numFmtId="9" fontId="64" fillId="0" borderId="0" xfId="0" applyNumberFormat="1" applyFont="1"/>
    <xf numFmtId="176" fontId="64" fillId="0" borderId="37" xfId="0" applyFont="1" applyBorder="1"/>
    <xf numFmtId="9" fontId="58" fillId="0" borderId="0" xfId="0" applyNumberFormat="1" applyFont="1"/>
    <xf numFmtId="185" fontId="63" fillId="0" borderId="6" xfId="38" applyNumberFormat="1" applyFont="1" applyBorder="1" applyAlignment="1">
      <alignment wrapText="1"/>
    </xf>
    <xf numFmtId="185" fontId="63" fillId="0" borderId="6" xfId="38" applyNumberFormat="1" applyFont="1" applyBorder="1" applyAlignment="1">
      <alignment horizontal="left" wrapText="1"/>
    </xf>
    <xf numFmtId="185" fontId="63" fillId="0" borderId="6" xfId="38" applyNumberFormat="1" applyFont="1" applyBorder="1" applyAlignment="1">
      <alignment horizontal="right" wrapText="1"/>
    </xf>
    <xf numFmtId="185" fontId="63" fillId="0" borderId="6" xfId="39" applyFont="1">
      <alignment horizontal="right" wrapText="1"/>
    </xf>
    <xf numFmtId="184" fontId="58" fillId="0" borderId="0" xfId="1" applyNumberFormat="1" applyFont="1"/>
    <xf numFmtId="176" fontId="58" fillId="0" borderId="8" xfId="50" applyFont="1" applyBorder="1" applyAlignment="1">
      <alignment vertical="center"/>
    </xf>
    <xf numFmtId="202" fontId="58" fillId="0" borderId="8" xfId="51" applyNumberFormat="1" applyFont="1" applyBorder="1" applyAlignment="1">
      <alignment vertical="center"/>
    </xf>
    <xf numFmtId="179" fontId="58" fillId="16" borderId="8" xfId="53" applyNumberFormat="1" applyFont="1" applyFill="1" applyBorder="1">
      <alignment vertical="center"/>
    </xf>
    <xf numFmtId="176" fontId="58" fillId="0" borderId="7" xfId="50" applyFont="1" applyBorder="1" applyAlignment="1">
      <alignment vertical="center"/>
    </xf>
    <xf numFmtId="202" fontId="58" fillId="0" borderId="7" xfId="51" applyNumberFormat="1" applyFont="1" applyBorder="1" applyAlignment="1">
      <alignment vertical="center"/>
    </xf>
    <xf numFmtId="202" fontId="58" fillId="0" borderId="7" xfId="53" applyNumberFormat="1" applyFont="1" applyBorder="1">
      <alignment vertical="center"/>
    </xf>
    <xf numFmtId="179" fontId="58" fillId="16" borderId="7" xfId="53" applyNumberFormat="1" applyFont="1" applyFill="1" applyBorder="1">
      <alignment vertical="center"/>
    </xf>
    <xf numFmtId="179" fontId="58" fillId="0" borderId="7" xfId="53" applyNumberFormat="1" applyFont="1" applyBorder="1">
      <alignment vertical="center"/>
    </xf>
    <xf numFmtId="176" fontId="64" fillId="0" borderId="9" xfId="53" applyNumberFormat="1" applyFont="1" applyBorder="1">
      <alignment vertical="center"/>
    </xf>
    <xf numFmtId="202" fontId="64" fillId="0" borderId="9" xfId="53" applyNumberFormat="1" applyFont="1" applyBorder="1">
      <alignment vertical="center"/>
    </xf>
    <xf numFmtId="202" fontId="75" fillId="0" borderId="9" xfId="53" applyNumberFormat="1" applyFont="1" applyBorder="1">
      <alignment vertical="center"/>
    </xf>
    <xf numFmtId="185" fontId="63" fillId="0" borderId="6" xfId="38" applyNumberFormat="1" applyFont="1" applyBorder="1" applyAlignment="1">
      <alignment vertical="center" wrapText="1"/>
    </xf>
    <xf numFmtId="185" fontId="63" fillId="0" borderId="6" xfId="38" applyNumberFormat="1" applyFont="1" applyBorder="1" applyAlignment="1">
      <alignment horizontal="left" vertical="center" wrapText="1"/>
    </xf>
    <xf numFmtId="185" fontId="63" fillId="0" borderId="0" xfId="38" applyNumberFormat="1" applyFont="1" applyAlignment="1">
      <alignment horizontal="left" vertical="center" wrapText="1"/>
    </xf>
    <xf numFmtId="201" fontId="79" fillId="11" borderId="0" xfId="54" applyNumberFormat="1" applyFont="1" applyFill="1" applyAlignment="1">
      <alignment vertical="center"/>
    </xf>
    <xf numFmtId="176" fontId="58" fillId="0" borderId="0" xfId="50" applyFont="1" applyAlignment="1">
      <alignment vertical="center"/>
    </xf>
    <xf numFmtId="185" fontId="58" fillId="0" borderId="0" xfId="38" applyNumberFormat="1" applyFont="1" applyAlignment="1">
      <alignment vertical="center"/>
    </xf>
    <xf numFmtId="176" fontId="58" fillId="0" borderId="0" xfId="52" applyNumberFormat="1" applyFont="1"/>
    <xf numFmtId="179" fontId="79" fillId="0" borderId="0" xfId="50" applyNumberFormat="1" applyFont="1" applyAlignment="1">
      <alignment vertical="center"/>
    </xf>
    <xf numFmtId="185" fontId="79" fillId="0" borderId="0" xfId="50" applyNumberFormat="1" applyFont="1" applyAlignment="1">
      <alignment vertical="center"/>
    </xf>
    <xf numFmtId="10" fontId="66" fillId="0" borderId="0" xfId="53" applyNumberFormat="1" applyFont="1">
      <alignment vertical="center"/>
    </xf>
    <xf numFmtId="176" fontId="79" fillId="0" borderId="0" xfId="50" applyFont="1" applyAlignment="1">
      <alignment vertical="center"/>
    </xf>
    <xf numFmtId="176" fontId="66" fillId="0" borderId="0" xfId="50" applyFont="1" applyAlignment="1">
      <alignment vertical="center"/>
    </xf>
    <xf numFmtId="185" fontId="64" fillId="0" borderId="37" xfId="50" applyNumberFormat="1" applyFont="1" applyBorder="1" applyAlignment="1">
      <alignment vertical="center"/>
    </xf>
    <xf numFmtId="201" fontId="64" fillId="0" borderId="37" xfId="51" applyNumberFormat="1" applyFont="1" applyBorder="1" applyAlignment="1">
      <alignment vertical="center"/>
    </xf>
    <xf numFmtId="185" fontId="64" fillId="0" borderId="0" xfId="50" applyNumberFormat="1" applyFont="1" applyAlignment="1">
      <alignment vertical="center"/>
    </xf>
    <xf numFmtId="201" fontId="64" fillId="0" borderId="0" xfId="51" applyNumberFormat="1" applyFont="1" applyBorder="1" applyAlignment="1">
      <alignment vertical="center"/>
    </xf>
    <xf numFmtId="201" fontId="58" fillId="11" borderId="0" xfId="51" applyNumberFormat="1" applyFont="1" applyFill="1" applyBorder="1" applyAlignment="1">
      <alignment vertical="center"/>
    </xf>
    <xf numFmtId="202" fontId="58" fillId="0" borderId="0" xfId="51" applyNumberFormat="1" applyFont="1" applyBorder="1" applyAlignment="1">
      <alignment vertical="center"/>
    </xf>
    <xf numFmtId="185" fontId="58" fillId="0" borderId="39" xfId="50" applyNumberFormat="1" applyFont="1" applyBorder="1" applyAlignment="1">
      <alignment vertical="center"/>
    </xf>
    <xf numFmtId="202" fontId="58" fillId="0" borderId="39" xfId="51" applyNumberFormat="1" applyFont="1" applyBorder="1" applyAlignment="1">
      <alignment vertical="center"/>
    </xf>
    <xf numFmtId="178" fontId="58" fillId="0" borderId="0" xfId="50" applyNumberFormat="1" applyFont="1" applyAlignment="1">
      <alignment vertical="center"/>
    </xf>
    <xf numFmtId="185" fontId="63" fillId="0" borderId="6" xfId="38" applyNumberFormat="1" applyFont="1" applyBorder="1" applyAlignment="1">
      <alignment vertical="center"/>
    </xf>
    <xf numFmtId="185" fontId="63" fillId="0" borderId="6" xfId="38" applyNumberFormat="1" applyFont="1" applyBorder="1" applyAlignment="1">
      <alignment horizontal="left" vertical="center"/>
    </xf>
    <xf numFmtId="185" fontId="63" fillId="0" borderId="6" xfId="38" applyNumberFormat="1" applyFont="1" applyBorder="1" applyAlignment="1">
      <alignment horizontal="right" vertical="center"/>
    </xf>
    <xf numFmtId="185" fontId="63" fillId="0" borderId="6" xfId="38" applyNumberFormat="1" applyFont="1" applyBorder="1" applyAlignment="1">
      <alignment horizontal="right" vertical="center" wrapText="1"/>
    </xf>
    <xf numFmtId="201" fontId="58" fillId="0" borderId="0" xfId="51" applyNumberFormat="1" applyFont="1" applyBorder="1" applyAlignment="1">
      <alignment vertical="center"/>
    </xf>
    <xf numFmtId="185" fontId="64" fillId="0" borderId="9" xfId="53" applyNumberFormat="1" applyFont="1" applyBorder="1">
      <alignment vertical="center"/>
    </xf>
    <xf numFmtId="201" fontId="64" fillId="0" borderId="9" xfId="53" applyNumberFormat="1" applyFont="1" applyBorder="1">
      <alignment vertical="center"/>
    </xf>
    <xf numFmtId="10" fontId="58" fillId="0" borderId="0" xfId="1" applyNumberFormat="1" applyFont="1" applyAlignment="1">
      <alignment vertical="center"/>
    </xf>
    <xf numFmtId="185" fontId="58" fillId="0" borderId="27" xfId="50" applyNumberFormat="1" applyFont="1" applyBorder="1" applyAlignment="1">
      <alignment vertical="center"/>
    </xf>
    <xf numFmtId="187" fontId="58" fillId="0" borderId="26" xfId="40" applyNumberFormat="1" applyFont="1" applyBorder="1">
      <alignment vertical="center"/>
    </xf>
    <xf numFmtId="0" fontId="64" fillId="0" borderId="26" xfId="40" applyNumberFormat="1" applyFont="1" applyBorder="1" applyAlignment="1">
      <alignment horizontal="center" vertical="center"/>
    </xf>
    <xf numFmtId="187" fontId="58" fillId="0" borderId="0" xfId="40" applyNumberFormat="1" applyFont="1">
      <alignment vertical="center"/>
    </xf>
    <xf numFmtId="187" fontId="64" fillId="0" borderId="30" xfId="40" applyNumberFormat="1" applyFont="1" applyBorder="1">
      <alignment vertical="center"/>
    </xf>
    <xf numFmtId="187" fontId="58" fillId="0" borderId="30" xfId="40" applyNumberFormat="1" applyFont="1" applyBorder="1">
      <alignment vertical="center"/>
    </xf>
    <xf numFmtId="10" fontId="58" fillId="0" borderId="30" xfId="40" applyNumberFormat="1" applyFont="1" applyBorder="1">
      <alignment vertical="center"/>
    </xf>
    <xf numFmtId="176" fontId="96" fillId="13" borderId="0" xfId="0" applyFont="1" applyFill="1"/>
    <xf numFmtId="41" fontId="64" fillId="0" borderId="0" xfId="30" applyFont="1" applyAlignment="1"/>
    <xf numFmtId="9" fontId="73" fillId="0" borderId="0" xfId="1" applyFont="1" applyAlignment="1">
      <alignment horizontal="right"/>
    </xf>
    <xf numFmtId="185" fontId="64" fillId="0" borderId="21" xfId="32" applyNumberFormat="1" applyFont="1" applyBorder="1" applyAlignment="1">
      <alignment horizontal="center"/>
    </xf>
    <xf numFmtId="185" fontId="64" fillId="0" borderId="22" xfId="32" applyNumberFormat="1" applyFont="1" applyBorder="1" applyAlignment="1">
      <alignment horizontal="center"/>
    </xf>
    <xf numFmtId="185" fontId="64" fillId="0" borderId="23" xfId="32" applyNumberFormat="1" applyFont="1" applyBorder="1" applyAlignment="1">
      <alignment horizontal="center"/>
    </xf>
    <xf numFmtId="176" fontId="58" fillId="0" borderId="8" xfId="26" applyFont="1"/>
    <xf numFmtId="176" fontId="97" fillId="0" borderId="0" xfId="0" applyFont="1"/>
    <xf numFmtId="180" fontId="73" fillId="0" borderId="0" xfId="0" applyNumberFormat="1" applyFont="1"/>
    <xf numFmtId="176" fontId="79" fillId="0" borderId="0" xfId="33" applyNumberFormat="1" applyFont="1" applyAlignment="1">
      <alignment horizontal="left" indent="1"/>
    </xf>
    <xf numFmtId="10" fontId="58" fillId="0" borderId="0" xfId="1" applyNumberFormat="1" applyFont="1"/>
    <xf numFmtId="176" fontId="79" fillId="0" borderId="24" xfId="33" applyNumberFormat="1" applyFont="1" applyBorder="1" applyAlignment="1">
      <alignment horizontal="left" vertical="center"/>
    </xf>
    <xf numFmtId="10" fontId="79" fillId="0" borderId="24" xfId="33" applyNumberFormat="1" applyFont="1" applyBorder="1" applyAlignment="1">
      <alignment horizontal="right" vertical="center"/>
    </xf>
    <xf numFmtId="176" fontId="75" fillId="0" borderId="0" xfId="33" applyNumberFormat="1" applyFont="1" applyAlignment="1">
      <alignment horizontal="left" vertical="center"/>
    </xf>
    <xf numFmtId="41" fontId="75" fillId="0" borderId="0" xfId="34" applyNumberFormat="1" applyFont="1" applyAlignment="1">
      <alignment horizontal="left" vertical="center"/>
    </xf>
    <xf numFmtId="176" fontId="79" fillId="0" borderId="0" xfId="33" applyNumberFormat="1" applyFont="1" applyAlignment="1">
      <alignment horizontal="left"/>
    </xf>
    <xf numFmtId="180" fontId="79" fillId="0" borderId="0" xfId="33" applyNumberFormat="1" applyFont="1" applyAlignment="1">
      <alignment horizontal="left"/>
    </xf>
    <xf numFmtId="176" fontId="75" fillId="0" borderId="25" xfId="33" applyNumberFormat="1" applyFont="1" applyBorder="1" applyAlignment="1">
      <alignment horizontal="left" vertical="center"/>
    </xf>
    <xf numFmtId="176" fontId="97" fillId="0" borderId="25" xfId="0" applyFont="1" applyBorder="1"/>
    <xf numFmtId="10" fontId="58" fillId="11" borderId="0" xfId="1" applyNumberFormat="1" applyFont="1" applyFill="1"/>
    <xf numFmtId="185" fontId="98" fillId="0" borderId="0" xfId="37" applyFont="1"/>
    <xf numFmtId="176" fontId="77" fillId="0" borderId="0" xfId="0" applyFont="1" applyAlignment="1">
      <alignment horizontal="centerContinuous"/>
    </xf>
    <xf numFmtId="176" fontId="94" fillId="0" borderId="0" xfId="0" applyFont="1"/>
    <xf numFmtId="10" fontId="63" fillId="0" borderId="0" xfId="0" applyNumberFormat="1" applyFont="1"/>
    <xf numFmtId="184" fontId="63" fillId="0" borderId="0" xfId="0" applyNumberFormat="1" applyFont="1"/>
    <xf numFmtId="184" fontId="58" fillId="11" borderId="0" xfId="0" applyNumberFormat="1" applyFont="1" applyFill="1"/>
    <xf numFmtId="176" fontId="58" fillId="0" borderId="28" xfId="0" applyFont="1" applyBorder="1"/>
    <xf numFmtId="176" fontId="58" fillId="0" borderId="27" xfId="0" applyFont="1" applyBorder="1"/>
    <xf numFmtId="184" fontId="58" fillId="11" borderId="0" xfId="1" applyNumberFormat="1" applyFont="1" applyFill="1"/>
    <xf numFmtId="176" fontId="77" fillId="0" borderId="0" xfId="0" applyFont="1"/>
    <xf numFmtId="176" fontId="58" fillId="0" borderId="29" xfId="0" applyFont="1" applyBorder="1"/>
    <xf numFmtId="0" fontId="63" fillId="0" borderId="6" xfId="24" applyFont="1" applyAlignment="1">
      <alignment horizontal="right" vertical="top"/>
    </xf>
    <xf numFmtId="176" fontId="58" fillId="0" borderId="0" xfId="0" applyFont="1" applyAlignment="1">
      <alignment vertical="top" wrapText="1"/>
    </xf>
    <xf numFmtId="176" fontId="58" fillId="12" borderId="26" xfId="0" applyFont="1" applyFill="1" applyBorder="1"/>
    <xf numFmtId="176" fontId="58" fillId="30" borderId="26" xfId="0" applyFont="1" applyFill="1" applyBorder="1"/>
    <xf numFmtId="178" fontId="39" fillId="11" borderId="0" xfId="0" applyNumberFormat="1" applyFont="1" applyFill="1"/>
    <xf numFmtId="176" fontId="52" fillId="28" borderId="0" xfId="0" applyFont="1" applyFill="1" applyAlignment="1">
      <alignment horizontal="center"/>
    </xf>
    <xf numFmtId="176" fontId="52" fillId="28" borderId="49" xfId="0" applyFont="1" applyFill="1" applyBorder="1" applyAlignment="1">
      <alignment horizontal="center"/>
    </xf>
    <xf numFmtId="176" fontId="52" fillId="28" borderId="0" xfId="0" applyFont="1" applyFill="1" applyAlignment="1">
      <alignment horizontal="center" shrinkToFit="1"/>
    </xf>
    <xf numFmtId="176" fontId="52" fillId="28" borderId="49" xfId="0" applyFont="1" applyFill="1" applyBorder="1" applyAlignment="1">
      <alignment horizontal="center" shrinkToFit="1"/>
    </xf>
    <xf numFmtId="0" fontId="52" fillId="0" borderId="0" xfId="42" applyFont="1" applyBorder="1" applyAlignment="1">
      <alignment horizontal="center" vertical="center" shrinkToFit="1"/>
    </xf>
    <xf numFmtId="0" fontId="52" fillId="0" borderId="6" xfId="42" applyFont="1" applyAlignment="1">
      <alignment horizontal="center" vertical="center" shrinkToFit="1"/>
    </xf>
    <xf numFmtId="189" fontId="52" fillId="0" borderId="51" xfId="24" applyNumberFormat="1" applyFont="1" applyBorder="1" applyAlignment="1">
      <alignment horizontal="center" wrapText="1"/>
    </xf>
    <xf numFmtId="189" fontId="52" fillId="0" borderId="0" xfId="24" applyNumberFormat="1" applyFont="1" applyBorder="1" applyAlignment="1">
      <alignment horizontal="center" wrapText="1"/>
    </xf>
    <xf numFmtId="189" fontId="52" fillId="0" borderId="49" xfId="24" applyNumberFormat="1" applyFont="1" applyBorder="1" applyAlignment="1">
      <alignment horizontal="center" wrapText="1"/>
    </xf>
    <xf numFmtId="176" fontId="52" fillId="0" borderId="0" xfId="0" applyFont="1" applyAlignment="1">
      <alignment horizontal="center"/>
    </xf>
    <xf numFmtId="176" fontId="52" fillId="0" borderId="49" xfId="0" applyFont="1" applyBorder="1" applyAlignment="1">
      <alignment horizontal="center"/>
    </xf>
    <xf numFmtId="176" fontId="63" fillId="28" borderId="0" xfId="0" applyFont="1" applyFill="1" applyAlignment="1">
      <alignment horizontal="center"/>
    </xf>
    <xf numFmtId="176" fontId="63" fillId="28" borderId="49" xfId="0" applyFont="1" applyFill="1" applyBorder="1" applyAlignment="1">
      <alignment horizontal="center"/>
    </xf>
    <xf numFmtId="189" fontId="63" fillId="0" borderId="51" xfId="24" applyNumberFormat="1" applyFont="1" applyBorder="1" applyAlignment="1">
      <alignment horizontal="center" wrapText="1"/>
    </xf>
    <xf numFmtId="189" fontId="63" fillId="0" borderId="49" xfId="24" applyNumberFormat="1" applyFont="1" applyBorder="1" applyAlignment="1">
      <alignment horizontal="center" wrapText="1"/>
    </xf>
    <xf numFmtId="189" fontId="63" fillId="0" borderId="0" xfId="24" applyNumberFormat="1" applyFont="1" applyBorder="1" applyAlignment="1">
      <alignment horizontal="center" wrapText="1"/>
    </xf>
  </cellXfs>
  <cellStyles count="63">
    <cellStyle name="Normal 2" xfId="45" xr:uid="{00000000-0005-0000-0000-000000000000}"/>
    <cellStyle name="Percent 2 2" xfId="52" xr:uid="{00000000-0005-0000-0000-000001000000}"/>
    <cellStyle name="Percent 3" xfId="43" xr:uid="{00000000-0005-0000-0000-000002000000}"/>
    <cellStyle name="Percent 3 2" xfId="58" xr:uid="{00000000-0005-0000-0000-000003000000}"/>
    <cellStyle name="Smart Bold" xfId="18" xr:uid="{00000000-0005-0000-0000-000004000000}"/>
    <cellStyle name="Smart Forecast" xfId="19" xr:uid="{00000000-0005-0000-0000-000005000000}"/>
    <cellStyle name="Smart General" xfId="20" xr:uid="{00000000-0005-0000-0000-000006000000}"/>
    <cellStyle name="Smart Highlight" xfId="21" xr:uid="{00000000-0005-0000-0000-000007000000}"/>
    <cellStyle name="Smart Percent" xfId="22" xr:uid="{00000000-0005-0000-0000-000008000000}"/>
    <cellStyle name="Smart Source" xfId="23" xr:uid="{00000000-0005-0000-0000-000009000000}"/>
    <cellStyle name="Smart Subtitle 1" xfId="24" xr:uid="{00000000-0005-0000-0000-00000A000000}"/>
    <cellStyle name="Smart Subtitle 1 2 3" xfId="39" xr:uid="{00000000-0005-0000-0000-00000B000000}"/>
    <cellStyle name="Smart Subtitle 1 4 4" xfId="42" xr:uid="{00000000-0005-0000-0000-00000C000000}"/>
    <cellStyle name="Smart Subtitle 2" xfId="25" xr:uid="{00000000-0005-0000-0000-00000D000000}"/>
    <cellStyle name="Smart Subtitle 3" xfId="29" xr:uid="{00000000-0005-0000-0000-00000E000000}"/>
    <cellStyle name="Smart Subtotal" xfId="26" xr:uid="{00000000-0005-0000-0000-00000F000000}"/>
    <cellStyle name="Smart Title" xfId="27" xr:uid="{00000000-0005-0000-0000-000010000000}"/>
    <cellStyle name="Smart Title 5" xfId="37" xr:uid="{00000000-0005-0000-0000-000011000000}"/>
    <cellStyle name="Smart Total" xfId="28" xr:uid="{00000000-0005-0000-0000-000012000000}"/>
    <cellStyle name="Smart Total 2 2" xfId="51" xr:uid="{00000000-0005-0000-0000-000013000000}"/>
    <cellStyle name="계산" xfId="12" builtinId="22" customBuiltin="1"/>
    <cellStyle name="나쁨" xfId="8" builtinId="27" customBuiltin="1"/>
    <cellStyle name="메모" xfId="15" builtinId="10" customBuiltin="1"/>
    <cellStyle name="백분율" xfId="1" builtinId="5" customBuiltin="1"/>
    <cellStyle name="백분율 14 2" xfId="44" xr:uid="{00000000-0005-0000-0000-000018000000}"/>
    <cellStyle name="백분율 2 3" xfId="35" xr:uid="{00000000-0005-0000-0000-000019000000}"/>
    <cellStyle name="백분율 21" xfId="54" xr:uid="{00000000-0005-0000-0000-00001A000000}"/>
    <cellStyle name="보통" xfId="9" builtinId="28" customBuiltin="1"/>
    <cellStyle name="설명 텍스트" xfId="16" builtinId="53" customBuiltin="1"/>
    <cellStyle name="셀 확인" xfId="14" builtinId="23" customBuiltin="1"/>
    <cellStyle name="쉼표 [0]" xfId="30" builtinId="6"/>
    <cellStyle name="쉼표 [0] 2" xfId="46" xr:uid="{00000000-0005-0000-0000-00001F000000}"/>
    <cellStyle name="쉼표 [0] 2 2 2" xfId="53" xr:uid="{00000000-0005-0000-0000-000020000000}"/>
    <cellStyle name="쉼표 [0] 2 2 2 2" xfId="62" xr:uid="{00000000-0005-0000-0000-000021000000}"/>
    <cellStyle name="쉼표 [0] 3" xfId="55" xr:uid="{00000000-0005-0000-0000-000022000000}"/>
    <cellStyle name="쉼표 [0] 8" xfId="47" xr:uid="{00000000-0005-0000-0000-000023000000}"/>
    <cellStyle name="쉼표 [0] 8 2" xfId="59" xr:uid="{00000000-0005-0000-0000-000024000000}"/>
    <cellStyle name="연결된 셀" xfId="13" builtinId="24" customBuiltin="1"/>
    <cellStyle name="요약" xfId="17" builtinId="25" customBuiltin="1"/>
    <cellStyle name="입력" xfId="10" builtinId="20" customBuiltin="1"/>
    <cellStyle name="제목" xfId="2" builtinId="15" customBuiltin="1"/>
    <cellStyle name="제목 1" xfId="3" builtinId="16" customBuiltin="1"/>
    <cellStyle name="제목 2" xfId="4" builtinId="17" customBuiltin="1"/>
    <cellStyle name="제목 3" xfId="5" builtinId="18" customBuiltin="1"/>
    <cellStyle name="제목 4" xfId="6" builtinId="19" customBuiltin="1"/>
    <cellStyle name="좋음" xfId="7" builtinId="26" customBuiltin="1"/>
    <cellStyle name="출력" xfId="11" builtinId="21" customBuiltin="1"/>
    <cellStyle name="표준" xfId="0" builtinId="0" customBuiltin="1"/>
    <cellStyle name="표준 10" xfId="41" xr:uid="{00000000-0005-0000-0000-000030000000}"/>
    <cellStyle name="표준 10 2" xfId="57" xr:uid="{00000000-0005-0000-0000-000031000000}"/>
    <cellStyle name="표준 13" xfId="48" xr:uid="{00000000-0005-0000-0000-000032000000}"/>
    <cellStyle name="표준 13 2" xfId="60" xr:uid="{00000000-0005-0000-0000-000033000000}"/>
    <cellStyle name="표준 2" xfId="49" xr:uid="{00000000-0005-0000-0000-000034000000}"/>
    <cellStyle name="표준 2 2" xfId="34" xr:uid="{00000000-0005-0000-0000-000035000000}"/>
    <cellStyle name="표준 2 3" xfId="36" xr:uid="{00000000-0005-0000-0000-000036000000}"/>
    <cellStyle name="표준 2 3 2" xfId="50" xr:uid="{00000000-0005-0000-0000-000037000000}"/>
    <cellStyle name="표준 2 4" xfId="61" xr:uid="{00000000-0005-0000-0000-000038000000}"/>
    <cellStyle name="표준 3" xfId="40" xr:uid="{00000000-0005-0000-0000-000039000000}"/>
    <cellStyle name="표준 3 2" xfId="56" xr:uid="{00000000-0005-0000-0000-00003A000000}"/>
    <cellStyle name="표준 4 2" xfId="33" xr:uid="{00000000-0005-0000-0000-00003B000000}"/>
    <cellStyle name="표준 5" xfId="32" xr:uid="{00000000-0005-0000-0000-00003C000000}"/>
    <cellStyle name="표준 5 2" xfId="38" xr:uid="{00000000-0005-0000-0000-00003D000000}"/>
    <cellStyle name="하이퍼링크" xfId="31" builtinId="8"/>
  </cellStyles>
  <dxfs count="1">
    <dxf>
      <font>
        <color rgb="FF9C0006"/>
      </font>
      <fill>
        <patternFill>
          <bgColor rgb="FFFFC7CE"/>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openxmlformats.org/officeDocument/2006/relationships/customXml" Target="../customXml/item3.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37</xdr:row>
      <xdr:rowOff>0</xdr:rowOff>
    </xdr:from>
    <xdr:to>
      <xdr:col>6</xdr:col>
      <xdr:colOff>123825</xdr:colOff>
      <xdr:row>57</xdr:row>
      <xdr:rowOff>62132</xdr:rowOff>
    </xdr:to>
    <xdr:pic>
      <xdr:nvPicPr>
        <xdr:cNvPr id="2" name="그림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133350" y="8134350"/>
          <a:ext cx="5229225" cy="3110132"/>
        </a:xfrm>
        <a:prstGeom prst="rect">
          <a:avLst/>
        </a:prstGeom>
      </xdr:spPr>
    </xdr:pic>
    <xdr:clientData/>
  </xdr:twoCellAnchor>
  <xdr:twoCellAnchor editAs="oneCell">
    <xdr:from>
      <xdr:col>6</xdr:col>
      <xdr:colOff>104775</xdr:colOff>
      <xdr:row>37</xdr:row>
      <xdr:rowOff>18613</xdr:rowOff>
    </xdr:from>
    <xdr:to>
      <xdr:col>13</xdr:col>
      <xdr:colOff>277880</xdr:colOff>
      <xdr:row>57</xdr:row>
      <xdr:rowOff>57149</xdr:rowOff>
    </xdr:to>
    <xdr:pic>
      <xdr:nvPicPr>
        <xdr:cNvPr id="3" name="그림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stretch>
          <a:fillRect/>
        </a:stretch>
      </xdr:blipFill>
      <xdr:spPr>
        <a:xfrm>
          <a:off x="5343525" y="6076513"/>
          <a:ext cx="5869055" cy="3086536"/>
        </a:xfrm>
        <a:prstGeom prst="rect">
          <a:avLst/>
        </a:prstGeom>
      </xdr:spPr>
    </xdr:pic>
    <xdr:clientData/>
  </xdr:twoCellAnchor>
</xdr:wsDr>
</file>

<file path=xl/theme/theme1.xml><?xml version="1.0" encoding="utf-8"?>
<a:theme xmlns:a="http://schemas.openxmlformats.org/drawingml/2006/main" name="Smart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Smart">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B1:J31"/>
  <sheetViews>
    <sheetView workbookViewId="0">
      <selection activeCell="N8" sqref="A1:XFD1048576"/>
    </sheetView>
  </sheetViews>
  <sheetFormatPr defaultColWidth="9.125" defaultRowHeight="13.2"/>
  <cols>
    <col min="1" max="1" width="2" style="381" customWidth="1"/>
    <col min="2" max="2" width="5.125" style="381" customWidth="1"/>
    <col min="3" max="3" width="9.875" style="381" bestFit="1" customWidth="1"/>
    <col min="4" max="4" width="68.125" style="381" customWidth="1"/>
    <col min="5" max="5" width="16.75" style="381" bestFit="1" customWidth="1"/>
    <col min="6" max="6" width="83.375" style="381" customWidth="1"/>
    <col min="7" max="7" width="12.25" style="381" bestFit="1" customWidth="1"/>
    <col min="8" max="8" width="12.25" style="381" customWidth="1"/>
    <col min="9" max="9" width="49.25" style="381" customWidth="1"/>
    <col min="10" max="16384" width="9.125" style="381"/>
  </cols>
  <sheetData>
    <row r="1" spans="2:10" ht="17.399999999999999">
      <c r="B1" s="380" t="s">
        <v>130</v>
      </c>
      <c r="C1" s="380"/>
    </row>
    <row r="3" spans="2:10" ht="13.8" thickBot="1">
      <c r="B3" s="382" t="s">
        <v>0</v>
      </c>
      <c r="C3" s="382" t="s">
        <v>224</v>
      </c>
      <c r="D3" s="382" t="s">
        <v>131</v>
      </c>
      <c r="E3" s="382" t="s">
        <v>134</v>
      </c>
      <c r="F3" s="382" t="s">
        <v>242</v>
      </c>
      <c r="G3" s="382" t="s">
        <v>243</v>
      </c>
      <c r="H3" s="382" t="s">
        <v>466</v>
      </c>
      <c r="I3" s="382" t="s">
        <v>465</v>
      </c>
      <c r="J3" s="382"/>
    </row>
    <row r="4" spans="2:10" ht="66">
      <c r="B4" s="383">
        <f>ROW()-3</f>
        <v>1</v>
      </c>
      <c r="C4" s="383" t="s">
        <v>246</v>
      </c>
      <c r="D4" s="384" t="s">
        <v>247</v>
      </c>
      <c r="E4" s="385" t="s">
        <v>238</v>
      </c>
      <c r="F4" s="386" t="s">
        <v>442</v>
      </c>
      <c r="G4" s="387" t="s">
        <v>244</v>
      </c>
      <c r="H4" s="387" t="s">
        <v>468</v>
      </c>
      <c r="I4" s="383" t="s">
        <v>453</v>
      </c>
    </row>
    <row r="5" spans="2:10" ht="66">
      <c r="B5" s="388">
        <f>ROW()-3</f>
        <v>2</v>
      </c>
      <c r="C5" s="388" t="s">
        <v>248</v>
      </c>
      <c r="D5" s="389" t="s">
        <v>245</v>
      </c>
      <c r="E5" s="388" t="s">
        <v>249</v>
      </c>
      <c r="F5" s="390" t="s">
        <v>443</v>
      </c>
      <c r="G5" s="391" t="s">
        <v>244</v>
      </c>
      <c r="H5" s="391" t="s">
        <v>467</v>
      </c>
      <c r="I5" s="388" t="s">
        <v>454</v>
      </c>
    </row>
    <row r="6" spans="2:10" s="396" customFormat="1" ht="79.2">
      <c r="B6" s="392">
        <f>ROW()-3</f>
        <v>3</v>
      </c>
      <c r="C6" s="392" t="s">
        <v>451</v>
      </c>
      <c r="D6" s="393" t="s">
        <v>452</v>
      </c>
      <c r="E6" s="392"/>
      <c r="F6" s="394"/>
      <c r="G6" s="395" t="s">
        <v>450</v>
      </c>
      <c r="H6" s="395" t="s">
        <v>469</v>
      </c>
      <c r="I6" s="392"/>
    </row>
    <row r="7" spans="2:10" ht="66">
      <c r="B7" s="388">
        <f t="shared" ref="B7:B18" si="0">ROW()-3</f>
        <v>4</v>
      </c>
      <c r="C7" s="388" t="s">
        <v>250</v>
      </c>
      <c r="D7" s="389" t="s">
        <v>251</v>
      </c>
      <c r="E7" s="397" t="s">
        <v>237</v>
      </c>
      <c r="F7" s="390" t="s">
        <v>455</v>
      </c>
      <c r="G7" s="391" t="s">
        <v>244</v>
      </c>
      <c r="H7" s="391" t="s">
        <v>467</v>
      </c>
      <c r="I7" s="388"/>
    </row>
    <row r="8" spans="2:10" ht="224.4">
      <c r="B8" s="388">
        <f t="shared" si="0"/>
        <v>5</v>
      </c>
      <c r="C8" s="388" t="s">
        <v>252</v>
      </c>
      <c r="D8" s="389" t="s">
        <v>253</v>
      </c>
      <c r="E8" s="388" t="s">
        <v>254</v>
      </c>
      <c r="F8" s="390" t="s">
        <v>444</v>
      </c>
      <c r="G8" s="391" t="s">
        <v>244</v>
      </c>
      <c r="H8" s="391" t="s">
        <v>467</v>
      </c>
      <c r="I8" s="388"/>
    </row>
    <row r="9" spans="2:10" s="396" customFormat="1" ht="39.6">
      <c r="B9" s="392">
        <f t="shared" si="0"/>
        <v>6</v>
      </c>
      <c r="C9" s="392" t="s">
        <v>463</v>
      </c>
      <c r="D9" s="393" t="s">
        <v>464</v>
      </c>
      <c r="E9" s="398" t="s">
        <v>1376</v>
      </c>
      <c r="F9" s="394"/>
      <c r="G9" s="395" t="s">
        <v>460</v>
      </c>
      <c r="H9" s="395" t="s">
        <v>469</v>
      </c>
      <c r="I9" s="392"/>
    </row>
    <row r="10" spans="2:10" ht="52.8">
      <c r="B10" s="388">
        <f t="shared" si="0"/>
        <v>7</v>
      </c>
      <c r="C10" s="388" t="s">
        <v>241</v>
      </c>
      <c r="D10" s="389" t="s">
        <v>360</v>
      </c>
      <c r="E10" s="388" t="s">
        <v>255</v>
      </c>
      <c r="F10" s="390" t="s">
        <v>445</v>
      </c>
      <c r="G10" s="391" t="s">
        <v>244</v>
      </c>
      <c r="H10" s="391" t="s">
        <v>467</v>
      </c>
      <c r="I10" s="388" t="s">
        <v>461</v>
      </c>
    </row>
    <row r="11" spans="2:10" ht="118.8">
      <c r="B11" s="388">
        <f t="shared" si="0"/>
        <v>8</v>
      </c>
      <c r="C11" s="388" t="s">
        <v>241</v>
      </c>
      <c r="D11" s="389" t="s">
        <v>437</v>
      </c>
      <c r="E11" s="388" t="s">
        <v>362</v>
      </c>
      <c r="F11" s="390" t="s">
        <v>446</v>
      </c>
      <c r="G11" s="391" t="s">
        <v>361</v>
      </c>
      <c r="H11" s="391" t="s">
        <v>467</v>
      </c>
      <c r="I11" s="388" t="s">
        <v>458</v>
      </c>
    </row>
    <row r="12" spans="2:10" ht="79.2">
      <c r="B12" s="388">
        <f t="shared" si="0"/>
        <v>9</v>
      </c>
      <c r="C12" s="388" t="s">
        <v>241</v>
      </c>
      <c r="D12" s="389" t="s">
        <v>438</v>
      </c>
      <c r="E12" s="388" t="s">
        <v>256</v>
      </c>
      <c r="F12" s="390" t="s">
        <v>447</v>
      </c>
      <c r="G12" s="391" t="s">
        <v>361</v>
      </c>
      <c r="H12" s="391" t="s">
        <v>467</v>
      </c>
      <c r="I12" s="388" t="s">
        <v>458</v>
      </c>
    </row>
    <row r="13" spans="2:10" s="396" customFormat="1" ht="26.4">
      <c r="B13" s="392">
        <f t="shared" si="0"/>
        <v>10</v>
      </c>
      <c r="C13" s="392" t="s">
        <v>451</v>
      </c>
      <c r="D13" s="393" t="s">
        <v>459</v>
      </c>
      <c r="E13" s="392"/>
      <c r="F13" s="392"/>
      <c r="G13" s="395" t="s">
        <v>460</v>
      </c>
      <c r="H13" s="395" t="s">
        <v>469</v>
      </c>
      <c r="I13" s="392"/>
    </row>
    <row r="14" spans="2:10" s="396" customFormat="1" ht="26.4">
      <c r="B14" s="392">
        <f t="shared" si="0"/>
        <v>11</v>
      </c>
      <c r="C14" s="392" t="s">
        <v>463</v>
      </c>
      <c r="D14" s="393" t="s">
        <v>470</v>
      </c>
      <c r="E14" s="392"/>
      <c r="F14" s="392"/>
      <c r="G14" s="395" t="s">
        <v>460</v>
      </c>
      <c r="H14" s="395" t="s">
        <v>469</v>
      </c>
      <c r="I14" s="392"/>
    </row>
    <row r="15" spans="2:10" s="396" customFormat="1" ht="39.6">
      <c r="B15" s="392">
        <f t="shared" si="0"/>
        <v>12</v>
      </c>
      <c r="C15" s="392" t="s">
        <v>241</v>
      </c>
      <c r="D15" s="393" t="s">
        <v>476</v>
      </c>
      <c r="E15" s="392" t="s">
        <v>255</v>
      </c>
      <c r="F15" s="392"/>
      <c r="G15" s="395" t="s">
        <v>460</v>
      </c>
      <c r="H15" s="395" t="s">
        <v>469</v>
      </c>
      <c r="I15" s="392"/>
    </row>
    <row r="16" spans="2:10" ht="52.8">
      <c r="B16" s="388">
        <f t="shared" si="0"/>
        <v>13</v>
      </c>
      <c r="C16" s="388" t="s">
        <v>601</v>
      </c>
      <c r="D16" s="389" t="s">
        <v>602</v>
      </c>
      <c r="E16" s="388"/>
      <c r="F16" s="388"/>
      <c r="G16" s="395" t="s">
        <v>604</v>
      </c>
      <c r="H16" s="395" t="s">
        <v>469</v>
      </c>
      <c r="I16" s="388"/>
    </row>
    <row r="17" spans="2:9" ht="39.6">
      <c r="B17" s="388">
        <f t="shared" si="0"/>
        <v>14</v>
      </c>
      <c r="C17" s="388" t="s">
        <v>601</v>
      </c>
      <c r="D17" s="389" t="s">
        <v>603</v>
      </c>
      <c r="E17" s="388"/>
      <c r="F17" s="388"/>
      <c r="G17" s="395" t="s">
        <v>604</v>
      </c>
      <c r="H17" s="395" t="s">
        <v>469</v>
      </c>
      <c r="I17" s="388"/>
    </row>
    <row r="18" spans="2:9" s="396" customFormat="1">
      <c r="B18" s="392">
        <f t="shared" si="0"/>
        <v>15</v>
      </c>
      <c r="C18" s="392" t="s">
        <v>451</v>
      </c>
      <c r="D18" s="393" t="s">
        <v>992</v>
      </c>
      <c r="E18" s="392"/>
      <c r="F18" s="392"/>
      <c r="G18" s="395" t="s">
        <v>450</v>
      </c>
      <c r="H18" s="395" t="s">
        <v>469</v>
      </c>
      <c r="I18" s="392"/>
    </row>
    <row r="19" spans="2:9">
      <c r="B19" s="388"/>
      <c r="C19" s="388"/>
      <c r="D19" s="388"/>
      <c r="E19" s="388"/>
      <c r="F19" s="388"/>
      <c r="G19" s="388"/>
      <c r="H19" s="388"/>
      <c r="I19" s="388"/>
    </row>
    <row r="20" spans="2:9">
      <c r="B20" s="388"/>
      <c r="C20" s="388"/>
      <c r="D20" s="388"/>
      <c r="E20" s="388"/>
      <c r="F20" s="388"/>
      <c r="G20" s="388"/>
      <c r="H20" s="388"/>
      <c r="I20" s="388"/>
    </row>
    <row r="21" spans="2:9">
      <c r="B21" s="388"/>
      <c r="C21" s="388"/>
      <c r="D21" s="388"/>
      <c r="E21" s="388"/>
      <c r="F21" s="388"/>
      <c r="G21" s="388"/>
      <c r="H21" s="388"/>
      <c r="I21" s="388"/>
    </row>
    <row r="22" spans="2:9">
      <c r="B22" s="388"/>
      <c r="C22" s="388"/>
      <c r="D22" s="388"/>
      <c r="E22" s="388"/>
      <c r="F22" s="388"/>
      <c r="G22" s="388"/>
      <c r="H22" s="388"/>
      <c r="I22" s="388"/>
    </row>
    <row r="23" spans="2:9">
      <c r="B23" s="388"/>
      <c r="C23" s="388"/>
      <c r="D23" s="388"/>
      <c r="E23" s="388"/>
      <c r="F23" s="388"/>
      <c r="G23" s="388"/>
      <c r="H23" s="388"/>
      <c r="I23" s="388"/>
    </row>
    <row r="24" spans="2:9">
      <c r="B24" s="388"/>
      <c r="C24" s="388"/>
      <c r="D24" s="388"/>
      <c r="E24" s="388"/>
      <c r="F24" s="388"/>
      <c r="G24" s="388"/>
      <c r="H24" s="388"/>
      <c r="I24" s="388"/>
    </row>
    <row r="25" spans="2:9">
      <c r="B25" s="388"/>
      <c r="C25" s="388"/>
      <c r="D25" s="388"/>
      <c r="E25" s="388"/>
      <c r="F25" s="388"/>
      <c r="G25" s="388"/>
      <c r="H25" s="388"/>
      <c r="I25" s="388"/>
    </row>
    <row r="26" spans="2:9">
      <c r="B26" s="388"/>
      <c r="C26" s="388"/>
      <c r="D26" s="388"/>
      <c r="E26" s="388"/>
      <c r="F26" s="388"/>
      <c r="G26" s="388"/>
      <c r="H26" s="388"/>
      <c r="I26" s="388"/>
    </row>
    <row r="27" spans="2:9">
      <c r="B27" s="388"/>
      <c r="C27" s="388"/>
      <c r="D27" s="388"/>
      <c r="E27" s="388"/>
      <c r="F27" s="388"/>
      <c r="G27" s="388"/>
      <c r="H27" s="388"/>
      <c r="I27" s="388"/>
    </row>
    <row r="31" spans="2:9" s="396" customFormat="1">
      <c r="B31" s="392"/>
      <c r="C31" s="392"/>
      <c r="D31" s="393"/>
      <c r="E31" s="392"/>
      <c r="F31" s="392"/>
      <c r="G31" s="395"/>
      <c r="H31" s="395"/>
      <c r="I31" s="392"/>
    </row>
  </sheetData>
  <phoneticPr fontId="24" type="noConversion"/>
  <hyperlinks>
    <hyperlink ref="E7" location="Matching!A1" display="Matching!A1" xr:uid="{00000000-0004-0000-0000-000000000000}"/>
    <hyperlink ref="E4" location="기초자료_정리!A1" display="기초자료_정리!A1" xr:uid="{00000000-0004-0000-0000-000001000000}"/>
    <hyperlink ref="E9" location="노선정리!A1" display="노선정리!A1" xr:uid="{00000000-0004-0000-0000-000002000000}"/>
  </hyperlinks>
  <pageMargins left="0.6" right="0.6" top="1" bottom="1" header="0.5" footer="0.5"/>
  <pageSetup orientation="landscape" r:id="rId1"/>
  <headerFooter>
    <oddHeader>&amp;RDraft - Work in Progress</oddHeader>
    <oddFooter>&amp;L&amp;F
&amp;D, &amp;T&amp;CPage &amp;P of &amp;N&amp;R&amp;A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pageSetUpPr fitToPage="1"/>
  </sheetPr>
  <dimension ref="B1:H19"/>
  <sheetViews>
    <sheetView workbookViewId="0">
      <selection activeCell="N8" sqref="A1:XFD1048576"/>
    </sheetView>
  </sheetViews>
  <sheetFormatPr defaultColWidth="9.125" defaultRowHeight="13.2"/>
  <cols>
    <col min="1" max="1" width="2" style="139" customWidth="1"/>
    <col min="2" max="2" width="11.625" style="139" bestFit="1" customWidth="1"/>
    <col min="3" max="3" width="3.75" style="165" customWidth="1"/>
    <col min="4" max="4" width="41.875" style="139" bestFit="1" customWidth="1"/>
    <col min="5" max="5" width="76.875" style="139" customWidth="1"/>
    <col min="6" max="6" width="53.75" style="139" bestFit="1" customWidth="1"/>
    <col min="7" max="16384" width="9.125" style="139"/>
  </cols>
  <sheetData>
    <row r="1" spans="2:8" ht="17.399999999999999">
      <c r="B1" s="153" t="s">
        <v>261</v>
      </c>
    </row>
    <row r="3" spans="2:8" ht="13.8" thickBot="1">
      <c r="B3" s="157" t="s">
        <v>243</v>
      </c>
      <c r="C3" s="304" t="s">
        <v>0</v>
      </c>
      <c r="D3" s="157" t="s">
        <v>262</v>
      </c>
      <c r="E3" s="157" t="s">
        <v>263</v>
      </c>
      <c r="F3" s="323" t="s">
        <v>264</v>
      </c>
      <c r="G3" s="157"/>
      <c r="H3" s="157"/>
    </row>
    <row r="4" spans="2:8">
      <c r="B4" s="418" t="s">
        <v>244</v>
      </c>
      <c r="C4" s="165">
        <v>1</v>
      </c>
      <c r="D4" s="139" t="s">
        <v>1434</v>
      </c>
      <c r="E4" s="139" t="s">
        <v>1435</v>
      </c>
      <c r="F4" s="139" t="s">
        <v>1436</v>
      </c>
    </row>
    <row r="5" spans="2:8">
      <c r="C5" s="165">
        <v>2</v>
      </c>
      <c r="D5" s="139" t="s">
        <v>1437</v>
      </c>
    </row>
    <row r="6" spans="2:8">
      <c r="C6" s="165">
        <v>3</v>
      </c>
      <c r="D6" s="139" t="s">
        <v>265</v>
      </c>
    </row>
    <row r="7" spans="2:8">
      <c r="B7" s="418" t="s">
        <v>361</v>
      </c>
      <c r="C7" s="165">
        <v>1</v>
      </c>
      <c r="D7" s="139" t="s">
        <v>1438</v>
      </c>
    </row>
    <row r="8" spans="2:8">
      <c r="C8" s="165">
        <v>2</v>
      </c>
      <c r="D8" s="139" t="s">
        <v>1439</v>
      </c>
      <c r="E8" s="139" t="s">
        <v>1440</v>
      </c>
    </row>
    <row r="9" spans="2:8">
      <c r="C9" s="165">
        <v>3</v>
      </c>
      <c r="D9" s="139" t="s">
        <v>1441</v>
      </c>
    </row>
    <row r="10" spans="2:8">
      <c r="B10" s="418" t="s">
        <v>460</v>
      </c>
      <c r="C10" s="165">
        <v>1</v>
      </c>
      <c r="D10" s="139" t="s">
        <v>1442</v>
      </c>
    </row>
    <row r="11" spans="2:8">
      <c r="C11" s="165">
        <v>2</v>
      </c>
      <c r="D11" s="139" t="s">
        <v>1443</v>
      </c>
    </row>
    <row r="12" spans="2:8">
      <c r="B12" s="418" t="s">
        <v>604</v>
      </c>
      <c r="C12" s="165">
        <v>1</v>
      </c>
      <c r="D12" s="139" t="s">
        <v>1444</v>
      </c>
    </row>
    <row r="13" spans="2:8">
      <c r="C13" s="165">
        <v>2</v>
      </c>
      <c r="D13" s="139" t="s">
        <v>1445</v>
      </c>
    </row>
    <row r="14" spans="2:8">
      <c r="B14" s="418" t="s">
        <v>739</v>
      </c>
      <c r="C14" s="165">
        <v>1</v>
      </c>
      <c r="D14" s="139" t="s">
        <v>1446</v>
      </c>
    </row>
    <row r="15" spans="2:8">
      <c r="C15" s="165">
        <v>2</v>
      </c>
      <c r="D15" s="139" t="s">
        <v>1447</v>
      </c>
    </row>
    <row r="16" spans="2:8">
      <c r="B16" s="418" t="s">
        <v>899</v>
      </c>
      <c r="C16" s="165">
        <v>1</v>
      </c>
      <c r="D16" s="139" t="s">
        <v>1448</v>
      </c>
    </row>
    <row r="17" spans="2:4">
      <c r="C17" s="165">
        <v>2</v>
      </c>
      <c r="D17" s="139" t="s">
        <v>1449</v>
      </c>
    </row>
    <row r="18" spans="2:4">
      <c r="B18" s="418" t="s">
        <v>1052</v>
      </c>
      <c r="C18" s="165">
        <v>1</v>
      </c>
      <c r="D18" s="139" t="s">
        <v>1450</v>
      </c>
    </row>
    <row r="19" spans="2:4">
      <c r="C19" s="165">
        <v>2</v>
      </c>
      <c r="D19" s="139" t="s">
        <v>1451</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pageSetUpPr fitToPage="1"/>
  </sheetPr>
  <dimension ref="B1:I18"/>
  <sheetViews>
    <sheetView workbookViewId="0">
      <selection activeCell="D13" sqref="D13"/>
    </sheetView>
  </sheetViews>
  <sheetFormatPr defaultColWidth="9.125" defaultRowHeight="13.2"/>
  <cols>
    <col min="1" max="1" width="2" style="381" customWidth="1"/>
    <col min="2" max="2" width="3.25" style="381" customWidth="1"/>
    <col min="3" max="3" width="55.25" style="381" customWidth="1"/>
    <col min="4" max="16384" width="9.125" style="381"/>
  </cols>
  <sheetData>
    <row r="1" spans="2:9" ht="17.399999999999999">
      <c r="B1" s="380" t="s">
        <v>149</v>
      </c>
    </row>
    <row r="3" spans="2:9" ht="13.8" thickBot="1">
      <c r="B3" s="540" t="s">
        <v>0</v>
      </c>
      <c r="C3" s="382" t="s">
        <v>147</v>
      </c>
      <c r="D3" s="540"/>
      <c r="E3" s="540"/>
      <c r="F3" s="540"/>
      <c r="G3" s="540"/>
      <c r="H3" s="540"/>
      <c r="I3" s="540"/>
    </row>
    <row r="4" spans="2:9">
      <c r="B4" s="381">
        <f t="shared" ref="B4:B9" si="0">ROW(A4)-3</f>
        <v>1</v>
      </c>
      <c r="C4" s="381" t="s">
        <v>341</v>
      </c>
    </row>
    <row r="5" spans="2:9">
      <c r="B5" s="381">
        <f t="shared" si="0"/>
        <v>2</v>
      </c>
      <c r="C5" s="381" t="s">
        <v>342</v>
      </c>
    </row>
    <row r="6" spans="2:9">
      <c r="B6" s="381">
        <f t="shared" si="0"/>
        <v>3</v>
      </c>
      <c r="C6" s="381" t="s">
        <v>343</v>
      </c>
    </row>
    <row r="7" spans="2:9">
      <c r="B7" s="381">
        <f t="shared" si="0"/>
        <v>4</v>
      </c>
    </row>
    <row r="8" spans="2:9">
      <c r="B8" s="381">
        <f t="shared" si="0"/>
        <v>5</v>
      </c>
    </row>
    <row r="9" spans="2:9">
      <c r="B9" s="381">
        <f t="shared" si="0"/>
        <v>6</v>
      </c>
    </row>
    <row r="12" spans="2:9" ht="17.399999999999999">
      <c r="B12" s="380" t="s">
        <v>257</v>
      </c>
    </row>
    <row r="14" spans="2:9" ht="13.8" thickBot="1">
      <c r="B14" s="540" t="s">
        <v>0</v>
      </c>
      <c r="C14" s="382" t="s">
        <v>147</v>
      </c>
      <c r="D14" s="540"/>
      <c r="E14" s="540"/>
      <c r="F14" s="540"/>
      <c r="G14" s="540"/>
      <c r="H14" s="540"/>
      <c r="I14" s="540"/>
    </row>
    <row r="15" spans="2:9" ht="39.6">
      <c r="B15" s="381">
        <f>ROW(A15)-14</f>
        <v>1</v>
      </c>
      <c r="C15" s="541" t="s">
        <v>258</v>
      </c>
    </row>
    <row r="16" spans="2:9" ht="26.4">
      <c r="B16" s="381">
        <f>ROW(A16)-14</f>
        <v>2</v>
      </c>
      <c r="C16" s="541" t="s">
        <v>259</v>
      </c>
    </row>
    <row r="17" spans="2:3" ht="39.6">
      <c r="B17" s="381">
        <f>ROW(A17)-14</f>
        <v>3</v>
      </c>
      <c r="C17" s="541" t="s">
        <v>260</v>
      </c>
    </row>
    <row r="18" spans="2:3">
      <c r="B18" s="381">
        <f>ROW(A18)-14</f>
        <v>4</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00000"/>
    <pageSetUpPr fitToPage="1"/>
  </sheetPr>
  <dimension ref="A1:AU227"/>
  <sheetViews>
    <sheetView showGridLines="0" tabSelected="1" zoomScale="130" zoomScaleNormal="130" workbookViewId="0">
      <selection activeCell="R17" sqref="R17"/>
    </sheetView>
  </sheetViews>
  <sheetFormatPr defaultColWidth="0" defaultRowHeight="10.8" zeroHeight="1"/>
  <cols>
    <col min="1" max="1" width="0.875" style="24" customWidth="1"/>
    <col min="2" max="3" width="1.75" style="24" customWidth="1"/>
    <col min="4" max="4" width="9.125" style="24" customWidth="1"/>
    <col min="5" max="9" width="8.75" style="24" customWidth="1"/>
    <col min="10" max="12" width="9.25" style="24" customWidth="1"/>
    <col min="13" max="15" width="0.875" style="24" customWidth="1"/>
    <col min="16" max="18" width="1.75" style="24" customWidth="1"/>
    <col min="19" max="19" width="8.25" style="24" customWidth="1"/>
    <col min="20" max="24" width="8.625" style="24" customWidth="1"/>
    <col min="25" max="25" width="0.875" style="24" customWidth="1"/>
    <col min="26" max="38" width="8.625" style="24" customWidth="1"/>
    <col min="39" max="39" width="0.875" style="24" customWidth="1"/>
    <col min="40" max="40" width="0.875" style="143" customWidth="1"/>
    <col min="41" max="16384" width="7.75" style="24" hidden="1"/>
  </cols>
  <sheetData>
    <row r="1" spans="1:47">
      <c r="B1" s="18" t="s">
        <v>997</v>
      </c>
      <c r="C1" s="18"/>
      <c r="D1" s="1"/>
      <c r="E1" s="2"/>
      <c r="F1" s="3"/>
      <c r="G1" s="3"/>
      <c r="H1" s="3"/>
      <c r="I1" s="3"/>
      <c r="J1" s="3"/>
      <c r="K1" s="3"/>
      <c r="L1" s="4"/>
      <c r="M1" s="5"/>
      <c r="N1" s="6"/>
      <c r="O1" s="5"/>
      <c r="P1" s="18" t="s">
        <v>998</v>
      </c>
      <c r="Q1" s="5"/>
      <c r="R1" s="5"/>
      <c r="S1" s="5"/>
      <c r="T1" s="5"/>
      <c r="U1" s="5"/>
      <c r="V1" s="5"/>
      <c r="W1" s="5"/>
      <c r="X1" s="5"/>
      <c r="Y1" s="2"/>
      <c r="Z1" s="2"/>
      <c r="AA1" s="2"/>
      <c r="AB1" s="2"/>
      <c r="AC1" s="2"/>
    </row>
    <row r="2" spans="1:47">
      <c r="B2" s="7"/>
      <c r="C2" s="7"/>
      <c r="D2" s="8"/>
      <c r="E2" s="9"/>
      <c r="F2" s="9"/>
      <c r="G2" s="9"/>
      <c r="H2" s="9"/>
      <c r="I2" s="9"/>
      <c r="J2" s="9"/>
      <c r="K2" s="9"/>
      <c r="L2" s="4"/>
      <c r="M2" s="10"/>
      <c r="N2" s="11"/>
      <c r="O2" s="10"/>
      <c r="P2" s="123" t="s">
        <v>999</v>
      </c>
      <c r="Q2" s="40"/>
      <c r="R2" s="10"/>
      <c r="S2" s="10"/>
      <c r="T2" s="5"/>
      <c r="U2" s="5"/>
      <c r="V2" s="5"/>
      <c r="W2" s="5"/>
      <c r="Y2" s="12"/>
      <c r="Z2" s="12"/>
      <c r="AA2" s="12"/>
      <c r="AB2" s="12"/>
      <c r="AC2" s="12"/>
    </row>
    <row r="3" spans="1:47">
      <c r="B3" s="13" t="s">
        <v>1000</v>
      </c>
      <c r="C3" s="13"/>
      <c r="D3" s="14"/>
      <c r="E3" s="15"/>
      <c r="F3" s="15"/>
      <c r="G3" s="15"/>
      <c r="H3" s="15"/>
      <c r="I3" s="15"/>
      <c r="J3" s="15"/>
      <c r="K3" s="15"/>
      <c r="L3" s="16"/>
      <c r="M3" s="10"/>
      <c r="N3" s="11"/>
      <c r="O3" s="10"/>
      <c r="P3" s="19" t="str">
        <f>FS!B3</f>
        <v>Income Statement</v>
      </c>
      <c r="Q3" s="19"/>
      <c r="R3" s="19"/>
      <c r="S3" s="19"/>
      <c r="T3" s="19"/>
      <c r="U3" s="19"/>
      <c r="V3" s="19"/>
      <c r="W3" s="19"/>
      <c r="X3" s="19"/>
      <c r="Y3" s="12"/>
      <c r="Z3" s="19" t="s">
        <v>1007</v>
      </c>
      <c r="AA3" s="19"/>
      <c r="AB3" s="19"/>
      <c r="AC3" s="19"/>
      <c r="AD3" s="19"/>
      <c r="AE3" s="19"/>
      <c r="AF3" s="19"/>
      <c r="AG3" s="19"/>
      <c r="AH3" s="19"/>
      <c r="AI3" s="19"/>
      <c r="AJ3" s="19"/>
      <c r="AK3" s="19"/>
      <c r="AL3" s="19"/>
    </row>
    <row r="4" spans="1:47">
      <c r="B4" s="17"/>
      <c r="C4" s="17"/>
      <c r="D4" s="8"/>
      <c r="E4" s="9"/>
      <c r="F4" s="9"/>
      <c r="G4" s="9"/>
      <c r="H4" s="9"/>
      <c r="I4" s="9"/>
      <c r="J4" s="9"/>
      <c r="K4" s="9"/>
      <c r="L4" s="9"/>
      <c r="M4" s="10"/>
      <c r="N4" s="11"/>
      <c r="O4" s="10"/>
      <c r="Y4" s="12"/>
      <c r="Z4" s="12"/>
      <c r="AA4" s="12"/>
      <c r="AB4" s="12"/>
      <c r="AC4" s="12"/>
      <c r="AU4" s="22"/>
    </row>
    <row r="5" spans="1:47" ht="13.8" thickBot="1">
      <c r="B5" s="17"/>
      <c r="C5" s="17"/>
      <c r="D5" s="9" t="s">
        <v>1040</v>
      </c>
      <c r="E5" s="9"/>
      <c r="F5" s="138">
        <v>1</v>
      </c>
      <c r="G5" s="139" t="s">
        <v>829</v>
      </c>
      <c r="H5" s="9"/>
      <c r="I5" s="9"/>
      <c r="J5" s="9"/>
      <c r="K5" s="9"/>
      <c r="L5" s="9"/>
      <c r="M5" s="10"/>
      <c r="N5" s="11"/>
      <c r="O5" s="10"/>
      <c r="P5" s="20" t="s">
        <v>999</v>
      </c>
      <c r="Q5" s="21"/>
      <c r="R5" s="21"/>
      <c r="S5" s="21"/>
      <c r="T5" s="21" t="str">
        <f>FS!J5</f>
        <v>FY1</v>
      </c>
      <c r="U5" s="21" t="str">
        <f>FS!K5</f>
        <v>FY2</v>
      </c>
      <c r="V5" s="21" t="str">
        <f>FS!L5</f>
        <v>FY3</v>
      </c>
      <c r="W5" s="21" t="str">
        <f>FS!M5</f>
        <v>FY4</v>
      </c>
      <c r="X5" s="21" t="str">
        <f>FS!N5</f>
        <v>FY5</v>
      </c>
      <c r="Y5" s="12"/>
      <c r="Z5" s="41" t="s">
        <v>1010</v>
      </c>
      <c r="AG5" s="41" t="s">
        <v>1009</v>
      </c>
    </row>
    <row r="6" spans="1:47" s="32" customFormat="1">
      <c r="A6" s="24"/>
      <c r="B6" s="17"/>
      <c r="C6" s="17"/>
      <c r="D6" s="9"/>
      <c r="E6" s="9"/>
      <c r="F6" s="9"/>
      <c r="G6" s="9"/>
      <c r="H6" s="9"/>
      <c r="I6" s="9"/>
      <c r="J6" s="9"/>
      <c r="K6" s="9"/>
      <c r="L6" s="9"/>
      <c r="N6" s="11"/>
      <c r="O6" s="10"/>
      <c r="P6" s="22" t="str">
        <f>FS!B6</f>
        <v>공헌수익</v>
      </c>
      <c r="Q6" s="22"/>
      <c r="R6" s="22"/>
      <c r="S6" s="22"/>
      <c r="T6" s="22">
        <f>(FS!J6)/100</f>
        <v>766.60000672442368</v>
      </c>
      <c r="U6" s="22">
        <f>(FS!K6)/100</f>
        <v>2047.7497274344892</v>
      </c>
      <c r="V6" s="22">
        <f>(FS!L6)/100</f>
        <v>3515.0144967243659</v>
      </c>
      <c r="W6" s="22">
        <f>(FS!M6)/100</f>
        <v>5312.8829546267652</v>
      </c>
      <c r="X6" s="22">
        <f>(FS!N6)/100</f>
        <v>5654.9598081451668</v>
      </c>
      <c r="Y6" s="12"/>
      <c r="AG6" s="43"/>
      <c r="AH6" s="24"/>
      <c r="AI6" s="24"/>
      <c r="AJ6" s="44" t="s">
        <v>1008</v>
      </c>
      <c r="AK6" s="24"/>
      <c r="AL6" s="24"/>
      <c r="AN6" s="144"/>
    </row>
    <row r="7" spans="1:47" ht="11.4" thickBot="1">
      <c r="A7" s="32"/>
      <c r="B7" s="13" t="s">
        <v>1047</v>
      </c>
      <c r="C7" s="13"/>
      <c r="D7" s="14"/>
      <c r="E7" s="15"/>
      <c r="F7" s="15"/>
      <c r="G7" s="15"/>
      <c r="H7" s="15"/>
      <c r="I7" s="15"/>
      <c r="J7" s="15"/>
      <c r="K7" s="15"/>
      <c r="L7" s="16"/>
      <c r="M7" s="10"/>
      <c r="N7" s="11"/>
      <c r="O7" s="10"/>
      <c r="P7" s="22" t="str">
        <f>FS!B7</f>
        <v>공헌비용</v>
      </c>
      <c r="Q7" s="22"/>
      <c r="R7" s="22"/>
      <c r="S7" s="22"/>
      <c r="T7" s="22">
        <f>(FS!J7)/100</f>
        <v>444.93297479428577</v>
      </c>
      <c r="U7" s="22">
        <f>(FS!K7)/100</f>
        <v>1246.2120071885715</v>
      </c>
      <c r="V7" s="22">
        <f>(FS!L7)/100</f>
        <v>1752.4288591085715</v>
      </c>
      <c r="W7" s="22">
        <f>(FS!M7)/100</f>
        <v>2369.0898301942852</v>
      </c>
      <c r="X7" s="22">
        <f>(FS!N7)/100</f>
        <v>2534.4964103085713</v>
      </c>
      <c r="Y7" s="12"/>
      <c r="Z7" s="42" t="s">
        <v>786</v>
      </c>
      <c r="AA7" s="42"/>
      <c r="AB7" s="42"/>
      <c r="AC7" s="42"/>
      <c r="AD7" s="42"/>
      <c r="AE7" s="42"/>
      <c r="AF7" s="42">
        <f>(DCF!L36)/100</f>
        <v>3305.7717256498081</v>
      </c>
      <c r="AG7" s="43"/>
      <c r="AH7" s="45">
        <f>DCF!J48</f>
        <v>7.2299999999999989E-2</v>
      </c>
      <c r="AI7" s="45">
        <f>DCF!K48</f>
        <v>7.7299999999999994E-2</v>
      </c>
      <c r="AJ7" s="45">
        <f>DCF!L48</f>
        <v>8.2299999999999998E-2</v>
      </c>
      <c r="AK7" s="45">
        <f>DCF!M48</f>
        <v>8.7300000000000003E-2</v>
      </c>
      <c r="AL7" s="45">
        <f>DCF!N48</f>
        <v>9.2300000000000007E-2</v>
      </c>
    </row>
    <row r="8" spans="1:47">
      <c r="M8" s="10"/>
      <c r="N8" s="11"/>
      <c r="O8" s="10"/>
      <c r="P8" s="23" t="str">
        <f>FS!B8</f>
        <v>공헌손익</v>
      </c>
      <c r="Q8" s="23"/>
      <c r="R8" s="23"/>
      <c r="S8" s="23"/>
      <c r="T8" s="23">
        <f>(FS!J8)/100</f>
        <v>321.66703193013797</v>
      </c>
      <c r="U8" s="23">
        <f>(FS!K8)/100</f>
        <v>801.53772024591774</v>
      </c>
      <c r="V8" s="23">
        <f>(FS!L8)/100</f>
        <v>1762.5856376157942</v>
      </c>
      <c r="W8" s="23">
        <f>(FS!M8)/100</f>
        <v>2943.79312443248</v>
      </c>
      <c r="X8" s="23">
        <f>(FS!N8)/100</f>
        <v>3120.4633978365955</v>
      </c>
      <c r="Y8" s="12"/>
      <c r="Z8" s="24" t="s">
        <v>787</v>
      </c>
      <c r="AF8" s="24">
        <f>(DCF!L37)/100</f>
        <v>26908.348960687759</v>
      </c>
      <c r="AG8" s="46">
        <f>DCF!I49</f>
        <v>2.4734909412582329E-2</v>
      </c>
      <c r="AH8" s="47">
        <f>(DCF!J49)/100</f>
        <v>31057.273363210334</v>
      </c>
      <c r="AI8" s="48">
        <f>(DCF!K49)/100</f>
        <v>27917.449183456716</v>
      </c>
      <c r="AJ8" s="48">
        <f>(DCF!L49)/100</f>
        <v>25325.389003914566</v>
      </c>
      <c r="AK8" s="48">
        <f>(DCF!M49)/100</f>
        <v>23149.725683577704</v>
      </c>
      <c r="AL8" s="48">
        <f>(DCF!N49)/100</f>
        <v>21297.979085146413</v>
      </c>
    </row>
    <row r="9" spans="1:47">
      <c r="B9" s="17"/>
      <c r="C9" s="62" t="s">
        <v>1025</v>
      </c>
      <c r="K9" s="9"/>
      <c r="L9" s="9"/>
      <c r="M9" s="10"/>
      <c r="N9" s="11"/>
      <c r="O9" s="10"/>
      <c r="P9" s="33" t="s">
        <v>1002</v>
      </c>
      <c r="Q9" s="33"/>
      <c r="R9" s="33"/>
      <c r="S9" s="33"/>
      <c r="T9" s="33">
        <f>T8/T6</f>
        <v>0.41960217728744476</v>
      </c>
      <c r="U9" s="33">
        <f>U8/U6</f>
        <v>0.3914236732679825</v>
      </c>
      <c r="V9" s="33">
        <f>V8/V6</f>
        <v>0.50144477050047553</v>
      </c>
      <c r="W9" s="33">
        <f>W8/W6</f>
        <v>0.55408582300290565</v>
      </c>
      <c r="X9" s="33">
        <f>X8/X6</f>
        <v>0.55181000461612673</v>
      </c>
      <c r="Y9" s="12"/>
      <c r="Z9" s="23" t="s">
        <v>788</v>
      </c>
      <c r="AA9" s="23"/>
      <c r="AB9" s="23"/>
      <c r="AC9" s="23"/>
      <c r="AD9" s="23"/>
      <c r="AE9" s="23"/>
      <c r="AF9" s="23">
        <f>(DCF!L38)/100</f>
        <v>30214.120686337566</v>
      </c>
      <c r="AG9" s="46">
        <f>DCF!I50</f>
        <v>2.973490941258233E-2</v>
      </c>
      <c r="AH9" s="49">
        <f>(DCF!J50)/100</f>
        <v>34456.468380046972</v>
      </c>
      <c r="AI9" s="24">
        <f>(DCF!K50)/100</f>
        <v>30631.800436710502</v>
      </c>
      <c r="AJ9" s="24">
        <f>(DCF!L50)/100</f>
        <v>27537.246367170868</v>
      </c>
      <c r="AK9" s="24">
        <f>(DCF!M50)/100</f>
        <v>24982.513732020576</v>
      </c>
      <c r="AL9" s="24">
        <f>(DCF!N50)/100</f>
        <v>22838.14127923267</v>
      </c>
    </row>
    <row r="10" spans="1:47" ht="13.2">
      <c r="A10" s="32"/>
      <c r="B10" s="17"/>
      <c r="C10" s="62"/>
      <c r="D10" s="139"/>
      <c r="E10" s="139"/>
      <c r="F10" s="139"/>
      <c r="G10" s="139"/>
      <c r="H10" s="9"/>
      <c r="I10" s="9"/>
      <c r="J10" s="9"/>
      <c r="K10" s="9"/>
      <c r="L10" s="9"/>
      <c r="M10" s="10"/>
      <c r="N10" s="11"/>
      <c r="O10" s="10"/>
      <c r="P10" s="22" t="str">
        <f>FS!B9</f>
        <v>기타비용</v>
      </c>
      <c r="Q10" s="22"/>
      <c r="R10" s="22"/>
      <c r="S10" s="22"/>
      <c r="T10" s="22">
        <f>(FS!J9)/100</f>
        <v>175.03305487600002</v>
      </c>
      <c r="U10" s="22">
        <f>(FS!K9)/100</f>
        <v>478.13641161199979</v>
      </c>
      <c r="V10" s="22">
        <f>(FS!L9)/100</f>
        <v>686.7727604879999</v>
      </c>
      <c r="W10" s="22">
        <f>(FS!M9)/100</f>
        <v>909.67555670800004</v>
      </c>
      <c r="X10" s="22">
        <f>(FS!N9)/100</f>
        <v>987.54745420799986</v>
      </c>
      <c r="Y10" s="12"/>
      <c r="Z10" s="24" t="s">
        <v>789</v>
      </c>
      <c r="AF10" s="24">
        <f>(DCF!L39)/100</f>
        <v>0</v>
      </c>
      <c r="AG10" s="46">
        <f>DCF!I51</f>
        <v>3.4734909412582331E-2</v>
      </c>
      <c r="AH10" s="49">
        <f>(DCF!J51)/100</f>
        <v>38760.544754463837</v>
      </c>
      <c r="AI10" s="24">
        <f>(DCF!K51)/100</f>
        <v>33983.845916804763</v>
      </c>
      <c r="AJ10" s="24">
        <f>(DCF!L51)/100</f>
        <v>30214.120686337566</v>
      </c>
      <c r="AK10" s="24">
        <f>(DCF!M51)/100</f>
        <v>27163.971977349134</v>
      </c>
      <c r="AL10" s="24">
        <f>(DCF!N51)/100</f>
        <v>24645.854896997727</v>
      </c>
    </row>
    <row r="11" spans="1:47" ht="11.4" thickBot="1">
      <c r="A11" s="32"/>
      <c r="B11" s="17"/>
      <c r="C11" s="62"/>
      <c r="D11" s="70" t="s">
        <v>1062</v>
      </c>
      <c r="E11" s="61" t="s">
        <v>1021</v>
      </c>
      <c r="F11" s="61" t="s">
        <v>1020</v>
      </c>
      <c r="G11" s="61" t="s">
        <v>1024</v>
      </c>
      <c r="I11" s="9"/>
      <c r="J11" s="9"/>
      <c r="K11" s="9"/>
      <c r="L11" s="9"/>
      <c r="M11" s="10"/>
      <c r="N11" s="11"/>
      <c r="O11" s="10"/>
      <c r="P11" s="24">
        <f>FS!B10</f>
        <v>0</v>
      </c>
      <c r="Q11" s="24" t="str">
        <f>FS!C10</f>
        <v>기타운항변동비용</v>
      </c>
      <c r="T11" s="24">
        <f>(FS!J10)/100</f>
        <v>42.686336000000004</v>
      </c>
      <c r="U11" s="24">
        <f>(FS!K10)/100</f>
        <v>130.77942399999995</v>
      </c>
      <c r="V11" s="24">
        <f>(FS!L10)/100</f>
        <v>201.32975999999999</v>
      </c>
      <c r="W11" s="24">
        <f>(FS!M10)/100</f>
        <v>277.88489599999991</v>
      </c>
      <c r="X11" s="24">
        <f>(FS!N10)/100</f>
        <v>300.69567999999987</v>
      </c>
      <c r="Y11" s="12"/>
      <c r="Z11" s="23" t="s">
        <v>790</v>
      </c>
      <c r="AA11" s="23"/>
      <c r="AB11" s="23"/>
      <c r="AC11" s="23"/>
      <c r="AD11" s="23"/>
      <c r="AE11" s="23"/>
      <c r="AF11" s="23">
        <f>(DCF!L40)/100</f>
        <v>30214.120686337566</v>
      </c>
      <c r="AG11" s="46">
        <f>DCF!I52</f>
        <v>3.9734909412582328E-2</v>
      </c>
      <c r="AH11" s="49">
        <f>(DCF!J52)/100</f>
        <v>44386.305268792108</v>
      </c>
      <c r="AI11" s="24">
        <f>(DCF!K52)/100</f>
        <v>38228.221330802342</v>
      </c>
      <c r="AJ11" s="24">
        <f>(DCF!L52)/100</f>
        <v>33519.884614858922</v>
      </c>
      <c r="AK11" s="24">
        <f>(DCF!M52)/100</f>
        <v>29804.056122132115</v>
      </c>
      <c r="AL11" s="24">
        <f>(DCF!N52)/100</f>
        <v>26797.468543767529</v>
      </c>
    </row>
    <row r="12" spans="1:47">
      <c r="A12" s="32"/>
      <c r="B12" s="17"/>
      <c r="C12" s="62"/>
      <c r="D12" s="147" t="s">
        <v>1489</v>
      </c>
      <c r="E12" s="544">
        <v>5.5</v>
      </c>
      <c r="F12" s="81">
        <v>10000</v>
      </c>
      <c r="G12" s="24">
        <f>E12*100000000/F12</f>
        <v>55000</v>
      </c>
      <c r="I12" s="9"/>
      <c r="J12" s="9"/>
      <c r="K12" s="9"/>
      <c r="L12" s="9"/>
      <c r="M12" s="10"/>
      <c r="N12" s="11"/>
      <c r="O12" s="10"/>
      <c r="P12" s="24">
        <f>FS!B11</f>
        <v>0</v>
      </c>
      <c r="Q12" s="24" t="str">
        <f>FS!C11</f>
        <v>기타그외변동비용</v>
      </c>
      <c r="T12" s="24">
        <f>(FS!J11)/100</f>
        <v>122.74671887600002</v>
      </c>
      <c r="U12" s="24">
        <f>(FS!K11)/100</f>
        <v>325.55698761199989</v>
      </c>
      <c r="V12" s="24">
        <f>(FS!L11)/100</f>
        <v>448.84300048799997</v>
      </c>
      <c r="W12" s="24">
        <f>(FS!M11)/100</f>
        <v>577.79066070800013</v>
      </c>
      <c r="X12" s="24">
        <f>(FS!N11)/100</f>
        <v>610.85177420799994</v>
      </c>
      <c r="Y12" s="12"/>
      <c r="Z12" s="24" t="s">
        <v>792</v>
      </c>
      <c r="AF12" s="24">
        <f>(DCF!L41)/100</f>
        <v>0</v>
      </c>
      <c r="AG12" s="46">
        <f>DCF!I53</f>
        <v>4.4734909412582326E-2</v>
      </c>
      <c r="AH12" s="49">
        <f>(DCF!J53)/100</f>
        <v>52052.96620987112</v>
      </c>
      <c r="AI12" s="24">
        <f>(DCF!K53)/100</f>
        <v>43775.948075146756</v>
      </c>
      <c r="AJ12" s="24">
        <f>(DCF!L53)/100</f>
        <v>37705.658115253551</v>
      </c>
      <c r="AK12" s="24">
        <f>(DCF!M53)/100</f>
        <v>33064.386602197985</v>
      </c>
      <c r="AL12" s="24">
        <f>(DCF!N53)/100</f>
        <v>29401.433614701138</v>
      </c>
    </row>
    <row r="13" spans="1:47" ht="11.4" thickBot="1">
      <c r="A13" s="32"/>
      <c r="B13" s="17"/>
      <c r="C13" s="62"/>
      <c r="D13" s="24" t="s">
        <v>1490</v>
      </c>
      <c r="E13" s="544">
        <v>0.7</v>
      </c>
      <c r="F13" s="81">
        <v>10000</v>
      </c>
      <c r="G13" s="24">
        <f>E13*100000000/F13</f>
        <v>7000</v>
      </c>
      <c r="I13" s="9"/>
      <c r="J13" s="9"/>
      <c r="K13" s="9"/>
      <c r="L13" s="9"/>
      <c r="M13" s="10"/>
      <c r="N13" s="11"/>
      <c r="O13" s="10"/>
      <c r="P13" s="24">
        <f>FS!B12</f>
        <v>0</v>
      </c>
      <c r="Q13" s="24" t="str">
        <f>FS!C12</f>
        <v>기타고정비용</v>
      </c>
      <c r="T13" s="24">
        <f>(FS!J12)/100</f>
        <v>9.6</v>
      </c>
      <c r="U13" s="24">
        <f>(FS!K12)/100</f>
        <v>21.8</v>
      </c>
      <c r="V13" s="24">
        <f>(FS!L12)/100</f>
        <v>36.6</v>
      </c>
      <c r="W13" s="24">
        <f>(FS!M12)/100</f>
        <v>54</v>
      </c>
      <c r="X13" s="24">
        <f>(FS!N12)/100</f>
        <v>76</v>
      </c>
      <c r="Y13" s="12"/>
      <c r="Z13" s="28" t="s">
        <v>791</v>
      </c>
      <c r="AA13" s="28"/>
      <c r="AB13" s="28"/>
      <c r="AC13" s="28"/>
      <c r="AD13" s="28"/>
      <c r="AE13" s="28"/>
      <c r="AF13" s="28">
        <f>(DCF!L42)/100</f>
        <v>30214.120686337566</v>
      </c>
      <c r="AG13" s="43" t="s">
        <v>1006</v>
      </c>
      <c r="AH13" s="43"/>
      <c r="AI13" s="12"/>
      <c r="AJ13" s="12"/>
    </row>
    <row r="14" spans="1:47">
      <c r="A14" s="32"/>
      <c r="B14" s="17"/>
      <c r="C14" s="62"/>
      <c r="D14" s="24" t="s">
        <v>1491</v>
      </c>
      <c r="E14" s="544">
        <v>2.8</v>
      </c>
      <c r="F14" s="81">
        <v>10000</v>
      </c>
      <c r="G14" s="24">
        <f>E14*100000000/F14</f>
        <v>28000</v>
      </c>
      <c r="J14" s="9"/>
      <c r="K14" s="9"/>
      <c r="L14" s="9"/>
      <c r="M14" s="10"/>
      <c r="N14" s="11"/>
      <c r="O14" s="10"/>
      <c r="P14" s="24">
        <f>FS!B13</f>
        <v>0</v>
      </c>
      <c r="R14" s="24" t="str">
        <f>FS!D13</f>
        <v>유형자산감가상각비</v>
      </c>
      <c r="T14" s="24">
        <f>(FS!J13)/100</f>
        <v>3.4</v>
      </c>
      <c r="U14" s="24">
        <f>(FS!K13)/100</f>
        <v>4.5999999999999996</v>
      </c>
      <c r="V14" s="24">
        <f>(FS!L13)/100</f>
        <v>5.4</v>
      </c>
      <c r="W14" s="24">
        <f>(FS!M13)/100</f>
        <v>5.8</v>
      </c>
      <c r="X14" s="24">
        <f>(FS!N13)/100</f>
        <v>7.8</v>
      </c>
      <c r="Y14" s="12"/>
    </row>
    <row r="15" spans="1:47">
      <c r="A15" s="32"/>
      <c r="B15" s="17"/>
      <c r="C15" s="62"/>
      <c r="D15" s="24" t="s">
        <v>1486</v>
      </c>
      <c r="E15" s="544">
        <v>11</v>
      </c>
      <c r="F15" s="81">
        <v>10000</v>
      </c>
      <c r="G15" s="24">
        <f>E15*100000000/F15</f>
        <v>110000</v>
      </c>
      <c r="J15" s="9"/>
      <c r="K15" s="9"/>
      <c r="L15" s="9"/>
      <c r="M15" s="10"/>
      <c r="N15" s="11"/>
      <c r="O15" s="10"/>
      <c r="P15" s="24">
        <f>FS!B14</f>
        <v>0</v>
      </c>
      <c r="R15" s="24" t="str">
        <f>FS!D14</f>
        <v>무형자산상각비</v>
      </c>
      <c r="T15" s="24">
        <f>(FS!J14)/100</f>
        <v>6.2</v>
      </c>
      <c r="U15" s="24">
        <f>(FS!K14)/100</f>
        <v>17.2</v>
      </c>
      <c r="V15" s="24">
        <f>(FS!L14)/100</f>
        <v>31.2</v>
      </c>
      <c r="W15" s="24">
        <f>(FS!M14)/100</f>
        <v>48.2</v>
      </c>
      <c r="X15" s="24">
        <f>(FS!N14)/100</f>
        <v>68.2</v>
      </c>
      <c r="Y15" s="12"/>
      <c r="Z15" s="19" t="s">
        <v>1031</v>
      </c>
      <c r="AA15" s="19"/>
      <c r="AB15" s="19"/>
      <c r="AC15" s="19"/>
      <c r="AD15" s="19"/>
      <c r="AE15" s="19"/>
      <c r="AF15" s="19"/>
      <c r="AG15" s="19"/>
      <c r="AH15" s="19"/>
      <c r="AI15" s="19"/>
      <c r="AJ15" s="19"/>
      <c r="AK15" s="19"/>
      <c r="AL15" s="19"/>
    </row>
    <row r="16" spans="1:47">
      <c r="A16" s="32"/>
      <c r="B16" s="17"/>
      <c r="C16" s="62"/>
      <c r="D16" s="24" t="s">
        <v>1487</v>
      </c>
      <c r="E16" s="544">
        <v>60</v>
      </c>
      <c r="F16" s="81">
        <v>20000</v>
      </c>
      <c r="G16" s="24">
        <f>E16*100000000/F16</f>
        <v>300000</v>
      </c>
      <c r="J16" s="9"/>
      <c r="K16" s="9"/>
      <c r="L16" s="9"/>
      <c r="M16" s="10"/>
      <c r="N16" s="11"/>
      <c r="O16" s="10"/>
      <c r="P16" s="23" t="str">
        <f>FS!B15</f>
        <v>EBIT</v>
      </c>
      <c r="Q16" s="23"/>
      <c r="R16" s="23"/>
      <c r="S16" s="23"/>
      <c r="T16" s="23">
        <f>(FS!J15)/100</f>
        <v>146.63397705413794</v>
      </c>
      <c r="U16" s="23">
        <f>(FS!K15)/100</f>
        <v>323.40130863391795</v>
      </c>
      <c r="V16" s="23">
        <f>(FS!L15)/100</f>
        <v>1075.8128771277943</v>
      </c>
      <c r="W16" s="23">
        <f>(FS!M15)/100</f>
        <v>2034.1175677244798</v>
      </c>
      <c r="X16" s="23">
        <f>(FS!N15)/100</f>
        <v>2132.9159436285954</v>
      </c>
      <c r="Y16" s="12"/>
      <c r="AS16" s="26"/>
      <c r="AT16" s="26"/>
      <c r="AU16" s="26"/>
    </row>
    <row r="17" spans="1:47" ht="11.4" thickBot="1">
      <c r="A17" s="32"/>
      <c r="B17" s="17"/>
      <c r="C17" s="62"/>
      <c r="D17" s="36"/>
      <c r="E17" s="152">
        <f>SUM(E12:E16)</f>
        <v>80</v>
      </c>
      <c r="F17" s="36"/>
      <c r="G17" s="36"/>
      <c r="H17" s="24" t="s">
        <v>1484</v>
      </c>
      <c r="J17" s="9"/>
      <c r="K17" s="9"/>
      <c r="L17" s="9"/>
      <c r="M17" s="10"/>
      <c r="N17" s="11"/>
      <c r="O17" s="10"/>
      <c r="P17" s="33" t="s">
        <v>756</v>
      </c>
      <c r="Q17" s="33"/>
      <c r="R17" s="33"/>
      <c r="S17" s="33"/>
      <c r="T17" s="33">
        <f>T16/T6</f>
        <v>0.19127834042251676</v>
      </c>
      <c r="U17" s="33">
        <f>U16/U6</f>
        <v>0.15793009482613352</v>
      </c>
      <c r="V17" s="33">
        <f>V16/V6</f>
        <v>0.30606214515767771</v>
      </c>
      <c r="W17" s="33">
        <f>W16/W6</f>
        <v>0.38286511957750791</v>
      </c>
      <c r="X17" s="33">
        <f>X16/X6</f>
        <v>0.37717614554155326</v>
      </c>
      <c r="Y17" s="12"/>
      <c r="Z17" s="41" t="s">
        <v>1032</v>
      </c>
      <c r="AG17" s="288" t="s">
        <v>1035</v>
      </c>
      <c r="AN17" s="145"/>
    </row>
    <row r="18" spans="1:47" ht="11.4" thickBot="1">
      <c r="A18" s="32"/>
      <c r="B18" s="17"/>
      <c r="C18" s="62"/>
      <c r="H18" s="9"/>
      <c r="I18" s="9"/>
      <c r="J18" s="9"/>
      <c r="K18" s="9"/>
      <c r="L18" s="9"/>
      <c r="M18" s="10"/>
      <c r="N18" s="11"/>
      <c r="O18" s="10"/>
      <c r="P18" s="22" t="str">
        <f>FS!B16</f>
        <v>Non Operating Income/Expense</v>
      </c>
      <c r="Q18" s="22"/>
      <c r="R18" s="22"/>
      <c r="S18" s="22"/>
      <c r="T18" s="22">
        <f>(FS!J16)/100</f>
        <v>0</v>
      </c>
      <c r="U18" s="22">
        <f>(FS!K16)/100</f>
        <v>0</v>
      </c>
      <c r="V18" s="22">
        <f>(FS!L16)/100</f>
        <v>-14.4</v>
      </c>
      <c r="W18" s="22">
        <f>(FS!M16)/100</f>
        <v>-7.2</v>
      </c>
      <c r="X18" s="22">
        <f>(FS!N16)/100</f>
        <v>0</v>
      </c>
      <c r="Y18" s="12"/>
      <c r="Z18" s="41"/>
      <c r="AG18" s="289"/>
      <c r="AH18" s="74" t="str">
        <f>T5</f>
        <v>FY1</v>
      </c>
      <c r="AI18" s="74" t="str">
        <f t="shared" ref="AI18:AL18" si="0">U5</f>
        <v>FY2</v>
      </c>
      <c r="AJ18" s="74" t="str">
        <f t="shared" si="0"/>
        <v>FY3</v>
      </c>
      <c r="AK18" s="74" t="str">
        <f t="shared" si="0"/>
        <v>FY4</v>
      </c>
      <c r="AL18" s="74" t="str">
        <f t="shared" si="0"/>
        <v>FY5</v>
      </c>
    </row>
    <row r="19" spans="1:47" ht="11.4" thickBot="1">
      <c r="B19" s="17"/>
      <c r="C19" s="17"/>
      <c r="D19" s="70" t="s">
        <v>1018</v>
      </c>
      <c r="E19" s="61" t="s">
        <v>1021</v>
      </c>
      <c r="F19" s="61" t="s">
        <v>1020</v>
      </c>
      <c r="G19" s="61" t="s">
        <v>1024</v>
      </c>
      <c r="H19" s="61" t="s">
        <v>1016</v>
      </c>
      <c r="I19" s="61" t="s">
        <v>903</v>
      </c>
      <c r="J19" s="61" t="s">
        <v>1056</v>
      </c>
      <c r="K19" s="61" t="s">
        <v>939</v>
      </c>
      <c r="L19" s="61" t="s">
        <v>1026</v>
      </c>
      <c r="M19" s="10"/>
      <c r="N19" s="11"/>
      <c r="O19" s="10"/>
      <c r="P19" s="24">
        <f>FS!B17</f>
        <v>0</v>
      </c>
      <c r="Q19" s="24" t="str">
        <f>FS!C17</f>
        <v>이자수익</v>
      </c>
      <c r="T19" s="24">
        <f>(FS!J17)/100</f>
        <v>0</v>
      </c>
      <c r="U19" s="24">
        <f>(FS!K17)/100</f>
        <v>0</v>
      </c>
      <c r="V19" s="24">
        <f>(FS!L17)/100</f>
        <v>0</v>
      </c>
      <c r="W19" s="24">
        <f>(FS!M17)/100</f>
        <v>0</v>
      </c>
      <c r="X19" s="24">
        <f>(FS!N17)/100</f>
        <v>0</v>
      </c>
      <c r="Y19" s="12"/>
      <c r="Z19" s="70" t="s">
        <v>1033</v>
      </c>
      <c r="AA19" s="74" t="str">
        <f>T5</f>
        <v>FY1</v>
      </c>
      <c r="AB19" s="74" t="str">
        <f t="shared" ref="AB19:AE19" si="1">U5</f>
        <v>FY2</v>
      </c>
      <c r="AC19" s="74" t="str">
        <f t="shared" si="1"/>
        <v>FY3</v>
      </c>
      <c r="AD19" s="74" t="str">
        <f t="shared" si="1"/>
        <v>FY4</v>
      </c>
      <c r="AE19" s="74" t="str">
        <f t="shared" si="1"/>
        <v>FY5</v>
      </c>
      <c r="AG19" s="147" t="s">
        <v>878</v>
      </c>
      <c r="AH19" s="24">
        <f>('IRR &amp; FS'!O212)/100</f>
        <v>156.23397705413794</v>
      </c>
      <c r="AI19" s="24">
        <f>('IRR &amp; FS'!P212)/100</f>
        <v>345.20130863391796</v>
      </c>
      <c r="AJ19" s="24">
        <f>('IRR &amp; FS'!Q212)/100</f>
        <v>1112.4128771277944</v>
      </c>
      <c r="AK19" s="24">
        <f>('IRR &amp; FS'!R212)/100</f>
        <v>2088.1175677244801</v>
      </c>
      <c r="AL19" s="24">
        <f>('IRR &amp; FS'!S212)/100</f>
        <v>2208.9159436285954</v>
      </c>
      <c r="AS19" s="26"/>
      <c r="AT19" s="26"/>
      <c r="AU19" s="26"/>
    </row>
    <row r="20" spans="1:47">
      <c r="B20" s="17"/>
      <c r="C20" s="17"/>
      <c r="D20" s="8" t="s">
        <v>905</v>
      </c>
      <c r="E20" s="141"/>
      <c r="F20" s="67"/>
      <c r="G20" s="9">
        <f>IFERROR(E20*100000000/F20, )</f>
        <v>0</v>
      </c>
      <c r="H20" s="65"/>
      <c r="I20" s="65"/>
      <c r="J20" s="64"/>
      <c r="K20" s="64"/>
      <c r="L20" s="64"/>
      <c r="M20" s="10"/>
      <c r="N20" s="11"/>
      <c r="O20" s="10"/>
      <c r="P20" s="24">
        <f>FS!B18</f>
        <v>0</v>
      </c>
      <c r="Q20" s="24" t="str">
        <f>FS!C18</f>
        <v>이자비용</v>
      </c>
      <c r="T20" s="24">
        <f>(FS!J18)/100</f>
        <v>0</v>
      </c>
      <c r="U20" s="24">
        <f>(FS!K18)/100</f>
        <v>0</v>
      </c>
      <c r="V20" s="24">
        <f>(FS!L18)/100</f>
        <v>-14.4</v>
      </c>
      <c r="W20" s="24">
        <f>(FS!M18)/100</f>
        <v>-7.2</v>
      </c>
      <c r="X20" s="24">
        <f>(FS!N18)/100</f>
        <v>0</v>
      </c>
      <c r="Y20" s="12"/>
      <c r="Z20" s="8" t="s">
        <v>905</v>
      </c>
      <c r="AA20" s="105" t="str">
        <f>'IRR &amp; FS'!O236</f>
        <v>NM</v>
      </c>
      <c r="AB20" s="105" t="str">
        <f>'IRR &amp; FS'!P236</f>
        <v>NM</v>
      </c>
      <c r="AC20" s="105" t="str">
        <f>'IRR &amp; FS'!Q236</f>
        <v>NM</v>
      </c>
      <c r="AD20" s="105" t="str">
        <f>'IRR &amp; FS'!R236</f>
        <v>NM</v>
      </c>
      <c r="AE20" s="105" t="str">
        <f>'IRR &amp; FS'!S236</f>
        <v>NM</v>
      </c>
      <c r="AG20" s="147" t="s">
        <v>894</v>
      </c>
      <c r="AH20" s="77">
        <f>'IRR &amp; FS'!O213</f>
        <v>6.0584372536264972</v>
      </c>
      <c r="AI20" s="77">
        <f>'IRR &amp; FS'!P213</f>
        <v>6.0584372536264972</v>
      </c>
      <c r="AJ20" s="77">
        <f>'IRR &amp; FS'!Q213</f>
        <v>6.0584372536264972</v>
      </c>
      <c r="AK20" s="77">
        <f>'IRR &amp; FS'!R213</f>
        <v>6.0584372536264972</v>
      </c>
      <c r="AL20" s="77">
        <f>'IRR &amp; FS'!S213</f>
        <v>6.0584372536264972</v>
      </c>
      <c r="AN20" s="145"/>
    </row>
    <row r="21" spans="1:47">
      <c r="B21" s="17"/>
      <c r="C21" s="17"/>
      <c r="D21" s="8" t="s">
        <v>906</v>
      </c>
      <c r="E21" s="68">
        <v>100</v>
      </c>
      <c r="F21" s="140">
        <v>25000</v>
      </c>
      <c r="G21" s="9">
        <f t="shared" ref="G21:G22" si="2">IFERROR(E21*100000000/F21, )</f>
        <v>400000</v>
      </c>
      <c r="H21" s="134">
        <v>0.06</v>
      </c>
      <c r="I21" s="134">
        <v>0.08</v>
      </c>
      <c r="J21" s="64">
        <v>43462</v>
      </c>
      <c r="K21" s="64">
        <f>EOMONTH(J21, 48)</f>
        <v>44926</v>
      </c>
      <c r="L21" s="64">
        <f>EOMONTH(J21, 12*5)</f>
        <v>45291</v>
      </c>
      <c r="M21" s="10"/>
      <c r="N21" s="11"/>
      <c r="O21" s="10"/>
      <c r="P21" s="24">
        <f>FS!B19</f>
        <v>0</v>
      </c>
      <c r="Q21" s="24" t="str">
        <f>FS!C19</f>
        <v>기타수익</v>
      </c>
      <c r="T21" s="24">
        <f>(FS!J19)/100</f>
        <v>0</v>
      </c>
      <c r="U21" s="24">
        <f>(FS!K19)/100</f>
        <v>0</v>
      </c>
      <c r="V21" s="24">
        <f>(FS!L19)/100</f>
        <v>0</v>
      </c>
      <c r="W21" s="24">
        <f>(FS!M19)/100</f>
        <v>0</v>
      </c>
      <c r="X21" s="24">
        <f>(FS!N19)/100</f>
        <v>0</v>
      </c>
      <c r="Y21" s="12"/>
      <c r="Z21" s="295" t="s">
        <v>906</v>
      </c>
      <c r="AA21" s="296">
        <f>'IRR &amp; FS'!O251</f>
        <v>5.9999999403953522E-2</v>
      </c>
      <c r="AB21" s="296">
        <f>'IRR &amp; FS'!P251</f>
        <v>2.952198088169098E-2</v>
      </c>
      <c r="AC21" s="296">
        <f>'IRR &amp; FS'!Q251</f>
        <v>1.9594755768775944E-2</v>
      </c>
      <c r="AD21" s="296">
        <f>'IRR &amp; FS'!R251</f>
        <v>1.4663729071617126E-2</v>
      </c>
      <c r="AE21" s="296">
        <f>'IRR &amp; FS'!S251</f>
        <v>0.95165804624557504</v>
      </c>
      <c r="AG21" s="290" t="s">
        <v>1050</v>
      </c>
      <c r="AH21" s="23">
        <f>('IRR &amp; FS'!O214)/100</f>
        <v>946.53374686701659</v>
      </c>
      <c r="AI21" s="23">
        <f>('IRR &amp; FS'!P214)/100</f>
        <v>2091.3804682283467</v>
      </c>
      <c r="AJ21" s="23">
        <f>('IRR &amp; FS'!Q214)/100</f>
        <v>6739.483616204865</v>
      </c>
      <c r="AK21" s="23">
        <f>('IRR &amp; FS'!R214)/100</f>
        <v>12650.729262253941</v>
      </c>
      <c r="AL21" s="23">
        <f>('IRR &amp; FS'!S214)/100</f>
        <v>13382.57864300901</v>
      </c>
    </row>
    <row r="22" spans="1:47">
      <c r="B22" s="17"/>
      <c r="C22" s="17"/>
      <c r="D22" s="8" t="s">
        <v>1015</v>
      </c>
      <c r="E22" s="141">
        <v>0</v>
      </c>
      <c r="F22" s="66"/>
      <c r="G22" s="9">
        <f t="shared" si="2"/>
        <v>0</v>
      </c>
      <c r="H22" s="65"/>
      <c r="I22" s="65"/>
      <c r="J22" s="64"/>
      <c r="K22" s="64"/>
      <c r="L22" s="64"/>
      <c r="M22" s="10"/>
      <c r="N22" s="11"/>
      <c r="O22" s="10"/>
      <c r="P22" s="24">
        <f>FS!B20</f>
        <v>0</v>
      </c>
      <c r="Q22" s="24" t="str">
        <f>FS!C20</f>
        <v>기타비용</v>
      </c>
      <c r="T22" s="24">
        <f>(FS!J20)/100</f>
        <v>0</v>
      </c>
      <c r="U22" s="24">
        <f>(FS!K20)/100</f>
        <v>0</v>
      </c>
      <c r="V22" s="24">
        <f>(FS!L20)/100</f>
        <v>0</v>
      </c>
      <c r="W22" s="24">
        <f>(FS!M20)/100</f>
        <v>0</v>
      </c>
      <c r="X22" s="24">
        <f>(FS!N20)/100</f>
        <v>0</v>
      </c>
      <c r="Y22" s="12"/>
      <c r="Z22" s="22" t="s">
        <v>1057</v>
      </c>
      <c r="AB22" s="294">
        <f>SUM(AC47:AC50)*F21/100000000</f>
        <v>146.65</v>
      </c>
      <c r="AC22" s="137" t="s">
        <v>1059</v>
      </c>
      <c r="AD22" s="22" t="s">
        <v>1483</v>
      </c>
      <c r="AE22" s="22"/>
      <c r="AG22" s="147" t="s">
        <v>897</v>
      </c>
      <c r="AH22" s="24">
        <f>('IRR &amp; FS'!O215)/100</f>
        <v>-95.211502102227598</v>
      </c>
      <c r="AI22" s="24">
        <f>('IRR &amp; FS'!P215)/100</f>
        <v>-275.17869404673746</v>
      </c>
      <c r="AJ22" s="24">
        <f>('IRR &amp; FS'!Q215)/100</f>
        <v>-1038.1890549096058</v>
      </c>
      <c r="AK22" s="24">
        <f>('IRR &amp; FS'!R215)/100</f>
        <v>-2760.7377712447615</v>
      </c>
      <c r="AL22" s="24">
        <f>('IRR &amp; FS'!S215)/100</f>
        <v>-4350.5080565152366</v>
      </c>
    </row>
    <row r="23" spans="1:47" ht="11.4" thickBot="1">
      <c r="B23" s="17"/>
      <c r="C23" s="17"/>
      <c r="D23" s="35" t="s">
        <v>1019</v>
      </c>
      <c r="E23" s="69">
        <f>SUM(E20:E22)</f>
        <v>100</v>
      </c>
      <c r="F23" s="63"/>
      <c r="G23" s="63">
        <f>SUM(G20:G22)</f>
        <v>400000</v>
      </c>
      <c r="H23" s="63"/>
      <c r="I23" s="63"/>
      <c r="J23" s="151">
        <f>AVERAGE(J20:J22)</f>
        <v>43462</v>
      </c>
      <c r="K23" s="151">
        <f t="shared" ref="K23:L23" si="3">AVERAGE(K20:K22)</f>
        <v>44926</v>
      </c>
      <c r="L23" s="151">
        <f t="shared" si="3"/>
        <v>45291</v>
      </c>
      <c r="M23" s="10"/>
      <c r="N23" s="11"/>
      <c r="O23" s="10"/>
      <c r="P23" s="23" t="str">
        <f>FS!B21</f>
        <v>EBT</v>
      </c>
      <c r="Q23" s="23"/>
      <c r="R23" s="23"/>
      <c r="S23" s="23"/>
      <c r="T23" s="23">
        <f>(FS!J21)/100</f>
        <v>146.63397705413794</v>
      </c>
      <c r="U23" s="23">
        <f>(FS!K21)/100</f>
        <v>323.40130863391795</v>
      </c>
      <c r="V23" s="23">
        <f>(FS!L21)/100</f>
        <v>1090.2128771277944</v>
      </c>
      <c r="W23" s="23">
        <f>(FS!M21)/100</f>
        <v>2041.3175677244799</v>
      </c>
      <c r="X23" s="23">
        <f>(FS!N21)/100</f>
        <v>2132.9159436285954</v>
      </c>
      <c r="Y23" s="12"/>
      <c r="Z23" s="31" t="s">
        <v>1058</v>
      </c>
      <c r="AA23" s="37"/>
      <c r="AB23" s="136">
        <f>AB22+E23+E15</f>
        <v>257.64999999999998</v>
      </c>
      <c r="AC23" s="135" t="s">
        <v>1059</v>
      </c>
      <c r="AD23" s="22"/>
      <c r="AE23" s="22"/>
      <c r="AG23" s="290" t="s">
        <v>898</v>
      </c>
      <c r="AH23" s="23">
        <f>('IRR &amp; FS'!O216)/100</f>
        <v>851.32224476478905</v>
      </c>
      <c r="AI23" s="23">
        <f>('IRR &amp; FS'!P216)/100</f>
        <v>1816.2017741816092</v>
      </c>
      <c r="AJ23" s="23">
        <f>('IRR &amp; FS'!Q216)/100</f>
        <v>5701.294561295259</v>
      </c>
      <c r="AK23" s="23">
        <f>('IRR &amp; FS'!R216)/100</f>
        <v>9889.9914910091793</v>
      </c>
      <c r="AL23" s="23">
        <f>('IRR &amp; FS'!S216)/100</f>
        <v>9032.0705864937736</v>
      </c>
    </row>
    <row r="24" spans="1:47" ht="11.4" thickBot="1">
      <c r="B24" s="17"/>
      <c r="C24" s="17"/>
      <c r="D24" s="8"/>
      <c r="E24" s="9"/>
      <c r="F24" s="9"/>
      <c r="G24" s="9"/>
      <c r="H24" s="9"/>
      <c r="I24" s="9"/>
      <c r="J24" s="9"/>
      <c r="K24" s="9"/>
      <c r="L24" s="9"/>
      <c r="M24" s="10"/>
      <c r="N24" s="11"/>
      <c r="O24" s="10"/>
      <c r="P24" s="24" t="str">
        <f>FS!B22</f>
        <v>Tax</v>
      </c>
      <c r="T24" s="25">
        <f>(FS!J22)/100</f>
        <v>32.03947495191035</v>
      </c>
      <c r="U24" s="25">
        <f>(FS!K22)/100</f>
        <v>73.643116689408146</v>
      </c>
      <c r="V24" s="25">
        <f>(FS!L22)/100</f>
        <v>259.21151626492622</v>
      </c>
      <c r="W24" s="25">
        <f>(FS!M22)/100</f>
        <v>489.3788513893241</v>
      </c>
      <c r="X24" s="25">
        <f>(FS!N22)/100</f>
        <v>511.54565835812014</v>
      </c>
      <c r="Y24" s="12"/>
      <c r="AG24" s="291" t="s">
        <v>1049</v>
      </c>
      <c r="AH24" s="78">
        <f>'IRR &amp; FS'!O217</f>
        <v>7.4289972830052573</v>
      </c>
      <c r="AI24" s="78">
        <f>'IRR &amp; FS'!P217</f>
        <v>7.2718406553212276</v>
      </c>
      <c r="AJ24" s="78">
        <f>'IRR &amp; FS'!Q217</f>
        <v>6.860752376356321</v>
      </c>
      <c r="AK24" s="78">
        <f>'IRR &amp; FS'!R217</f>
        <v>6.3726688347359604</v>
      </c>
      <c r="AL24" s="78">
        <f>'IRR &amp; FS'!S217</f>
        <v>5.5706402593822375</v>
      </c>
    </row>
    <row r="25" spans="1:47" ht="11.4" thickBot="1">
      <c r="B25" s="17"/>
      <c r="C25" s="62"/>
      <c r="D25" s="70" t="s">
        <v>1017</v>
      </c>
      <c r="E25" s="61" t="str">
        <f t="shared" ref="E25:I25" si="4">E19</f>
        <v>금액(억원)</v>
      </c>
      <c r="F25" s="61" t="str">
        <f t="shared" si="4"/>
        <v>발행가액(원)</v>
      </c>
      <c r="G25" s="61" t="str">
        <f t="shared" si="4"/>
        <v>발행주수㈜</v>
      </c>
      <c r="H25" s="61" t="str">
        <f t="shared" si="4"/>
        <v>Int/Div %</v>
      </c>
      <c r="I25" s="61" t="str">
        <f t="shared" si="4"/>
        <v>YTM</v>
      </c>
      <c r="J25" s="61" t="str">
        <f>J19</f>
        <v>투자일</v>
      </c>
      <c r="K25" s="61" t="str">
        <f>K19</f>
        <v>전환일</v>
      </c>
      <c r="L25" s="61" t="str">
        <f>L19</f>
        <v>만기일</v>
      </c>
      <c r="M25" s="10"/>
      <c r="N25" s="11"/>
      <c r="O25" s="10"/>
      <c r="P25" s="24">
        <f>FS!B23</f>
        <v>0</v>
      </c>
      <c r="Q25" s="26" t="str">
        <f>FS!C23</f>
        <v>Tax rate %</v>
      </c>
      <c r="T25" s="27">
        <f>FS!J23</f>
        <v>0.22</v>
      </c>
      <c r="U25" s="27">
        <f>FS!K23</f>
        <v>0.24199999999999999</v>
      </c>
      <c r="V25" s="27">
        <f>FS!L23</f>
        <v>0.24199999999999999</v>
      </c>
      <c r="W25" s="27">
        <f>FS!M23</f>
        <v>0.24199999999999999</v>
      </c>
      <c r="X25" s="27">
        <f>FS!N23</f>
        <v>0.24199999999999999</v>
      </c>
      <c r="Y25" s="12"/>
      <c r="Z25" s="70" t="s">
        <v>1034</v>
      </c>
      <c r="AA25" s="74" t="str">
        <f>T5</f>
        <v>FY1</v>
      </c>
      <c r="AB25" s="74" t="str">
        <f>U5</f>
        <v>FY2</v>
      </c>
      <c r="AC25" s="74" t="str">
        <f>V5</f>
        <v>FY3</v>
      </c>
      <c r="AD25" s="74" t="str">
        <f>W5</f>
        <v>FY4</v>
      </c>
      <c r="AE25" s="74" t="str">
        <f>X5</f>
        <v>FY5</v>
      </c>
      <c r="AG25" s="147" t="s">
        <v>1027</v>
      </c>
      <c r="AH25" s="24">
        <f>('IRR &amp; FS'!O294)/100</f>
        <v>114.59450210222759</v>
      </c>
      <c r="AI25" s="24">
        <f>('IRR &amp; FS'!P294)/100</f>
        <v>249.7581919445098</v>
      </c>
      <c r="AJ25" s="24">
        <f>('IRR &amp; FS'!Q294)/100</f>
        <v>831.00136086286818</v>
      </c>
      <c r="AK25" s="24">
        <f>('IRR &amp; FS'!R294)/100</f>
        <v>1551.9387163351557</v>
      </c>
      <c r="AL25" s="24">
        <f>('IRR &amp; FS'!S294)/100</f>
        <v>1621.3702852704755</v>
      </c>
    </row>
    <row r="26" spans="1:47">
      <c r="B26" s="17"/>
      <c r="C26" s="17"/>
      <c r="D26" s="8" t="s">
        <v>905</v>
      </c>
      <c r="E26" s="141"/>
      <c r="F26" s="67"/>
      <c r="G26" s="9">
        <f>IFERROR(E26*100000000/F26, )</f>
        <v>0</v>
      </c>
      <c r="H26" s="65"/>
      <c r="I26" s="65"/>
      <c r="J26" s="64"/>
      <c r="K26" s="64"/>
      <c r="L26" s="64"/>
      <c r="M26" s="10"/>
      <c r="N26" s="11"/>
      <c r="O26" s="10"/>
      <c r="P26" s="38" t="str">
        <f>FS!B24</f>
        <v>NI</v>
      </c>
      <c r="Q26" s="38"/>
      <c r="R26" s="38"/>
      <c r="S26" s="38"/>
      <c r="T26" s="38">
        <f>(FS!J24)/100</f>
        <v>114.59450210222759</v>
      </c>
      <c r="U26" s="38">
        <f>(FS!K24)/100</f>
        <v>249.7581919445098</v>
      </c>
      <c r="V26" s="38">
        <f>(FS!L24)/100</f>
        <v>831.00136086286818</v>
      </c>
      <c r="W26" s="38">
        <f>(FS!M24)/100</f>
        <v>1551.9387163351557</v>
      </c>
      <c r="X26" s="38">
        <f>(FS!N24)/100</f>
        <v>1621.3702852704755</v>
      </c>
      <c r="Y26" s="12"/>
      <c r="Z26" s="8" t="s">
        <v>905</v>
      </c>
      <c r="AA26" s="104" t="str">
        <f>'IRR &amp; FS'!O271</f>
        <v>NM</v>
      </c>
      <c r="AB26" s="104" t="str">
        <f>'IRR &amp; FS'!P271</f>
        <v>NM</v>
      </c>
      <c r="AC26" s="104" t="str">
        <f>'IRR &amp; FS'!Q271</f>
        <v>NM</v>
      </c>
      <c r="AD26" s="104" t="str">
        <f>'IRR &amp; FS'!R271</f>
        <v>NM</v>
      </c>
      <c r="AE26" s="104" t="str">
        <f>'IRR &amp; FS'!S271</f>
        <v>NM</v>
      </c>
      <c r="AG26" s="147" t="s">
        <v>1028</v>
      </c>
      <c r="AH26" s="77">
        <f>'IRR &amp; FS'!O295</f>
        <v>11.386864999999998</v>
      </c>
      <c r="AI26" s="77">
        <f>'IRR &amp; FS'!P295</f>
        <v>11.386864999999998</v>
      </c>
      <c r="AJ26" s="77">
        <f>'IRR &amp; FS'!Q295</f>
        <v>11.386864999999998</v>
      </c>
      <c r="AK26" s="77">
        <f>'IRR &amp; FS'!R295</f>
        <v>11.386864999999998</v>
      </c>
      <c r="AL26" s="77">
        <f>'IRR &amp; FS'!S295</f>
        <v>11.386864999999998</v>
      </c>
    </row>
    <row r="27" spans="1:47" ht="11.4" thickBot="1">
      <c r="B27" s="17"/>
      <c r="C27" s="17"/>
      <c r="D27" s="8" t="s">
        <v>906</v>
      </c>
      <c r="E27" s="68">
        <v>140</v>
      </c>
      <c r="F27" s="140">
        <v>100000</v>
      </c>
      <c r="G27" s="9">
        <f t="shared" ref="G27" si="5">IFERROR(E27*100000000/F27, )</f>
        <v>140000</v>
      </c>
      <c r="H27" s="134">
        <f>H21</f>
        <v>0.06</v>
      </c>
      <c r="I27" s="134">
        <v>0.08</v>
      </c>
      <c r="J27" s="64">
        <f>EOMONTH(J21, 18)</f>
        <v>44012</v>
      </c>
      <c r="K27" s="64">
        <f>EOMONTH(J27, 30)</f>
        <v>44926</v>
      </c>
      <c r="L27" s="64">
        <f>EOMONTH(J27, 12*5)</f>
        <v>45838</v>
      </c>
      <c r="M27" s="10"/>
      <c r="N27" s="11"/>
      <c r="O27" s="10"/>
      <c r="P27" s="39" t="s">
        <v>1005</v>
      </c>
      <c r="Q27" s="39"/>
      <c r="R27" s="39"/>
      <c r="S27" s="39"/>
      <c r="T27" s="39">
        <f>T26/T6</f>
        <v>0.14948408700369586</v>
      </c>
      <c r="U27" s="39">
        <f>U26/U6</f>
        <v>0.12196714696058968</v>
      </c>
      <c r="V27" s="39">
        <f>V26/V6</f>
        <v>0.23641477485719517</v>
      </c>
      <c r="W27" s="39">
        <f>W26/W6</f>
        <v>0.29210858390615174</v>
      </c>
      <c r="X27" s="39">
        <f>X26/X6</f>
        <v>0.28671650025436463</v>
      </c>
      <c r="Y27" s="12"/>
      <c r="Z27" s="293" t="s">
        <v>906</v>
      </c>
      <c r="AA27" s="292">
        <f>'IRR &amp; FS'!O286</f>
        <v>5.9999999403953522E-2</v>
      </c>
      <c r="AB27" s="292">
        <f>'IRR &amp; FS'!P286</f>
        <v>2.952198088169098E-2</v>
      </c>
      <c r="AC27" s="292">
        <f>'IRR &amp; FS'!Q286</f>
        <v>1.9594755768775944E-2</v>
      </c>
      <c r="AD27" s="292">
        <f>'IRR &amp; FS'!R286</f>
        <v>1.4663729071617126E-2</v>
      </c>
      <c r="AE27" s="292">
        <f>'IRR &amp; FS'!S286</f>
        <v>0.47930482029914856</v>
      </c>
      <c r="AG27" s="290" t="s">
        <v>1050</v>
      </c>
      <c r="AH27" s="23">
        <f>('IRR &amp; FS'!O296)/100</f>
        <v>1304.8721251802817</v>
      </c>
      <c r="AI27" s="23">
        <f>('IRR &amp; FS'!P296)/100</f>
        <v>2843.9628143162204</v>
      </c>
      <c r="AJ27" s="23">
        <f>('IRR &amp; FS'!Q296)/100</f>
        <v>9462.5003109617628</v>
      </c>
      <c r="AK27" s="23">
        <f>('IRR &amp; FS'!R296)/100</f>
        <v>17671.716651181712</v>
      </c>
      <c r="AL27" s="23">
        <f>('IRR &amp; FS'!S296)/100</f>
        <v>18462.324553386388</v>
      </c>
      <c r="AS27" s="26"/>
      <c r="AT27" s="26"/>
      <c r="AU27" s="26"/>
    </row>
    <row r="28" spans="1:47">
      <c r="B28" s="17"/>
      <c r="C28" s="17"/>
      <c r="D28" s="8" t="s">
        <v>1015</v>
      </c>
      <c r="E28" s="141"/>
      <c r="F28" s="66"/>
      <c r="G28" s="9">
        <f>IFERROR(E28*100000000/F28, )</f>
        <v>0</v>
      </c>
      <c r="H28" s="65"/>
      <c r="I28" s="65"/>
      <c r="J28" s="64"/>
      <c r="K28" s="64"/>
      <c r="L28" s="64"/>
      <c r="M28" s="10"/>
      <c r="N28" s="11"/>
      <c r="O28" s="10"/>
      <c r="P28" s="22" t="s">
        <v>758</v>
      </c>
      <c r="T28" s="22">
        <f>DCF!J21</f>
        <v>15623.397705413794</v>
      </c>
      <c r="U28" s="22">
        <f>DCF!K21</f>
        <v>34520.130863391794</v>
      </c>
      <c r="V28" s="22">
        <f>DCF!L21</f>
        <v>111241.28771277943</v>
      </c>
      <c r="W28" s="22">
        <f>DCF!M21</f>
        <v>208811.75677244799</v>
      </c>
      <c r="X28" s="22">
        <f>DCF!N21</f>
        <v>220891.59436285956</v>
      </c>
      <c r="Y28" s="12"/>
      <c r="AG28" s="147" t="s">
        <v>1029</v>
      </c>
      <c r="AH28" s="24">
        <f>('IRR &amp; FS'!O297)/100</f>
        <v>-95.211502102227598</v>
      </c>
      <c r="AI28" s="24">
        <f>('IRR &amp; FS'!P297)/100</f>
        <v>-275.17869404673746</v>
      </c>
      <c r="AJ28" s="24">
        <f>('IRR &amp; FS'!Q297)/100</f>
        <v>-1038.1890549096058</v>
      </c>
      <c r="AK28" s="24">
        <f>('IRR &amp; FS'!R297)/100</f>
        <v>-2760.7377712447615</v>
      </c>
      <c r="AL28" s="24">
        <f>('IRR &amp; FS'!S297)/100</f>
        <v>-4350.5080565152366</v>
      </c>
      <c r="AN28" s="145"/>
      <c r="AS28" s="26"/>
      <c r="AT28" s="26"/>
      <c r="AU28" s="26"/>
    </row>
    <row r="29" spans="1:47" ht="11.4" thickBot="1">
      <c r="B29" s="17"/>
      <c r="C29" s="17"/>
      <c r="D29" s="35" t="s">
        <v>1019</v>
      </c>
      <c r="E29" s="69">
        <f>SUM(E26:E28)</f>
        <v>140</v>
      </c>
      <c r="F29" s="63"/>
      <c r="G29" s="63">
        <f>SUM(G26:G28)</f>
        <v>140000</v>
      </c>
      <c r="H29" s="63"/>
      <c r="I29" s="63"/>
      <c r="J29" s="151">
        <f>AVERAGE(J26:J28)</f>
        <v>44012</v>
      </c>
      <c r="K29" s="151">
        <f t="shared" ref="K29" si="6">AVERAGE(K26:K28)</f>
        <v>44926</v>
      </c>
      <c r="L29" s="151">
        <f t="shared" ref="L29" si="7">AVERAGE(L26:L28)</f>
        <v>45838</v>
      </c>
      <c r="M29" s="10"/>
      <c r="N29" s="11"/>
      <c r="O29" s="10"/>
      <c r="P29" s="22" t="s">
        <v>762</v>
      </c>
      <c r="T29" s="22">
        <f>DCF!J25</f>
        <v>12419.45021022276</v>
      </c>
      <c r="U29" s="22">
        <f>DCF!K25</f>
        <v>27155.819194450982</v>
      </c>
      <c r="V29" s="22">
        <f>DCF!L25</f>
        <v>85668.616086286813</v>
      </c>
      <c r="W29" s="22">
        <f>DCF!M25</f>
        <v>160048.11163351557</v>
      </c>
      <c r="X29" s="22">
        <f>DCF!N25</f>
        <v>169737.02852704754</v>
      </c>
      <c r="Y29" s="12"/>
      <c r="AG29" s="290" t="s">
        <v>1051</v>
      </c>
      <c r="AH29" s="23">
        <f>('IRR &amp; FS'!O298)/100</f>
        <v>1209.660623078054</v>
      </c>
      <c r="AI29" s="23">
        <f>('IRR &amp; FS'!P298)/100</f>
        <v>2568.7841202694831</v>
      </c>
      <c r="AJ29" s="23">
        <f>('IRR &amp; FS'!Q298)/100</f>
        <v>8424.3112560521568</v>
      </c>
      <c r="AK29" s="23">
        <f>('IRR &amp; FS'!R298)/100</f>
        <v>14910.978879936949</v>
      </c>
      <c r="AL29" s="23">
        <f>('IRR &amp; FS'!S298)/100</f>
        <v>14111.816496871154</v>
      </c>
      <c r="AN29" s="145"/>
      <c r="AS29" s="26"/>
      <c r="AT29" s="26"/>
      <c r="AU29" s="26"/>
    </row>
    <row r="30" spans="1:47" ht="12.75" customHeight="1" thickBot="1">
      <c r="B30" s="17"/>
      <c r="C30" s="17"/>
      <c r="M30" s="10"/>
      <c r="N30" s="11"/>
      <c r="O30" s="10"/>
      <c r="P30" s="31" t="s">
        <v>1004</v>
      </c>
      <c r="Q30" s="37"/>
      <c r="R30" s="37"/>
      <c r="S30" s="37"/>
      <c r="T30" s="31">
        <f>DCF!J29</f>
        <v>2481.1502102227605</v>
      </c>
      <c r="U30" s="31">
        <f>DCF!K29</f>
        <v>20176.719194450983</v>
      </c>
      <c r="V30" s="31">
        <f>DCF!L29</f>
        <v>78869.516086286807</v>
      </c>
      <c r="W30" s="31">
        <f>DCF!M29</f>
        <v>153109.11163351557</v>
      </c>
      <c r="X30" s="31">
        <f>DCF!N29</f>
        <v>166577.02852704754</v>
      </c>
      <c r="Y30" s="12"/>
      <c r="AG30" s="291" t="s">
        <v>1030</v>
      </c>
      <c r="AH30" s="78">
        <f>'IRR &amp; FS'!O299</f>
        <v>7.7426219692204628</v>
      </c>
      <c r="AI30" s="78">
        <f>'IRR &amp; FS'!P299</f>
        <v>7.4414089866433537</v>
      </c>
      <c r="AJ30" s="78">
        <f>'IRR &amp; FS'!Q299</f>
        <v>7.573007674815301</v>
      </c>
      <c r="AK30" s="78">
        <f>'IRR &amp; FS'!R299</f>
        <v>7.1408713333062686</v>
      </c>
      <c r="AL30" s="78">
        <f>'IRR &amp; FS'!S299</f>
        <v>6.3885710715137547</v>
      </c>
      <c r="AN30" s="145"/>
    </row>
    <row r="31" spans="1:47" ht="11.4" thickBot="1">
      <c r="B31" s="17"/>
      <c r="D31" s="70" t="s">
        <v>1485</v>
      </c>
      <c r="E31" s="61" t="str">
        <f t="shared" ref="E31:I31" si="8">E25</f>
        <v>금액(억원)</v>
      </c>
      <c r="F31" s="61" t="str">
        <f t="shared" si="8"/>
        <v>발행가액(원)</v>
      </c>
      <c r="G31" s="61" t="str">
        <f t="shared" si="8"/>
        <v>발행주수㈜</v>
      </c>
      <c r="H31" s="61" t="str">
        <f t="shared" si="8"/>
        <v>Int/Div %</v>
      </c>
      <c r="I31" s="61" t="str">
        <f t="shared" si="8"/>
        <v>YTM</v>
      </c>
      <c r="J31" s="61" t="str">
        <f>J25</f>
        <v>투자일</v>
      </c>
      <c r="K31" s="61" t="str">
        <f>K25</f>
        <v>전환일</v>
      </c>
      <c r="L31" s="61" t="str">
        <f>L25</f>
        <v>만기일</v>
      </c>
      <c r="M31" s="10"/>
      <c r="N31" s="11"/>
      <c r="O31" s="10"/>
      <c r="Y31" s="12"/>
    </row>
    <row r="32" spans="1:47">
      <c r="B32" s="17"/>
      <c r="D32" s="8" t="s">
        <v>1022</v>
      </c>
      <c r="E32" s="68">
        <f>E21*7.5%</f>
        <v>7.5</v>
      </c>
      <c r="F32" s="67">
        <f>F21</f>
        <v>25000</v>
      </c>
      <c r="G32" s="9">
        <f>IFERROR(E32*100000000/F32, )</f>
        <v>30000</v>
      </c>
      <c r="H32" s="65"/>
      <c r="I32" s="65"/>
      <c r="J32" s="64"/>
      <c r="K32" s="64"/>
      <c r="L32" s="64"/>
      <c r="M32" s="10"/>
      <c r="N32" s="11"/>
      <c r="O32" s="10"/>
      <c r="P32" s="19" t="s">
        <v>1001</v>
      </c>
      <c r="Q32" s="19"/>
      <c r="R32" s="19"/>
      <c r="S32" s="19"/>
      <c r="T32" s="19"/>
      <c r="U32" s="19"/>
      <c r="V32" s="19"/>
      <c r="W32" s="19"/>
      <c r="X32" s="19"/>
      <c r="Y32" s="12"/>
      <c r="Z32" s="19" t="s">
        <v>1011</v>
      </c>
      <c r="AA32" s="19"/>
      <c r="AB32" s="19"/>
      <c r="AC32" s="19"/>
      <c r="AD32" s="19"/>
      <c r="AE32" s="19"/>
      <c r="AF32" s="19"/>
      <c r="AG32" s="19"/>
      <c r="AH32" s="19"/>
      <c r="AI32" s="19"/>
      <c r="AJ32" s="19"/>
      <c r="AK32" s="19"/>
      <c r="AL32" s="19"/>
    </row>
    <row r="33" spans="1:47">
      <c r="B33" s="17"/>
      <c r="D33" s="8" t="s">
        <v>1067</v>
      </c>
      <c r="E33" s="68">
        <f>IF(E23&gt;=90, E23*4%, 0)</f>
        <v>4</v>
      </c>
      <c r="F33" s="9">
        <v>10000</v>
      </c>
      <c r="G33" s="9">
        <f>IFERROR(E33*100000000/F33, )</f>
        <v>40000</v>
      </c>
      <c r="H33" s="65"/>
      <c r="I33" s="65"/>
      <c r="J33" s="64"/>
      <c r="K33" s="64"/>
      <c r="L33" s="64"/>
      <c r="M33" s="10"/>
      <c r="N33" s="11"/>
      <c r="O33" s="10"/>
      <c r="Y33" s="12"/>
      <c r="AK33" s="22"/>
      <c r="AL33" s="22"/>
    </row>
    <row r="34" spans="1:47" ht="11.4" thickBot="1">
      <c r="B34" s="17"/>
      <c r="D34" s="8" t="s">
        <v>1023</v>
      </c>
      <c r="E34" s="68">
        <f>E27*15%</f>
        <v>21</v>
      </c>
      <c r="F34" s="9">
        <f>F27</f>
        <v>100000</v>
      </c>
      <c r="G34" s="9">
        <f>IFERROR(E34*100000000/F34, )</f>
        <v>21000</v>
      </c>
      <c r="H34" s="65"/>
      <c r="I34" s="65"/>
      <c r="J34" s="64"/>
      <c r="K34" s="64"/>
      <c r="L34" s="64"/>
      <c r="M34" s="10"/>
      <c r="N34" s="11"/>
      <c r="O34" s="10"/>
      <c r="P34" s="20" t="s">
        <v>999</v>
      </c>
      <c r="Q34" s="21"/>
      <c r="R34" s="21"/>
      <c r="S34" s="21"/>
      <c r="T34" s="21">
        <f>FS!J29</f>
        <v>2019</v>
      </c>
      <c r="U34" s="21">
        <f>FS!K29</f>
        <v>2020</v>
      </c>
      <c r="V34" s="21">
        <f>FS!L29</f>
        <v>2021</v>
      </c>
      <c r="W34" s="21">
        <f>FS!M29</f>
        <v>2022</v>
      </c>
      <c r="X34" s="21">
        <f>FS!N29</f>
        <v>2023</v>
      </c>
      <c r="Y34" s="12"/>
      <c r="Z34" s="549" t="s">
        <v>886</v>
      </c>
      <c r="AA34" s="545" t="str">
        <f>'IRR &amp; FS'!Z196</f>
        <v>투자전</v>
      </c>
      <c r="AB34" s="546"/>
      <c r="AC34" s="547" t="str">
        <f>'IRR &amp; FS'!AB196</f>
        <v>1차 투자후 (전환가정)</v>
      </c>
      <c r="AD34" s="548"/>
      <c r="AE34" s="547" t="str">
        <f>'IRR &amp; FS'!AD196</f>
        <v>2차 투자후 (전환가정)</v>
      </c>
      <c r="AF34" s="547"/>
      <c r="AH34" s="22" t="s">
        <v>1481</v>
      </c>
    </row>
    <row r="35" spans="1:47" ht="11.4" thickBot="1">
      <c r="B35" s="17"/>
      <c r="D35" s="8" t="s">
        <v>1068</v>
      </c>
      <c r="E35" s="68">
        <f>IF(E27&gt;=90, E27*4%, 0)</f>
        <v>5.6000000000000005</v>
      </c>
      <c r="F35" s="9">
        <v>10000</v>
      </c>
      <c r="G35" s="9">
        <f>IFERROR(E35*100000000/F35, )</f>
        <v>56000</v>
      </c>
      <c r="H35" s="65"/>
      <c r="I35" s="65"/>
      <c r="J35" s="64"/>
      <c r="K35" s="64"/>
      <c r="L35" s="64"/>
      <c r="M35" s="10"/>
      <c r="N35" s="11"/>
      <c r="O35" s="10"/>
      <c r="P35" s="22" t="str">
        <f>FS!B30</f>
        <v>유동자산</v>
      </c>
      <c r="Q35" s="22"/>
      <c r="R35" s="22"/>
      <c r="S35" s="22"/>
      <c r="T35" s="22">
        <f>(FS!J30)/100</f>
        <v>195.2115021022276</v>
      </c>
      <c r="U35" s="22">
        <f>(FS!K30)/100</f>
        <v>515.17869404673741</v>
      </c>
      <c r="V35" s="22">
        <f>(FS!L30)/100</f>
        <v>1278.1890549096058</v>
      </c>
      <c r="W35" s="22">
        <f>(FS!M30)/100</f>
        <v>2760.7377712447615</v>
      </c>
      <c r="X35" s="22">
        <f>(FS!N30)/100</f>
        <v>4350.5080565152366</v>
      </c>
      <c r="Y35" s="12"/>
      <c r="Z35" s="550"/>
      <c r="AA35" s="51" t="s">
        <v>888</v>
      </c>
      <c r="AB35" s="52" t="s">
        <v>889</v>
      </c>
      <c r="AC35" s="51" t="s">
        <v>983</v>
      </c>
      <c r="AD35" s="52" t="s">
        <v>984</v>
      </c>
      <c r="AE35" s="51" t="s">
        <v>888</v>
      </c>
      <c r="AF35" s="51" t="s">
        <v>889</v>
      </c>
      <c r="AH35" s="149"/>
      <c r="AI35" s="149" t="s">
        <v>1071</v>
      </c>
      <c r="AJ35" s="149" t="s">
        <v>1070</v>
      </c>
    </row>
    <row r="36" spans="1:47" ht="11.4" thickBot="1">
      <c r="B36" s="17"/>
      <c r="D36" s="35" t="s">
        <v>1019</v>
      </c>
      <c r="E36" s="69">
        <f>SUM(E32:E35)</f>
        <v>38.1</v>
      </c>
      <c r="F36" s="63"/>
      <c r="G36" s="63">
        <f>SUM(G32:G35)</f>
        <v>147000</v>
      </c>
      <c r="H36" s="63"/>
      <c r="I36" s="63"/>
      <c r="J36" s="63"/>
      <c r="K36" s="63"/>
      <c r="L36" s="63"/>
      <c r="M36" s="10"/>
      <c r="N36" s="11"/>
      <c r="O36" s="10"/>
      <c r="P36" s="24">
        <f>FS!B31</f>
        <v>0</v>
      </c>
      <c r="Q36" s="24" t="str">
        <f>FS!C31</f>
        <v>현금및현금성자산</v>
      </c>
      <c r="T36" s="24">
        <f>(FS!J31)/100</f>
        <v>195.2115021022276</v>
      </c>
      <c r="U36" s="24">
        <f>(FS!K31)/100</f>
        <v>515.17869404673741</v>
      </c>
      <c r="V36" s="24">
        <f>(FS!L31)/100</f>
        <v>1278.1890549096058</v>
      </c>
      <c r="W36" s="24">
        <f>(FS!M31)/100</f>
        <v>2760.7377712447615</v>
      </c>
      <c r="X36" s="24">
        <f>(FS!N31)/100</f>
        <v>4350.5080565152366</v>
      </c>
      <c r="Y36" s="12"/>
      <c r="Z36" s="147" t="str">
        <f>'IRR &amp; FS'!Y198</f>
        <v>G</v>
      </c>
      <c r="AA36" s="24">
        <f>'IRR &amp; FS'!Z198</f>
        <v>213535</v>
      </c>
      <c r="AB36" s="53">
        <f>'IRR &amp; FS'!AA198</f>
        <v>0.36402147971360382</v>
      </c>
      <c r="AC36" s="24">
        <f>'IRR &amp; FS'!AB198</f>
        <v>213535</v>
      </c>
      <c r="AD36" s="53">
        <f>'IRR &amp; FS'!AC198</f>
        <v>0.20209634677266705</v>
      </c>
      <c r="AE36" s="24">
        <f>'IRR &amp; FS'!AD198</f>
        <v>213535</v>
      </c>
      <c r="AF36" s="27">
        <f>'IRR &amp; FS'!AE198</f>
        <v>0.16766253140703519</v>
      </c>
      <c r="AH36" s="22" t="s">
        <v>1066</v>
      </c>
      <c r="AI36" s="55">
        <f>SUM(AD36:AD39)</f>
        <v>0.55517698277493843</v>
      </c>
      <c r="AJ36" s="55">
        <f>SUM(AF36:AF39)</f>
        <v>0.46058417085427139</v>
      </c>
    </row>
    <row r="37" spans="1:47">
      <c r="B37" s="17"/>
      <c r="M37" s="10"/>
      <c r="N37" s="11"/>
      <c r="O37" s="10"/>
      <c r="P37" s="22" t="str">
        <f>FS!B34</f>
        <v>비유동자산</v>
      </c>
      <c r="Q37" s="22"/>
      <c r="R37" s="22"/>
      <c r="S37" s="22"/>
      <c r="T37" s="22">
        <f>(FS!J34)/100</f>
        <v>158.04300000000001</v>
      </c>
      <c r="U37" s="22">
        <f>(FS!K34)/100</f>
        <v>227.834</v>
      </c>
      <c r="V37" s="22">
        <f>(FS!L34)/100</f>
        <v>295.82499999999999</v>
      </c>
      <c r="W37" s="22">
        <f>(FS!M34)/100</f>
        <v>365.21499999999997</v>
      </c>
      <c r="X37" s="22">
        <f>(FS!N34)/100</f>
        <v>396.815</v>
      </c>
      <c r="Y37" s="12"/>
      <c r="Z37" s="147" t="str">
        <f>'IRR &amp; FS'!Y199</f>
        <v>J 외 1인</v>
      </c>
      <c r="AA37" s="24">
        <f>'IRR &amp; FS'!Z199</f>
        <v>192715</v>
      </c>
      <c r="AB37" s="53">
        <f>'IRR &amp; FS'!AA199</f>
        <v>0.32852881009205592</v>
      </c>
      <c r="AC37" s="24">
        <f>'IRR &amp; FS'!AB199</f>
        <v>192715</v>
      </c>
      <c r="AD37" s="53">
        <f>'IRR &amp; FS'!AC199</f>
        <v>0.18239163354154836</v>
      </c>
      <c r="AE37" s="24">
        <f>'IRR &amp; FS'!AD199</f>
        <v>192715</v>
      </c>
      <c r="AF37" s="27">
        <f>'IRR &amp; FS'!AE199</f>
        <v>0.15131516959798996</v>
      </c>
      <c r="AG37" s="22"/>
      <c r="AH37" s="22" t="s">
        <v>1485</v>
      </c>
      <c r="AI37" s="55">
        <f>AD40</f>
        <v>6.6250236607987886E-2</v>
      </c>
      <c r="AJ37" s="55">
        <f>AF40</f>
        <v>0.11542085427135679</v>
      </c>
    </row>
    <row r="38" spans="1:47" ht="11.4" thickBot="1">
      <c r="B38" s="17"/>
      <c r="C38" s="62" t="s">
        <v>1036</v>
      </c>
      <c r="F38" s="71">
        <v>1</v>
      </c>
      <c r="M38" s="10"/>
      <c r="N38" s="11"/>
      <c r="O38" s="10"/>
      <c r="P38" s="24">
        <f>FS!B35</f>
        <v>0</v>
      </c>
      <c r="Q38" s="24" t="str">
        <f>FS!C35</f>
        <v>보증금</v>
      </c>
      <c r="T38" s="24">
        <f>(FS!J35)/100</f>
        <v>60.98299999999999</v>
      </c>
      <c r="U38" s="24">
        <f>(FS!K35)/100</f>
        <v>91.573999999999998</v>
      </c>
      <c r="V38" s="24">
        <f>(FS!L35)/100</f>
        <v>122.16500000000001</v>
      </c>
      <c r="W38" s="24">
        <f>(FS!M35)/100</f>
        <v>156.155</v>
      </c>
      <c r="X38" s="24">
        <f>(FS!N35)/100</f>
        <v>156.155</v>
      </c>
      <c r="Y38" s="12"/>
      <c r="Z38" s="147" t="str">
        <f>'IRR &amp; FS'!Y200</f>
        <v>L</v>
      </c>
      <c r="AA38" s="24">
        <f>'IRR &amp; FS'!Z200</f>
        <v>70350</v>
      </c>
      <c r="AB38" s="53">
        <f>'IRR &amp; FS'!AA200</f>
        <v>0.11992840095465394</v>
      </c>
      <c r="AC38" s="24">
        <f>'IRR &amp; FS'!AB200</f>
        <v>70350</v>
      </c>
      <c r="AD38" s="53">
        <f>'IRR &amp; FS'!AC200</f>
        <v>6.6581487791027821E-2</v>
      </c>
      <c r="AE38" s="24">
        <f>'IRR &amp; FS'!AD200</f>
        <v>70350</v>
      </c>
      <c r="AF38" s="27">
        <f>'IRR &amp; FS'!AE200</f>
        <v>5.5237123115577887E-2</v>
      </c>
      <c r="AH38" s="31" t="s">
        <v>1065</v>
      </c>
      <c r="AI38" s="150">
        <f>SUM(AD41:AD42)</f>
        <v>0.37857278061707361</v>
      </c>
      <c r="AJ38" s="150">
        <f>SUM(AF41:AF42)</f>
        <v>0.42399497487437188</v>
      </c>
      <c r="AK38" s="22"/>
      <c r="AL38" s="22"/>
    </row>
    <row r="39" spans="1:47">
      <c r="B39" s="17"/>
      <c r="M39" s="10"/>
      <c r="N39" s="11"/>
      <c r="O39" s="10"/>
      <c r="P39" s="24">
        <f>FS!B38</f>
        <v>0</v>
      </c>
      <c r="Q39" s="24" t="str">
        <f>FS!C38</f>
        <v>유형자산</v>
      </c>
      <c r="T39" s="24">
        <f>(FS!J38)/100</f>
        <v>13.6</v>
      </c>
      <c r="U39" s="24">
        <f>(FS!K38)/100</f>
        <v>15</v>
      </c>
      <c r="V39" s="24">
        <f>(FS!L38)/100</f>
        <v>13.6</v>
      </c>
      <c r="W39" s="24">
        <f>(FS!M38)/100</f>
        <v>12.2</v>
      </c>
      <c r="X39" s="24">
        <f>(FS!N38)/100</f>
        <v>12</v>
      </c>
      <c r="Y39" s="12"/>
      <c r="Z39" s="147" t="str">
        <f>'IRR &amp; FS'!Y201</f>
        <v>K(1)</v>
      </c>
      <c r="AA39" s="24">
        <f>'IRR &amp; FS'!Z201</f>
        <v>110000</v>
      </c>
      <c r="AB39" s="53">
        <f>'IRR &amp; FS'!AA201</f>
        <v>0.18752130923968632</v>
      </c>
      <c r="AC39" s="24">
        <f>'IRR &amp; FS'!AB201</f>
        <v>110000</v>
      </c>
      <c r="AD39" s="53">
        <f>'IRR &amp; FS'!AC201</f>
        <v>0.10410751466969526</v>
      </c>
      <c r="AE39" s="24">
        <f>'IRR &amp; FS'!AD201</f>
        <v>110000</v>
      </c>
      <c r="AF39" s="27">
        <f>'IRR &amp; FS'!AE201</f>
        <v>8.6369346733668348E-2</v>
      </c>
      <c r="AK39" s="22"/>
      <c r="AL39" s="22"/>
    </row>
    <row r="40" spans="1:47" ht="11.4" thickBot="1">
      <c r="B40" s="17"/>
      <c r="D40" s="50" t="s">
        <v>845</v>
      </c>
      <c r="E40" s="50"/>
      <c r="F40" s="37"/>
      <c r="M40" s="10"/>
      <c r="N40" s="11"/>
      <c r="O40" s="10"/>
      <c r="P40" s="24">
        <f>FS!B41</f>
        <v>0</v>
      </c>
      <c r="Q40" s="24" t="str">
        <f>FS!C41</f>
        <v>무형자산</v>
      </c>
      <c r="T40" s="24">
        <f>(FS!J41)/100</f>
        <v>24.8</v>
      </c>
      <c r="U40" s="24">
        <f>(FS!K41)/100</f>
        <v>62.6</v>
      </c>
      <c r="V40" s="24">
        <f>(FS!L41)/100</f>
        <v>101.4</v>
      </c>
      <c r="W40" s="24">
        <f>(FS!M41)/100</f>
        <v>138.19999999999999</v>
      </c>
      <c r="X40" s="24">
        <f>(FS!N41)/100</f>
        <v>170</v>
      </c>
      <c r="Y40" s="12"/>
      <c r="Z40" s="147" t="str">
        <f>D31</f>
        <v>A</v>
      </c>
      <c r="AA40" s="24">
        <f>'IRR &amp; FS'!Z202</f>
        <v>0</v>
      </c>
      <c r="AB40" s="53">
        <f>'IRR &amp; FS'!AA202</f>
        <v>0</v>
      </c>
      <c r="AC40" s="24">
        <f>'IRR &amp; FS'!AB202</f>
        <v>70000</v>
      </c>
      <c r="AD40" s="53">
        <f>'IRR &amp; FS'!AC202</f>
        <v>6.6250236607987886E-2</v>
      </c>
      <c r="AE40" s="24">
        <f>'IRR &amp; FS'!AD202</f>
        <v>147000</v>
      </c>
      <c r="AF40" s="27">
        <f>'IRR &amp; FS'!AE202</f>
        <v>0.11542085427135679</v>
      </c>
      <c r="AK40" s="22"/>
      <c r="AL40" s="22"/>
    </row>
    <row r="41" spans="1:47">
      <c r="B41" s="17"/>
      <c r="D41" s="24" t="s">
        <v>846</v>
      </c>
      <c r="F41" s="72">
        <f>'IRR &amp; FS'!O9</f>
        <v>0</v>
      </c>
      <c r="M41" s="10"/>
      <c r="N41" s="11"/>
      <c r="O41" s="10"/>
      <c r="P41" s="29" t="str">
        <f>FS!B44</f>
        <v>총자산</v>
      </c>
      <c r="Q41" s="29"/>
      <c r="R41" s="29"/>
      <c r="S41" s="29"/>
      <c r="T41" s="29">
        <f>(FS!J44)/100</f>
        <v>353.25450210222755</v>
      </c>
      <c r="U41" s="29">
        <f>(FS!K44)/100</f>
        <v>743.01269404673747</v>
      </c>
      <c r="V41" s="29">
        <f>(FS!L44)/100</f>
        <v>1574.0140549096059</v>
      </c>
      <c r="W41" s="29">
        <f>(FS!M44)/100</f>
        <v>3125.9527712447616</v>
      </c>
      <c r="X41" s="29">
        <f>(FS!N44)/100</f>
        <v>4747.3230565152371</v>
      </c>
      <c r="Y41" s="12"/>
      <c r="Z41" s="147" t="str">
        <f>'IRR &amp; FS'!Y203</f>
        <v>1차투자</v>
      </c>
      <c r="AA41" s="24">
        <f>'IRR &amp; FS'!Z203</f>
        <v>0</v>
      </c>
      <c r="AB41" s="142">
        <f>'IRR &amp; FS'!AA203</f>
        <v>0</v>
      </c>
      <c r="AC41" s="24">
        <f>'IRR &amp; FS'!AB203</f>
        <v>400000</v>
      </c>
      <c r="AD41" s="53">
        <f>'IRR &amp; FS'!AC203</f>
        <v>0.37857278061707361</v>
      </c>
      <c r="AE41" s="24">
        <f>'IRR &amp; FS'!AD203</f>
        <v>400000</v>
      </c>
      <c r="AF41" s="27">
        <f>'IRR &amp; FS'!AE203</f>
        <v>0.314070351758794</v>
      </c>
      <c r="AI41" s="24">
        <f>SUM(AA36:AA39)*30%</f>
        <v>175980</v>
      </c>
    </row>
    <row r="42" spans="1:47" s="32" customFormat="1">
      <c r="A42" s="24"/>
      <c r="B42" s="17"/>
      <c r="C42" s="24"/>
      <c r="D42" s="24" t="s">
        <v>847</v>
      </c>
      <c r="E42" s="24"/>
      <c r="F42" s="73">
        <f>INDEX(F48:H48, $F$38)</f>
        <v>6.0584372536264972</v>
      </c>
      <c r="G42" s="24"/>
      <c r="H42" s="24"/>
      <c r="I42" s="24"/>
      <c r="J42" s="24"/>
      <c r="K42" s="24"/>
      <c r="L42" s="24"/>
      <c r="M42" s="10"/>
      <c r="N42" s="11"/>
      <c r="O42" s="10"/>
      <c r="P42" s="22" t="str">
        <f>FS!B46</f>
        <v>유동부채</v>
      </c>
      <c r="Q42" s="22"/>
      <c r="R42" s="22"/>
      <c r="S42" s="22"/>
      <c r="T42" s="22">
        <f>(FS!J46)/100</f>
        <v>0</v>
      </c>
      <c r="U42" s="22">
        <f>(FS!K46)/100</f>
        <v>0</v>
      </c>
      <c r="V42" s="22">
        <f>(FS!L46)/100</f>
        <v>0</v>
      </c>
      <c r="W42" s="22">
        <f>(FS!M46)/100</f>
        <v>0</v>
      </c>
      <c r="X42" s="22">
        <f>(FS!N46)/100</f>
        <v>0</v>
      </c>
      <c r="Y42" s="12"/>
      <c r="Z42" s="147" t="str">
        <f>'IRR &amp; FS'!Y204</f>
        <v>2차투자</v>
      </c>
      <c r="AA42" s="24">
        <f>'IRR &amp; FS'!Z204</f>
        <v>0</v>
      </c>
      <c r="AB42" s="142">
        <f>'IRR &amp; FS'!AA204</f>
        <v>0</v>
      </c>
      <c r="AC42" s="24">
        <f>'IRR &amp; FS'!AB204</f>
        <v>0</v>
      </c>
      <c r="AD42" s="142">
        <f>'IRR &amp; FS'!AC204</f>
        <v>0</v>
      </c>
      <c r="AE42" s="24">
        <f>'IRR &amp; FS'!AD204</f>
        <v>140000</v>
      </c>
      <c r="AF42" s="27">
        <f>'IRR &amp; FS'!AE204</f>
        <v>0.10992462311557789</v>
      </c>
      <c r="AG42" s="24"/>
      <c r="AH42" s="24"/>
      <c r="AI42" s="24"/>
      <c r="AJ42" s="24"/>
      <c r="AK42" s="24"/>
      <c r="AL42" s="24"/>
      <c r="AM42" s="24"/>
      <c r="AN42" s="143"/>
      <c r="AO42" s="24"/>
      <c r="AP42" s="24"/>
      <c r="AQ42" s="24"/>
      <c r="AR42" s="24"/>
      <c r="AS42" s="24"/>
      <c r="AT42" s="24"/>
      <c r="AU42" s="24"/>
    </row>
    <row r="43" spans="1:47" ht="11.4" thickBot="1">
      <c r="B43" s="17"/>
      <c r="D43" s="24" t="s">
        <v>926</v>
      </c>
      <c r="F43" s="75">
        <f>'IRR &amp; FS'!O11</f>
        <v>0</v>
      </c>
      <c r="M43" s="10"/>
      <c r="N43" s="11"/>
      <c r="O43" s="10"/>
      <c r="P43" s="22" t="str">
        <f>FS!B50</f>
        <v>비유동부채</v>
      </c>
      <c r="Q43" s="22"/>
      <c r="R43" s="22"/>
      <c r="S43" s="22"/>
      <c r="T43" s="22">
        <f>(FS!J50)/100</f>
        <v>100</v>
      </c>
      <c r="U43" s="22">
        <f>(FS!K50)/100</f>
        <v>240</v>
      </c>
      <c r="V43" s="22">
        <f>(FS!L50)/100</f>
        <v>240</v>
      </c>
      <c r="W43" s="22">
        <f>(FS!M50)/100</f>
        <v>0</v>
      </c>
      <c r="X43" s="22">
        <f>(FS!N50)/100</f>
        <v>0</v>
      </c>
      <c r="Y43" s="12"/>
      <c r="Z43" s="148" t="str">
        <f>'IRR &amp; FS'!Y205</f>
        <v>Total</v>
      </c>
      <c r="AA43" s="28">
        <f>'IRR &amp; FS'!Z205</f>
        <v>586600</v>
      </c>
      <c r="AB43" s="56">
        <f>'IRR &amp; FS'!AA205</f>
        <v>1</v>
      </c>
      <c r="AC43" s="28">
        <f>'IRR &amp; FS'!AB205</f>
        <v>1056600</v>
      </c>
      <c r="AD43" s="56">
        <f>'IRR &amp; FS'!AC205</f>
        <v>1</v>
      </c>
      <c r="AE43" s="28">
        <f>'IRR &amp; FS'!AD205</f>
        <v>1273600</v>
      </c>
      <c r="AF43" s="57">
        <f>'IRR &amp; FS'!AE205</f>
        <v>1</v>
      </c>
    </row>
    <row r="44" spans="1:47">
      <c r="B44" s="17"/>
      <c r="D44" s="24" t="s">
        <v>921</v>
      </c>
      <c r="F44" s="73">
        <f>INDEX(F49:H49, $F$38)</f>
        <v>11.386864999999998</v>
      </c>
      <c r="J44" s="137"/>
      <c r="M44" s="10"/>
      <c r="N44" s="11"/>
      <c r="O44" s="10"/>
      <c r="P44" s="29" t="str">
        <f>FS!B53</f>
        <v>총부채</v>
      </c>
      <c r="Q44" s="30"/>
      <c r="R44" s="30"/>
      <c r="S44" s="30"/>
      <c r="T44" s="30">
        <f>(FS!J53)/100</f>
        <v>100</v>
      </c>
      <c r="U44" s="30">
        <f>(FS!K53)/100</f>
        <v>240</v>
      </c>
      <c r="V44" s="30">
        <f>(FS!L53)/100</f>
        <v>240</v>
      </c>
      <c r="W44" s="30">
        <f>(FS!M53)/100</f>
        <v>0</v>
      </c>
      <c r="X44" s="30">
        <f>(FS!N53)/100</f>
        <v>0</v>
      </c>
      <c r="Y44" s="12"/>
      <c r="Z44" s="147"/>
      <c r="AS44" s="58"/>
      <c r="AT44" s="58"/>
      <c r="AU44" s="58"/>
    </row>
    <row r="45" spans="1:47" ht="12" customHeight="1">
      <c r="B45" s="17"/>
      <c r="M45" s="10"/>
      <c r="N45" s="11"/>
      <c r="O45" s="10"/>
      <c r="P45" s="22" t="str">
        <f>FS!B56</f>
        <v>자본</v>
      </c>
      <c r="Q45" s="22"/>
      <c r="R45" s="22"/>
      <c r="S45" s="22"/>
      <c r="T45" s="22">
        <f>(FS!J56)/100</f>
        <v>253.2545021022276</v>
      </c>
      <c r="U45" s="22">
        <f>(FS!K56)/100</f>
        <v>503.01269404673747</v>
      </c>
      <c r="V45" s="22">
        <f>(FS!L56)/100</f>
        <v>1334.0140549096059</v>
      </c>
      <c r="W45" s="22">
        <f>(FS!M56)/100</f>
        <v>3125.9527712447616</v>
      </c>
      <c r="X45" s="22">
        <f>(FS!N56)/100</f>
        <v>4747.3230565152371</v>
      </c>
      <c r="Y45" s="12"/>
      <c r="Z45" s="549" t="s">
        <v>886</v>
      </c>
      <c r="AA45" s="554" t="s">
        <v>1012</v>
      </c>
      <c r="AB45" s="555"/>
      <c r="AC45" s="551" t="str">
        <f>T5</f>
        <v>FY1</v>
      </c>
      <c r="AD45" s="553"/>
      <c r="AE45" s="551" t="str">
        <f>U5</f>
        <v>FY2</v>
      </c>
      <c r="AF45" s="553">
        <f>'IRR &amp; FS'!Q196</f>
        <v>0</v>
      </c>
      <c r="AG45" s="551" t="str">
        <f>V5</f>
        <v>FY3</v>
      </c>
      <c r="AH45" s="553">
        <f>'IRR &amp; FS'!S196</f>
        <v>0</v>
      </c>
      <c r="AI45" s="551" t="str">
        <f>W5</f>
        <v>FY4</v>
      </c>
      <c r="AJ45" s="553">
        <f>'IRR &amp; FS'!U196</f>
        <v>0</v>
      </c>
      <c r="AK45" s="551" t="str">
        <f>X5</f>
        <v>FY5</v>
      </c>
      <c r="AL45" s="552">
        <f>'IRR &amp; FS'!W196</f>
        <v>0</v>
      </c>
      <c r="AQ45" s="58"/>
      <c r="AR45" s="58"/>
      <c r="AS45" s="55"/>
      <c r="AT45" s="55"/>
      <c r="AU45" s="55"/>
    </row>
    <row r="46" spans="1:47" ht="11.4" thickBot="1">
      <c r="B46" s="17"/>
      <c r="D46" s="50" t="s">
        <v>996</v>
      </c>
      <c r="E46" s="50"/>
      <c r="F46" s="50"/>
      <c r="G46" s="50"/>
      <c r="H46" s="50"/>
      <c r="M46" s="10"/>
      <c r="N46" s="11"/>
      <c r="O46" s="10"/>
      <c r="P46" s="24">
        <f>FS!B57</f>
        <v>0</v>
      </c>
      <c r="Q46" s="24" t="str">
        <f>FS!C57</f>
        <v>자본금</v>
      </c>
      <c r="T46" s="24">
        <f>(FS!J57)/100</f>
        <v>138.66</v>
      </c>
      <c r="U46" s="24">
        <f>(FS!K57)/100</f>
        <v>138.66</v>
      </c>
      <c r="V46" s="24">
        <f>(FS!L57)/100</f>
        <v>138.66</v>
      </c>
      <c r="W46" s="24">
        <f>(FS!M57)/100</f>
        <v>378.66</v>
      </c>
      <c r="X46" s="24">
        <f>(FS!N57)/100</f>
        <v>378.66</v>
      </c>
      <c r="Y46" s="12"/>
      <c r="Z46" s="550"/>
      <c r="AA46" s="51" t="str">
        <f>'IRR &amp; FS'!L197</f>
        <v>shares</v>
      </c>
      <c r="AB46" s="52" t="str">
        <f>'IRR &amp; FS'!M197</f>
        <v>% shares</v>
      </c>
      <c r="AC46" s="51" t="str">
        <f>'IRR &amp; FS'!N197</f>
        <v>shares</v>
      </c>
      <c r="AD46" s="52" t="str">
        <f>'IRR &amp; FS'!O197</f>
        <v>% shares</v>
      </c>
      <c r="AE46" s="51" t="str">
        <f>'IRR &amp; FS'!P197</f>
        <v>shares</v>
      </c>
      <c r="AF46" s="52" t="str">
        <f>'IRR &amp; FS'!Q197</f>
        <v>% shares</v>
      </c>
      <c r="AG46" s="51" t="str">
        <f>'IRR &amp; FS'!R197</f>
        <v>shares</v>
      </c>
      <c r="AH46" s="52" t="str">
        <f>'IRR &amp; FS'!S197</f>
        <v>% shares</v>
      </c>
      <c r="AI46" s="51" t="str">
        <f>'IRR &amp; FS'!T197</f>
        <v>shares</v>
      </c>
      <c r="AJ46" s="52" t="str">
        <f>'IRR &amp; FS'!U197</f>
        <v>% shares</v>
      </c>
      <c r="AK46" s="51" t="str">
        <f>'IRR &amp; FS'!V197</f>
        <v>shares</v>
      </c>
      <c r="AL46" s="51" t="str">
        <f>'IRR &amp; FS'!W197</f>
        <v>% shares</v>
      </c>
      <c r="AQ46" s="55"/>
      <c r="AR46" s="55"/>
    </row>
    <row r="47" spans="1:47">
      <c r="B47" s="17"/>
      <c r="F47" s="24" t="s">
        <v>1286</v>
      </c>
      <c r="G47" s="76" t="s">
        <v>1287</v>
      </c>
      <c r="H47" s="297" t="s">
        <v>1288</v>
      </c>
      <c r="M47" s="10"/>
      <c r="N47" s="11"/>
      <c r="O47" s="10"/>
      <c r="P47" s="24">
        <f>FS!B58</f>
        <v>0</v>
      </c>
      <c r="Q47" s="24" t="str">
        <f>FS!C58</f>
        <v>이익잉여금</v>
      </c>
      <c r="T47" s="24">
        <f>(FS!J58)/100</f>
        <v>114.59450210222759</v>
      </c>
      <c r="U47" s="24">
        <f>(FS!K58)/100</f>
        <v>364.35269404673744</v>
      </c>
      <c r="V47" s="24">
        <f>(FS!L58)/100</f>
        <v>1195.3540549096056</v>
      </c>
      <c r="W47" s="24">
        <f>(FS!M58)/100</f>
        <v>2747.2927712447618</v>
      </c>
      <c r="X47" s="24">
        <f>(FS!N58)/100</f>
        <v>4368.6630565152373</v>
      </c>
      <c r="Y47" s="12"/>
      <c r="Z47" s="147" t="str">
        <f>'IRR &amp; FS'!B198</f>
        <v>G</v>
      </c>
      <c r="AA47" s="24">
        <f>'IRR &amp; FS'!L198</f>
        <v>213535</v>
      </c>
      <c r="AB47" s="53">
        <f>'IRR &amp; FS'!M198</f>
        <v>0.36402147971360382</v>
      </c>
      <c r="AC47" s="24">
        <f>'IRR &amp; FS'!N198</f>
        <v>213535</v>
      </c>
      <c r="AD47" s="53">
        <f>'IRR &amp; FS'!O198</f>
        <v>0.3252132196162047</v>
      </c>
      <c r="AE47" s="24">
        <f>'IRR &amp; FS'!P198</f>
        <v>213535</v>
      </c>
      <c r="AF47" s="53">
        <f>'IRR &amp; FS'!Q198</f>
        <v>0.29107824427480916</v>
      </c>
      <c r="AG47" s="24">
        <f>'IRR &amp; FS'!R198</f>
        <v>213535</v>
      </c>
      <c r="AH47" s="53">
        <f>'IRR &amp; FS'!S198</f>
        <v>0.29107824427480916</v>
      </c>
      <c r="AI47" s="24">
        <f>'IRR &amp; FS'!T198</f>
        <v>213535</v>
      </c>
      <c r="AJ47" s="53">
        <f>'IRR &amp; FS'!U198</f>
        <v>0.29107824427480916</v>
      </c>
      <c r="AK47" s="24">
        <f>'IRR &amp; FS'!V198</f>
        <v>213535</v>
      </c>
      <c r="AL47" s="27">
        <f>'IRR &amp; FS'!W198</f>
        <v>0.16766253140703519</v>
      </c>
      <c r="AO47" s="58"/>
      <c r="AP47" s="55"/>
    </row>
    <row r="48" spans="1:47" s="22" customFormat="1" ht="11.4" thickBot="1">
      <c r="A48" s="24"/>
      <c r="B48" s="17"/>
      <c r="C48" s="24"/>
      <c r="D48" s="24" t="s">
        <v>847</v>
      </c>
      <c r="E48" s="24"/>
      <c r="F48" s="320">
        <f>'Trading multiple'!U9</f>
        <v>6.0584372536264972</v>
      </c>
      <c r="G48" s="320">
        <f>'Trading multiple'!U10</f>
        <v>6.1363043236135644</v>
      </c>
      <c r="H48" s="320">
        <f>'Transaction multiple'!M36</f>
        <v>9.33</v>
      </c>
      <c r="I48" s="24"/>
      <c r="J48" s="24"/>
      <c r="K48" s="24"/>
      <c r="L48" s="24"/>
      <c r="M48" s="10"/>
      <c r="N48" s="11"/>
      <c r="O48" s="10"/>
      <c r="P48" s="31" t="str">
        <f>FS!B60</f>
        <v>총부채와자본</v>
      </c>
      <c r="Q48" s="31"/>
      <c r="R48" s="31"/>
      <c r="S48" s="31"/>
      <c r="T48" s="31">
        <f>(FS!J60)/100</f>
        <v>353.25450210222755</v>
      </c>
      <c r="U48" s="31">
        <f>(FS!K60)/100</f>
        <v>743.01269404673747</v>
      </c>
      <c r="V48" s="31">
        <f>(FS!L60)/100</f>
        <v>1574.0140549096059</v>
      </c>
      <c r="W48" s="31">
        <f>(FS!M60)/100</f>
        <v>3125.9527712447616</v>
      </c>
      <c r="X48" s="31">
        <f>(FS!N60)/100</f>
        <v>4747.3230565152371</v>
      </c>
      <c r="Y48" s="12"/>
      <c r="Z48" s="147" t="str">
        <f>'IRR &amp; FS'!B199</f>
        <v>J 외 1인</v>
      </c>
      <c r="AA48" s="24">
        <f>'IRR &amp; FS'!L199</f>
        <v>192715</v>
      </c>
      <c r="AB48" s="53">
        <f>'IRR &amp; FS'!M199</f>
        <v>0.32852881009205592</v>
      </c>
      <c r="AC48" s="24">
        <f>'IRR &amp; FS'!N199</f>
        <v>192715</v>
      </c>
      <c r="AD48" s="53">
        <f>'IRR &amp; FS'!O199</f>
        <v>0.29350441669204996</v>
      </c>
      <c r="AE48" s="24">
        <f>'IRR &amp; FS'!P199</f>
        <v>192715</v>
      </c>
      <c r="AF48" s="53">
        <f>'IRR &amp; FS'!Q199</f>
        <v>0.26269765539803708</v>
      </c>
      <c r="AG48" s="24">
        <f>'IRR &amp; FS'!R199</f>
        <v>192715</v>
      </c>
      <c r="AH48" s="53">
        <f>'IRR &amp; FS'!S199</f>
        <v>0.26269765539803708</v>
      </c>
      <c r="AI48" s="24">
        <f>'IRR &amp; FS'!T199</f>
        <v>192715</v>
      </c>
      <c r="AJ48" s="53">
        <f>'IRR &amp; FS'!U199</f>
        <v>0.26269765539803708</v>
      </c>
      <c r="AK48" s="24">
        <f>'IRR &amp; FS'!V199</f>
        <v>192715</v>
      </c>
      <c r="AL48" s="27">
        <f>'IRR &amp; FS'!W199</f>
        <v>0.15131516959798996</v>
      </c>
      <c r="AM48" s="24"/>
      <c r="AN48" s="143"/>
      <c r="AO48" s="58"/>
      <c r="AP48" s="55"/>
      <c r="AQ48" s="24"/>
      <c r="AR48" s="24"/>
      <c r="AS48" s="24"/>
      <c r="AT48" s="24"/>
      <c r="AU48" s="24"/>
    </row>
    <row r="49" spans="1:47" s="22" customFormat="1">
      <c r="A49" s="24"/>
      <c r="B49" s="17"/>
      <c r="C49" s="17"/>
      <c r="D49" s="24" t="s">
        <v>921</v>
      </c>
      <c r="E49" s="24"/>
      <c r="F49" s="320">
        <f>'Trading multiple'!W9</f>
        <v>11.386864999999998</v>
      </c>
      <c r="G49" s="320">
        <f>'Trading multiple'!W10</f>
        <v>8.7628400000000006</v>
      </c>
      <c r="H49" s="320"/>
      <c r="I49" s="24"/>
      <c r="J49" s="9"/>
      <c r="K49" s="24"/>
      <c r="L49" s="24"/>
      <c r="M49" s="10"/>
      <c r="N49" s="11"/>
      <c r="O49" s="10"/>
      <c r="P49" s="24"/>
      <c r="Q49" s="24"/>
      <c r="R49" s="24"/>
      <c r="S49" s="24"/>
      <c r="T49" s="24"/>
      <c r="U49" s="24"/>
      <c r="V49" s="24"/>
      <c r="W49" s="24"/>
      <c r="X49" s="24"/>
      <c r="Y49" s="12"/>
      <c r="Z49" s="147" t="str">
        <f>'IRR &amp; FS'!B200</f>
        <v>L</v>
      </c>
      <c r="AA49" s="24">
        <f>'IRR &amp; FS'!L200</f>
        <v>70350</v>
      </c>
      <c r="AB49" s="53">
        <f>'IRR &amp; FS'!M200</f>
        <v>0.11992840095465394</v>
      </c>
      <c r="AC49" s="24">
        <f>'IRR &amp; FS'!N200</f>
        <v>70350</v>
      </c>
      <c r="AD49" s="53">
        <f>'IRR &amp; FS'!O200</f>
        <v>0.10714285714285714</v>
      </c>
      <c r="AE49" s="24">
        <f>'IRR &amp; FS'!P200</f>
        <v>70350</v>
      </c>
      <c r="AF49" s="53">
        <f>'IRR &amp; FS'!Q200</f>
        <v>9.5896946564885496E-2</v>
      </c>
      <c r="AG49" s="24">
        <f>'IRR &amp; FS'!R200</f>
        <v>70350</v>
      </c>
      <c r="AH49" s="53">
        <f>'IRR &amp; FS'!S200</f>
        <v>9.5896946564885496E-2</v>
      </c>
      <c r="AI49" s="24">
        <f>'IRR &amp; FS'!T200</f>
        <v>70350</v>
      </c>
      <c r="AJ49" s="53">
        <f>'IRR &amp; FS'!U200</f>
        <v>9.5896946564885496E-2</v>
      </c>
      <c r="AK49" s="24">
        <f>'IRR &amp; FS'!V200</f>
        <v>70350</v>
      </c>
      <c r="AL49" s="27">
        <f>'IRR &amp; FS'!W200</f>
        <v>5.5237123115577887E-2</v>
      </c>
      <c r="AM49" s="24"/>
      <c r="AN49" s="143"/>
      <c r="AO49" s="58"/>
      <c r="AP49" s="55"/>
      <c r="AQ49" s="24"/>
      <c r="AR49" s="24"/>
      <c r="AS49" s="24"/>
      <c r="AT49" s="24"/>
      <c r="AU49" s="24"/>
    </row>
    <row r="50" spans="1:47" s="22" customFormat="1">
      <c r="A50" s="24"/>
      <c r="B50" s="17"/>
      <c r="C50" s="17"/>
      <c r="D50" s="24"/>
      <c r="E50" s="24"/>
      <c r="F50" s="121"/>
      <c r="G50" s="121"/>
      <c r="H50" s="121"/>
      <c r="I50" s="24"/>
      <c r="J50" s="24"/>
      <c r="K50" s="24"/>
      <c r="L50" s="24"/>
      <c r="M50" s="10"/>
      <c r="N50" s="11"/>
      <c r="O50" s="10"/>
      <c r="P50" s="19" t="str">
        <f>FS!B64</f>
        <v>Cashflow statement</v>
      </c>
      <c r="Q50" s="19"/>
      <c r="R50" s="19"/>
      <c r="S50" s="19"/>
      <c r="T50" s="19"/>
      <c r="U50" s="19"/>
      <c r="V50" s="19"/>
      <c r="W50" s="19"/>
      <c r="X50" s="19"/>
      <c r="Y50" s="12"/>
      <c r="Z50" s="147" t="str">
        <f>'IRR &amp; FS'!B201</f>
        <v>K(1)</v>
      </c>
      <c r="AA50" s="24">
        <f>'IRR &amp; FS'!L201</f>
        <v>110000</v>
      </c>
      <c r="AB50" s="53">
        <f>'IRR &amp; FS'!M201</f>
        <v>0.18752130923968632</v>
      </c>
      <c r="AC50" s="24">
        <f>'IRR &amp; FS'!N201</f>
        <v>110000</v>
      </c>
      <c r="AD50" s="53">
        <f>'IRR &amp; FS'!O201</f>
        <v>0.16752969844654281</v>
      </c>
      <c r="AE50" s="24">
        <f>'IRR &amp; FS'!P201</f>
        <v>110000</v>
      </c>
      <c r="AF50" s="53">
        <f>'IRR &amp; FS'!Q201</f>
        <v>0.1499454743729553</v>
      </c>
      <c r="AG50" s="24">
        <f>'IRR &amp; FS'!R201</f>
        <v>110000</v>
      </c>
      <c r="AH50" s="53">
        <f>'IRR &amp; FS'!S201</f>
        <v>0.1499454743729553</v>
      </c>
      <c r="AI50" s="24">
        <f>'IRR &amp; FS'!T201</f>
        <v>110000</v>
      </c>
      <c r="AJ50" s="53">
        <f>'IRR &amp; FS'!U201</f>
        <v>0.1499454743729553</v>
      </c>
      <c r="AK50" s="24">
        <f>'IRR &amp; FS'!V201</f>
        <v>110000</v>
      </c>
      <c r="AL50" s="27">
        <f>'IRR &amp; FS'!W201</f>
        <v>8.6369346733668348E-2</v>
      </c>
      <c r="AM50" s="24"/>
      <c r="AN50" s="143"/>
      <c r="AO50" s="58"/>
      <c r="AP50" s="55"/>
      <c r="AQ50" s="24"/>
      <c r="AR50" s="24"/>
      <c r="AS50" s="24"/>
      <c r="AT50" s="24"/>
      <c r="AU50" s="24"/>
    </row>
    <row r="51" spans="1:47">
      <c r="B51" s="17"/>
      <c r="C51" s="62" t="s">
        <v>1053</v>
      </c>
      <c r="F51" s="317">
        <f>WACC!G30</f>
        <v>8.2299999999999998E-2</v>
      </c>
      <c r="M51" s="10"/>
      <c r="N51" s="11"/>
      <c r="O51" s="10"/>
      <c r="Y51" s="12"/>
      <c r="Z51" s="147" t="str">
        <f>D31</f>
        <v>A</v>
      </c>
      <c r="AA51" s="24">
        <f>'IRR &amp; FS'!L202</f>
        <v>0</v>
      </c>
      <c r="AB51" s="53">
        <f>'IRR &amp; FS'!M202</f>
        <v>0</v>
      </c>
      <c r="AC51" s="24">
        <f>'IRR &amp; FS'!N202</f>
        <v>70000</v>
      </c>
      <c r="AD51" s="53">
        <f>'IRR &amp; FS'!O202</f>
        <v>0.10660980810234541</v>
      </c>
      <c r="AE51" s="24">
        <f>'IRR &amp; FS'!P202</f>
        <v>147000</v>
      </c>
      <c r="AF51" s="53">
        <f>'IRR &amp; FS'!Q202</f>
        <v>0.20038167938931298</v>
      </c>
      <c r="AG51" s="24">
        <f>'IRR &amp; FS'!R202</f>
        <v>147000</v>
      </c>
      <c r="AH51" s="53">
        <f>'IRR &amp; FS'!S202</f>
        <v>0.20038167938931298</v>
      </c>
      <c r="AI51" s="24">
        <f>'IRR &amp; FS'!T202</f>
        <v>147000</v>
      </c>
      <c r="AJ51" s="53">
        <f>'IRR &amp; FS'!U202</f>
        <v>0.20038167938931298</v>
      </c>
      <c r="AK51" s="24">
        <f>'IRR &amp; FS'!V202</f>
        <v>147000</v>
      </c>
      <c r="AL51" s="27">
        <f>'IRR &amp; FS'!W202</f>
        <v>0.11542085427135679</v>
      </c>
      <c r="AO51" s="58"/>
      <c r="AP51" s="55"/>
    </row>
    <row r="52" spans="1:47" ht="11.4" thickBot="1">
      <c r="B52" s="17"/>
      <c r="C52" s="62"/>
      <c r="M52" s="10"/>
      <c r="N52" s="11"/>
      <c r="O52" s="10"/>
      <c r="P52" s="20" t="s">
        <v>999</v>
      </c>
      <c r="Q52" s="21"/>
      <c r="R52" s="21"/>
      <c r="S52" s="21"/>
      <c r="T52" s="21" t="str">
        <f>FS!J67</f>
        <v>FY1</v>
      </c>
      <c r="U52" s="21" t="str">
        <f>FS!K67</f>
        <v>FY2</v>
      </c>
      <c r="V52" s="21" t="str">
        <f>FS!L67</f>
        <v>FY3</v>
      </c>
      <c r="W52" s="21" t="str">
        <f>FS!M67</f>
        <v>FY4</v>
      </c>
      <c r="X52" s="21" t="str">
        <f>FS!N67</f>
        <v>FY5</v>
      </c>
      <c r="Y52" s="12"/>
      <c r="Z52" s="147" t="s">
        <v>1013</v>
      </c>
      <c r="AA52" s="24">
        <f>'IRR &amp; FS'!L203</f>
        <v>0</v>
      </c>
      <c r="AB52" s="54">
        <f>'IRR &amp; FS'!M203</f>
        <v>0</v>
      </c>
      <c r="AC52" s="24">
        <f>'IRR &amp; FS'!N203</f>
        <v>0</v>
      </c>
      <c r="AD52" s="54">
        <f>'IRR &amp; FS'!O203</f>
        <v>0</v>
      </c>
      <c r="AE52" s="24">
        <f>'IRR &amp; FS'!P203</f>
        <v>0</v>
      </c>
      <c r="AF52" s="54">
        <f>'IRR &amp; FS'!Q203</f>
        <v>0</v>
      </c>
      <c r="AG52" s="24">
        <f>'IRR &amp; FS'!R203</f>
        <v>0</v>
      </c>
      <c r="AH52" s="54">
        <f>'IRR &amp; FS'!S203</f>
        <v>0</v>
      </c>
      <c r="AI52" s="24">
        <f>'IRR &amp; FS'!T203</f>
        <v>0</v>
      </c>
      <c r="AJ52" s="54">
        <f>'IRR &amp; FS'!U203</f>
        <v>0</v>
      </c>
      <c r="AK52" s="24">
        <f>'IRR &amp; FS'!V203</f>
        <v>400000</v>
      </c>
      <c r="AL52" s="55">
        <f>'IRR &amp; FS'!W203</f>
        <v>0.314070351758794</v>
      </c>
    </row>
    <row r="53" spans="1:47">
      <c r="B53" s="17"/>
      <c r="C53" s="17"/>
      <c r="F53" s="121"/>
      <c r="G53" s="121"/>
      <c r="H53" s="121"/>
      <c r="J53" s="9"/>
      <c r="K53" s="32"/>
      <c r="L53" s="32"/>
      <c r="M53" s="10"/>
      <c r="N53" s="11"/>
      <c r="O53" s="10"/>
      <c r="P53" s="22" t="str">
        <f>FS!B68</f>
        <v>영업활동현금흐름</v>
      </c>
      <c r="Q53" s="22"/>
      <c r="R53" s="22"/>
      <c r="S53" s="22"/>
      <c r="T53" s="22">
        <f>(FS!J68)/100</f>
        <v>124.1945021022276</v>
      </c>
      <c r="U53" s="22">
        <f>(FS!K68)/100</f>
        <v>271.55819194450982</v>
      </c>
      <c r="V53" s="22">
        <f>(FS!L68)/100</f>
        <v>867.60136086286821</v>
      </c>
      <c r="W53" s="22">
        <f>(FS!M68)/100</f>
        <v>1605.9387163351557</v>
      </c>
      <c r="X53" s="22">
        <f>(FS!N68)/100</f>
        <v>1697.3702852704755</v>
      </c>
      <c r="Y53" s="12"/>
      <c r="Z53" s="147" t="s">
        <v>1014</v>
      </c>
      <c r="AA53" s="24">
        <f>'IRR &amp; FS'!L204</f>
        <v>0</v>
      </c>
      <c r="AB53" s="54">
        <f>'IRR &amp; FS'!M204</f>
        <v>0</v>
      </c>
      <c r="AC53" s="24">
        <f>'IRR &amp; FS'!N204</f>
        <v>0</v>
      </c>
      <c r="AD53" s="54">
        <f>'IRR &amp; FS'!O204</f>
        <v>0</v>
      </c>
      <c r="AE53" s="24">
        <f>'IRR &amp; FS'!P204</f>
        <v>0</v>
      </c>
      <c r="AF53" s="54">
        <f>'IRR &amp; FS'!Q204</f>
        <v>0</v>
      </c>
      <c r="AG53" s="24">
        <f>'IRR &amp; FS'!R204</f>
        <v>0</v>
      </c>
      <c r="AH53" s="54">
        <f>'IRR &amp; FS'!S204</f>
        <v>0</v>
      </c>
      <c r="AI53" s="24">
        <f>'IRR &amp; FS'!T204</f>
        <v>0</v>
      </c>
      <c r="AJ53" s="54">
        <f>'IRR &amp; FS'!U204</f>
        <v>0</v>
      </c>
      <c r="AK53" s="24">
        <f>'IRR &amp; FS'!V204</f>
        <v>140000</v>
      </c>
      <c r="AL53" s="55">
        <f>'IRR &amp; FS'!W204</f>
        <v>0.10992462311557789</v>
      </c>
    </row>
    <row r="54" spans="1:47" ht="11.4" thickBot="1">
      <c r="A54" s="32"/>
      <c r="B54" s="13" t="s">
        <v>1048</v>
      </c>
      <c r="C54" s="13"/>
      <c r="D54" s="14"/>
      <c r="E54" s="15"/>
      <c r="F54" s="15"/>
      <c r="G54" s="15"/>
      <c r="H54" s="15"/>
      <c r="I54" s="15"/>
      <c r="J54" s="15"/>
      <c r="K54" s="15"/>
      <c r="L54" s="16"/>
      <c r="M54" s="10"/>
      <c r="N54" s="11"/>
      <c r="O54" s="10"/>
      <c r="P54" s="22">
        <f>FS!B69</f>
        <v>0</v>
      </c>
      <c r="Q54" s="22" t="str">
        <f>FS!C69</f>
        <v>당기순이익</v>
      </c>
      <c r="R54" s="22"/>
      <c r="S54" s="22"/>
      <c r="T54" s="22">
        <f>(FS!J69)/100</f>
        <v>114.59450210222759</v>
      </c>
      <c r="U54" s="22">
        <f>(FS!K69)/100</f>
        <v>249.7581919445098</v>
      </c>
      <c r="V54" s="22">
        <f>(FS!L69)/100</f>
        <v>831.00136086286818</v>
      </c>
      <c r="W54" s="22">
        <f>(FS!M69)/100</f>
        <v>1551.9387163351557</v>
      </c>
      <c r="X54" s="22">
        <f>(FS!N69)/100</f>
        <v>1621.3702852704755</v>
      </c>
      <c r="Y54" s="12"/>
      <c r="Z54" s="148" t="s">
        <v>890</v>
      </c>
      <c r="AA54" s="28">
        <f>'IRR &amp; FS'!L205</f>
        <v>586600</v>
      </c>
      <c r="AB54" s="56">
        <f>'IRR &amp; FS'!M205</f>
        <v>1</v>
      </c>
      <c r="AC54" s="28">
        <f>'IRR &amp; FS'!N205</f>
        <v>656600</v>
      </c>
      <c r="AD54" s="56">
        <f>'IRR &amp; FS'!O205</f>
        <v>1</v>
      </c>
      <c r="AE54" s="28">
        <f>'IRR &amp; FS'!P205</f>
        <v>733600</v>
      </c>
      <c r="AF54" s="56">
        <f>'IRR &amp; FS'!Q205</f>
        <v>1</v>
      </c>
      <c r="AG54" s="28">
        <f>'IRR &amp; FS'!R205</f>
        <v>733600</v>
      </c>
      <c r="AH54" s="56">
        <f>'IRR &amp; FS'!S205</f>
        <v>1</v>
      </c>
      <c r="AI54" s="28">
        <f>'IRR &amp; FS'!T205</f>
        <v>733600</v>
      </c>
      <c r="AJ54" s="56">
        <f>'IRR &amp; FS'!U205</f>
        <v>1</v>
      </c>
      <c r="AK54" s="28">
        <f>'IRR &amp; FS'!V205</f>
        <v>1273600</v>
      </c>
      <c r="AL54" s="57">
        <f>'IRR &amp; FS'!W205</f>
        <v>1</v>
      </c>
    </row>
    <row r="55" spans="1:47">
      <c r="N55" s="11"/>
      <c r="O55" s="10"/>
      <c r="P55" s="22">
        <f>FS!B70</f>
        <v>0</v>
      </c>
      <c r="Q55" s="22" t="str">
        <f>FS!C70</f>
        <v>현금흐름이없는비용등의가산</v>
      </c>
      <c r="R55" s="22"/>
      <c r="S55" s="22"/>
      <c r="T55" s="22">
        <f>(FS!J70)/100</f>
        <v>9.6</v>
      </c>
      <c r="U55" s="22">
        <f>(FS!K70)/100</f>
        <v>21.8</v>
      </c>
      <c r="V55" s="22">
        <f>(FS!L70)/100</f>
        <v>36.6</v>
      </c>
      <c r="W55" s="22">
        <f>(FS!M70)/100</f>
        <v>54</v>
      </c>
      <c r="X55" s="22">
        <f>(FS!N70)/100</f>
        <v>76</v>
      </c>
      <c r="Y55" s="12"/>
    </row>
    <row r="56" spans="1:47" ht="11.4" thickBot="1">
      <c r="B56" s="17"/>
      <c r="C56" s="62" t="s">
        <v>1037</v>
      </c>
      <c r="D56" s="8"/>
      <c r="F56" s="97" t="s">
        <v>0</v>
      </c>
      <c r="G56" s="97" t="s">
        <v>141</v>
      </c>
      <c r="H56" s="113" t="s">
        <v>1041</v>
      </c>
      <c r="I56" s="97" t="s">
        <v>0</v>
      </c>
      <c r="J56" s="97" t="s">
        <v>141</v>
      </c>
      <c r="K56" s="99" t="s">
        <v>1041</v>
      </c>
      <c r="L56" s="9"/>
      <c r="M56" s="10"/>
      <c r="N56" s="11"/>
      <c r="O56" s="10"/>
      <c r="P56" s="24">
        <f>FS!B71</f>
        <v>0</v>
      </c>
      <c r="R56" s="24" t="str">
        <f>FS!D71</f>
        <v>감가상각비</v>
      </c>
      <c r="T56" s="24">
        <f>(FS!J71)/100</f>
        <v>9.6</v>
      </c>
      <c r="U56" s="24">
        <f>(FS!K71)/100</f>
        <v>21.8</v>
      </c>
      <c r="V56" s="24">
        <f>(FS!L71)/100</f>
        <v>36.6</v>
      </c>
      <c r="W56" s="24">
        <f>(FS!M71)/100</f>
        <v>54</v>
      </c>
      <c r="X56" s="24">
        <f>(FS!N71)/100</f>
        <v>76</v>
      </c>
      <c r="Y56" s="12"/>
    </row>
    <row r="57" spans="1:47">
      <c r="B57" s="17"/>
      <c r="C57" s="17"/>
      <c r="D57" s="8"/>
      <c r="E57" s="9"/>
      <c r="F57" s="116">
        <v>1</v>
      </c>
      <c r="G57" s="98">
        <v>737</v>
      </c>
      <c r="H57" s="114">
        <v>7</v>
      </c>
      <c r="I57" s="116">
        <v>6</v>
      </c>
      <c r="J57" s="98">
        <v>767</v>
      </c>
      <c r="K57" s="98">
        <f>H61+$L$57</f>
        <v>19</v>
      </c>
      <c r="L57" s="101">
        <v>6</v>
      </c>
      <c r="M57" s="10"/>
      <c r="N57" s="11"/>
      <c r="O57" s="10"/>
      <c r="P57" s="22">
        <f>FS!B72</f>
        <v>0</v>
      </c>
      <c r="Q57" s="22" t="str">
        <f>FS!C72</f>
        <v>현금유입이없는수익등의차감</v>
      </c>
      <c r="R57" s="22"/>
      <c r="S57" s="22"/>
      <c r="T57" s="22">
        <f>(FS!J72)/100</f>
        <v>0</v>
      </c>
      <c r="U57" s="22">
        <f>(FS!K72)/100</f>
        <v>0</v>
      </c>
      <c r="V57" s="22">
        <f>(FS!L72)/100</f>
        <v>0</v>
      </c>
      <c r="W57" s="22">
        <f>(FS!M72)/100</f>
        <v>0</v>
      </c>
      <c r="X57" s="22">
        <f>(FS!N72)/100</f>
        <v>0</v>
      </c>
      <c r="Y57" s="12"/>
      <c r="Z57" s="549" t="s">
        <v>886</v>
      </c>
      <c r="AA57" s="545" t="s">
        <v>1467</v>
      </c>
      <c r="AB57" s="546"/>
      <c r="AC57" s="547" t="s">
        <v>1468</v>
      </c>
      <c r="AD57" s="548"/>
      <c r="AE57" s="547" t="s">
        <v>1469</v>
      </c>
      <c r="AF57" s="547"/>
      <c r="AH57" s="22" t="s">
        <v>1482</v>
      </c>
    </row>
    <row r="58" spans="1:47" ht="11.4" thickBot="1">
      <c r="B58" s="17"/>
      <c r="C58" s="17"/>
      <c r="F58" s="116">
        <v>2</v>
      </c>
      <c r="G58" s="98">
        <v>737</v>
      </c>
      <c r="H58" s="114">
        <v>7</v>
      </c>
      <c r="I58" s="116">
        <f>I57+1</f>
        <v>7</v>
      </c>
      <c r="J58" s="98">
        <v>737</v>
      </c>
      <c r="K58" s="98">
        <f>K57+$L$57</f>
        <v>25</v>
      </c>
      <c r="L58" s="7" t="s">
        <v>1351</v>
      </c>
      <c r="M58" s="10"/>
      <c r="N58" s="11"/>
      <c r="O58" s="10"/>
      <c r="P58" s="30">
        <f>FS!B73</f>
        <v>0</v>
      </c>
      <c r="Q58" s="29" t="str">
        <f>FS!C74</f>
        <v>영업활동으로인한자산부채변동</v>
      </c>
      <c r="R58" s="29"/>
      <c r="S58" s="29"/>
      <c r="T58" s="29">
        <f>(FS!J74)/100</f>
        <v>0</v>
      </c>
      <c r="U58" s="29">
        <f>(FS!K74)/100</f>
        <v>0</v>
      </c>
      <c r="V58" s="29">
        <f>(FS!L74)/100</f>
        <v>0</v>
      </c>
      <c r="W58" s="29">
        <f>(FS!M74)/100</f>
        <v>0</v>
      </c>
      <c r="X58" s="29">
        <f>(FS!N74)/100</f>
        <v>0</v>
      </c>
      <c r="Y58" s="12"/>
      <c r="Z58" s="550"/>
      <c r="AA58" s="51" t="s">
        <v>1474</v>
      </c>
      <c r="AB58" s="52" t="s">
        <v>1475</v>
      </c>
      <c r="AC58" s="51" t="s">
        <v>983</v>
      </c>
      <c r="AD58" s="52" t="s">
        <v>984</v>
      </c>
      <c r="AE58" s="51" t="s">
        <v>1474</v>
      </c>
      <c r="AF58" s="51" t="s">
        <v>1476</v>
      </c>
      <c r="AH58" s="149"/>
      <c r="AI58" s="149" t="s">
        <v>1477</v>
      </c>
      <c r="AJ58" s="149" t="s">
        <v>1478</v>
      </c>
    </row>
    <row r="59" spans="1:47">
      <c r="B59" s="17"/>
      <c r="C59" s="17"/>
      <c r="F59" s="116">
        <v>3</v>
      </c>
      <c r="G59" s="98">
        <v>737</v>
      </c>
      <c r="H59" s="114">
        <v>7</v>
      </c>
      <c r="I59" s="116">
        <f>I58+1</f>
        <v>8</v>
      </c>
      <c r="J59" s="98">
        <v>767</v>
      </c>
      <c r="K59" s="98">
        <f t="shared" ref="K59:K61" si="9">K58+$L$57</f>
        <v>31</v>
      </c>
      <c r="L59" s="9"/>
      <c r="M59" s="10"/>
      <c r="N59" s="11"/>
      <c r="O59" s="10"/>
      <c r="P59" s="22" t="str">
        <f>FS!B80</f>
        <v>투자활동으로인한현금흐름</v>
      </c>
      <c r="Q59" s="22"/>
      <c r="R59" s="22"/>
      <c r="S59" s="22"/>
      <c r="T59" s="22">
        <f>(FS!J80)/100</f>
        <v>-108.98299999999999</v>
      </c>
      <c r="U59" s="22">
        <f>(FS!K80)/100</f>
        <v>-91.591000000000008</v>
      </c>
      <c r="V59" s="22">
        <f>(FS!L80)/100</f>
        <v>-104.59099999999998</v>
      </c>
      <c r="W59" s="22">
        <f>(FS!M80)/100</f>
        <v>-123.38999999999999</v>
      </c>
      <c r="X59" s="22">
        <f>(FS!N80)/100</f>
        <v>-107.6</v>
      </c>
      <c r="Y59" s="12"/>
      <c r="Z59" s="147" t="s">
        <v>1490</v>
      </c>
      <c r="AA59" s="24">
        <v>206535</v>
      </c>
      <c r="AB59" s="53">
        <v>0.53423435075012937</v>
      </c>
      <c r="AC59" s="24">
        <v>234535</v>
      </c>
      <c r="AD59" s="53">
        <v>0.19518558588548601</v>
      </c>
      <c r="AE59" s="24">
        <v>234535</v>
      </c>
      <c r="AF59" s="27">
        <v>0.15369937524575125</v>
      </c>
      <c r="AH59" s="22" t="s">
        <v>1066</v>
      </c>
      <c r="AI59" s="55">
        <f>SUM(AD59:AD62)</f>
        <v>0.48818242343541945</v>
      </c>
      <c r="AJ59" s="55">
        <f>SUM(AF59:AF62)</f>
        <v>0.38442046397833024</v>
      </c>
    </row>
    <row r="60" spans="1:47">
      <c r="B60" s="17"/>
      <c r="C60" s="17"/>
      <c r="F60" s="116">
        <v>4</v>
      </c>
      <c r="G60" s="98">
        <v>767</v>
      </c>
      <c r="H60" s="114">
        <v>7</v>
      </c>
      <c r="I60" s="116">
        <f>I59+1</f>
        <v>9</v>
      </c>
      <c r="J60" s="98">
        <v>767</v>
      </c>
      <c r="K60" s="98">
        <f t="shared" si="9"/>
        <v>37</v>
      </c>
      <c r="L60" s="9"/>
      <c r="M60" s="10"/>
      <c r="N60" s="11"/>
      <c r="O60" s="10"/>
      <c r="P60" s="22">
        <f>FS!B81</f>
        <v>0</v>
      </c>
      <c r="Q60" s="22" t="str">
        <f>FS!C81</f>
        <v>투자활동으로인한현금유입액</v>
      </c>
      <c r="R60" s="22"/>
      <c r="S60" s="22"/>
      <c r="T60" s="22">
        <f>(FS!J81)/100</f>
        <v>0</v>
      </c>
      <c r="U60" s="22">
        <f>(FS!K81)/100</f>
        <v>0</v>
      </c>
      <c r="V60" s="22">
        <f>(FS!L81)/100</f>
        <v>0</v>
      </c>
      <c r="W60" s="22">
        <f>(FS!M81)/100</f>
        <v>0</v>
      </c>
      <c r="X60" s="22">
        <f>(FS!N81)/100</f>
        <v>0</v>
      </c>
      <c r="Y60" s="12"/>
      <c r="Z60" s="147" t="s">
        <v>1489</v>
      </c>
      <c r="AA60" s="24">
        <v>137715</v>
      </c>
      <c r="AB60" s="53">
        <v>0.35622090015519919</v>
      </c>
      <c r="AC60" s="24">
        <v>192715</v>
      </c>
      <c r="AD60" s="53">
        <v>0.16038199067909453</v>
      </c>
      <c r="AE60" s="24">
        <v>192715</v>
      </c>
      <c r="AF60" s="27">
        <v>0.12629319760583688</v>
      </c>
      <c r="AG60" s="22"/>
      <c r="AH60" s="22" t="s">
        <v>1485</v>
      </c>
      <c r="AI60" s="55">
        <f>AD63</f>
        <v>9.5705725699067906E-2</v>
      </c>
      <c r="AJ60" s="55">
        <f>AF63</f>
        <v>0.13499934466337543</v>
      </c>
    </row>
    <row r="61" spans="1:47" ht="11.4" thickBot="1">
      <c r="B61" s="17"/>
      <c r="C61" s="17"/>
      <c r="F61" s="118">
        <v>5</v>
      </c>
      <c r="G61" s="112">
        <v>737</v>
      </c>
      <c r="H61" s="115">
        <f>H60+6</f>
        <v>13</v>
      </c>
      <c r="I61" s="118">
        <f>I60+1</f>
        <v>10</v>
      </c>
      <c r="J61" s="112">
        <v>767</v>
      </c>
      <c r="K61" s="112">
        <f t="shared" si="9"/>
        <v>43</v>
      </c>
      <c r="M61" s="10"/>
      <c r="N61" s="11"/>
      <c r="O61" s="10"/>
      <c r="P61" s="24">
        <f>FS!B82</f>
        <v>0</v>
      </c>
      <c r="Q61" s="22" t="str">
        <f>FS!C83</f>
        <v>투자활동으로인한현금유출액</v>
      </c>
      <c r="R61" s="22"/>
      <c r="S61" s="22"/>
      <c r="T61" s="22">
        <f>(FS!J83)/100</f>
        <v>-108.98299999999999</v>
      </c>
      <c r="U61" s="22">
        <f>(FS!K83)/100</f>
        <v>-91.591000000000008</v>
      </c>
      <c r="V61" s="22">
        <f>(FS!L83)/100</f>
        <v>-104.59099999999998</v>
      </c>
      <c r="W61" s="22">
        <f>(FS!M83)/100</f>
        <v>-123.38999999999999</v>
      </c>
      <c r="X61" s="22">
        <f>(FS!N83)/100</f>
        <v>-107.6</v>
      </c>
      <c r="Y61" s="12"/>
      <c r="Z61" s="147" t="s">
        <v>1491</v>
      </c>
      <c r="AA61" s="24">
        <v>42350</v>
      </c>
      <c r="AB61" s="53">
        <v>0.10954474909467149</v>
      </c>
      <c r="AC61" s="24">
        <v>49350</v>
      </c>
      <c r="AD61" s="53">
        <v>4.1070239680426099E-2</v>
      </c>
      <c r="AE61" s="24">
        <v>49350</v>
      </c>
      <c r="AF61" s="27">
        <v>3.2340862422997947E-2</v>
      </c>
      <c r="AH61" s="31" t="s">
        <v>1065</v>
      </c>
      <c r="AI61" s="150">
        <f>SUM(AD64:AD65)</f>
        <v>0.41611185086551267</v>
      </c>
      <c r="AJ61" s="150">
        <f>SUM(AF64:AF65)</f>
        <v>0.48058019135829444</v>
      </c>
      <c r="AK61" s="22"/>
      <c r="AL61" s="22"/>
    </row>
    <row r="62" spans="1:47">
      <c r="B62" s="17"/>
      <c r="C62" s="17"/>
      <c r="F62" s="22"/>
      <c r="G62" s="22"/>
      <c r="H62" s="22"/>
      <c r="I62" s="22"/>
      <c r="J62" s="22"/>
      <c r="K62" s="124" t="s">
        <v>1054</v>
      </c>
      <c r="L62" s="22"/>
      <c r="M62" s="10"/>
      <c r="N62" s="11"/>
      <c r="O62" s="10"/>
      <c r="P62" s="22">
        <f>FS!B83</f>
        <v>0</v>
      </c>
      <c r="R62" s="24" t="str">
        <f>FS!D84</f>
        <v>보증금</v>
      </c>
      <c r="T62" s="24">
        <f>(FS!J84)/100</f>
        <v>-60.98299999999999</v>
      </c>
      <c r="U62" s="24">
        <f>(FS!K84)/100</f>
        <v>-30.590999999999998</v>
      </c>
      <c r="V62" s="24">
        <f>(FS!L84)/100</f>
        <v>-30.590999999999998</v>
      </c>
      <c r="W62" s="24">
        <f>(FS!M84)/100</f>
        <v>-33.99</v>
      </c>
      <c r="X62" s="24">
        <f>(FS!N84)/100</f>
        <v>0</v>
      </c>
      <c r="Y62" s="12"/>
      <c r="Z62" s="147" t="s">
        <v>1488</v>
      </c>
      <c r="AA62" s="24">
        <v>0</v>
      </c>
      <c r="AB62" s="53">
        <v>0</v>
      </c>
      <c r="AC62" s="24">
        <v>110000</v>
      </c>
      <c r="AD62" s="53">
        <v>9.1544607190412783E-2</v>
      </c>
      <c r="AE62" s="24">
        <v>110000</v>
      </c>
      <c r="AF62" s="27">
        <v>7.2087028703744158E-2</v>
      </c>
      <c r="AK62" s="22"/>
      <c r="AL62" s="22"/>
    </row>
    <row r="63" spans="1:47" ht="11.4" thickBot="1">
      <c r="B63" s="17"/>
      <c r="C63" s="17"/>
      <c r="D63" s="100" t="s">
        <v>0</v>
      </c>
      <c r="E63" s="97" t="s">
        <v>141</v>
      </c>
      <c r="F63" s="97" t="s">
        <v>1042</v>
      </c>
      <c r="G63" s="97" t="s">
        <v>305</v>
      </c>
      <c r="H63" s="130" t="s">
        <v>316</v>
      </c>
      <c r="I63" s="97" t="s">
        <v>1044</v>
      </c>
      <c r="J63" s="99" t="s">
        <v>1043</v>
      </c>
      <c r="K63" s="20" t="s">
        <v>306</v>
      </c>
      <c r="L63" s="22"/>
      <c r="M63" s="10"/>
      <c r="N63" s="11"/>
      <c r="O63" s="10"/>
      <c r="P63" s="24">
        <f>FS!B84</f>
        <v>0</v>
      </c>
      <c r="S63" s="24" t="str">
        <f>FS!E85</f>
        <v>항공기보증금</v>
      </c>
      <c r="T63" s="24">
        <f>(FS!J85)/100</f>
        <v>-57.782999999999994</v>
      </c>
      <c r="U63" s="24">
        <f>(FS!K85)/100</f>
        <v>-30.590999999999998</v>
      </c>
      <c r="V63" s="24">
        <f>(FS!L85)/100</f>
        <v>-30.590999999999998</v>
      </c>
      <c r="W63" s="24">
        <f>(FS!M85)/100</f>
        <v>-33.99</v>
      </c>
      <c r="X63" s="24">
        <f>(FS!N85)/100</f>
        <v>0</v>
      </c>
      <c r="Y63" s="12"/>
      <c r="Z63" s="147" t="s">
        <v>1485</v>
      </c>
      <c r="AA63" s="24">
        <v>0</v>
      </c>
      <c r="AB63" s="53">
        <v>0</v>
      </c>
      <c r="AC63" s="24">
        <v>115000</v>
      </c>
      <c r="AD63" s="53">
        <v>9.5705725699067906E-2</v>
      </c>
      <c r="AE63" s="24">
        <v>206000</v>
      </c>
      <c r="AF63" s="27">
        <v>0.13499934466337543</v>
      </c>
      <c r="AK63" s="22"/>
      <c r="AL63" s="22"/>
    </row>
    <row r="64" spans="1:47">
      <c r="B64" s="17"/>
      <c r="C64" s="17"/>
      <c r="D64" s="102">
        <v>1</v>
      </c>
      <c r="E64" s="102">
        <f>G57</f>
        <v>737</v>
      </c>
      <c r="F64" s="126"/>
      <c r="G64" s="126"/>
      <c r="H64" s="126"/>
      <c r="I64" s="126"/>
      <c r="J64" s="103">
        <f>SUM(J65:J69)</f>
        <v>15</v>
      </c>
      <c r="K64" s="125">
        <f>IF(SUM(K65:K69)&gt;144,"운항시간초과",SUM(K65:K69))</f>
        <v>100</v>
      </c>
      <c r="L64" s="22"/>
      <c r="M64" s="10"/>
      <c r="N64" s="11"/>
      <c r="O64" s="10"/>
      <c r="P64" s="24">
        <f>FS!B85</f>
        <v>0</v>
      </c>
      <c r="S64" s="24" t="str">
        <f>FS!E86</f>
        <v>기타보증금</v>
      </c>
      <c r="T64" s="24">
        <f>(FS!J86)/100</f>
        <v>-3.2</v>
      </c>
      <c r="U64" s="24">
        <f>(FS!K86)/100</f>
        <v>0</v>
      </c>
      <c r="V64" s="24">
        <f>(FS!L86)/100</f>
        <v>0</v>
      </c>
      <c r="W64" s="24">
        <f>(FS!M86)/100</f>
        <v>0</v>
      </c>
      <c r="X64" s="24">
        <f>(FS!N86)/100</f>
        <v>0</v>
      </c>
      <c r="Y64" s="12"/>
      <c r="Z64" s="147" t="s">
        <v>1470</v>
      </c>
      <c r="AA64" s="24">
        <v>0</v>
      </c>
      <c r="AB64" s="142">
        <v>0</v>
      </c>
      <c r="AC64" s="24">
        <v>500000</v>
      </c>
      <c r="AD64" s="53">
        <v>0.41611185086551267</v>
      </c>
      <c r="AE64" s="24">
        <v>500000</v>
      </c>
      <c r="AF64" s="27">
        <v>0.32766831228974619</v>
      </c>
    </row>
    <row r="65" spans="1:44">
      <c r="B65" s="17"/>
      <c r="C65" s="22"/>
      <c r="D65" s="101"/>
      <c r="E65" s="101">
        <f>E64</f>
        <v>737</v>
      </c>
      <c r="F65" s="76" t="s">
        <v>11</v>
      </c>
      <c r="G65" s="131" t="s">
        <v>7</v>
      </c>
      <c r="H65" s="76" t="str">
        <f>IF(I65="C1","국내","국제")</f>
        <v>국내</v>
      </c>
      <c r="I65" s="76" t="str">
        <f>VLOOKUP($G65, 노선정리!$E$5:$V$31, 18, FALSE)</f>
        <v>C1</v>
      </c>
      <c r="J65" s="81">
        <v>10</v>
      </c>
      <c r="K65" s="24">
        <f>노선구성!M74</f>
        <v>40</v>
      </c>
      <c r="L65" s="22"/>
      <c r="M65" s="10"/>
      <c r="N65" s="11"/>
      <c r="O65" s="10"/>
      <c r="P65" s="24">
        <f>FS!B86</f>
        <v>0</v>
      </c>
      <c r="R65" s="24" t="str">
        <f>FS!D87</f>
        <v>유형자산의취득</v>
      </c>
      <c r="T65" s="24">
        <f>(FS!J87)/100</f>
        <v>-17</v>
      </c>
      <c r="U65" s="24">
        <f>(FS!K87)/100</f>
        <v>-6</v>
      </c>
      <c r="V65" s="24">
        <f>(FS!L87)/100</f>
        <v>-4</v>
      </c>
      <c r="W65" s="24">
        <f>(FS!M87)/100</f>
        <v>-4.4000000000000004</v>
      </c>
      <c r="X65" s="24">
        <f>(FS!N87)/100</f>
        <v>-7.6</v>
      </c>
      <c r="Y65" s="12"/>
      <c r="Z65" s="147" t="s">
        <v>1471</v>
      </c>
      <c r="AA65" s="24">
        <v>0</v>
      </c>
      <c r="AB65" s="142">
        <v>0</v>
      </c>
      <c r="AC65" s="24">
        <v>0</v>
      </c>
      <c r="AD65" s="142">
        <v>0</v>
      </c>
      <c r="AE65" s="24">
        <v>233333.33333333334</v>
      </c>
      <c r="AF65" s="27">
        <v>0.15291187906854822</v>
      </c>
    </row>
    <row r="66" spans="1:44" ht="11.4" thickBot="1">
      <c r="B66" s="17"/>
      <c r="C66" s="17"/>
      <c r="D66" s="101"/>
      <c r="E66" s="101">
        <f t="shared" ref="E66" si="10">E65</f>
        <v>737</v>
      </c>
      <c r="F66" s="76" t="s">
        <v>11</v>
      </c>
      <c r="G66" s="131" t="s">
        <v>15</v>
      </c>
      <c r="H66" s="76" t="str">
        <f>IF(I66="C1","국내","국제")</f>
        <v>국제</v>
      </c>
      <c r="I66" s="76" t="str">
        <f>VLOOKUP($G66, 노선정리!$E$5:$V$31, 18, FALSE)</f>
        <v>C2</v>
      </c>
      <c r="J66" s="81">
        <v>5</v>
      </c>
      <c r="K66" s="24">
        <f>노선구성!M75</f>
        <v>60</v>
      </c>
      <c r="M66" s="10"/>
      <c r="N66" s="11"/>
      <c r="O66" s="10"/>
      <c r="P66" s="24">
        <f>FS!B87</f>
        <v>0</v>
      </c>
      <c r="S66" s="24" t="str">
        <f>FS!E88</f>
        <v>정비공구및장비</v>
      </c>
      <c r="T66" s="24">
        <f>(FS!J88)/100</f>
        <v>-16</v>
      </c>
      <c r="U66" s="24">
        <f>(FS!K88)/100</f>
        <v>-6</v>
      </c>
      <c r="V66" s="24">
        <f>(FS!L88)/100</f>
        <v>-4</v>
      </c>
      <c r="W66" s="24">
        <f>(FS!M88)/100</f>
        <v>-4.4000000000000004</v>
      </c>
      <c r="X66" s="24">
        <f>(FS!N88)/100</f>
        <v>-7.6</v>
      </c>
      <c r="Y66" s="12"/>
      <c r="Z66" s="148" t="s">
        <v>1472</v>
      </c>
      <c r="AA66" s="28">
        <v>386600</v>
      </c>
      <c r="AB66" s="56">
        <v>1</v>
      </c>
      <c r="AC66" s="28">
        <v>1201600</v>
      </c>
      <c r="AD66" s="56">
        <v>1</v>
      </c>
      <c r="AE66" s="28">
        <v>1525933.3333333333</v>
      </c>
      <c r="AF66" s="57">
        <v>1</v>
      </c>
    </row>
    <row r="67" spans="1:44">
      <c r="B67" s="17"/>
      <c r="C67" s="17"/>
      <c r="D67" s="101"/>
      <c r="E67" s="101"/>
      <c r="F67" s="76"/>
      <c r="G67" s="131"/>
      <c r="H67" s="76"/>
      <c r="I67" s="76"/>
      <c r="J67" s="81"/>
      <c r="M67" s="10"/>
      <c r="N67" s="11"/>
      <c r="O67" s="10"/>
      <c r="P67" s="24">
        <f>FS!B88</f>
        <v>0</v>
      </c>
      <c r="S67" s="24" t="str">
        <f>FS!E89</f>
        <v>차량운반구</v>
      </c>
      <c r="T67" s="24">
        <f>(FS!J89)/100</f>
        <v>-1</v>
      </c>
      <c r="U67" s="24">
        <f>(FS!K89)/100</f>
        <v>0</v>
      </c>
      <c r="V67" s="24">
        <f>(FS!L89)/100</f>
        <v>0</v>
      </c>
      <c r="W67" s="24">
        <f>(FS!M89)/100</f>
        <v>0</v>
      </c>
      <c r="X67" s="24">
        <f>(FS!N89)/100</f>
        <v>0</v>
      </c>
      <c r="Y67" s="12"/>
      <c r="Z67" s="147"/>
    </row>
    <row r="68" spans="1:44">
      <c r="B68" s="17"/>
      <c r="D68" s="101"/>
      <c r="E68" s="101"/>
      <c r="F68" s="76"/>
      <c r="G68" s="131"/>
      <c r="H68" s="76"/>
      <c r="I68" s="76"/>
      <c r="J68" s="81"/>
      <c r="L68" s="9"/>
      <c r="M68" s="10"/>
      <c r="N68" s="11"/>
      <c r="O68" s="10"/>
      <c r="P68" s="24">
        <f>FS!B89</f>
        <v>0</v>
      </c>
      <c r="R68" s="24" t="str">
        <f>FS!D90</f>
        <v>무형자산의취득</v>
      </c>
      <c r="T68" s="24">
        <f>(FS!J90)/100</f>
        <v>-31</v>
      </c>
      <c r="U68" s="24">
        <f>(FS!K90)/100</f>
        <v>-55</v>
      </c>
      <c r="V68" s="24">
        <f>(FS!L90)/100</f>
        <v>-69.999999999999986</v>
      </c>
      <c r="W68" s="24">
        <f>(FS!M90)/100</f>
        <v>-84.999999999999986</v>
      </c>
      <c r="X68" s="24">
        <f>(FS!N90)/100</f>
        <v>-100</v>
      </c>
      <c r="Y68" s="12"/>
      <c r="Z68" s="549" t="s">
        <v>886</v>
      </c>
      <c r="AA68" s="554" t="s">
        <v>1012</v>
      </c>
      <c r="AB68" s="555"/>
      <c r="AC68" s="551" t="s">
        <v>824</v>
      </c>
      <c r="AD68" s="553"/>
      <c r="AE68" s="551" t="s">
        <v>825</v>
      </c>
      <c r="AF68" s="553">
        <v>0</v>
      </c>
      <c r="AG68" s="551" t="s">
        <v>826</v>
      </c>
      <c r="AH68" s="553">
        <v>0</v>
      </c>
      <c r="AI68" s="551" t="s">
        <v>827</v>
      </c>
      <c r="AJ68" s="553">
        <v>0</v>
      </c>
      <c r="AK68" s="551" t="s">
        <v>828</v>
      </c>
      <c r="AL68" s="552">
        <v>0</v>
      </c>
    </row>
    <row r="69" spans="1:44" ht="11.4" thickBot="1">
      <c r="B69" s="17"/>
      <c r="D69" s="117"/>
      <c r="E69" s="117"/>
      <c r="F69" s="127"/>
      <c r="G69" s="132"/>
      <c r="H69" s="127"/>
      <c r="I69" s="127"/>
      <c r="J69" s="119"/>
      <c r="K69" s="30"/>
      <c r="L69" s="9"/>
      <c r="M69" s="10"/>
      <c r="N69" s="11"/>
      <c r="O69" s="10"/>
      <c r="P69" s="30">
        <f>FS!B90</f>
        <v>0</v>
      </c>
      <c r="Q69" s="30"/>
      <c r="R69" s="30"/>
      <c r="S69" s="30" t="str">
        <f>FS!E91</f>
        <v>시스템</v>
      </c>
      <c r="T69" s="30">
        <f>(FS!J91)/100</f>
        <v>-31</v>
      </c>
      <c r="U69" s="30">
        <f>(FS!K91)/100</f>
        <v>-55</v>
      </c>
      <c r="V69" s="30">
        <f>(FS!L91)/100</f>
        <v>-69.999999999999986</v>
      </c>
      <c r="W69" s="30">
        <f>(FS!M91)/100</f>
        <v>-84.999999999999986</v>
      </c>
      <c r="X69" s="30">
        <f>(FS!N91)/100</f>
        <v>-100</v>
      </c>
      <c r="Y69" s="12"/>
      <c r="Z69" s="550"/>
      <c r="AA69" s="51" t="s">
        <v>983</v>
      </c>
      <c r="AB69" s="52" t="s">
        <v>984</v>
      </c>
      <c r="AC69" s="51" t="s">
        <v>983</v>
      </c>
      <c r="AD69" s="52" t="s">
        <v>984</v>
      </c>
      <c r="AE69" s="51" t="s">
        <v>983</v>
      </c>
      <c r="AF69" s="52" t="s">
        <v>984</v>
      </c>
      <c r="AG69" s="51" t="s">
        <v>983</v>
      </c>
      <c r="AH69" s="52" t="s">
        <v>984</v>
      </c>
      <c r="AI69" s="51" t="s">
        <v>983</v>
      </c>
      <c r="AJ69" s="52" t="s">
        <v>984</v>
      </c>
      <c r="AK69" s="51" t="s">
        <v>983</v>
      </c>
      <c r="AL69" s="51" t="s">
        <v>984</v>
      </c>
    </row>
    <row r="70" spans="1:44">
      <c r="B70" s="17"/>
      <c r="D70" s="102">
        <v>2</v>
      </c>
      <c r="E70" s="102">
        <f>G58</f>
        <v>737</v>
      </c>
      <c r="F70" s="126"/>
      <c r="G70" s="126"/>
      <c r="H70" s="126"/>
      <c r="I70" s="126"/>
      <c r="J70" s="103">
        <f>SUM(J71:J75)</f>
        <v>15</v>
      </c>
      <c r="K70" s="125">
        <f>IF(SUM(K71:K74)&gt;144,"운항시간초과",SUM(K71:K74))</f>
        <v>120</v>
      </c>
      <c r="M70" s="10"/>
      <c r="N70" s="11"/>
      <c r="O70" s="10"/>
      <c r="P70" s="22" t="str">
        <f>FS!B93</f>
        <v>재무활동으로인한현금흐름</v>
      </c>
      <c r="Q70" s="22"/>
      <c r="R70" s="22"/>
      <c r="S70" s="22"/>
      <c r="T70" s="22">
        <f>(FS!J93)/100</f>
        <v>0</v>
      </c>
      <c r="U70" s="22">
        <f>(FS!K93)/100</f>
        <v>140</v>
      </c>
      <c r="V70" s="22">
        <f>(FS!L93)/100</f>
        <v>0</v>
      </c>
      <c r="W70" s="22">
        <f>(FS!M93)/100</f>
        <v>0</v>
      </c>
      <c r="X70" s="22">
        <f>(FS!N93)/100</f>
        <v>0</v>
      </c>
      <c r="Y70" s="12"/>
      <c r="Z70" s="147" t="s">
        <v>1490</v>
      </c>
      <c r="AA70" s="24">
        <v>206535</v>
      </c>
      <c r="AB70" s="53">
        <v>0.53423435075012937</v>
      </c>
      <c r="AC70" s="24">
        <v>234535</v>
      </c>
      <c r="AD70" s="53">
        <v>0.3342859179019384</v>
      </c>
      <c r="AE70" s="24">
        <v>234535</v>
      </c>
      <c r="AF70" s="53">
        <v>0.29590587938430479</v>
      </c>
      <c r="AG70" s="24">
        <v>234535</v>
      </c>
      <c r="AH70" s="53">
        <v>0.29590587938430479</v>
      </c>
      <c r="AI70" s="24">
        <v>234535</v>
      </c>
      <c r="AJ70" s="53">
        <v>0.29590587938430479</v>
      </c>
      <c r="AK70" s="24">
        <v>234535</v>
      </c>
      <c r="AL70" s="27">
        <v>0.15369937524575125</v>
      </c>
    </row>
    <row r="71" spans="1:44">
      <c r="B71" s="17"/>
      <c r="D71" s="101"/>
      <c r="E71" s="101">
        <f>E70</f>
        <v>737</v>
      </c>
      <c r="F71" s="76" t="s">
        <v>11</v>
      </c>
      <c r="G71" s="131" t="s">
        <v>19</v>
      </c>
      <c r="H71" s="76" t="str">
        <f>IF(I71="C1","국내","국제")</f>
        <v>국제</v>
      </c>
      <c r="I71" s="76" t="str">
        <f>VLOOKUP($G71, 노선정리!$E$5:$V$31, 18, FALSE)</f>
        <v>I1</v>
      </c>
      <c r="J71" s="81">
        <v>5</v>
      </c>
      <c r="K71" s="24">
        <f>노선구성!M80</f>
        <v>70</v>
      </c>
      <c r="M71" s="10"/>
      <c r="N71" s="11"/>
      <c r="O71" s="10"/>
      <c r="P71" s="22">
        <f>FS!B94</f>
        <v>0</v>
      </c>
      <c r="Q71" s="22" t="str">
        <f>FS!C94</f>
        <v>재무활동으로인한현금유입액</v>
      </c>
      <c r="R71" s="22"/>
      <c r="S71" s="22"/>
      <c r="T71" s="22">
        <f>(FS!J94)/100</f>
        <v>0</v>
      </c>
      <c r="U71" s="22">
        <f>(FS!K94)/100</f>
        <v>140</v>
      </c>
      <c r="V71" s="22">
        <f>(FS!L94)/100</f>
        <v>0</v>
      </c>
      <c r="W71" s="22">
        <f>(FS!M94)/100</f>
        <v>0</v>
      </c>
      <c r="X71" s="22">
        <f>(FS!N94)/100</f>
        <v>0</v>
      </c>
      <c r="Y71" s="12"/>
      <c r="Z71" s="147" t="s">
        <v>1489</v>
      </c>
      <c r="AA71" s="24">
        <v>137715</v>
      </c>
      <c r="AB71" s="53">
        <v>0.35622090015519919</v>
      </c>
      <c r="AC71" s="24">
        <v>192715</v>
      </c>
      <c r="AD71" s="53">
        <v>0.27467930444697836</v>
      </c>
      <c r="AE71" s="24">
        <v>192715</v>
      </c>
      <c r="AF71" s="53">
        <v>0.24314282109512994</v>
      </c>
      <c r="AG71" s="24">
        <v>192715</v>
      </c>
      <c r="AH71" s="53">
        <v>0.24314282109512994</v>
      </c>
      <c r="AI71" s="24">
        <v>192715</v>
      </c>
      <c r="AJ71" s="53">
        <v>0.24314282109512994</v>
      </c>
      <c r="AK71" s="24">
        <v>192715</v>
      </c>
      <c r="AL71" s="27">
        <v>0.12629319760583688</v>
      </c>
    </row>
    <row r="72" spans="1:44" s="22" customFormat="1">
      <c r="A72" s="24"/>
      <c r="B72" s="17"/>
      <c r="C72" s="24"/>
      <c r="D72" s="101"/>
      <c r="E72" s="101">
        <f t="shared" ref="E72:E73" si="11">E71</f>
        <v>737</v>
      </c>
      <c r="F72" s="76" t="s">
        <v>11</v>
      </c>
      <c r="G72" s="131" t="s">
        <v>21</v>
      </c>
      <c r="H72" s="76" t="str">
        <f>IF(I72="C1","국내","국제")</f>
        <v>국제</v>
      </c>
      <c r="I72" s="76" t="str">
        <f>VLOOKUP($G72, 노선정리!$E$5:$V$31, 18, FALSE)</f>
        <v>C3</v>
      </c>
      <c r="J72" s="81">
        <v>5</v>
      </c>
      <c r="K72" s="24">
        <f>노선구성!M81</f>
        <v>25</v>
      </c>
      <c r="L72" s="24"/>
      <c r="M72" s="10"/>
      <c r="N72" s="11"/>
      <c r="O72" s="10"/>
      <c r="P72" s="29">
        <f>FS!B101</f>
        <v>0</v>
      </c>
      <c r="Q72" s="29" t="str">
        <f>FS!C101</f>
        <v>재무활동으로인한현금유출액</v>
      </c>
      <c r="R72" s="29"/>
      <c r="S72" s="29"/>
      <c r="T72" s="29">
        <f>(FS!J101)/100</f>
        <v>0</v>
      </c>
      <c r="U72" s="29">
        <f>(FS!K101)/100</f>
        <v>0</v>
      </c>
      <c r="V72" s="29">
        <f>(FS!L101)/100</f>
        <v>0</v>
      </c>
      <c r="W72" s="29">
        <f>(FS!M101)/100</f>
        <v>0</v>
      </c>
      <c r="X72" s="29">
        <f>(FS!N101)/100</f>
        <v>0</v>
      </c>
      <c r="Y72" s="12"/>
      <c r="Z72" s="147" t="s">
        <v>1491</v>
      </c>
      <c r="AA72" s="24">
        <v>42350</v>
      </c>
      <c r="AB72" s="53">
        <v>0.10954474909467149</v>
      </c>
      <c r="AC72" s="24">
        <v>49350</v>
      </c>
      <c r="AD72" s="53">
        <v>7.0339224629418468E-2</v>
      </c>
      <c r="AE72" s="24">
        <v>49350</v>
      </c>
      <c r="AF72" s="53">
        <v>6.2263436790310371E-2</v>
      </c>
      <c r="AG72" s="24">
        <v>49350</v>
      </c>
      <c r="AH72" s="53">
        <v>6.2263436790310371E-2</v>
      </c>
      <c r="AI72" s="24">
        <v>49350</v>
      </c>
      <c r="AJ72" s="53">
        <v>6.2263436790310371E-2</v>
      </c>
      <c r="AK72" s="24">
        <v>49350</v>
      </c>
      <c r="AL72" s="27">
        <v>3.2340862422997947E-2</v>
      </c>
      <c r="AM72" s="24"/>
      <c r="AN72" s="143"/>
      <c r="AO72" s="24"/>
      <c r="AP72" s="24"/>
      <c r="AQ72" s="24"/>
      <c r="AR72" s="24"/>
    </row>
    <row r="73" spans="1:44">
      <c r="B73" s="17"/>
      <c r="D73" s="101"/>
      <c r="E73" s="101">
        <f t="shared" si="11"/>
        <v>737</v>
      </c>
      <c r="F73" s="76" t="s">
        <v>11</v>
      </c>
      <c r="G73" s="131" t="s">
        <v>24</v>
      </c>
      <c r="H73" s="76" t="str">
        <f>IF(I73="C1","국내","국제")</f>
        <v>국제</v>
      </c>
      <c r="I73" s="76" t="str">
        <f>VLOOKUP($G73, 노선정리!$E$5:$V$31, 18, FALSE)</f>
        <v>C4</v>
      </c>
      <c r="J73" s="81">
        <v>5</v>
      </c>
      <c r="K73" s="24">
        <f>노선구성!M82</f>
        <v>25</v>
      </c>
      <c r="M73" s="10"/>
      <c r="N73" s="11"/>
      <c r="O73" s="10"/>
      <c r="P73" s="22" t="str">
        <f>FS!B105</f>
        <v>기초현금</v>
      </c>
      <c r="T73" s="22">
        <f>(FS!J105)/100</f>
        <v>180</v>
      </c>
      <c r="U73" s="22">
        <f>(FS!K105)/100</f>
        <v>195.2115021022276</v>
      </c>
      <c r="V73" s="22">
        <f>(FS!L105)/100</f>
        <v>515.17869404673741</v>
      </c>
      <c r="W73" s="22">
        <f>(FS!M105)/100</f>
        <v>1278.1890549096058</v>
      </c>
      <c r="X73" s="22">
        <f>(FS!N105)/100</f>
        <v>2760.7377712447615</v>
      </c>
      <c r="Y73" s="12"/>
      <c r="Z73" s="147" t="s">
        <v>1488</v>
      </c>
      <c r="AA73" s="24">
        <v>0</v>
      </c>
      <c r="AB73" s="53">
        <v>0</v>
      </c>
      <c r="AC73" s="24">
        <v>110000</v>
      </c>
      <c r="AD73" s="53">
        <v>0.15678449258836943</v>
      </c>
      <c r="AE73" s="24">
        <v>110000</v>
      </c>
      <c r="AF73" s="53">
        <v>0.13878374968458237</v>
      </c>
      <c r="AG73" s="24">
        <v>110000</v>
      </c>
      <c r="AH73" s="53">
        <v>0.13878374968458237</v>
      </c>
      <c r="AI73" s="24">
        <v>110000</v>
      </c>
      <c r="AJ73" s="53">
        <v>0.13878374968458237</v>
      </c>
      <c r="AK73" s="24">
        <v>110000</v>
      </c>
      <c r="AL73" s="27">
        <v>7.2087028703744158E-2</v>
      </c>
      <c r="AM73" s="22"/>
      <c r="AN73" s="146"/>
      <c r="AO73" s="22"/>
      <c r="AP73" s="22"/>
      <c r="AQ73" s="22"/>
      <c r="AR73" s="22"/>
    </row>
    <row r="74" spans="1:44">
      <c r="B74" s="17"/>
      <c r="D74" s="101"/>
      <c r="E74" s="101"/>
      <c r="F74" s="76"/>
      <c r="G74" s="131"/>
      <c r="H74" s="76"/>
      <c r="I74" s="76"/>
      <c r="J74" s="81"/>
      <c r="M74" s="10"/>
      <c r="N74" s="11"/>
      <c r="O74" s="10"/>
      <c r="P74" s="22" t="str">
        <f>FS!B106</f>
        <v>현금의증감</v>
      </c>
      <c r="T74" s="22">
        <f>(FS!J106)/100</f>
        <v>15.211502102227605</v>
      </c>
      <c r="U74" s="22">
        <f>(FS!K106)/100</f>
        <v>319.96719194450981</v>
      </c>
      <c r="V74" s="22">
        <f>(FS!L106)/100</f>
        <v>763.01036086286831</v>
      </c>
      <c r="W74" s="22">
        <f>(FS!M106)/100</f>
        <v>1482.5487163351559</v>
      </c>
      <c r="X74" s="22">
        <f>(FS!N106)/100</f>
        <v>1589.7702852704754</v>
      </c>
      <c r="Y74" s="12"/>
      <c r="Z74" s="147" t="s">
        <v>1485</v>
      </c>
      <c r="AA74" s="24">
        <v>0</v>
      </c>
      <c r="AB74" s="53">
        <v>0</v>
      </c>
      <c r="AC74" s="24">
        <v>115000</v>
      </c>
      <c r="AD74" s="53">
        <v>0.16391106043329531</v>
      </c>
      <c r="AE74" s="24">
        <v>206000</v>
      </c>
      <c r="AF74" s="53">
        <v>0.25990411304567246</v>
      </c>
      <c r="AG74" s="24">
        <v>206000</v>
      </c>
      <c r="AH74" s="53">
        <v>0.25990411304567246</v>
      </c>
      <c r="AI74" s="24">
        <v>206000</v>
      </c>
      <c r="AJ74" s="53">
        <v>0.25990411304567246</v>
      </c>
      <c r="AK74" s="24">
        <v>206000</v>
      </c>
      <c r="AL74" s="27">
        <v>0.13499934466337543</v>
      </c>
    </row>
    <row r="75" spans="1:44" ht="11.4" thickBot="1">
      <c r="B75" s="17"/>
      <c r="D75" s="117"/>
      <c r="E75" s="117"/>
      <c r="F75" s="127"/>
      <c r="G75" s="132"/>
      <c r="H75" s="127"/>
      <c r="I75" s="127"/>
      <c r="J75" s="119"/>
      <c r="K75" s="30"/>
      <c r="M75" s="10"/>
      <c r="N75" s="11"/>
      <c r="O75" s="10"/>
      <c r="P75" s="35" t="str">
        <f>FS!B107</f>
        <v>기말현금</v>
      </c>
      <c r="Q75" s="36"/>
      <c r="R75" s="36"/>
      <c r="S75" s="36"/>
      <c r="T75" s="35">
        <f>(FS!J107)/100</f>
        <v>195.2115021022276</v>
      </c>
      <c r="U75" s="35">
        <f>(FS!K107)/100</f>
        <v>515.17869404673741</v>
      </c>
      <c r="V75" s="35">
        <f>(FS!L107)/100</f>
        <v>1278.1890549096058</v>
      </c>
      <c r="W75" s="35">
        <f>(FS!M107)/100</f>
        <v>2760.7377712447615</v>
      </c>
      <c r="X75" s="35">
        <f>(FS!N107)/100</f>
        <v>4350.5080565152366</v>
      </c>
      <c r="Y75" s="12"/>
      <c r="Z75" s="147" t="s">
        <v>1479</v>
      </c>
      <c r="AA75" s="24">
        <v>0</v>
      </c>
      <c r="AB75" s="54">
        <v>0</v>
      </c>
      <c r="AC75" s="24">
        <v>0</v>
      </c>
      <c r="AD75" s="54">
        <v>0</v>
      </c>
      <c r="AE75" s="24">
        <v>0</v>
      </c>
      <c r="AF75" s="54">
        <v>0</v>
      </c>
      <c r="AG75" s="24">
        <v>0</v>
      </c>
      <c r="AH75" s="54">
        <v>0</v>
      </c>
      <c r="AI75" s="24">
        <v>0</v>
      </c>
      <c r="AJ75" s="54">
        <v>0</v>
      </c>
      <c r="AK75" s="24">
        <v>500000</v>
      </c>
      <c r="AL75" s="55">
        <v>0.32766831228974619</v>
      </c>
    </row>
    <row r="76" spans="1:44">
      <c r="B76" s="17"/>
      <c r="D76" s="102">
        <v>3</v>
      </c>
      <c r="E76" s="102">
        <f>G59</f>
        <v>737</v>
      </c>
      <c r="F76" s="126"/>
      <c r="G76" s="126"/>
      <c r="H76" s="126"/>
      <c r="I76" s="126"/>
      <c r="J76" s="103">
        <f>SUM(J77:J81)</f>
        <v>17</v>
      </c>
      <c r="K76" s="125">
        <f>IF(SUM(K77:K81)&gt;144,"운항시간초과",SUM(K77:K81))</f>
        <v>117</v>
      </c>
      <c r="N76" s="11"/>
      <c r="O76" s="10"/>
      <c r="P76" s="22"/>
      <c r="Q76" s="22"/>
      <c r="R76" s="22"/>
      <c r="S76" s="22"/>
      <c r="T76" s="22"/>
      <c r="U76" s="22"/>
      <c r="V76" s="22"/>
      <c r="W76" s="22"/>
      <c r="X76" s="22"/>
      <c r="Y76" s="12"/>
      <c r="Z76" s="147" t="s">
        <v>1473</v>
      </c>
      <c r="AA76" s="24">
        <v>0</v>
      </c>
      <c r="AB76" s="54">
        <v>0</v>
      </c>
      <c r="AC76" s="24">
        <v>0</v>
      </c>
      <c r="AD76" s="54">
        <v>0</v>
      </c>
      <c r="AE76" s="24">
        <v>0</v>
      </c>
      <c r="AF76" s="54">
        <v>0</v>
      </c>
      <c r="AG76" s="24">
        <v>0</v>
      </c>
      <c r="AH76" s="54">
        <v>0</v>
      </c>
      <c r="AI76" s="24">
        <v>0</v>
      </c>
      <c r="AJ76" s="54">
        <v>0</v>
      </c>
      <c r="AK76" s="24">
        <v>233333.33333333334</v>
      </c>
      <c r="AL76" s="55">
        <v>0.15291187906854822</v>
      </c>
    </row>
    <row r="77" spans="1:44" ht="11.4" thickBot="1">
      <c r="B77" s="17"/>
      <c r="D77" s="101"/>
      <c r="E77" s="101">
        <f>E76</f>
        <v>737</v>
      </c>
      <c r="F77" s="76" t="s">
        <v>11</v>
      </c>
      <c r="G77" s="131" t="s">
        <v>26</v>
      </c>
      <c r="H77" s="76" t="str">
        <f>IF(I77="C1","국내","국제")</f>
        <v>국제</v>
      </c>
      <c r="I77" s="76" t="str">
        <f>VLOOKUP($G77, 노선정리!$E$5:$V$31, 18, FALSE)</f>
        <v>I2</v>
      </c>
      <c r="J77" s="81">
        <v>4</v>
      </c>
      <c r="K77" s="24">
        <f>노선구성!M86</f>
        <v>44</v>
      </c>
      <c r="N77" s="11"/>
      <c r="O77" s="10"/>
      <c r="Y77" s="12"/>
      <c r="Z77" s="148" t="s">
        <v>1480</v>
      </c>
      <c r="AA77" s="28">
        <v>386600</v>
      </c>
      <c r="AB77" s="56">
        <v>1</v>
      </c>
      <c r="AC77" s="28">
        <v>701600</v>
      </c>
      <c r="AD77" s="56">
        <v>1</v>
      </c>
      <c r="AE77" s="28">
        <v>792600</v>
      </c>
      <c r="AF77" s="56">
        <v>1</v>
      </c>
      <c r="AG77" s="28">
        <v>792600</v>
      </c>
      <c r="AH77" s="56">
        <v>1</v>
      </c>
      <c r="AI77" s="28">
        <v>792600</v>
      </c>
      <c r="AJ77" s="56">
        <v>1</v>
      </c>
      <c r="AK77" s="28">
        <v>1525933.3333333333</v>
      </c>
      <c r="AL77" s="57">
        <v>1</v>
      </c>
    </row>
    <row r="78" spans="1:44">
      <c r="B78" s="17"/>
      <c r="D78" s="101"/>
      <c r="E78" s="101">
        <f>E77</f>
        <v>737</v>
      </c>
      <c r="F78" s="76" t="s">
        <v>11</v>
      </c>
      <c r="G78" s="131" t="s">
        <v>28</v>
      </c>
      <c r="H78" s="76" t="str">
        <f>IF(I78="C1","국내","국제")</f>
        <v>국제</v>
      </c>
      <c r="I78" s="76" t="str">
        <f>VLOOKUP($G78, 노선정리!$E$5:$V$31, 18, FALSE)</f>
        <v>I3</v>
      </c>
      <c r="J78" s="81">
        <v>4</v>
      </c>
      <c r="K78" s="24">
        <f>노선구성!M87</f>
        <v>24</v>
      </c>
      <c r="N78" s="11"/>
      <c r="O78" s="10"/>
      <c r="Y78" s="12"/>
    </row>
    <row r="79" spans="1:44">
      <c r="B79" s="17"/>
      <c r="D79" s="101"/>
      <c r="E79" s="101">
        <f>E78</f>
        <v>737</v>
      </c>
      <c r="F79" s="76" t="s">
        <v>11</v>
      </c>
      <c r="G79" s="131" t="s">
        <v>31</v>
      </c>
      <c r="H79" s="76" t="str">
        <f>IF(I79="C1","국내","국제")</f>
        <v>국제</v>
      </c>
      <c r="I79" s="76" t="str">
        <f>VLOOKUP($G79, 노선정리!$E$5:$V$31, 18, FALSE)</f>
        <v>I4</v>
      </c>
      <c r="J79" s="81">
        <v>5</v>
      </c>
      <c r="K79" s="24">
        <f>노선구성!M88</f>
        <v>25</v>
      </c>
      <c r="N79" s="11"/>
      <c r="O79" s="10"/>
      <c r="Y79" s="12"/>
    </row>
    <row r="80" spans="1:44">
      <c r="B80" s="17"/>
      <c r="D80" s="101"/>
      <c r="E80" s="101">
        <f>E79</f>
        <v>737</v>
      </c>
      <c r="F80" s="76" t="s">
        <v>11</v>
      </c>
      <c r="G80" s="131" t="s">
        <v>33</v>
      </c>
      <c r="H80" s="76" t="str">
        <f>IF(I80="C1","국내","국제")</f>
        <v>국제</v>
      </c>
      <c r="I80" s="76" t="str">
        <f>VLOOKUP($G80, 노선정리!$E$5:$V$31, 18, FALSE)</f>
        <v>C5</v>
      </c>
      <c r="J80" s="81">
        <v>4</v>
      </c>
      <c r="K80" s="24">
        <f>노선구성!M89</f>
        <v>24</v>
      </c>
      <c r="N80" s="11"/>
      <c r="O80" s="10"/>
      <c r="Y80" s="12"/>
    </row>
    <row r="81" spans="2:29">
      <c r="B81" s="17"/>
      <c r="D81" s="30"/>
      <c r="E81" s="117"/>
      <c r="F81" s="127"/>
      <c r="G81" s="132"/>
      <c r="H81" s="127"/>
      <c r="I81" s="127"/>
      <c r="J81" s="119"/>
      <c r="K81" s="30"/>
      <c r="N81" s="11"/>
      <c r="O81" s="10"/>
      <c r="Y81" s="12"/>
    </row>
    <row r="82" spans="2:29">
      <c r="B82" s="17"/>
      <c r="D82" s="102">
        <v>4</v>
      </c>
      <c r="E82" s="102">
        <f>G60</f>
        <v>767</v>
      </c>
      <c r="F82" s="126"/>
      <c r="G82" s="126"/>
      <c r="H82" s="126"/>
      <c r="I82" s="126"/>
      <c r="J82" s="103">
        <f>SUM(J83:J87)</f>
        <v>7</v>
      </c>
      <c r="K82" s="125">
        <f>IF(SUM(K83:K87)&gt;144,"운항시간초과",SUM(K83:K87))</f>
        <v>98</v>
      </c>
      <c r="M82" s="10"/>
      <c r="N82" s="11"/>
      <c r="O82" s="10"/>
      <c r="Y82" s="12"/>
    </row>
    <row r="83" spans="2:29">
      <c r="B83" s="17"/>
      <c r="D83" s="101"/>
      <c r="E83" s="101">
        <f>E82</f>
        <v>767</v>
      </c>
      <c r="F83" s="76" t="s">
        <v>11</v>
      </c>
      <c r="G83" s="131" t="s">
        <v>51</v>
      </c>
      <c r="H83" s="76" t="str">
        <f>IF(I83="C1","국내","국제")</f>
        <v>국제</v>
      </c>
      <c r="I83" s="76" t="str">
        <f>VLOOKUP($G83, 노선정리!$E$5:$V$31, 18, FALSE)</f>
        <v>I9</v>
      </c>
      <c r="J83" s="81">
        <v>7</v>
      </c>
      <c r="K83" s="24">
        <f>노선구성!M92</f>
        <v>98</v>
      </c>
      <c r="M83" s="10"/>
      <c r="N83" s="11"/>
      <c r="O83" s="10"/>
      <c r="Y83" s="12"/>
    </row>
    <row r="84" spans="2:29">
      <c r="B84" s="17"/>
      <c r="D84" s="101"/>
      <c r="E84" s="101"/>
      <c r="F84" s="76"/>
      <c r="G84" s="131"/>
      <c r="H84" s="76"/>
      <c r="I84" s="76"/>
      <c r="J84" s="81"/>
      <c r="M84" s="10"/>
      <c r="N84" s="11"/>
      <c r="O84" s="10"/>
      <c r="Y84" s="12"/>
    </row>
    <row r="85" spans="2:29">
      <c r="B85" s="17"/>
      <c r="D85" s="101"/>
      <c r="E85" s="101"/>
      <c r="F85" s="76"/>
      <c r="G85" s="131"/>
      <c r="H85" s="76"/>
      <c r="I85" s="76"/>
      <c r="J85" s="81"/>
      <c r="M85" s="10"/>
      <c r="N85" s="11"/>
      <c r="O85" s="10"/>
      <c r="Y85" s="12"/>
    </row>
    <row r="86" spans="2:29">
      <c r="B86" s="17"/>
      <c r="D86" s="101"/>
      <c r="E86" s="101"/>
      <c r="F86" s="76"/>
      <c r="G86" s="131"/>
      <c r="H86" s="76"/>
      <c r="I86" s="76"/>
      <c r="J86" s="81"/>
      <c r="M86" s="10"/>
      <c r="N86" s="11"/>
      <c r="O86" s="10"/>
      <c r="Y86" s="12"/>
    </row>
    <row r="87" spans="2:29">
      <c r="B87" s="17"/>
      <c r="D87" s="30"/>
      <c r="E87" s="117"/>
      <c r="F87" s="127"/>
      <c r="G87" s="132"/>
      <c r="H87" s="127"/>
      <c r="I87" s="127"/>
      <c r="J87" s="119"/>
      <c r="K87" s="30"/>
      <c r="M87" s="10"/>
      <c r="N87" s="11"/>
      <c r="O87" s="10"/>
      <c r="Y87" s="12"/>
    </row>
    <row r="88" spans="2:29">
      <c r="B88" s="17"/>
      <c r="D88" s="102">
        <v>5</v>
      </c>
      <c r="E88" s="102">
        <f>G61</f>
        <v>737</v>
      </c>
      <c r="F88" s="126"/>
      <c r="G88" s="126"/>
      <c r="H88" s="126"/>
      <c r="I88" s="126"/>
      <c r="J88" s="103">
        <f>SUM(J89:J93)</f>
        <v>10</v>
      </c>
      <c r="K88" s="125">
        <f>IF(SUM(K89:K93)&gt;144,"운항시간초과",SUM(K89:K93))</f>
        <v>100</v>
      </c>
      <c r="M88" s="10"/>
      <c r="N88" s="11"/>
      <c r="O88" s="10"/>
      <c r="Y88" s="12"/>
    </row>
    <row r="89" spans="2:29">
      <c r="B89" s="17"/>
      <c r="D89" s="101"/>
      <c r="E89" s="101">
        <f>E88</f>
        <v>737</v>
      </c>
      <c r="F89" s="76" t="s">
        <v>11</v>
      </c>
      <c r="G89" s="131" t="s">
        <v>36</v>
      </c>
      <c r="H89" s="76" t="str">
        <f>IF(I89="C1","국내","국제")</f>
        <v>국제</v>
      </c>
      <c r="I89" s="76" t="str">
        <f>VLOOKUP($G89, 노선정리!$E$5:$V$31, 18, FALSE)</f>
        <v>C7</v>
      </c>
      <c r="J89" s="81">
        <v>5</v>
      </c>
      <c r="K89" s="24">
        <f>노선구성!M98</f>
        <v>50</v>
      </c>
      <c r="M89" s="10"/>
      <c r="N89" s="11"/>
      <c r="O89" s="10"/>
      <c r="Y89" s="12"/>
    </row>
    <row r="90" spans="2:29">
      <c r="B90" s="17"/>
      <c r="D90" s="101"/>
      <c r="E90" s="101">
        <f>E89</f>
        <v>737</v>
      </c>
      <c r="F90" s="76" t="s">
        <v>11</v>
      </c>
      <c r="G90" s="131" t="s">
        <v>39</v>
      </c>
      <c r="H90" s="76" t="str">
        <f>IF(I90="C1","국내","국제")</f>
        <v>국제</v>
      </c>
      <c r="I90" s="76" t="str">
        <f>VLOOKUP($G90, 노선정리!$E$5:$V$31, 18, FALSE)</f>
        <v>C8</v>
      </c>
      <c r="J90" s="81">
        <v>5</v>
      </c>
      <c r="K90" s="24">
        <f>노선구성!M99</f>
        <v>50</v>
      </c>
      <c r="M90" s="10"/>
      <c r="N90" s="11"/>
      <c r="O90" s="10"/>
      <c r="Y90" s="12"/>
      <c r="Z90" s="12"/>
      <c r="AA90" s="12"/>
      <c r="AB90" s="12"/>
      <c r="AC90" s="12"/>
    </row>
    <row r="91" spans="2:29">
      <c r="B91" s="17"/>
      <c r="D91" s="101"/>
      <c r="E91" s="101"/>
      <c r="F91" s="76"/>
      <c r="G91" s="131"/>
      <c r="H91" s="76"/>
      <c r="I91" s="76"/>
      <c r="J91" s="81"/>
      <c r="M91" s="10"/>
      <c r="N91" s="11"/>
      <c r="O91" s="10"/>
      <c r="Y91" s="12"/>
      <c r="Z91" s="12"/>
      <c r="AA91" s="12"/>
      <c r="AB91" s="12"/>
      <c r="AC91" s="12"/>
    </row>
    <row r="92" spans="2:29">
      <c r="B92" s="17"/>
      <c r="D92" s="101"/>
      <c r="E92" s="101"/>
      <c r="F92" s="76"/>
      <c r="G92" s="131"/>
      <c r="H92" s="76"/>
      <c r="I92" s="76"/>
      <c r="J92" s="81"/>
      <c r="M92" s="10"/>
      <c r="N92" s="11"/>
      <c r="O92" s="10"/>
      <c r="Y92" s="12"/>
      <c r="Z92" s="12"/>
      <c r="AA92" s="12"/>
      <c r="AB92" s="12"/>
      <c r="AC92" s="12"/>
    </row>
    <row r="93" spans="2:29">
      <c r="B93" s="17"/>
      <c r="D93" s="30"/>
      <c r="E93" s="117"/>
      <c r="F93" s="127"/>
      <c r="G93" s="132"/>
      <c r="H93" s="127"/>
      <c r="I93" s="127"/>
      <c r="J93" s="119"/>
      <c r="K93" s="30"/>
      <c r="M93" s="10"/>
      <c r="N93" s="11"/>
      <c r="O93" s="10"/>
      <c r="Y93" s="12"/>
      <c r="Z93" s="12"/>
      <c r="AA93" s="12"/>
      <c r="AB93" s="12"/>
      <c r="AC93" s="12"/>
    </row>
    <row r="94" spans="2:29">
      <c r="B94" s="17"/>
      <c r="C94" s="17"/>
      <c r="D94" s="102">
        <v>6</v>
      </c>
      <c r="E94" s="102">
        <f>J57</f>
        <v>767</v>
      </c>
      <c r="F94" s="126"/>
      <c r="G94" s="126"/>
      <c r="H94" s="126"/>
      <c r="I94" s="126"/>
      <c r="J94" s="103">
        <f>SUM(J95:J99)</f>
        <v>6</v>
      </c>
      <c r="K94" s="125">
        <f>IF(SUM(K95:K99)&gt;144,"운항시간초과",SUM(K95:K99))</f>
        <v>111</v>
      </c>
      <c r="L94" s="22"/>
      <c r="M94" s="10"/>
      <c r="N94" s="11"/>
      <c r="O94" s="10"/>
      <c r="Y94" s="12"/>
      <c r="Z94" s="12"/>
      <c r="AA94" s="12"/>
      <c r="AB94" s="12"/>
      <c r="AC94" s="12"/>
    </row>
    <row r="95" spans="2:29">
      <c r="B95" s="17"/>
      <c r="C95" s="22"/>
      <c r="D95" s="101"/>
      <c r="E95" s="101">
        <f>E94</f>
        <v>767</v>
      </c>
      <c r="F95" s="76" t="s">
        <v>11</v>
      </c>
      <c r="G95" s="131" t="s">
        <v>54</v>
      </c>
      <c r="H95" s="76" t="str">
        <f>IF(I95="C1","국내","국제")</f>
        <v>국제</v>
      </c>
      <c r="I95" s="76" t="str">
        <f>VLOOKUP($G95, 노선정리!$E$5:$V$31, 18, FALSE)</f>
        <v>I10</v>
      </c>
      <c r="J95" s="81">
        <v>3</v>
      </c>
      <c r="K95" s="24">
        <f>노선구성!M104</f>
        <v>48</v>
      </c>
      <c r="L95" s="22"/>
      <c r="M95" s="10"/>
      <c r="N95" s="11"/>
      <c r="O95" s="10"/>
      <c r="Y95" s="12"/>
      <c r="Z95" s="12"/>
      <c r="AA95" s="12"/>
      <c r="AB95" s="12"/>
      <c r="AC95" s="12"/>
    </row>
    <row r="96" spans="2:29">
      <c r="B96" s="17"/>
      <c r="C96" s="17"/>
      <c r="D96" s="101"/>
      <c r="E96" s="101">
        <f>E95</f>
        <v>767</v>
      </c>
      <c r="F96" s="76" t="s">
        <v>11</v>
      </c>
      <c r="G96" s="131" t="s">
        <v>60</v>
      </c>
      <c r="H96" s="76" t="str">
        <f>IF(I96="C1","국내","국제")</f>
        <v>국제</v>
      </c>
      <c r="I96" s="76" t="str">
        <f>VLOOKUP($G96, 노선정리!$E$5:$V$31, 18, FALSE)</f>
        <v>I12</v>
      </c>
      <c r="J96" s="81">
        <v>3</v>
      </c>
      <c r="K96" s="24">
        <f>노선구성!M105</f>
        <v>63</v>
      </c>
      <c r="M96" s="10"/>
      <c r="N96" s="11"/>
      <c r="O96" s="10"/>
      <c r="Y96" s="12"/>
      <c r="Z96" s="12"/>
      <c r="AA96" s="12"/>
      <c r="AB96" s="12"/>
      <c r="AC96" s="12"/>
    </row>
    <row r="97" spans="2:29">
      <c r="B97" s="17"/>
      <c r="C97" s="17"/>
      <c r="D97" s="101"/>
      <c r="E97" s="101"/>
      <c r="F97" s="76"/>
      <c r="G97" s="131"/>
      <c r="H97" s="76"/>
      <c r="I97" s="76"/>
      <c r="J97" s="81"/>
      <c r="M97" s="10"/>
      <c r="N97" s="11"/>
      <c r="O97" s="10"/>
      <c r="Y97" s="12"/>
      <c r="Z97" s="12"/>
      <c r="AA97" s="12"/>
      <c r="AB97" s="12"/>
      <c r="AC97" s="12"/>
    </row>
    <row r="98" spans="2:29">
      <c r="B98" s="17"/>
      <c r="D98" s="101"/>
      <c r="E98" s="101"/>
      <c r="F98" s="76"/>
      <c r="G98" s="131"/>
      <c r="H98" s="76"/>
      <c r="I98" s="76"/>
      <c r="J98" s="81"/>
      <c r="L98" s="9"/>
      <c r="M98" s="10"/>
      <c r="N98" s="11"/>
      <c r="O98" s="10"/>
      <c r="Y98" s="12"/>
      <c r="Z98" s="12"/>
      <c r="AA98" s="12"/>
      <c r="AB98" s="12"/>
      <c r="AC98" s="12"/>
    </row>
    <row r="99" spans="2:29">
      <c r="B99" s="17"/>
      <c r="D99" s="117"/>
      <c r="E99" s="117"/>
      <c r="F99" s="127"/>
      <c r="G99" s="132"/>
      <c r="H99" s="127"/>
      <c r="I99" s="127"/>
      <c r="J99" s="119"/>
      <c r="K99" s="30"/>
      <c r="L99" s="9"/>
      <c r="M99" s="10"/>
      <c r="N99" s="11"/>
      <c r="O99" s="10"/>
      <c r="Y99" s="12"/>
      <c r="Z99" s="12"/>
      <c r="AA99" s="12"/>
      <c r="AB99" s="12"/>
      <c r="AC99" s="12"/>
    </row>
    <row r="100" spans="2:29">
      <c r="B100" s="17"/>
      <c r="D100" s="102">
        <v>7</v>
      </c>
      <c r="E100" s="102">
        <f>J58</f>
        <v>737</v>
      </c>
      <c r="F100" s="126"/>
      <c r="G100" s="126"/>
      <c r="H100" s="126"/>
      <c r="I100" s="126"/>
      <c r="J100" s="103">
        <f>SUM(J101:J105)</f>
        <v>9</v>
      </c>
      <c r="K100" s="125">
        <f>IF(SUM(K101:K105)&gt;144,"운항시간초과",SUM(K101:K105))</f>
        <v>99</v>
      </c>
      <c r="M100" s="10"/>
      <c r="N100" s="11"/>
      <c r="O100" s="10"/>
      <c r="Y100" s="12"/>
      <c r="Z100" s="12"/>
      <c r="AA100" s="12"/>
      <c r="AB100" s="12"/>
      <c r="AC100" s="12"/>
    </row>
    <row r="101" spans="2:29">
      <c r="B101" s="17"/>
      <c r="D101" s="101"/>
      <c r="E101" s="101">
        <f>E100</f>
        <v>737</v>
      </c>
      <c r="F101" s="76" t="s">
        <v>11</v>
      </c>
      <c r="G101" s="131" t="s">
        <v>41</v>
      </c>
      <c r="H101" s="76" t="str">
        <f>IF(I101="C1","국내","국제")</f>
        <v>국제</v>
      </c>
      <c r="I101" s="76" t="str">
        <f>VLOOKUP($G101, 노선정리!$E$5:$V$31, 18, FALSE)</f>
        <v>I5</v>
      </c>
      <c r="J101" s="81">
        <v>9</v>
      </c>
      <c r="K101" s="24">
        <f>노선구성!M110</f>
        <v>99</v>
      </c>
      <c r="M101" s="10"/>
      <c r="N101" s="11"/>
      <c r="O101" s="10"/>
      <c r="Y101" s="12"/>
      <c r="Z101" s="12"/>
      <c r="AA101" s="12"/>
      <c r="AB101" s="12"/>
      <c r="AC101" s="12"/>
    </row>
    <row r="102" spans="2:29">
      <c r="B102" s="17"/>
      <c r="D102" s="101"/>
      <c r="E102" s="101"/>
      <c r="F102" s="76"/>
      <c r="G102" s="131"/>
      <c r="H102" s="76"/>
      <c r="I102" s="76"/>
      <c r="J102" s="81"/>
      <c r="M102" s="10"/>
      <c r="N102" s="11"/>
      <c r="O102" s="10"/>
      <c r="Y102" s="12"/>
      <c r="Z102" s="12"/>
      <c r="AA102" s="12"/>
      <c r="AB102" s="12"/>
      <c r="AC102" s="12"/>
    </row>
    <row r="103" spans="2:29">
      <c r="B103" s="17"/>
      <c r="D103" s="101"/>
      <c r="E103" s="101"/>
      <c r="F103" s="76"/>
      <c r="G103" s="131"/>
      <c r="H103" s="76"/>
      <c r="I103" s="76"/>
      <c r="J103" s="81"/>
      <c r="M103" s="10"/>
      <c r="N103" s="11"/>
      <c r="O103" s="10"/>
      <c r="Y103" s="12"/>
      <c r="Z103" s="12"/>
      <c r="AA103" s="12"/>
      <c r="AB103" s="12"/>
      <c r="AC103" s="12"/>
    </row>
    <row r="104" spans="2:29">
      <c r="B104" s="17"/>
      <c r="D104" s="101"/>
      <c r="E104" s="101"/>
      <c r="F104" s="76"/>
      <c r="G104" s="131"/>
      <c r="H104" s="76"/>
      <c r="I104" s="76"/>
      <c r="J104" s="81"/>
      <c r="M104" s="10"/>
      <c r="N104" s="11"/>
      <c r="O104" s="10"/>
      <c r="Y104" s="12"/>
      <c r="Z104" s="12"/>
      <c r="AA104" s="12"/>
      <c r="AB104" s="12"/>
      <c r="AC104" s="12"/>
    </row>
    <row r="105" spans="2:29">
      <c r="B105" s="17"/>
      <c r="D105" s="30"/>
      <c r="E105" s="117"/>
      <c r="F105" s="127"/>
      <c r="G105" s="132"/>
      <c r="H105" s="127"/>
      <c r="I105" s="127"/>
      <c r="J105" s="119"/>
      <c r="K105" s="30"/>
      <c r="M105" s="10"/>
      <c r="N105" s="11"/>
      <c r="O105" s="10"/>
      <c r="P105" s="22"/>
      <c r="Q105" s="22"/>
      <c r="Y105" s="12"/>
      <c r="Z105" s="12"/>
      <c r="AA105" s="12"/>
      <c r="AB105" s="12"/>
      <c r="AC105" s="12"/>
    </row>
    <row r="106" spans="2:29">
      <c r="B106" s="17"/>
      <c r="D106" s="102">
        <v>8</v>
      </c>
      <c r="E106" s="102">
        <f>J59</f>
        <v>767</v>
      </c>
      <c r="F106" s="126"/>
      <c r="G106" s="126"/>
      <c r="H106" s="126"/>
      <c r="I106" s="126"/>
      <c r="J106" s="103">
        <f>SUM(J107:J111)</f>
        <v>10</v>
      </c>
      <c r="K106" s="125">
        <f>IF(SUM(K107:K111)&gt;144,"운항시간초과",SUM(K107:K111))</f>
        <v>95</v>
      </c>
      <c r="M106" s="10"/>
      <c r="N106" s="11"/>
      <c r="O106" s="10"/>
      <c r="P106" s="22"/>
      <c r="Q106" s="22"/>
      <c r="Y106" s="12"/>
      <c r="Z106" s="12"/>
      <c r="AA106" s="12"/>
      <c r="AB106" s="12"/>
      <c r="AC106" s="12"/>
    </row>
    <row r="107" spans="2:29">
      <c r="B107" s="17"/>
      <c r="D107" s="101"/>
      <c r="E107" s="101">
        <f t="shared" ref="E107:E108" si="12">E106</f>
        <v>767</v>
      </c>
      <c r="F107" s="76" t="s">
        <v>11</v>
      </c>
      <c r="G107" s="131" t="s">
        <v>48</v>
      </c>
      <c r="H107" s="76" t="str">
        <f t="shared" ref="H107" si="13">IF(I107="C1","국내","국제")</f>
        <v>국제</v>
      </c>
      <c r="I107" s="76" t="str">
        <f>VLOOKUP($G107, 노선정리!$E$5:$V$31, 18, FALSE)</f>
        <v>I8</v>
      </c>
      <c r="J107" s="81">
        <v>5</v>
      </c>
      <c r="K107" s="24">
        <f>노선구성!M116</f>
        <v>50</v>
      </c>
      <c r="M107" s="10"/>
      <c r="N107" s="11"/>
      <c r="O107" s="10"/>
      <c r="Y107" s="12"/>
      <c r="Z107" s="12"/>
      <c r="AA107" s="12"/>
      <c r="AB107" s="12"/>
      <c r="AC107" s="12"/>
    </row>
    <row r="108" spans="2:29">
      <c r="B108" s="17"/>
      <c r="D108" s="101"/>
      <c r="E108" s="101">
        <f t="shared" si="12"/>
        <v>767</v>
      </c>
      <c r="F108" s="76" t="s">
        <v>11</v>
      </c>
      <c r="G108" s="131" t="s">
        <v>1080</v>
      </c>
      <c r="H108" s="76" t="str">
        <f t="shared" ref="H108" si="14">IF(I108="C1","국내","국제")</f>
        <v>국제</v>
      </c>
      <c r="I108" s="76" t="str">
        <f>VLOOKUP($G108, 노선정리!$E$5:$V$31, 18, FALSE)</f>
        <v>I15</v>
      </c>
      <c r="J108" s="81">
        <v>5</v>
      </c>
      <c r="K108" s="24">
        <f>노선구성!M117</f>
        <v>45</v>
      </c>
      <c r="M108" s="10"/>
      <c r="N108" s="11"/>
      <c r="O108" s="10"/>
      <c r="Y108" s="12"/>
      <c r="Z108" s="12"/>
      <c r="AA108" s="12"/>
      <c r="AB108" s="12"/>
      <c r="AC108" s="12"/>
    </row>
    <row r="109" spans="2:29">
      <c r="B109" s="17"/>
      <c r="D109" s="101"/>
      <c r="E109" s="101"/>
      <c r="F109" s="76"/>
      <c r="G109" s="131"/>
      <c r="H109" s="76"/>
      <c r="I109" s="76"/>
      <c r="J109" s="81"/>
      <c r="M109" s="10"/>
      <c r="N109" s="11"/>
      <c r="O109" s="10"/>
      <c r="Y109" s="12"/>
      <c r="Z109" s="12"/>
      <c r="AA109" s="12"/>
      <c r="AB109" s="12"/>
      <c r="AC109" s="12"/>
    </row>
    <row r="110" spans="2:29">
      <c r="B110" s="17"/>
      <c r="D110" s="101"/>
      <c r="E110" s="101"/>
      <c r="F110" s="76"/>
      <c r="G110" s="131"/>
      <c r="H110" s="76"/>
      <c r="I110" s="76"/>
      <c r="J110" s="81"/>
      <c r="M110" s="10"/>
      <c r="N110" s="11"/>
      <c r="O110" s="10"/>
      <c r="Y110" s="12"/>
      <c r="Z110" s="12"/>
      <c r="AA110" s="12"/>
      <c r="AB110" s="12"/>
      <c r="AC110" s="12"/>
    </row>
    <row r="111" spans="2:29">
      <c r="B111" s="17"/>
      <c r="D111" s="117"/>
      <c r="E111" s="117"/>
      <c r="F111" s="127"/>
      <c r="G111" s="132"/>
      <c r="H111" s="127"/>
      <c r="I111" s="127"/>
      <c r="J111" s="119"/>
      <c r="K111" s="30"/>
      <c r="M111" s="10"/>
      <c r="N111" s="11"/>
      <c r="O111" s="10"/>
      <c r="Y111" s="12"/>
      <c r="Z111" s="12"/>
      <c r="AA111" s="12"/>
      <c r="AB111" s="12"/>
      <c r="AC111" s="12"/>
    </row>
    <row r="112" spans="2:29">
      <c r="B112" s="17"/>
      <c r="D112" s="102">
        <v>9</v>
      </c>
      <c r="E112" s="102">
        <f>J60</f>
        <v>767</v>
      </c>
      <c r="F112" s="126"/>
      <c r="G112" s="126"/>
      <c r="H112" s="126"/>
      <c r="I112" s="126"/>
      <c r="J112" s="103">
        <f>SUM(J113:J117)</f>
        <v>4</v>
      </c>
      <c r="K112" s="125">
        <f>IF(SUM(K113:K117)&gt;144,"운항시간초과",SUM(K113:K117))</f>
        <v>88</v>
      </c>
      <c r="M112" s="10"/>
      <c r="N112" s="11"/>
      <c r="O112" s="10"/>
      <c r="Y112" s="12"/>
      <c r="Z112" s="12"/>
      <c r="AA112" s="12"/>
      <c r="AB112" s="12"/>
      <c r="AC112" s="12"/>
    </row>
    <row r="113" spans="1:29">
      <c r="B113" s="17"/>
      <c r="D113" s="101"/>
      <c r="E113" s="101">
        <f>E112</f>
        <v>767</v>
      </c>
      <c r="F113" s="76" t="s">
        <v>11</v>
      </c>
      <c r="G113" s="131" t="s">
        <v>1463</v>
      </c>
      <c r="H113" s="76" t="str">
        <f>IF(I113="C1","국내","국제")</f>
        <v>국제</v>
      </c>
      <c r="I113" s="76" t="str">
        <f>VLOOKUP($G113, 노선정리!$E$5:$V$31, 18, FALSE)</f>
        <v>I18</v>
      </c>
      <c r="J113" s="81">
        <v>4</v>
      </c>
      <c r="K113" s="24">
        <f>노선구성!M122</f>
        <v>88</v>
      </c>
      <c r="M113" s="10"/>
      <c r="N113" s="11"/>
      <c r="O113" s="10"/>
      <c r="Y113" s="12"/>
      <c r="Z113" s="12"/>
      <c r="AA113" s="12"/>
      <c r="AB113" s="12"/>
      <c r="AC113" s="12"/>
    </row>
    <row r="114" spans="1:29">
      <c r="B114" s="17"/>
      <c r="D114" s="101"/>
      <c r="E114" s="101"/>
      <c r="F114" s="76"/>
      <c r="G114" s="131"/>
      <c r="H114" s="76"/>
      <c r="I114" s="76"/>
      <c r="J114" s="81"/>
      <c r="M114" s="10"/>
      <c r="N114" s="11"/>
      <c r="O114" s="10"/>
      <c r="Y114" s="12"/>
      <c r="Z114" s="12"/>
      <c r="AA114" s="12"/>
      <c r="AB114" s="12"/>
      <c r="AC114" s="12"/>
    </row>
    <row r="115" spans="1:29">
      <c r="B115" s="17"/>
      <c r="D115" s="101"/>
      <c r="E115" s="101"/>
      <c r="F115" s="76"/>
      <c r="G115" s="131"/>
      <c r="H115" s="76"/>
      <c r="I115" s="76"/>
      <c r="J115" s="81"/>
      <c r="M115" s="10"/>
      <c r="N115" s="11"/>
      <c r="O115" s="10"/>
      <c r="Y115" s="12"/>
      <c r="Z115" s="12"/>
      <c r="AA115" s="12"/>
      <c r="AB115" s="12"/>
      <c r="AC115" s="12"/>
    </row>
    <row r="116" spans="1:29">
      <c r="B116" s="17"/>
      <c r="D116" s="101"/>
      <c r="E116" s="101"/>
      <c r="F116" s="76"/>
      <c r="G116" s="131"/>
      <c r="H116" s="76"/>
      <c r="I116" s="76"/>
      <c r="J116" s="81"/>
      <c r="M116" s="10"/>
      <c r="N116" s="11"/>
      <c r="O116" s="10"/>
      <c r="Y116" s="12"/>
      <c r="Z116" s="12"/>
      <c r="AA116" s="12"/>
      <c r="AB116" s="12"/>
      <c r="AC116" s="12"/>
    </row>
    <row r="117" spans="1:29">
      <c r="B117" s="17"/>
      <c r="D117" s="30"/>
      <c r="E117" s="117"/>
      <c r="F117" s="127"/>
      <c r="G117" s="132"/>
      <c r="H117" s="127"/>
      <c r="I117" s="127"/>
      <c r="J117" s="119"/>
      <c r="K117" s="30"/>
      <c r="M117" s="10"/>
      <c r="N117" s="11"/>
      <c r="O117" s="10"/>
      <c r="Y117" s="12"/>
      <c r="Z117" s="12"/>
      <c r="AA117" s="12"/>
      <c r="AB117" s="12"/>
      <c r="AC117" s="12"/>
    </row>
    <row r="118" spans="1:29">
      <c r="B118" s="17"/>
      <c r="D118" s="102">
        <v>10</v>
      </c>
      <c r="E118" s="102">
        <f>J61</f>
        <v>767</v>
      </c>
      <c r="F118" s="126"/>
      <c r="G118" s="126"/>
      <c r="H118" s="126"/>
      <c r="I118" s="126"/>
      <c r="J118" s="103">
        <f>SUM(J119:J123)</f>
        <v>8</v>
      </c>
      <c r="K118" s="125">
        <f>IF(SUM(K119:K123)&gt;144,"운항시간초과",SUM(K119:K123))</f>
        <v>100.8</v>
      </c>
      <c r="M118" s="10"/>
      <c r="N118" s="11"/>
      <c r="O118" s="10"/>
      <c r="Y118" s="12"/>
      <c r="Z118" s="12"/>
      <c r="AA118" s="12"/>
      <c r="AB118" s="12"/>
      <c r="AC118" s="12"/>
    </row>
    <row r="119" spans="1:29">
      <c r="B119" s="17"/>
      <c r="D119" s="101"/>
      <c r="E119" s="101">
        <f>E118</f>
        <v>767</v>
      </c>
      <c r="F119" s="76" t="s">
        <v>11</v>
      </c>
      <c r="G119" s="131" t="s">
        <v>1452</v>
      </c>
      <c r="H119" s="76" t="str">
        <f>IF(I119="C1","국내","국제")</f>
        <v>국제</v>
      </c>
      <c r="I119" s="76" t="str">
        <f>VLOOKUP($G119, 노선정리!$E$5:$V$31, 18, FALSE)</f>
        <v>I16</v>
      </c>
      <c r="J119" s="81">
        <v>4</v>
      </c>
      <c r="K119" s="24">
        <f>노선구성!M128</f>
        <v>58.4</v>
      </c>
      <c r="M119" s="10"/>
      <c r="N119" s="11"/>
      <c r="O119" s="10"/>
      <c r="Y119" s="12"/>
      <c r="Z119" s="12"/>
      <c r="AA119" s="12"/>
      <c r="AB119" s="12"/>
      <c r="AC119" s="12"/>
    </row>
    <row r="120" spans="1:29">
      <c r="B120" s="17"/>
      <c r="D120" s="101"/>
      <c r="E120" s="101">
        <f>E119</f>
        <v>767</v>
      </c>
      <c r="F120" s="76" t="s">
        <v>11</v>
      </c>
      <c r="G120" s="131" t="s">
        <v>1453</v>
      </c>
      <c r="H120" s="76" t="str">
        <f>IF(I120="C1","국내","국제")</f>
        <v>국제</v>
      </c>
      <c r="I120" s="76" t="str">
        <f>VLOOKUP($G120, 노선정리!$E$5:$V$31, 18, FALSE)</f>
        <v>I17</v>
      </c>
      <c r="J120" s="81">
        <v>4</v>
      </c>
      <c r="K120" s="24">
        <f>노선구성!M129</f>
        <v>42.4</v>
      </c>
      <c r="M120" s="10"/>
      <c r="N120" s="11"/>
      <c r="O120" s="10"/>
      <c r="Y120" s="12"/>
      <c r="Z120" s="12"/>
      <c r="AA120" s="12"/>
      <c r="AB120" s="12"/>
      <c r="AC120" s="12"/>
    </row>
    <row r="121" spans="1:29">
      <c r="B121" s="17"/>
      <c r="D121" s="101"/>
      <c r="E121" s="101"/>
      <c r="F121" s="76"/>
      <c r="G121" s="131"/>
      <c r="H121" s="76"/>
      <c r="I121" s="76"/>
      <c r="J121" s="81"/>
      <c r="M121" s="10"/>
      <c r="N121" s="11"/>
      <c r="O121" s="10"/>
      <c r="Y121" s="12"/>
      <c r="Z121" s="12"/>
      <c r="AA121" s="12"/>
      <c r="AB121" s="12"/>
      <c r="AC121" s="12"/>
    </row>
    <row r="122" spans="1:29">
      <c r="B122" s="17"/>
      <c r="D122" s="101"/>
      <c r="E122" s="101"/>
      <c r="F122" s="76"/>
      <c r="G122" s="131"/>
      <c r="H122" s="76"/>
      <c r="I122" s="76"/>
      <c r="J122" s="81"/>
      <c r="M122" s="10"/>
      <c r="N122" s="11"/>
      <c r="O122" s="10"/>
      <c r="Y122" s="12"/>
      <c r="Z122" s="12"/>
      <c r="AA122" s="12"/>
      <c r="AB122" s="12"/>
      <c r="AC122" s="12"/>
    </row>
    <row r="123" spans="1:29" ht="11.4" thickBot="1">
      <c r="B123" s="17"/>
      <c r="D123" s="37"/>
      <c r="E123" s="129"/>
      <c r="F123" s="128"/>
      <c r="G123" s="133"/>
      <c r="H123" s="128"/>
      <c r="I123" s="128"/>
      <c r="J123" s="120"/>
      <c r="K123" s="37"/>
      <c r="M123" s="10"/>
      <c r="N123" s="11"/>
      <c r="O123" s="10"/>
      <c r="Y123" s="12"/>
      <c r="Z123" s="12"/>
      <c r="AA123" s="12"/>
      <c r="AB123" s="12"/>
      <c r="AC123" s="12"/>
    </row>
    <row r="124" spans="1:29">
      <c r="A124" s="32"/>
      <c r="B124" s="17"/>
      <c r="M124" s="10"/>
      <c r="N124" s="11"/>
      <c r="O124" s="10"/>
      <c r="Y124" s="12"/>
      <c r="Z124" s="12"/>
      <c r="AA124" s="12"/>
      <c r="AB124" s="12"/>
      <c r="AC124" s="12"/>
    </row>
    <row r="125" spans="1:29">
      <c r="A125" s="22"/>
      <c r="B125" s="17"/>
      <c r="C125" s="62" t="s">
        <v>1039</v>
      </c>
      <c r="D125" s="8"/>
      <c r="E125" s="9"/>
      <c r="F125" s="9"/>
      <c r="G125" s="9"/>
      <c r="H125" s="9"/>
      <c r="I125" s="9"/>
      <c r="J125" s="9"/>
      <c r="K125" s="9"/>
      <c r="L125" s="9"/>
      <c r="M125" s="10"/>
      <c r="N125" s="11"/>
      <c r="O125" s="10"/>
      <c r="Y125" s="12"/>
      <c r="Z125" s="12"/>
      <c r="AA125" s="12"/>
      <c r="AB125" s="12"/>
      <c r="AC125" s="12"/>
    </row>
    <row r="126" spans="1:29" ht="11.4" thickBot="1">
      <c r="A126" s="22"/>
      <c r="B126" s="17"/>
      <c r="C126" s="17"/>
      <c r="D126" s="59"/>
      <c r="E126" s="60"/>
      <c r="F126" s="60"/>
      <c r="G126" s="60"/>
      <c r="H126" s="60"/>
      <c r="I126" s="60"/>
      <c r="J126" s="60"/>
      <c r="K126" s="60"/>
      <c r="L126" s="60"/>
      <c r="M126" s="10"/>
      <c r="N126" s="11"/>
      <c r="O126" s="10"/>
      <c r="Y126" s="12"/>
      <c r="Z126" s="12"/>
      <c r="AA126" s="12"/>
      <c r="AB126" s="12"/>
      <c r="AC126" s="12"/>
    </row>
    <row r="127" spans="1:29">
      <c r="A127" s="22"/>
      <c r="B127" s="17"/>
      <c r="C127" s="17"/>
      <c r="D127" s="22" t="s">
        <v>123</v>
      </c>
      <c r="E127" s="24" t="s">
        <v>103</v>
      </c>
      <c r="F127" s="79">
        <v>0.8</v>
      </c>
      <c r="G127" s="80" t="s">
        <v>116</v>
      </c>
      <c r="H127" s="80" t="s">
        <v>117</v>
      </c>
      <c r="L127" s="9"/>
      <c r="M127" s="10"/>
      <c r="N127" s="11"/>
      <c r="O127" s="10"/>
      <c r="Y127" s="12"/>
      <c r="Z127" s="12"/>
      <c r="AA127" s="12"/>
      <c r="AB127" s="12"/>
      <c r="AC127" s="12"/>
    </row>
    <row r="128" spans="1:29">
      <c r="A128" s="22"/>
      <c r="B128" s="17"/>
      <c r="C128" s="17"/>
      <c r="D128" s="29"/>
      <c r="E128" s="30" t="s">
        <v>104</v>
      </c>
      <c r="F128" s="106">
        <f>AVERAGE(G128:H128)</f>
        <v>0.67500000000000004</v>
      </c>
      <c r="G128" s="107">
        <v>0.75</v>
      </c>
      <c r="H128" s="107">
        <v>0.6</v>
      </c>
      <c r="I128" s="30"/>
      <c r="J128" s="30"/>
      <c r="K128" s="30"/>
      <c r="L128" s="9"/>
      <c r="M128" s="10"/>
      <c r="N128" s="11"/>
      <c r="O128" s="10"/>
      <c r="Y128" s="12"/>
      <c r="Z128" s="12"/>
      <c r="AA128" s="12"/>
      <c r="AB128" s="12"/>
      <c r="AC128" s="12"/>
    </row>
    <row r="129" spans="1:29">
      <c r="A129" s="22"/>
      <c r="B129" s="17"/>
      <c r="C129" s="17"/>
      <c r="D129" s="22" t="s">
        <v>296</v>
      </c>
      <c r="E129" s="24" t="s">
        <v>118</v>
      </c>
      <c r="F129" s="79">
        <v>0.62</v>
      </c>
      <c r="L129" s="9"/>
      <c r="M129" s="10"/>
      <c r="N129" s="11"/>
      <c r="O129" s="10"/>
      <c r="Y129" s="12"/>
      <c r="Z129" s="12"/>
      <c r="AA129" s="12"/>
      <c r="AB129" s="12"/>
      <c r="AC129" s="12"/>
    </row>
    <row r="130" spans="1:29">
      <c r="A130" s="22"/>
      <c r="B130" s="17"/>
      <c r="C130" s="17"/>
      <c r="D130" s="22"/>
      <c r="E130" s="24" t="s">
        <v>297</v>
      </c>
      <c r="F130" s="79">
        <v>0.27</v>
      </c>
      <c r="G130" s="26"/>
      <c r="L130" s="9"/>
      <c r="M130" s="10"/>
      <c r="N130" s="11"/>
      <c r="O130" s="10"/>
      <c r="Y130" s="12"/>
      <c r="Z130" s="12"/>
      <c r="AA130" s="12"/>
      <c r="AB130" s="12"/>
      <c r="AC130" s="12"/>
    </row>
    <row r="131" spans="1:29">
      <c r="A131" s="22"/>
      <c r="B131" s="17"/>
      <c r="C131" s="17"/>
      <c r="D131" s="29"/>
      <c r="E131" s="30" t="s">
        <v>298</v>
      </c>
      <c r="F131" s="107">
        <v>0.11</v>
      </c>
      <c r="G131" s="111">
        <f>SUM(F129:F131)</f>
        <v>1</v>
      </c>
      <c r="H131" s="30"/>
      <c r="I131" s="30"/>
      <c r="J131" s="30"/>
      <c r="K131" s="30"/>
      <c r="L131" s="9"/>
      <c r="M131" s="10"/>
      <c r="N131" s="11"/>
      <c r="O131" s="10"/>
      <c r="Y131" s="12"/>
      <c r="Z131" s="12"/>
      <c r="AA131" s="12"/>
      <c r="AB131" s="12"/>
      <c r="AC131" s="12"/>
    </row>
    <row r="132" spans="1:29">
      <c r="A132" s="22"/>
      <c r="B132" s="17"/>
      <c r="C132" s="17"/>
      <c r="D132" s="122" t="s">
        <v>299</v>
      </c>
      <c r="E132" s="108" t="s">
        <v>300</v>
      </c>
      <c r="F132" s="109">
        <v>1133</v>
      </c>
      <c r="G132" s="108"/>
      <c r="H132" s="108"/>
      <c r="I132" s="108"/>
      <c r="J132" s="108"/>
      <c r="K132" s="108"/>
      <c r="L132" s="9"/>
      <c r="M132" s="10"/>
      <c r="N132" s="11"/>
      <c r="O132" s="10"/>
      <c r="Y132" s="12"/>
      <c r="Z132" s="12"/>
      <c r="AA132" s="12"/>
      <c r="AB132" s="12"/>
      <c r="AC132" s="12"/>
    </row>
    <row r="133" spans="1:29">
      <c r="A133" s="22"/>
      <c r="B133" s="17"/>
      <c r="C133" s="17"/>
      <c r="D133" s="122" t="s">
        <v>301</v>
      </c>
      <c r="E133" s="108" t="s">
        <v>302</v>
      </c>
      <c r="F133" s="109">
        <v>3000</v>
      </c>
      <c r="G133" s="108"/>
      <c r="H133" s="108"/>
      <c r="I133" s="108"/>
      <c r="J133" s="108"/>
      <c r="K133" s="108"/>
      <c r="L133" s="9"/>
      <c r="M133" s="10"/>
      <c r="N133" s="11"/>
      <c r="O133" s="10"/>
      <c r="Y133" s="12"/>
      <c r="Z133" s="12"/>
      <c r="AA133" s="12"/>
      <c r="AB133" s="12"/>
      <c r="AC133" s="12"/>
    </row>
    <row r="134" spans="1:29">
      <c r="A134" s="22"/>
      <c r="B134" s="17"/>
      <c r="C134" s="17"/>
      <c r="D134" s="22" t="s">
        <v>482</v>
      </c>
      <c r="E134" s="24" t="s">
        <v>1364</v>
      </c>
      <c r="F134" s="81">
        <v>150</v>
      </c>
      <c r="G134" s="26" t="s">
        <v>584</v>
      </c>
      <c r="L134" s="9"/>
      <c r="M134" s="10"/>
      <c r="N134" s="11"/>
      <c r="O134" s="10"/>
      <c r="Y134" s="12"/>
      <c r="Z134" s="12"/>
      <c r="AA134" s="12"/>
      <c r="AB134" s="12"/>
      <c r="AC134" s="12"/>
    </row>
    <row r="135" spans="1:29">
      <c r="A135" s="22"/>
      <c r="B135" s="17"/>
      <c r="C135" s="17"/>
      <c r="D135" s="22"/>
      <c r="E135" s="24" t="s">
        <v>1365</v>
      </c>
      <c r="F135" s="81">
        <v>70</v>
      </c>
      <c r="G135" s="26"/>
      <c r="L135" s="9"/>
      <c r="M135" s="10"/>
      <c r="N135" s="11"/>
      <c r="O135" s="10"/>
      <c r="Y135" s="12"/>
      <c r="Z135" s="12"/>
      <c r="AA135" s="12"/>
      <c r="AB135" s="12"/>
      <c r="AC135" s="12"/>
    </row>
    <row r="136" spans="1:29">
      <c r="A136" s="22"/>
      <c r="B136" s="17"/>
      <c r="C136" s="17"/>
      <c r="D136" s="29"/>
      <c r="E136" s="30" t="s">
        <v>478</v>
      </c>
      <c r="F136" s="119">
        <f>AVERAGE(K64, K70, K76, K82, K88, K94, K100, K106, K112, K118)</f>
        <v>102.88</v>
      </c>
      <c r="G136" s="30" t="s">
        <v>1366</v>
      </c>
      <c r="H136" s="30"/>
      <c r="I136" s="30"/>
      <c r="J136" s="30"/>
      <c r="K136" s="30"/>
      <c r="L136" s="9"/>
      <c r="M136" s="10"/>
      <c r="N136" s="11"/>
      <c r="O136" s="10"/>
      <c r="Y136" s="12"/>
      <c r="Z136" s="12"/>
      <c r="AA136" s="12"/>
      <c r="AB136" s="12"/>
      <c r="AC136" s="12"/>
    </row>
    <row r="137" spans="1:29">
      <c r="A137" s="22"/>
      <c r="B137" s="17"/>
      <c r="C137" s="17"/>
      <c r="D137" s="22"/>
      <c r="F137" s="110"/>
      <c r="G137" s="26"/>
      <c r="L137" s="9"/>
      <c r="M137" s="10"/>
      <c r="N137" s="11"/>
      <c r="O137" s="10"/>
      <c r="Y137" s="12"/>
      <c r="Z137" s="12"/>
      <c r="AA137" s="12"/>
      <c r="AB137" s="12"/>
      <c r="AC137" s="12"/>
    </row>
    <row r="138" spans="1:29">
      <c r="A138" s="22"/>
      <c r="B138" s="17"/>
      <c r="C138" s="17"/>
      <c r="D138" s="29" t="s">
        <v>585</v>
      </c>
      <c r="E138" s="82"/>
      <c r="F138" s="82" t="s">
        <v>1038</v>
      </c>
      <c r="G138" s="379">
        <v>1</v>
      </c>
      <c r="H138" s="379">
        <f>G138+1</f>
        <v>2</v>
      </c>
      <c r="I138" s="379">
        <f t="shared" ref="I138:K138" si="15">H138+1</f>
        <v>3</v>
      </c>
      <c r="J138" s="379">
        <f t="shared" si="15"/>
        <v>4</v>
      </c>
      <c r="K138" s="379">
        <f t="shared" si="15"/>
        <v>5</v>
      </c>
      <c r="L138" s="9"/>
      <c r="M138" s="10"/>
      <c r="N138" s="11"/>
      <c r="O138" s="10"/>
      <c r="Y138" s="12"/>
      <c r="Z138" s="12"/>
      <c r="AA138" s="12"/>
      <c r="AB138" s="12"/>
      <c r="AC138" s="12"/>
    </row>
    <row r="139" spans="1:29">
      <c r="A139" s="22"/>
      <c r="B139" s="17"/>
      <c r="C139" s="17"/>
      <c r="D139" s="22"/>
      <c r="E139" s="24" t="s">
        <v>587</v>
      </c>
      <c r="F139" s="24" t="s">
        <v>589</v>
      </c>
      <c r="G139" s="24">
        <v>0</v>
      </c>
      <c r="H139" s="24">
        <v>20</v>
      </c>
      <c r="I139" s="24">
        <v>20</v>
      </c>
      <c r="J139" s="24">
        <v>20</v>
      </c>
      <c r="K139" s="24">
        <v>20</v>
      </c>
      <c r="L139" s="9"/>
      <c r="M139" s="10"/>
      <c r="N139" s="11"/>
      <c r="O139" s="10"/>
      <c r="Y139" s="12"/>
      <c r="Z139" s="12"/>
      <c r="AA139" s="12"/>
      <c r="AB139" s="12"/>
      <c r="AC139" s="12"/>
    </row>
    <row r="140" spans="1:29">
      <c r="A140" s="22"/>
      <c r="B140" s="17"/>
      <c r="C140" s="17"/>
      <c r="D140" s="22"/>
      <c r="F140" s="24" t="s">
        <v>590</v>
      </c>
      <c r="G140" s="24">
        <v>0</v>
      </c>
      <c r="H140" s="24">
        <v>20</v>
      </c>
      <c r="I140" s="24">
        <v>20</v>
      </c>
      <c r="J140" s="24">
        <v>20</v>
      </c>
      <c r="K140" s="24">
        <v>20</v>
      </c>
      <c r="L140" s="9"/>
      <c r="M140" s="10"/>
      <c r="N140" s="11"/>
      <c r="O140" s="10"/>
      <c r="Y140" s="12"/>
      <c r="Z140" s="12"/>
      <c r="AA140" s="12"/>
      <c r="AB140" s="12"/>
      <c r="AC140" s="12"/>
    </row>
    <row r="141" spans="1:29">
      <c r="A141" s="22"/>
      <c r="B141" s="17"/>
      <c r="C141" s="17"/>
      <c r="D141" s="22"/>
      <c r="F141" s="24" t="s">
        <v>216</v>
      </c>
      <c r="G141" s="24">
        <v>0</v>
      </c>
      <c r="H141" s="24">
        <v>20</v>
      </c>
      <c r="I141" s="24">
        <v>20</v>
      </c>
      <c r="J141" s="24">
        <v>20</v>
      </c>
      <c r="K141" s="24">
        <v>20</v>
      </c>
      <c r="L141" s="9"/>
      <c r="M141" s="10"/>
      <c r="N141" s="11"/>
      <c r="O141" s="10"/>
      <c r="P141" s="12"/>
      <c r="Q141" s="12"/>
      <c r="R141" s="12"/>
      <c r="S141" s="12"/>
      <c r="T141" s="12"/>
      <c r="U141" s="12"/>
      <c r="V141" s="12"/>
      <c r="W141" s="12"/>
      <c r="X141" s="12"/>
      <c r="Y141" s="12"/>
      <c r="Z141" s="12"/>
      <c r="AA141" s="12"/>
      <c r="AB141" s="12"/>
      <c r="AC141" s="12"/>
    </row>
    <row r="142" spans="1:29">
      <c r="A142" s="22"/>
      <c r="B142" s="17"/>
      <c r="C142" s="17"/>
      <c r="D142" s="22"/>
      <c r="F142" s="24" t="s">
        <v>591</v>
      </c>
      <c r="G142" s="24">
        <v>0</v>
      </c>
      <c r="H142" s="24">
        <v>20</v>
      </c>
      <c r="I142" s="24">
        <v>20</v>
      </c>
      <c r="J142" s="24">
        <v>20</v>
      </c>
      <c r="K142" s="24">
        <v>20</v>
      </c>
      <c r="L142" s="9"/>
      <c r="M142" s="10"/>
      <c r="N142" s="11"/>
      <c r="O142" s="10"/>
      <c r="P142" s="12"/>
      <c r="Q142" s="12"/>
      <c r="R142" s="12"/>
      <c r="S142" s="12"/>
      <c r="T142" s="12"/>
      <c r="U142" s="12"/>
      <c r="V142" s="12"/>
      <c r="W142" s="12"/>
      <c r="X142" s="12"/>
      <c r="Y142" s="12"/>
      <c r="Z142" s="12"/>
      <c r="AA142" s="12"/>
      <c r="AB142" s="12"/>
      <c r="AC142" s="12"/>
    </row>
    <row r="143" spans="1:29">
      <c r="A143" s="22"/>
      <c r="B143" s="17"/>
      <c r="C143" s="17"/>
      <c r="D143" s="22"/>
      <c r="E143" s="24" t="s">
        <v>588</v>
      </c>
      <c r="F143" s="24" t="s">
        <v>592</v>
      </c>
      <c r="G143" s="24">
        <v>20</v>
      </c>
      <c r="H143" s="24">
        <v>40</v>
      </c>
      <c r="I143" s="24">
        <v>60</v>
      </c>
      <c r="J143" s="24">
        <v>60</v>
      </c>
      <c r="K143" s="24">
        <v>60</v>
      </c>
      <c r="L143" s="9"/>
      <c r="M143" s="10"/>
      <c r="N143" s="11"/>
      <c r="O143" s="10"/>
      <c r="P143" s="12"/>
      <c r="Q143" s="12"/>
      <c r="R143" s="12"/>
      <c r="S143" s="12"/>
      <c r="T143" s="12"/>
      <c r="U143" s="12"/>
      <c r="V143" s="12"/>
      <c r="W143" s="12"/>
      <c r="X143" s="12"/>
      <c r="Y143" s="12"/>
      <c r="Z143" s="12"/>
      <c r="AA143" s="12"/>
      <c r="AB143" s="12"/>
      <c r="AC143" s="12"/>
    </row>
    <row r="144" spans="1:29">
      <c r="A144" s="22"/>
      <c r="B144" s="17"/>
      <c r="C144" s="17"/>
      <c r="D144" s="22"/>
      <c r="F144" s="24" t="s">
        <v>590</v>
      </c>
      <c r="G144" s="24">
        <v>100</v>
      </c>
      <c r="H144" s="24">
        <v>200</v>
      </c>
      <c r="I144" s="24">
        <v>600</v>
      </c>
      <c r="J144" s="24">
        <v>1000</v>
      </c>
      <c r="K144" s="24">
        <v>2000</v>
      </c>
      <c r="L144" s="9"/>
      <c r="M144" s="10"/>
      <c r="N144" s="11"/>
      <c r="O144" s="10"/>
      <c r="P144" s="12"/>
      <c r="Q144" s="12"/>
      <c r="R144" s="12"/>
      <c r="S144" s="12"/>
      <c r="T144" s="12"/>
      <c r="U144" s="12"/>
      <c r="V144" s="12"/>
      <c r="W144" s="12"/>
      <c r="X144" s="12"/>
      <c r="Y144" s="12"/>
      <c r="Z144" s="12"/>
      <c r="AA144" s="12"/>
      <c r="AB144" s="12"/>
      <c r="AC144" s="12"/>
    </row>
    <row r="145" spans="1:29">
      <c r="A145" s="22"/>
      <c r="B145" s="17"/>
      <c r="C145" s="17"/>
      <c r="D145" s="22"/>
      <c r="F145" s="24" t="s">
        <v>216</v>
      </c>
      <c r="G145" s="24">
        <v>10</v>
      </c>
      <c r="H145" s="24">
        <v>20</v>
      </c>
      <c r="I145" s="24">
        <v>30</v>
      </c>
      <c r="J145" s="24">
        <v>60</v>
      </c>
      <c r="K145" s="24">
        <v>60</v>
      </c>
      <c r="L145" s="9"/>
      <c r="M145" s="10"/>
      <c r="N145" s="11"/>
      <c r="O145" s="10"/>
      <c r="P145" s="12"/>
      <c r="Q145" s="12"/>
      <c r="R145" s="12"/>
      <c r="S145" s="12"/>
      <c r="T145" s="12"/>
      <c r="U145" s="12"/>
      <c r="V145" s="12"/>
      <c r="W145" s="12"/>
      <c r="X145" s="12"/>
      <c r="Y145" s="12"/>
      <c r="Z145" s="12"/>
      <c r="AA145" s="12"/>
      <c r="AB145" s="12"/>
      <c r="AC145" s="12"/>
    </row>
    <row r="146" spans="1:29">
      <c r="A146" s="22"/>
      <c r="B146" s="17"/>
      <c r="C146" s="17"/>
      <c r="D146" s="22"/>
      <c r="F146" s="24" t="s">
        <v>591</v>
      </c>
      <c r="G146" s="24">
        <v>10</v>
      </c>
      <c r="H146" s="24">
        <v>20</v>
      </c>
      <c r="I146" s="24">
        <v>30</v>
      </c>
      <c r="J146" s="24">
        <v>40</v>
      </c>
      <c r="K146" s="24">
        <v>40</v>
      </c>
      <c r="L146" s="9"/>
      <c r="M146" s="10"/>
      <c r="N146" s="11"/>
      <c r="O146" s="10"/>
      <c r="P146" s="12"/>
      <c r="Q146" s="12"/>
      <c r="R146" s="12"/>
      <c r="S146" s="12"/>
      <c r="T146" s="12"/>
      <c r="U146" s="12"/>
      <c r="V146" s="12"/>
      <c r="W146" s="12"/>
      <c r="X146" s="12"/>
      <c r="Y146" s="12"/>
      <c r="Z146" s="12"/>
      <c r="AA146" s="12"/>
      <c r="AB146" s="12"/>
      <c r="AC146" s="12"/>
    </row>
    <row r="147" spans="1:29">
      <c r="A147" s="22"/>
      <c r="B147" s="17"/>
      <c r="C147" s="17"/>
      <c r="D147" s="22"/>
      <c r="L147" s="9"/>
      <c r="M147" s="10"/>
      <c r="N147" s="11"/>
      <c r="O147" s="10"/>
      <c r="P147" s="12"/>
      <c r="Q147" s="12"/>
      <c r="R147" s="12"/>
      <c r="S147" s="12"/>
      <c r="T147" s="12"/>
      <c r="U147" s="12"/>
      <c r="V147" s="12"/>
      <c r="W147" s="12"/>
      <c r="X147" s="12"/>
      <c r="Y147" s="12"/>
      <c r="Z147" s="12"/>
      <c r="AA147" s="12"/>
      <c r="AB147" s="12"/>
      <c r="AC147" s="12"/>
    </row>
    <row r="148" spans="1:29">
      <c r="A148" s="22"/>
      <c r="B148" s="17"/>
      <c r="C148" s="17"/>
      <c r="D148" s="29" t="s">
        <v>598</v>
      </c>
      <c r="E148" s="82"/>
      <c r="F148" s="82" t="s">
        <v>599</v>
      </c>
      <c r="G148" s="83" t="s">
        <v>586</v>
      </c>
      <c r="H148" s="83" t="s">
        <v>593</v>
      </c>
      <c r="I148" s="83" t="s">
        <v>594</v>
      </c>
      <c r="J148" s="83" t="s">
        <v>595</v>
      </c>
      <c r="K148" s="83" t="s">
        <v>596</v>
      </c>
      <c r="L148" s="9"/>
      <c r="M148" s="10"/>
      <c r="N148" s="11"/>
      <c r="O148" s="10"/>
      <c r="P148" s="12"/>
      <c r="Q148" s="12"/>
      <c r="R148" s="12"/>
      <c r="S148" s="12"/>
      <c r="T148" s="12"/>
      <c r="U148" s="12"/>
      <c r="V148" s="12"/>
      <c r="W148" s="12"/>
      <c r="X148" s="12"/>
      <c r="Y148" s="12"/>
      <c r="Z148" s="12"/>
      <c r="AA148" s="12"/>
      <c r="AB148" s="12"/>
      <c r="AC148" s="12"/>
    </row>
    <row r="149" spans="1:29">
      <c r="B149" s="17"/>
      <c r="C149" s="17"/>
      <c r="D149" s="22"/>
      <c r="F149" s="24" t="s">
        <v>598</v>
      </c>
      <c r="G149" s="24">
        <v>1</v>
      </c>
      <c r="H149" s="24">
        <v>1</v>
      </c>
      <c r="I149" s="24">
        <v>1</v>
      </c>
      <c r="J149" s="24">
        <v>1</v>
      </c>
      <c r="K149" s="24">
        <v>1</v>
      </c>
      <c r="L149" s="9"/>
      <c r="M149" s="10"/>
      <c r="N149" s="11"/>
      <c r="O149" s="10"/>
      <c r="P149" s="12"/>
      <c r="Q149" s="12"/>
      <c r="R149" s="12"/>
      <c r="S149" s="12"/>
      <c r="T149" s="12"/>
      <c r="U149" s="12"/>
      <c r="V149" s="12"/>
      <c r="W149" s="12"/>
      <c r="X149" s="12"/>
      <c r="Y149" s="12"/>
      <c r="Z149" s="12"/>
      <c r="AA149" s="12"/>
      <c r="AB149" s="12"/>
      <c r="AC149" s="12"/>
    </row>
    <row r="150" spans="1:29">
      <c r="B150" s="17"/>
      <c r="C150" s="17"/>
      <c r="D150" s="22"/>
      <c r="L150" s="9"/>
      <c r="M150" s="10"/>
      <c r="N150" s="11"/>
      <c r="O150" s="10"/>
      <c r="P150" s="12"/>
      <c r="Q150" s="12"/>
      <c r="R150" s="12"/>
      <c r="S150" s="12"/>
      <c r="T150" s="12"/>
      <c r="U150" s="12"/>
      <c r="V150" s="12"/>
      <c r="W150" s="12"/>
      <c r="X150" s="12"/>
      <c r="Y150" s="12"/>
      <c r="Z150" s="12"/>
      <c r="AA150" s="12"/>
      <c r="AB150" s="12"/>
      <c r="AC150" s="12"/>
    </row>
    <row r="151" spans="1:29">
      <c r="B151" s="17"/>
      <c r="C151" s="17"/>
      <c r="D151" s="29" t="s">
        <v>1367</v>
      </c>
      <c r="E151" s="82"/>
      <c r="F151" s="82"/>
      <c r="G151" s="379">
        <v>1</v>
      </c>
      <c r="H151" s="379">
        <f>G151+1</f>
        <v>2</v>
      </c>
      <c r="I151" s="379">
        <f t="shared" ref="I151:K151" si="16">H151+1</f>
        <v>3</v>
      </c>
      <c r="J151" s="379">
        <f t="shared" si="16"/>
        <v>4</v>
      </c>
      <c r="K151" s="379">
        <f t="shared" si="16"/>
        <v>5</v>
      </c>
      <c r="L151" s="83" t="s">
        <v>890</v>
      </c>
      <c r="M151" s="10"/>
      <c r="N151" s="11"/>
      <c r="O151" s="10"/>
      <c r="P151" s="12"/>
      <c r="Q151" s="12"/>
      <c r="R151" s="12"/>
      <c r="S151" s="12"/>
      <c r="T151" s="12"/>
      <c r="U151" s="12"/>
      <c r="V151" s="12"/>
      <c r="W151" s="12"/>
      <c r="X151" s="12"/>
      <c r="Y151" s="12"/>
      <c r="Z151" s="12"/>
      <c r="AA151" s="12"/>
      <c r="AB151" s="12"/>
      <c r="AC151" s="12"/>
    </row>
    <row r="152" spans="1:29">
      <c r="B152" s="17"/>
      <c r="C152" s="17"/>
      <c r="D152" s="24" t="s">
        <v>1369</v>
      </c>
      <c r="E152" s="24" t="s">
        <v>1374</v>
      </c>
      <c r="G152" s="24">
        <v>10</v>
      </c>
      <c r="H152" s="24">
        <v>15</v>
      </c>
      <c r="I152" s="24">
        <v>20</v>
      </c>
      <c r="J152" s="24">
        <v>25</v>
      </c>
      <c r="K152" s="24">
        <v>30</v>
      </c>
      <c r="L152" s="9">
        <f>SUM(G152:K152)</f>
        <v>100</v>
      </c>
      <c r="M152" s="10"/>
      <c r="N152" s="11"/>
      <c r="O152" s="10"/>
      <c r="P152" s="12"/>
      <c r="Q152" s="12"/>
      <c r="R152" s="12"/>
      <c r="S152" s="12"/>
      <c r="T152" s="12"/>
      <c r="U152" s="12"/>
      <c r="V152" s="12"/>
      <c r="W152" s="12"/>
      <c r="X152" s="12"/>
      <c r="Y152" s="12"/>
      <c r="Z152" s="12"/>
      <c r="AA152" s="12"/>
      <c r="AB152" s="12"/>
      <c r="AC152" s="12"/>
    </row>
    <row r="153" spans="1:29">
      <c r="B153" s="17"/>
      <c r="C153" s="17"/>
      <c r="D153" s="24" t="s">
        <v>1368</v>
      </c>
      <c r="E153" s="24" t="s">
        <v>1375</v>
      </c>
      <c r="G153" s="24">
        <v>20</v>
      </c>
      <c r="H153" s="24">
        <v>30</v>
      </c>
      <c r="I153" s="24">
        <v>40</v>
      </c>
      <c r="J153" s="24">
        <v>50</v>
      </c>
      <c r="K153" s="24">
        <v>60</v>
      </c>
      <c r="L153" s="9">
        <f>SUM(G153:K153)</f>
        <v>200</v>
      </c>
      <c r="M153" s="10"/>
      <c r="N153" s="11"/>
      <c r="O153" s="10"/>
      <c r="P153" s="12"/>
      <c r="Q153" s="12"/>
      <c r="R153" s="12"/>
      <c r="S153" s="12"/>
      <c r="T153" s="12"/>
      <c r="U153" s="12"/>
      <c r="V153" s="12"/>
      <c r="W153" s="12"/>
      <c r="X153" s="12"/>
      <c r="Y153" s="12"/>
      <c r="Z153" s="12"/>
      <c r="AA153" s="12"/>
      <c r="AB153" s="12"/>
      <c r="AC153" s="12"/>
    </row>
    <row r="154" spans="1:29">
      <c r="B154" s="17"/>
      <c r="C154" s="17"/>
      <c r="D154" s="24" t="s">
        <v>1368</v>
      </c>
      <c r="E154" s="24" t="s">
        <v>1370</v>
      </c>
      <c r="G154" s="24">
        <v>0</v>
      </c>
      <c r="H154" s="24">
        <v>10</v>
      </c>
      <c r="I154" s="24">
        <v>10</v>
      </c>
      <c r="J154" s="24">
        <v>10</v>
      </c>
      <c r="K154" s="24">
        <v>10</v>
      </c>
      <c r="L154" s="9">
        <f>SUM(G154:K154)</f>
        <v>40</v>
      </c>
      <c r="M154" s="10"/>
      <c r="N154" s="11"/>
      <c r="O154" s="10"/>
      <c r="P154" s="12"/>
      <c r="Q154" s="12"/>
      <c r="R154" s="12"/>
      <c r="S154" s="12"/>
      <c r="T154" s="12"/>
      <c r="U154" s="12"/>
      <c r="V154" s="12"/>
      <c r="W154" s="12"/>
      <c r="X154" s="12"/>
      <c r="Y154" s="12"/>
      <c r="Z154" s="12"/>
      <c r="AA154" s="12"/>
      <c r="AB154" s="12"/>
      <c r="AC154" s="12"/>
    </row>
    <row r="155" spans="1:29" ht="11.4" thickBot="1">
      <c r="B155" s="17"/>
      <c r="C155" s="17"/>
      <c r="D155" s="35" t="s">
        <v>1371</v>
      </c>
      <c r="E155" s="35"/>
      <c r="F155" s="35"/>
      <c r="G155" s="35">
        <f>SUM(G152:G154)</f>
        <v>30</v>
      </c>
      <c r="H155" s="35">
        <f t="shared" ref="H155:L155" si="17">SUM(H152:H154)</f>
        <v>55</v>
      </c>
      <c r="I155" s="35">
        <f t="shared" si="17"/>
        <v>70</v>
      </c>
      <c r="J155" s="35">
        <f t="shared" si="17"/>
        <v>85</v>
      </c>
      <c r="K155" s="35">
        <f t="shared" si="17"/>
        <v>100</v>
      </c>
      <c r="L155" s="35">
        <f t="shared" si="17"/>
        <v>340</v>
      </c>
      <c r="M155" s="10"/>
      <c r="N155" s="11"/>
      <c r="O155" s="10"/>
      <c r="P155" s="12"/>
      <c r="Q155" s="12"/>
      <c r="R155" s="12"/>
      <c r="S155" s="12"/>
      <c r="T155" s="12"/>
      <c r="U155" s="12"/>
      <c r="V155" s="12"/>
      <c r="W155" s="12"/>
      <c r="X155" s="12"/>
      <c r="Y155" s="12"/>
      <c r="Z155" s="12"/>
      <c r="AA155" s="12"/>
      <c r="AB155" s="12"/>
      <c r="AC155" s="12"/>
    </row>
    <row r="156" spans="1:29">
      <c r="B156" s="17"/>
      <c r="C156" s="17"/>
      <c r="L156" s="9"/>
      <c r="M156" s="10"/>
      <c r="N156" s="11"/>
      <c r="O156" s="10"/>
      <c r="P156" s="12"/>
      <c r="Q156" s="12"/>
      <c r="R156" s="12"/>
      <c r="S156" s="12"/>
      <c r="T156" s="12"/>
      <c r="U156" s="12"/>
      <c r="V156" s="12"/>
      <c r="W156" s="12"/>
      <c r="X156" s="12"/>
      <c r="Y156" s="12"/>
      <c r="Z156" s="12"/>
      <c r="AA156" s="12"/>
      <c r="AB156" s="12"/>
      <c r="AC156" s="12"/>
    </row>
    <row r="157" spans="1:29">
      <c r="B157" s="17"/>
      <c r="C157" s="17"/>
      <c r="D157" s="22"/>
      <c r="L157" s="9"/>
      <c r="M157" s="10"/>
      <c r="N157" s="11"/>
      <c r="O157" s="10"/>
      <c r="P157" s="12"/>
      <c r="Q157" s="12"/>
      <c r="R157" s="12"/>
      <c r="S157" s="12"/>
      <c r="T157" s="12"/>
      <c r="U157" s="12"/>
      <c r="V157" s="12"/>
      <c r="W157" s="12"/>
      <c r="X157" s="12"/>
      <c r="Y157" s="12"/>
      <c r="Z157" s="12"/>
      <c r="AA157" s="12"/>
      <c r="AB157" s="12"/>
      <c r="AC157" s="12"/>
    </row>
    <row r="158" spans="1:29">
      <c r="B158" s="17"/>
      <c r="C158" s="17"/>
      <c r="D158" s="22"/>
      <c r="L158" s="9"/>
      <c r="M158" s="10"/>
      <c r="N158" s="11"/>
      <c r="O158" s="10"/>
      <c r="P158" s="12"/>
      <c r="Q158" s="12"/>
      <c r="R158" s="12"/>
      <c r="S158" s="12"/>
      <c r="T158" s="12"/>
      <c r="U158" s="12"/>
      <c r="V158" s="12"/>
      <c r="W158" s="12"/>
      <c r="X158" s="12"/>
      <c r="Y158" s="12"/>
      <c r="Z158" s="12"/>
      <c r="AA158" s="12"/>
      <c r="AB158" s="12"/>
      <c r="AC158" s="12"/>
    </row>
    <row r="159" spans="1:29">
      <c r="B159" s="7"/>
      <c r="C159" s="7"/>
      <c r="D159" s="8"/>
      <c r="E159" s="9"/>
      <c r="F159" s="9"/>
      <c r="G159" s="9"/>
      <c r="H159" s="9"/>
      <c r="I159" s="9"/>
      <c r="J159" s="9"/>
      <c r="K159" s="9"/>
      <c r="L159" s="9"/>
      <c r="N159" s="11"/>
      <c r="O159" s="10"/>
      <c r="P159" s="12"/>
      <c r="Q159" s="10"/>
      <c r="R159" s="10"/>
      <c r="S159" s="10"/>
      <c r="T159" s="10"/>
      <c r="U159" s="10"/>
      <c r="V159" s="10"/>
      <c r="W159" s="10"/>
      <c r="X159" s="10"/>
      <c r="Y159" s="12"/>
      <c r="Z159" s="12"/>
      <c r="AA159" s="12"/>
      <c r="AB159" s="12"/>
      <c r="AC159" s="12"/>
    </row>
    <row r="160" spans="1:29" hidden="1">
      <c r="B160" s="7"/>
      <c r="C160" s="7"/>
      <c r="D160" s="86"/>
      <c r="E160" s="87"/>
      <c r="F160" s="87"/>
      <c r="G160" s="87"/>
      <c r="H160" s="87"/>
      <c r="I160" s="87"/>
      <c r="J160" s="87"/>
      <c r="K160" s="87"/>
      <c r="L160" s="87"/>
      <c r="N160" s="11"/>
      <c r="O160" s="10"/>
      <c r="P160" s="12"/>
      <c r="Q160" s="10"/>
      <c r="R160" s="10"/>
      <c r="S160" s="10"/>
      <c r="T160" s="10"/>
      <c r="U160" s="10"/>
      <c r="V160" s="10"/>
      <c r="W160" s="10"/>
      <c r="X160" s="10"/>
      <c r="Y160" s="12"/>
      <c r="Z160" s="12"/>
      <c r="AA160" s="12"/>
      <c r="AB160" s="12"/>
      <c r="AC160" s="12"/>
    </row>
    <row r="161" spans="2:29" hidden="1">
      <c r="B161" s="7"/>
      <c r="C161" s="7"/>
      <c r="D161" s="88"/>
      <c r="E161" s="65"/>
      <c r="F161" s="65"/>
      <c r="G161" s="65"/>
      <c r="H161" s="65"/>
      <c r="I161" s="65"/>
      <c r="J161" s="65"/>
      <c r="K161" s="65"/>
      <c r="L161" s="65"/>
      <c r="N161" s="11"/>
      <c r="O161" s="10"/>
      <c r="P161" s="12"/>
      <c r="Q161" s="10"/>
      <c r="R161" s="10"/>
      <c r="S161" s="10"/>
      <c r="T161" s="10"/>
      <c r="U161" s="10"/>
      <c r="V161" s="10"/>
      <c r="W161" s="10"/>
      <c r="X161" s="10"/>
      <c r="Y161" s="12"/>
      <c r="Z161" s="12"/>
      <c r="AA161" s="12"/>
      <c r="AB161" s="12"/>
      <c r="AC161" s="12"/>
    </row>
    <row r="162" spans="2:29" hidden="1">
      <c r="B162" s="7"/>
      <c r="C162" s="7"/>
      <c r="D162" s="8"/>
      <c r="E162" s="65"/>
      <c r="F162" s="65"/>
      <c r="G162" s="65"/>
      <c r="H162" s="65"/>
      <c r="I162" s="65"/>
      <c r="J162" s="65"/>
      <c r="K162" s="65"/>
      <c r="L162" s="65"/>
      <c r="N162" s="11"/>
      <c r="O162" s="10"/>
      <c r="P162" s="12"/>
      <c r="Q162" s="10"/>
      <c r="R162" s="10"/>
      <c r="S162" s="10"/>
      <c r="T162" s="10"/>
      <c r="U162" s="10"/>
      <c r="V162" s="10"/>
      <c r="W162" s="10"/>
      <c r="X162" s="10"/>
      <c r="Y162" s="12"/>
      <c r="Z162" s="12"/>
      <c r="AA162" s="12"/>
      <c r="AB162" s="12"/>
      <c r="AC162" s="12"/>
    </row>
    <row r="163" spans="2:29" hidden="1">
      <c r="B163" s="7"/>
      <c r="C163" s="7"/>
      <c r="D163" s="8"/>
      <c r="E163" s="65"/>
      <c r="F163" s="65"/>
      <c r="G163" s="65"/>
      <c r="H163" s="65"/>
      <c r="I163" s="65"/>
      <c r="J163" s="65"/>
      <c r="K163" s="65"/>
      <c r="L163" s="65"/>
      <c r="N163" s="11"/>
      <c r="O163" s="10"/>
      <c r="P163" s="12"/>
      <c r="Q163" s="10"/>
      <c r="R163" s="10"/>
      <c r="S163" s="10"/>
      <c r="T163" s="10"/>
      <c r="U163" s="10"/>
      <c r="V163" s="10"/>
      <c r="W163" s="10"/>
      <c r="X163" s="10"/>
      <c r="Y163" s="12"/>
      <c r="Z163" s="12"/>
      <c r="AA163" s="12"/>
      <c r="AB163" s="12"/>
      <c r="AC163" s="12"/>
    </row>
    <row r="164" spans="2:29" hidden="1">
      <c r="B164" s="7"/>
      <c r="C164" s="7"/>
      <c r="D164" s="8"/>
      <c r="E164" s="65"/>
      <c r="F164" s="65"/>
      <c r="G164" s="65"/>
      <c r="H164" s="65"/>
      <c r="I164" s="65"/>
      <c r="J164" s="65"/>
      <c r="K164" s="65"/>
      <c r="L164" s="65"/>
      <c r="N164" s="11"/>
      <c r="O164" s="10"/>
      <c r="P164" s="12"/>
      <c r="Q164" s="10"/>
      <c r="R164" s="10"/>
      <c r="S164" s="10"/>
      <c r="T164" s="10"/>
      <c r="U164" s="10"/>
      <c r="V164" s="10"/>
      <c r="W164" s="10"/>
      <c r="X164" s="10"/>
      <c r="Y164" s="12"/>
      <c r="Z164" s="12"/>
      <c r="AA164" s="12"/>
      <c r="AB164" s="12"/>
      <c r="AC164" s="12"/>
    </row>
    <row r="165" spans="2:29" hidden="1">
      <c r="B165" s="7"/>
      <c r="C165" s="7"/>
      <c r="D165" s="8"/>
      <c r="E165" s="65"/>
      <c r="F165" s="65"/>
      <c r="G165" s="65"/>
      <c r="H165" s="65"/>
      <c r="I165" s="65"/>
      <c r="J165" s="65"/>
      <c r="K165" s="65"/>
      <c r="L165" s="65"/>
      <c r="N165" s="11"/>
      <c r="O165" s="10"/>
      <c r="P165" s="12"/>
      <c r="Q165" s="10"/>
      <c r="R165" s="10"/>
      <c r="S165" s="10"/>
      <c r="T165" s="10"/>
      <c r="U165" s="10"/>
      <c r="V165" s="10"/>
      <c r="W165" s="10"/>
      <c r="X165" s="10"/>
      <c r="Y165" s="12"/>
      <c r="Z165" s="12"/>
      <c r="AA165" s="12"/>
      <c r="AB165" s="12"/>
      <c r="AC165" s="12"/>
    </row>
    <row r="166" spans="2:29" hidden="1">
      <c r="B166" s="7"/>
      <c r="C166" s="7"/>
      <c r="D166" s="8"/>
      <c r="E166" s="65"/>
      <c r="F166" s="65"/>
      <c r="G166" s="65"/>
      <c r="H166" s="65"/>
      <c r="I166" s="65"/>
      <c r="J166" s="65"/>
      <c r="K166" s="65"/>
      <c r="L166" s="65"/>
      <c r="N166" s="11"/>
      <c r="O166" s="10"/>
      <c r="P166" s="12"/>
      <c r="Q166" s="10"/>
      <c r="R166" s="10"/>
      <c r="S166" s="10"/>
      <c r="T166" s="10"/>
      <c r="U166" s="10"/>
      <c r="V166" s="10"/>
      <c r="W166" s="10"/>
      <c r="X166" s="10"/>
      <c r="Y166" s="12"/>
      <c r="Z166" s="12"/>
      <c r="AA166" s="12"/>
      <c r="AB166" s="12"/>
      <c r="AC166" s="12"/>
    </row>
    <row r="167" spans="2:29" hidden="1">
      <c r="B167" s="7"/>
      <c r="C167" s="7"/>
      <c r="D167" s="8"/>
      <c r="E167" s="9"/>
      <c r="F167" s="9"/>
      <c r="G167" s="9"/>
      <c r="H167" s="9"/>
      <c r="I167" s="9"/>
      <c r="J167" s="9"/>
      <c r="K167" s="9"/>
      <c r="L167" s="9"/>
      <c r="N167" s="11"/>
      <c r="O167" s="10"/>
      <c r="P167" s="12"/>
      <c r="Q167" s="10"/>
      <c r="R167" s="10"/>
      <c r="S167" s="10"/>
      <c r="T167" s="10"/>
      <c r="U167" s="10"/>
      <c r="V167" s="10"/>
      <c r="W167" s="10"/>
      <c r="X167" s="10"/>
      <c r="Y167" s="12"/>
      <c r="Z167" s="12"/>
      <c r="AA167" s="12"/>
      <c r="AB167" s="12"/>
      <c r="AC167" s="12"/>
    </row>
    <row r="168" spans="2:29" hidden="1">
      <c r="B168" s="7"/>
      <c r="C168" s="7"/>
      <c r="D168" s="86"/>
      <c r="E168" s="9"/>
      <c r="F168" s="84"/>
      <c r="G168" s="9"/>
      <c r="H168" s="9"/>
      <c r="I168" s="9"/>
      <c r="J168" s="8"/>
      <c r="K168" s="8"/>
      <c r="L168" s="89"/>
      <c r="N168" s="11"/>
      <c r="O168" s="10"/>
      <c r="P168" s="12"/>
      <c r="Q168" s="10"/>
      <c r="R168" s="10"/>
      <c r="S168" s="10"/>
      <c r="T168" s="10"/>
      <c r="U168" s="10"/>
      <c r="V168" s="10"/>
      <c r="W168" s="10"/>
      <c r="X168" s="10"/>
      <c r="Y168" s="12"/>
      <c r="Z168" s="12"/>
      <c r="AA168" s="12"/>
      <c r="AB168" s="12"/>
      <c r="AC168" s="12"/>
    </row>
    <row r="169" spans="2:29" hidden="1">
      <c r="B169" s="7"/>
      <c r="C169" s="7"/>
      <c r="D169" s="88"/>
      <c r="E169" s="9"/>
      <c r="F169" s="84"/>
      <c r="G169" s="9"/>
      <c r="H169" s="9"/>
      <c r="I169" s="9"/>
      <c r="J169" s="34"/>
      <c r="K169" s="9"/>
      <c r="L169" s="65"/>
      <c r="N169" s="11"/>
      <c r="O169" s="10"/>
      <c r="P169" s="12"/>
      <c r="Q169" s="10"/>
      <c r="R169" s="10"/>
      <c r="S169" s="10"/>
      <c r="T169" s="10"/>
      <c r="U169" s="10"/>
      <c r="V169" s="10"/>
      <c r="W169" s="10"/>
      <c r="X169" s="10"/>
      <c r="Y169" s="12"/>
      <c r="Z169" s="12"/>
      <c r="AA169" s="12"/>
      <c r="AB169" s="12"/>
      <c r="AC169" s="12"/>
    </row>
    <row r="170" spans="2:29" hidden="1">
      <c r="B170" s="7"/>
      <c r="C170" s="7"/>
      <c r="D170" s="8"/>
      <c r="E170" s="9"/>
      <c r="F170" s="84"/>
      <c r="G170" s="9"/>
      <c r="H170" s="9"/>
      <c r="I170" s="9"/>
      <c r="J170" s="34"/>
      <c r="K170" s="9"/>
      <c r="L170" s="65"/>
      <c r="N170" s="11"/>
      <c r="O170" s="10"/>
      <c r="P170" s="12"/>
      <c r="Q170" s="10"/>
      <c r="R170" s="10"/>
      <c r="S170" s="10"/>
      <c r="T170" s="10"/>
      <c r="U170" s="10"/>
      <c r="V170" s="10"/>
      <c r="W170" s="10"/>
      <c r="X170" s="10"/>
      <c r="Y170" s="12"/>
      <c r="Z170" s="12"/>
      <c r="AA170" s="12"/>
      <c r="AB170" s="12"/>
      <c r="AC170" s="12"/>
    </row>
    <row r="171" spans="2:29" hidden="1">
      <c r="B171" s="95"/>
      <c r="C171" s="95"/>
      <c r="D171" s="8"/>
      <c r="E171" s="9"/>
      <c r="F171" s="9"/>
      <c r="G171" s="9"/>
      <c r="H171" s="9"/>
      <c r="I171" s="9"/>
      <c r="J171" s="8"/>
      <c r="K171" s="8"/>
      <c r="L171" s="89"/>
      <c r="N171" s="11"/>
      <c r="O171" s="10"/>
      <c r="P171" s="12"/>
      <c r="Q171" s="10"/>
      <c r="R171" s="10"/>
      <c r="S171" s="10"/>
      <c r="T171" s="10"/>
      <c r="U171" s="10"/>
      <c r="V171" s="10"/>
      <c r="W171" s="10"/>
      <c r="X171" s="10"/>
      <c r="Y171" s="12"/>
      <c r="Z171" s="12"/>
      <c r="AA171" s="12"/>
      <c r="AB171" s="12"/>
      <c r="AC171" s="12"/>
    </row>
    <row r="172" spans="2:29" hidden="1">
      <c r="B172" s="7"/>
      <c r="C172" s="7"/>
      <c r="D172" s="90"/>
      <c r="E172" s="91"/>
      <c r="F172" s="92"/>
      <c r="G172" s="91"/>
      <c r="H172" s="91"/>
      <c r="I172" s="9"/>
      <c r="J172" s="8"/>
      <c r="K172" s="8"/>
      <c r="L172" s="89"/>
      <c r="N172" s="11"/>
      <c r="O172" s="10"/>
      <c r="P172" s="12"/>
      <c r="Q172" s="10"/>
      <c r="R172" s="10"/>
      <c r="S172" s="10"/>
      <c r="T172" s="10"/>
      <c r="U172" s="10"/>
      <c r="V172" s="10"/>
      <c r="W172" s="10"/>
      <c r="X172" s="10"/>
      <c r="Y172" s="12"/>
      <c r="Z172" s="12"/>
      <c r="AA172" s="12"/>
      <c r="AB172" s="12"/>
      <c r="AC172" s="12"/>
    </row>
    <row r="173" spans="2:29" hidden="1">
      <c r="B173" s="7"/>
      <c r="C173" s="7"/>
      <c r="D173" s="93"/>
      <c r="E173" s="91"/>
      <c r="F173" s="92"/>
      <c r="G173" s="91"/>
      <c r="H173" s="91"/>
      <c r="I173" s="9"/>
      <c r="J173" s="91"/>
      <c r="K173" s="91"/>
      <c r="L173" s="94"/>
      <c r="N173" s="11"/>
      <c r="O173" s="10"/>
      <c r="P173" s="12"/>
      <c r="Q173" s="10"/>
      <c r="R173" s="10"/>
      <c r="S173" s="10"/>
      <c r="T173" s="10"/>
      <c r="U173" s="10"/>
      <c r="V173" s="10"/>
      <c r="W173" s="10"/>
      <c r="X173" s="10"/>
      <c r="Y173" s="12"/>
      <c r="Z173" s="12"/>
      <c r="AA173" s="12"/>
      <c r="AB173" s="12"/>
      <c r="AC173" s="12"/>
    </row>
    <row r="174" spans="2:29" hidden="1">
      <c r="B174" s="7"/>
      <c r="C174" s="7"/>
      <c r="D174" s="96"/>
      <c r="E174" s="91"/>
      <c r="F174" s="92"/>
      <c r="G174" s="91"/>
      <c r="H174" s="91"/>
      <c r="I174" s="9"/>
      <c r="J174" s="91"/>
      <c r="K174" s="91"/>
      <c r="L174" s="94"/>
      <c r="N174" s="11"/>
      <c r="O174" s="10"/>
      <c r="P174" s="12"/>
      <c r="Q174" s="10"/>
      <c r="R174" s="10"/>
      <c r="S174" s="10"/>
      <c r="T174" s="10"/>
      <c r="U174" s="10"/>
      <c r="V174" s="10"/>
      <c r="W174" s="10"/>
      <c r="X174" s="10"/>
      <c r="Y174" s="12"/>
      <c r="Z174" s="12"/>
      <c r="AA174" s="12"/>
      <c r="AB174" s="12"/>
      <c r="AC174" s="12"/>
    </row>
    <row r="175" spans="2:29" hidden="1">
      <c r="B175" s="95"/>
      <c r="C175" s="95"/>
      <c r="D175" s="8"/>
      <c r="E175" s="9"/>
      <c r="F175" s="9"/>
      <c r="G175" s="9"/>
      <c r="H175" s="9"/>
      <c r="I175" s="9"/>
      <c r="J175" s="9"/>
      <c r="K175" s="9"/>
      <c r="L175" s="9"/>
      <c r="N175" s="11"/>
      <c r="O175" s="10"/>
      <c r="P175" s="12"/>
      <c r="Q175" s="10"/>
      <c r="R175" s="10"/>
      <c r="S175" s="10"/>
      <c r="T175" s="10"/>
      <c r="U175" s="10"/>
      <c r="V175" s="10"/>
      <c r="W175" s="10"/>
      <c r="X175" s="10"/>
      <c r="Y175" s="12"/>
    </row>
    <row r="176" spans="2:29" hidden="1">
      <c r="B176" s="7"/>
      <c r="C176" s="7"/>
      <c r="D176" s="90"/>
      <c r="E176" s="91"/>
      <c r="F176" s="92"/>
      <c r="G176" s="91"/>
      <c r="H176" s="91"/>
      <c r="I176" s="9"/>
      <c r="J176" s="9"/>
      <c r="K176" s="9"/>
      <c r="L176" s="9"/>
      <c r="P176" s="12"/>
      <c r="Q176" s="10"/>
      <c r="R176" s="10"/>
      <c r="S176" s="10"/>
      <c r="T176" s="10"/>
      <c r="U176" s="10"/>
      <c r="V176" s="10"/>
      <c r="W176" s="10"/>
      <c r="X176" s="10"/>
    </row>
    <row r="177" spans="2:24" hidden="1">
      <c r="B177" s="7"/>
      <c r="C177" s="7"/>
      <c r="D177" s="93"/>
      <c r="E177" s="91"/>
      <c r="F177" s="92"/>
      <c r="G177" s="91"/>
      <c r="H177" s="91"/>
      <c r="I177" s="9"/>
      <c r="J177" s="9"/>
      <c r="K177" s="9"/>
      <c r="L177" s="9"/>
      <c r="P177" s="12"/>
      <c r="Q177" s="10"/>
      <c r="R177" s="10"/>
      <c r="S177" s="10"/>
      <c r="T177" s="10"/>
      <c r="U177" s="10"/>
      <c r="V177" s="10"/>
      <c r="W177" s="10"/>
      <c r="X177" s="10"/>
    </row>
    <row r="178" spans="2:24" hidden="1">
      <c r="B178" s="7"/>
      <c r="C178" s="7"/>
      <c r="D178" s="96"/>
      <c r="E178" s="91"/>
      <c r="F178" s="92"/>
      <c r="G178" s="91"/>
      <c r="H178" s="91"/>
      <c r="I178" s="9"/>
      <c r="J178" s="9"/>
      <c r="K178" s="9"/>
      <c r="L178" s="9"/>
      <c r="P178" s="12"/>
      <c r="Q178" s="10"/>
      <c r="R178" s="10"/>
      <c r="S178" s="10"/>
      <c r="T178" s="10"/>
      <c r="U178" s="10"/>
      <c r="V178" s="10"/>
      <c r="W178" s="10"/>
      <c r="X178" s="10"/>
    </row>
    <row r="179" spans="2:24" hidden="1">
      <c r="B179" s="7"/>
      <c r="C179" s="7"/>
      <c r="D179" s="8"/>
      <c r="E179" s="9"/>
      <c r="F179" s="9"/>
      <c r="G179" s="9"/>
      <c r="H179" s="9"/>
      <c r="I179" s="9"/>
      <c r="J179" s="9"/>
      <c r="K179" s="9"/>
      <c r="L179" s="9"/>
      <c r="P179" s="12"/>
      <c r="Q179" s="10"/>
      <c r="R179" s="10"/>
      <c r="S179" s="10"/>
      <c r="T179" s="10"/>
      <c r="U179" s="10"/>
      <c r="V179" s="10"/>
      <c r="W179" s="10"/>
      <c r="X179" s="10"/>
    </row>
    <row r="180" spans="2:24" hidden="1">
      <c r="B180" s="7"/>
      <c r="C180" s="7"/>
      <c r="D180" s="86"/>
      <c r="E180" s="9"/>
      <c r="F180" s="84"/>
      <c r="G180" s="9"/>
      <c r="H180" s="9"/>
      <c r="I180" s="9"/>
      <c r="J180" s="9"/>
      <c r="K180" s="9"/>
      <c r="L180" s="9"/>
      <c r="P180" s="12"/>
      <c r="Q180" s="10"/>
      <c r="R180" s="10"/>
      <c r="S180" s="10"/>
      <c r="T180" s="10"/>
      <c r="U180" s="10"/>
      <c r="V180" s="10"/>
      <c r="W180" s="10"/>
      <c r="X180" s="10"/>
    </row>
    <row r="181" spans="2:24" hidden="1">
      <c r="B181" s="7"/>
      <c r="C181" s="7"/>
      <c r="D181" s="88"/>
      <c r="E181" s="9"/>
      <c r="F181" s="84"/>
      <c r="G181" s="9"/>
      <c r="H181" s="9"/>
      <c r="I181" s="9"/>
      <c r="J181" s="9"/>
      <c r="K181" s="9"/>
      <c r="L181" s="9"/>
      <c r="P181" s="12"/>
      <c r="Q181" s="10"/>
      <c r="R181" s="10"/>
      <c r="S181" s="10"/>
      <c r="T181" s="10"/>
      <c r="U181" s="10"/>
      <c r="V181" s="10"/>
      <c r="W181" s="10"/>
      <c r="X181" s="10"/>
    </row>
    <row r="182" spans="2:24" hidden="1">
      <c r="B182" s="7"/>
      <c r="C182" s="7"/>
      <c r="D182" s="8"/>
      <c r="E182" s="9"/>
      <c r="F182" s="84"/>
      <c r="G182" s="9"/>
      <c r="H182" s="9"/>
      <c r="I182" s="9"/>
      <c r="J182" s="9"/>
      <c r="K182" s="9"/>
      <c r="L182" s="9"/>
      <c r="P182" s="12"/>
      <c r="Q182" s="10"/>
      <c r="R182" s="10"/>
      <c r="S182" s="10"/>
      <c r="T182" s="10"/>
      <c r="U182" s="10"/>
      <c r="V182" s="10"/>
      <c r="W182" s="10"/>
      <c r="X182" s="10"/>
    </row>
    <row r="183" spans="2:24" hidden="1">
      <c r="B183" s="7"/>
      <c r="C183" s="7"/>
      <c r="D183" s="8"/>
      <c r="E183" s="9"/>
      <c r="F183" s="9"/>
      <c r="G183" s="9"/>
      <c r="H183" s="9"/>
      <c r="I183" s="9"/>
      <c r="J183" s="9"/>
      <c r="K183" s="9"/>
      <c r="L183" s="9"/>
      <c r="P183" s="12"/>
      <c r="Q183" s="10"/>
      <c r="R183" s="10"/>
      <c r="S183" s="10"/>
      <c r="T183" s="10"/>
      <c r="U183" s="10"/>
      <c r="V183" s="10"/>
      <c r="W183" s="10"/>
      <c r="X183" s="10"/>
    </row>
    <row r="184" spans="2:24" hidden="1">
      <c r="B184" s="7"/>
      <c r="C184" s="7"/>
      <c r="D184" s="86"/>
      <c r="E184" s="9"/>
      <c r="F184" s="84"/>
      <c r="G184" s="9"/>
      <c r="H184" s="9"/>
      <c r="I184" s="9"/>
      <c r="J184" s="9"/>
      <c r="K184" s="9"/>
      <c r="L184" s="9"/>
    </row>
    <row r="185" spans="2:24" hidden="1">
      <c r="B185" s="7"/>
      <c r="C185" s="7"/>
      <c r="D185" s="88"/>
      <c r="E185" s="9"/>
      <c r="F185" s="84"/>
      <c r="G185" s="9"/>
      <c r="H185" s="9"/>
      <c r="I185" s="9"/>
      <c r="J185" s="9"/>
      <c r="K185" s="9"/>
      <c r="L185" s="9"/>
    </row>
    <row r="186" spans="2:24" hidden="1">
      <c r="B186" s="7"/>
      <c r="C186" s="7"/>
      <c r="D186" s="8"/>
      <c r="E186" s="9"/>
      <c r="F186" s="9"/>
      <c r="G186" s="9"/>
      <c r="H186" s="9"/>
      <c r="I186" s="9"/>
      <c r="J186" s="9"/>
      <c r="K186" s="9"/>
      <c r="L186" s="9"/>
    </row>
    <row r="187" spans="2:24" hidden="1">
      <c r="B187" s="7"/>
      <c r="C187" s="7"/>
      <c r="D187" s="86"/>
      <c r="E187" s="87"/>
      <c r="F187" s="87"/>
      <c r="G187" s="87"/>
      <c r="H187" s="87"/>
      <c r="I187" s="87"/>
      <c r="J187" s="87"/>
      <c r="K187" s="87"/>
      <c r="L187" s="87"/>
    </row>
    <row r="188" spans="2:24" hidden="1">
      <c r="B188" s="7"/>
      <c r="C188" s="7"/>
      <c r="D188" s="85"/>
      <c r="E188" s="65"/>
      <c r="F188" s="65"/>
      <c r="G188" s="65"/>
      <c r="H188" s="65"/>
      <c r="I188" s="65"/>
      <c r="J188" s="65"/>
      <c r="K188" s="65"/>
      <c r="L188" s="65"/>
    </row>
    <row r="189" spans="2:24" hidden="1">
      <c r="B189" s="7"/>
      <c r="C189" s="7"/>
      <c r="D189" s="8"/>
      <c r="E189" s="9"/>
      <c r="F189" s="9"/>
      <c r="G189" s="9"/>
      <c r="H189" s="9"/>
      <c r="I189" s="9"/>
      <c r="J189" s="9"/>
      <c r="K189" s="9"/>
      <c r="L189" s="9"/>
    </row>
    <row r="190" spans="2:24" hidden="1">
      <c r="B190" s="7"/>
      <c r="C190" s="7"/>
      <c r="D190" s="86"/>
      <c r="E190" s="87"/>
      <c r="F190" s="87"/>
      <c r="G190" s="87"/>
      <c r="H190" s="87"/>
      <c r="I190" s="87"/>
      <c r="J190" s="87"/>
      <c r="K190" s="87"/>
      <c r="L190" s="87"/>
    </row>
    <row r="191" spans="2:24" hidden="1">
      <c r="D191" s="85"/>
      <c r="E191" s="65"/>
      <c r="F191" s="65"/>
      <c r="G191" s="65"/>
      <c r="H191" s="65"/>
      <c r="I191" s="65"/>
      <c r="J191" s="65"/>
      <c r="K191" s="65"/>
      <c r="L191" s="65"/>
    </row>
    <row r="192" spans="2:24">
      <c r="D192" s="8"/>
      <c r="E192" s="9"/>
      <c r="F192" s="9"/>
      <c r="G192" s="9"/>
      <c r="H192" s="9"/>
      <c r="I192" s="9"/>
      <c r="J192" s="9"/>
      <c r="K192" s="9"/>
      <c r="L192" s="9"/>
    </row>
    <row r="193" spans="4:12">
      <c r="D193" s="86"/>
      <c r="E193" s="9"/>
      <c r="F193" s="9"/>
      <c r="G193" s="9"/>
      <c r="H193" s="9"/>
      <c r="I193" s="9"/>
      <c r="J193" s="9"/>
      <c r="K193" s="9"/>
      <c r="L193" s="9"/>
    </row>
    <row r="194" spans="4:12"/>
    <row r="195" spans="4:12"/>
    <row r="196" spans="4:12"/>
    <row r="197" spans="4:12"/>
    <row r="198" spans="4:12"/>
    <row r="199" spans="4:12"/>
    <row r="200" spans="4:12"/>
    <row r="201" spans="4:12"/>
    <row r="202" spans="4:12"/>
    <row r="203" spans="4:12"/>
    <row r="204" spans="4:12"/>
    <row r="205" spans="4:12"/>
    <row r="206" spans="4:12"/>
    <row r="207" spans="4:12"/>
    <row r="208" spans="4:12"/>
    <row r="209"/>
    <row r="210"/>
    <row r="211"/>
    <row r="212"/>
    <row r="213"/>
    <row r="214"/>
    <row r="215"/>
    <row r="216"/>
    <row r="217"/>
    <row r="218"/>
    <row r="219"/>
    <row r="220"/>
    <row r="221"/>
    <row r="222"/>
    <row r="223"/>
    <row r="224"/>
    <row r="225"/>
    <row r="226"/>
    <row r="227"/>
  </sheetData>
  <mergeCells count="22">
    <mergeCell ref="AG68:AH68"/>
    <mergeCell ref="AI68:AJ68"/>
    <mergeCell ref="AK68:AL68"/>
    <mergeCell ref="Z57:Z58"/>
    <mergeCell ref="AA57:AB57"/>
    <mergeCell ref="AC57:AD57"/>
    <mergeCell ref="AE57:AF57"/>
    <mergeCell ref="Z68:Z69"/>
    <mergeCell ref="AA68:AB68"/>
    <mergeCell ref="AC68:AD68"/>
    <mergeCell ref="AE68:AF68"/>
    <mergeCell ref="AA34:AB34"/>
    <mergeCell ref="AC34:AD34"/>
    <mergeCell ref="AE34:AF34"/>
    <mergeCell ref="Z34:Z35"/>
    <mergeCell ref="AK45:AL45"/>
    <mergeCell ref="AC45:AD45"/>
    <mergeCell ref="AA45:AB45"/>
    <mergeCell ref="Z45:Z46"/>
    <mergeCell ref="AE45:AF45"/>
    <mergeCell ref="AG45:AH45"/>
    <mergeCell ref="AI45:AJ45"/>
  </mergeCells>
  <phoneticPr fontId="24" type="noConversion"/>
  <dataValidations count="4">
    <dataValidation type="list" allowBlank="1" showInputMessage="1" showErrorMessage="1" sqref="F95:F98 F119:F122 F107:F110 F83:F86 F77:F81 F113:F116 F89:F92 F101:F104 F71:F73" xr:uid="{00000000-0002-0000-0300-000000000000}">
      <formula1>$D$36:$D$37</formula1>
    </dataValidation>
    <dataValidation type="list" allowBlank="1" showInputMessage="1" showErrorMessage="1" sqref="G97:G98 G121:G122 G109:G110 G84:G86 G81 G91:G92 G115:G116 G102:G104 G67:G68" xr:uid="{00000000-0002-0000-0300-000001000000}">
      <formula1>$E$5:$E$31</formula1>
    </dataValidation>
    <dataValidation type="list" allowBlank="1" showInputMessage="1" showErrorMessage="1" sqref="J57:J61" xr:uid="{00000000-0002-0000-0300-000002000000}">
      <formula1>$B$38:$B$39</formula1>
    </dataValidation>
    <dataValidation type="list" allowBlank="1" showInputMessage="1" showErrorMessage="1" sqref="G114" xr:uid="{00000000-0002-0000-0300-000003000000}">
      <formula1>$E$5:$E$34</formula1>
    </dataValidation>
  </dataValidations>
  <pageMargins left="0.6" right="0.6" top="1" bottom="1" header="0.5" footer="0.5"/>
  <pageSetup scale="66" orientation="landscape" r:id="rId1"/>
  <headerFooter>
    <oddHeader>&amp;RDraft - Work in Progress</oddHeader>
    <oddFooter>&amp;L&amp;F
&amp;D, &amp;T&amp;CPage &amp;P of &amp;N&amp;R&amp;A</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4000000}">
          <x14:formula1>
            <xm:f>노선정리!$D$35:$D$36</xm:f>
          </x14:formula1>
          <xm:sqref>F65:F68</xm:sqref>
        </x14:dataValidation>
        <x14:dataValidation type="list" allowBlank="1" showInputMessage="1" showErrorMessage="1" xr:uid="{00000000-0002-0000-0300-000005000000}">
          <x14:formula1>
            <xm:f>노선정리!$B$35:$B$36</xm:f>
          </x14:formula1>
          <xm:sqref>G57:G61</xm:sqref>
        </x14:dataValidation>
        <x14:dataValidation type="list" allowBlank="1" showInputMessage="1" showErrorMessage="1" xr:uid="{00000000-0002-0000-0300-000006000000}">
          <x14:formula1>
            <xm:f>노선정리!$E$5:$E$31</xm:f>
          </x14:formula1>
          <xm:sqref>G113 G107:G108 G65:G66 G71:G73 G77:G80 G83 G89:G90 G95:G96 G101 G119:G120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2060"/>
    <pageSetUpPr fitToPage="1"/>
  </sheetPr>
  <dimension ref="B1:AK437"/>
  <sheetViews>
    <sheetView tabSelected="1" workbookViewId="0">
      <selection activeCell="R17" sqref="R17"/>
    </sheetView>
  </sheetViews>
  <sheetFormatPr defaultColWidth="9.125" defaultRowHeight="13.2" outlineLevelRow="1"/>
  <cols>
    <col min="1" max="1" width="2" style="139" customWidth="1"/>
    <col min="2" max="10" width="2.25" style="139" customWidth="1"/>
    <col min="11" max="11" width="10.875" style="139" customWidth="1"/>
    <col min="12" max="13" width="9.75" style="139" customWidth="1"/>
    <col min="14" max="14" width="11.125" style="139" customWidth="1"/>
    <col min="15" max="19" width="10.25" style="139" customWidth="1"/>
    <col min="20" max="23" width="9.75" style="139" customWidth="1"/>
    <col min="24" max="25" width="9.125" style="139"/>
    <col min="26" max="27" width="9.25" style="139" bestFit="1" customWidth="1"/>
    <col min="28" max="28" width="10.75" style="139" bestFit="1" customWidth="1"/>
    <col min="29" max="29" width="9.25" style="139" bestFit="1" customWidth="1"/>
    <col min="30" max="30" width="10.75" style="139" bestFit="1" customWidth="1"/>
    <col min="31" max="31" width="9.25" style="139" bestFit="1" customWidth="1"/>
    <col min="32" max="16384" width="9.125" style="139"/>
  </cols>
  <sheetData>
    <row r="1" spans="2:22" ht="17.399999999999999">
      <c r="B1" s="153" t="s">
        <v>821</v>
      </c>
    </row>
    <row r="2" spans="2:22">
      <c r="B2" s="139" t="s">
        <v>822</v>
      </c>
    </row>
    <row r="3" spans="2:22">
      <c r="B3" s="139" t="s">
        <v>823</v>
      </c>
    </row>
    <row r="6" spans="2:22" s="156" customFormat="1">
      <c r="B6" s="156" t="s">
        <v>831</v>
      </c>
    </row>
    <row r="7" spans="2:22" ht="6" customHeight="1" thickBot="1"/>
    <row r="8" spans="2:22" s="158" customFormat="1" ht="13.8" outlineLevel="1" thickBot="1">
      <c r="B8" s="157" t="s">
        <v>832</v>
      </c>
      <c r="C8" s="157"/>
      <c r="D8" s="157"/>
      <c r="E8" s="157"/>
      <c r="F8" s="157"/>
      <c r="G8" s="157"/>
      <c r="H8" s="157"/>
      <c r="I8" s="157"/>
      <c r="J8" s="157"/>
      <c r="K8" s="157"/>
      <c r="M8" s="159" t="s">
        <v>845</v>
      </c>
      <c r="N8" s="159"/>
      <c r="O8" s="160">
        <v>1</v>
      </c>
      <c r="R8" s="159" t="s">
        <v>861</v>
      </c>
      <c r="S8" s="159"/>
      <c r="T8" s="159"/>
      <c r="U8" s="159"/>
      <c r="V8" s="159"/>
    </row>
    <row r="9" spans="2:22" outlineLevel="1">
      <c r="B9" s="139" t="s">
        <v>833</v>
      </c>
      <c r="K9" s="287">
        <f>CTRL!J23</f>
        <v>43462</v>
      </c>
      <c r="M9" s="139" t="s">
        <v>846</v>
      </c>
      <c r="O9" s="161">
        <f>K11</f>
        <v>0</v>
      </c>
    </row>
    <row r="10" spans="2:22" outlineLevel="1">
      <c r="B10" s="139" t="s">
        <v>900</v>
      </c>
      <c r="K10" s="139">
        <f>N321</f>
        <v>0</v>
      </c>
      <c r="M10" s="139" t="s">
        <v>847</v>
      </c>
      <c r="O10" s="162">
        <f>CHOOSE($O$8, T21, U21, V21)</f>
        <v>6.0584372536264972</v>
      </c>
      <c r="P10" s="139" t="b">
        <f>O9=O10</f>
        <v>0</v>
      </c>
      <c r="R10" s="139" t="s">
        <v>862</v>
      </c>
      <c r="S10" s="163">
        <v>1</v>
      </c>
      <c r="T10" s="139" t="s">
        <v>830</v>
      </c>
    </row>
    <row r="11" spans="2:22" outlineLevel="1">
      <c r="B11" s="139" t="s">
        <v>834</v>
      </c>
      <c r="K11" s="164">
        <f>IFERROR(K14/K10, )</f>
        <v>0</v>
      </c>
      <c r="M11" s="139" t="s">
        <v>926</v>
      </c>
      <c r="O11" s="161">
        <f>K13</f>
        <v>0</v>
      </c>
      <c r="R11" s="165" t="s">
        <v>824</v>
      </c>
      <c r="S11" s="165" t="s">
        <v>825</v>
      </c>
      <c r="T11" s="165" t="s">
        <v>826</v>
      </c>
      <c r="U11" s="165" t="s">
        <v>827</v>
      </c>
      <c r="V11" s="165" t="s">
        <v>828</v>
      </c>
    </row>
    <row r="12" spans="2:22" outlineLevel="1">
      <c r="B12" s="139" t="s">
        <v>923</v>
      </c>
      <c r="K12" s="139">
        <f>N331</f>
        <v>0</v>
      </c>
      <c r="M12" s="139" t="s">
        <v>921</v>
      </c>
      <c r="O12" s="162">
        <f>CHOOSE($O$8, T22, U22, V22)</f>
        <v>11.386864999999998</v>
      </c>
      <c r="P12" s="139" t="b">
        <f>O11=O12</f>
        <v>0</v>
      </c>
      <c r="R12" s="166">
        <v>0</v>
      </c>
      <c r="S12" s="166">
        <v>0</v>
      </c>
      <c r="T12" s="166">
        <v>0</v>
      </c>
      <c r="U12" s="166">
        <v>0</v>
      </c>
      <c r="V12" s="166">
        <v>0</v>
      </c>
    </row>
    <row r="13" spans="2:22" outlineLevel="1">
      <c r="B13" s="139" t="s">
        <v>924</v>
      </c>
      <c r="K13" s="164">
        <f>IFERROR(K14/K12, )</f>
        <v>0</v>
      </c>
      <c r="R13" s="167"/>
      <c r="S13" s="167"/>
      <c r="T13" s="167"/>
      <c r="U13" s="167"/>
    </row>
    <row r="14" spans="2:22" outlineLevel="1">
      <c r="B14" s="168" t="s">
        <v>835</v>
      </c>
      <c r="C14" s="168"/>
      <c r="D14" s="168"/>
      <c r="E14" s="168"/>
      <c r="F14" s="168"/>
      <c r="G14" s="168"/>
      <c r="H14" s="168"/>
      <c r="I14" s="168"/>
      <c r="J14" s="168"/>
      <c r="K14" s="168">
        <f>K19-K18-K17-K16-K15</f>
        <v>6893.8497897772395</v>
      </c>
      <c r="R14" s="167"/>
      <c r="S14" s="167"/>
      <c r="T14" s="167"/>
      <c r="U14" s="169"/>
      <c r="V14" s="170"/>
    </row>
    <row r="15" spans="2:22" ht="13.8" outlineLevel="1" thickBot="1">
      <c r="B15" s="139" t="s">
        <v>925</v>
      </c>
      <c r="K15" s="139">
        <f>O337</f>
        <v>19521.150210222761</v>
      </c>
      <c r="M15" s="159" t="s">
        <v>848</v>
      </c>
      <c r="N15" s="159"/>
      <c r="O15" s="159"/>
      <c r="R15" s="159" t="s">
        <v>964</v>
      </c>
      <c r="S15" s="159"/>
      <c r="T15" s="159" t="s">
        <v>965</v>
      </c>
      <c r="U15" s="171" t="s">
        <v>966</v>
      </c>
      <c r="V15" s="159"/>
    </row>
    <row r="16" spans="2:22" outlineLevel="1">
      <c r="B16" s="139" t="s">
        <v>836</v>
      </c>
      <c r="K16" s="172">
        <v>0</v>
      </c>
      <c r="M16" s="139" t="s">
        <v>849</v>
      </c>
      <c r="O16" s="173">
        <v>0</v>
      </c>
      <c r="P16" s="139" t="s">
        <v>850</v>
      </c>
      <c r="R16" s="139" t="s">
        <v>1263</v>
      </c>
      <c r="S16" s="167"/>
      <c r="T16" s="167">
        <f>L193</f>
        <v>586600</v>
      </c>
      <c r="U16" s="167">
        <v>10000</v>
      </c>
      <c r="V16" s="139">
        <f>T16*U16/1000000</f>
        <v>5866</v>
      </c>
    </row>
    <row r="17" spans="2:22" outlineLevel="1">
      <c r="B17" s="139" t="s">
        <v>837</v>
      </c>
      <c r="K17" s="172">
        <v>0</v>
      </c>
      <c r="M17" s="139" t="s">
        <v>851</v>
      </c>
      <c r="O17" s="173">
        <v>0.02</v>
      </c>
      <c r="R17" s="174"/>
      <c r="S17" s="174"/>
      <c r="T17" s="174"/>
      <c r="U17" s="175"/>
      <c r="V17" s="176"/>
    </row>
    <row r="18" spans="2:22" outlineLevel="1">
      <c r="B18" s="139" t="s">
        <v>904</v>
      </c>
      <c r="K18" s="139">
        <f>-O360</f>
        <v>-10000</v>
      </c>
      <c r="M18" s="139" t="s">
        <v>852</v>
      </c>
      <c r="O18" s="173">
        <v>0</v>
      </c>
      <c r="R18" s="167"/>
      <c r="S18" s="167"/>
      <c r="T18" s="167"/>
      <c r="U18" s="177"/>
    </row>
    <row r="19" spans="2:22" ht="13.8" outlineLevel="1" thickBot="1">
      <c r="B19" s="168" t="s">
        <v>995</v>
      </c>
      <c r="C19" s="168"/>
      <c r="D19" s="168"/>
      <c r="E19" s="168"/>
      <c r="F19" s="168"/>
      <c r="G19" s="168"/>
      <c r="H19" s="168"/>
      <c r="I19" s="168"/>
      <c r="J19" s="168"/>
      <c r="K19" s="178">
        <f>N193*N71/1000000</f>
        <v>16415</v>
      </c>
      <c r="M19" s="139" t="s">
        <v>853</v>
      </c>
      <c r="O19" s="173">
        <v>0</v>
      </c>
      <c r="R19" s="159" t="s">
        <v>996</v>
      </c>
      <c r="S19" s="159"/>
      <c r="T19" s="159"/>
      <c r="U19" s="159"/>
      <c r="V19" s="159"/>
    </row>
    <row r="20" spans="2:22" outlineLevel="1">
      <c r="B20" s="139" t="s">
        <v>838</v>
      </c>
      <c r="K20" s="179">
        <v>1</v>
      </c>
      <c r="T20" s="139" t="str">
        <f>CTRL!F47</f>
        <v>1. Ind. Avg.</v>
      </c>
      <c r="U20" s="139" t="str">
        <f>CTRL!G47</f>
        <v>2. Ind. Median</v>
      </c>
      <c r="V20" s="139" t="str">
        <f>CTRL!H47</f>
        <v>3. M&amp;A transaction (global)</v>
      </c>
    </row>
    <row r="21" spans="2:22" outlineLevel="1">
      <c r="B21" s="168" t="s">
        <v>839</v>
      </c>
      <c r="C21" s="168"/>
      <c r="D21" s="168"/>
      <c r="E21" s="168"/>
      <c r="F21" s="168"/>
      <c r="G21" s="168"/>
      <c r="H21" s="168"/>
      <c r="I21" s="168"/>
      <c r="J21" s="168"/>
      <c r="K21" s="168">
        <f>K19*K20</f>
        <v>16415</v>
      </c>
      <c r="R21" s="139" t="s">
        <v>847</v>
      </c>
      <c r="T21" s="180">
        <f>CTRL!F48</f>
        <v>6.0584372536264972</v>
      </c>
      <c r="U21" s="180">
        <f>CTRL!G48</f>
        <v>6.1363043236135644</v>
      </c>
      <c r="V21" s="180">
        <f>CTRL!H48</f>
        <v>9.33</v>
      </c>
    </row>
    <row r="22" spans="2:22" ht="13.8" outlineLevel="1" thickBot="1">
      <c r="M22" s="159" t="s">
        <v>854</v>
      </c>
      <c r="N22" s="159"/>
      <c r="O22" s="181">
        <f>SUM(O23:O28)</f>
        <v>0</v>
      </c>
      <c r="R22" s="139" t="s">
        <v>921</v>
      </c>
      <c r="T22" s="180">
        <f>CTRL!F49</f>
        <v>11.386864999999998</v>
      </c>
      <c r="U22" s="180">
        <f>CTRL!G49</f>
        <v>8.7628400000000006</v>
      </c>
      <c r="V22" s="180">
        <f>CTRL!H49</f>
        <v>0</v>
      </c>
    </row>
    <row r="23" spans="2:22" outlineLevel="1">
      <c r="M23" s="139" t="s">
        <v>855</v>
      </c>
      <c r="O23" s="182">
        <v>0</v>
      </c>
    </row>
    <row r="24" spans="2:22" ht="13.8" outlineLevel="1" thickBot="1">
      <c r="B24" s="159" t="s">
        <v>840</v>
      </c>
      <c r="C24" s="159"/>
      <c r="D24" s="159"/>
      <c r="E24" s="159"/>
      <c r="F24" s="159"/>
      <c r="G24" s="159"/>
      <c r="H24" s="159"/>
      <c r="I24" s="159"/>
      <c r="J24" s="159"/>
      <c r="K24" s="159"/>
      <c r="M24" s="139" t="s">
        <v>856</v>
      </c>
      <c r="O24" s="182">
        <v>0</v>
      </c>
    </row>
    <row r="25" spans="2:22" outlineLevel="1">
      <c r="B25" s="183" t="s">
        <v>841</v>
      </c>
      <c r="K25" s="164"/>
      <c r="M25" s="139" t="s">
        <v>857</v>
      </c>
      <c r="O25" s="182">
        <v>0</v>
      </c>
    </row>
    <row r="26" spans="2:22" outlineLevel="1">
      <c r="B26" s="183" t="s">
        <v>842</v>
      </c>
      <c r="K26" s="164"/>
      <c r="M26" s="139" t="s">
        <v>858</v>
      </c>
      <c r="O26" s="182">
        <v>0</v>
      </c>
    </row>
    <row r="27" spans="2:22" outlineLevel="1">
      <c r="B27" s="183" t="s">
        <v>843</v>
      </c>
      <c r="K27" s="164"/>
      <c r="M27" s="139" t="s">
        <v>859</v>
      </c>
      <c r="O27" s="182">
        <v>0</v>
      </c>
    </row>
    <row r="28" spans="2:22" outlineLevel="1">
      <c r="B28" s="183" t="s">
        <v>844</v>
      </c>
      <c r="K28" s="164"/>
      <c r="M28" s="139" t="s">
        <v>860</v>
      </c>
      <c r="O28" s="182">
        <v>0</v>
      </c>
    </row>
    <row r="29" spans="2:22" outlineLevel="1"/>
    <row r="31" spans="2:22" s="156" customFormat="1">
      <c r="B31" s="156" t="s">
        <v>863</v>
      </c>
    </row>
    <row r="32" spans="2:22" ht="6" customHeight="1"/>
    <row r="34" spans="2:11" ht="13.8" thickBot="1">
      <c r="B34" s="159" t="s">
        <v>1264</v>
      </c>
      <c r="C34" s="159"/>
      <c r="D34" s="159"/>
      <c r="E34" s="159"/>
      <c r="F34" s="159"/>
      <c r="G34" s="159"/>
      <c r="H34" s="159"/>
      <c r="I34" s="159"/>
      <c r="J34" s="159"/>
      <c r="K34" s="159"/>
    </row>
    <row r="35" spans="2:11">
      <c r="B35" s="184" t="s">
        <v>907</v>
      </c>
      <c r="C35" s="184"/>
      <c r="D35" s="184"/>
      <c r="E35" s="184"/>
      <c r="F35" s="184"/>
      <c r="G35" s="184"/>
      <c r="H35" s="184"/>
      <c r="I35" s="184"/>
      <c r="J35" s="184"/>
      <c r="K35" s="184"/>
    </row>
    <row r="36" spans="2:11">
      <c r="B36" s="139" t="s">
        <v>901</v>
      </c>
      <c r="K36" s="139">
        <f>N63</f>
        <v>0</v>
      </c>
    </row>
    <row r="37" spans="2:11">
      <c r="B37" s="139" t="s">
        <v>902</v>
      </c>
      <c r="K37" s="185">
        <f>CTRL!H20</f>
        <v>0</v>
      </c>
    </row>
    <row r="38" spans="2:11">
      <c r="B38" s="139" t="s">
        <v>903</v>
      </c>
      <c r="K38" s="185">
        <f>CTRL!I20</f>
        <v>0</v>
      </c>
    </row>
    <row r="39" spans="2:11">
      <c r="B39" s="184" t="s">
        <v>908</v>
      </c>
      <c r="C39" s="184"/>
      <c r="D39" s="184"/>
      <c r="E39" s="184"/>
      <c r="F39" s="184"/>
      <c r="G39" s="184"/>
      <c r="H39" s="184"/>
      <c r="I39" s="184"/>
      <c r="J39" s="184"/>
      <c r="K39" s="184"/>
    </row>
    <row r="40" spans="2:11">
      <c r="B40" s="139" t="s">
        <v>901</v>
      </c>
      <c r="K40" s="139">
        <f>N70</f>
        <v>10000</v>
      </c>
    </row>
    <row r="41" spans="2:11">
      <c r="B41" s="139" t="s">
        <v>909</v>
      </c>
      <c r="K41" s="185">
        <f>CTRL!H21</f>
        <v>0.06</v>
      </c>
    </row>
    <row r="43" spans="2:11" ht="13.8" thickBot="1">
      <c r="B43" s="159" t="s">
        <v>1265</v>
      </c>
      <c r="C43" s="159"/>
      <c r="D43" s="159"/>
      <c r="E43" s="159"/>
      <c r="F43" s="159"/>
      <c r="G43" s="159"/>
      <c r="H43" s="159"/>
      <c r="I43" s="159"/>
      <c r="J43" s="159"/>
      <c r="K43" s="159"/>
    </row>
    <row r="44" spans="2:11">
      <c r="B44" s="184" t="s">
        <v>907</v>
      </c>
      <c r="C44" s="184"/>
      <c r="D44" s="184"/>
      <c r="E44" s="184"/>
      <c r="F44" s="184"/>
      <c r="G44" s="184"/>
      <c r="H44" s="184"/>
      <c r="I44" s="184"/>
      <c r="J44" s="184"/>
      <c r="K44" s="184"/>
    </row>
    <row r="45" spans="2:11">
      <c r="B45" s="139" t="s">
        <v>901</v>
      </c>
      <c r="K45" s="139">
        <f>N78</f>
        <v>0</v>
      </c>
    </row>
    <row r="46" spans="2:11">
      <c r="B46" s="139" t="s">
        <v>902</v>
      </c>
      <c r="K46" s="185">
        <f>CTRL!H26</f>
        <v>0</v>
      </c>
    </row>
    <row r="47" spans="2:11">
      <c r="B47" s="139" t="s">
        <v>903</v>
      </c>
      <c r="K47" s="185">
        <f>CTRL!I26</f>
        <v>0</v>
      </c>
    </row>
    <row r="48" spans="2:11">
      <c r="B48" s="184" t="s">
        <v>908</v>
      </c>
      <c r="C48" s="184"/>
      <c r="D48" s="184"/>
      <c r="E48" s="184"/>
      <c r="F48" s="184"/>
      <c r="G48" s="184"/>
      <c r="H48" s="184"/>
      <c r="I48" s="184"/>
      <c r="J48" s="184"/>
      <c r="K48" s="184"/>
    </row>
    <row r="49" spans="2:24">
      <c r="B49" s="139" t="s">
        <v>901</v>
      </c>
      <c r="K49" s="139">
        <f>N85</f>
        <v>14000</v>
      </c>
    </row>
    <row r="50" spans="2:24">
      <c r="B50" s="139" t="s">
        <v>909</v>
      </c>
      <c r="K50" s="185">
        <f>CTRL!H27</f>
        <v>0.06</v>
      </c>
    </row>
    <row r="53" spans="2:24" s="156" customFormat="1">
      <c r="B53" s="156" t="s">
        <v>864</v>
      </c>
    </row>
    <row r="54" spans="2:24" ht="6" customHeight="1"/>
    <row r="56" spans="2:24">
      <c r="B56" s="155" t="s">
        <v>939</v>
      </c>
      <c r="C56" s="155"/>
      <c r="D56" s="155"/>
      <c r="E56" s="155"/>
      <c r="F56" s="155"/>
      <c r="G56" s="155"/>
      <c r="H56" s="155"/>
      <c r="I56" s="155"/>
      <c r="J56" s="155"/>
    </row>
    <row r="57" spans="2:24">
      <c r="N57" s="186" t="s">
        <v>882</v>
      </c>
      <c r="O57" s="139" t="s">
        <v>1266</v>
      </c>
    </row>
    <row r="58" spans="2:24" ht="13.8" thickBot="1">
      <c r="C58" s="159" t="s">
        <v>881</v>
      </c>
      <c r="D58" s="159"/>
      <c r="E58" s="159"/>
      <c r="F58" s="159"/>
      <c r="G58" s="159"/>
      <c r="H58" s="159"/>
      <c r="I58" s="159"/>
      <c r="J58" s="159"/>
      <c r="K58" s="159"/>
      <c r="L58" s="187">
        <v>1</v>
      </c>
      <c r="M58" s="188"/>
      <c r="N58" s="189">
        <f>L58</f>
        <v>1</v>
      </c>
      <c r="O58" s="190">
        <v>1</v>
      </c>
      <c r="P58" s="190">
        <v>2</v>
      </c>
      <c r="Q58" s="190">
        <v>3</v>
      </c>
      <c r="R58" s="190">
        <v>4</v>
      </c>
      <c r="S58" s="190">
        <v>5</v>
      </c>
      <c r="T58" s="159"/>
      <c r="U58" s="159"/>
      <c r="V58" s="159"/>
      <c r="W58" s="159"/>
      <c r="X58" s="159"/>
    </row>
    <row r="59" spans="2:24">
      <c r="N59" s="191"/>
    </row>
    <row r="60" spans="2:24">
      <c r="C60" s="192" t="s">
        <v>883</v>
      </c>
      <c r="D60" s="193"/>
      <c r="E60" s="193"/>
      <c r="F60" s="193"/>
      <c r="G60" s="193"/>
      <c r="H60" s="193"/>
      <c r="I60" s="193"/>
      <c r="J60" s="193"/>
      <c r="K60" s="193"/>
      <c r="L60" s="193"/>
      <c r="M60" s="193"/>
      <c r="N60" s="194">
        <f>SUM(N61, N76)</f>
        <v>24000</v>
      </c>
      <c r="O60" s="194">
        <f t="shared" ref="O60:S60" si="0">SUM(O61, O76)</f>
        <v>24000</v>
      </c>
      <c r="P60" s="194">
        <f t="shared" si="0"/>
        <v>0</v>
      </c>
      <c r="Q60" s="194">
        <f t="shared" si="0"/>
        <v>0</v>
      </c>
      <c r="R60" s="194">
        <f t="shared" si="0"/>
        <v>0</v>
      </c>
      <c r="S60" s="194">
        <f t="shared" si="0"/>
        <v>0</v>
      </c>
      <c r="T60" s="194">
        <f t="shared" ref="T60" si="1">SUM(T61, T76)</f>
        <v>0</v>
      </c>
      <c r="U60" s="194">
        <f t="shared" ref="U60" si="2">SUM(U61, U76)</f>
        <v>0</v>
      </c>
      <c r="V60" s="194">
        <f t="shared" ref="V60" si="3">SUM(V61, V76)</f>
        <v>0</v>
      </c>
      <c r="W60" s="194">
        <f t="shared" ref="W60" si="4">SUM(W61, W76)</f>
        <v>0</v>
      </c>
      <c r="X60" s="194">
        <f t="shared" ref="X60" si="5">SUM(X61, X76)</f>
        <v>0</v>
      </c>
    </row>
    <row r="61" spans="2:24">
      <c r="D61" s="195" t="s">
        <v>1013</v>
      </c>
      <c r="E61" s="196"/>
      <c r="F61" s="196"/>
      <c r="G61" s="196"/>
      <c r="H61" s="196"/>
      <c r="I61" s="196"/>
      <c r="J61" s="196"/>
      <c r="K61" s="196"/>
      <c r="L61" s="196"/>
      <c r="M61" s="196"/>
      <c r="N61" s="197">
        <f>N63+N70</f>
        <v>10000</v>
      </c>
      <c r="O61" s="197">
        <f t="shared" ref="O61:S61" si="6">O63+O70</f>
        <v>10000</v>
      </c>
      <c r="P61" s="197">
        <f t="shared" si="6"/>
        <v>0</v>
      </c>
      <c r="Q61" s="197">
        <f t="shared" si="6"/>
        <v>0</v>
      </c>
      <c r="R61" s="197">
        <f t="shared" si="6"/>
        <v>0</v>
      </c>
      <c r="S61" s="197">
        <f t="shared" si="6"/>
        <v>0</v>
      </c>
      <c r="T61" s="197">
        <f t="shared" ref="T61:X61" si="7">T63+T70</f>
        <v>0</v>
      </c>
      <c r="U61" s="197">
        <f t="shared" si="7"/>
        <v>0</v>
      </c>
      <c r="V61" s="197">
        <f t="shared" si="7"/>
        <v>0</v>
      </c>
      <c r="W61" s="197">
        <f t="shared" si="7"/>
        <v>0</v>
      </c>
      <c r="X61" s="197">
        <f t="shared" si="7"/>
        <v>0</v>
      </c>
    </row>
    <row r="62" spans="2:24" s="155" customFormat="1">
      <c r="E62" s="155" t="s">
        <v>905</v>
      </c>
      <c r="N62" s="198"/>
    </row>
    <row r="63" spans="2:24" s="183" customFormat="1">
      <c r="F63" s="139" t="s">
        <v>913</v>
      </c>
      <c r="N63" s="198">
        <f>INDEX(O63:S63,$L$58)</f>
        <v>0</v>
      </c>
      <c r="O63" s="139">
        <f>CTRL!E20*100</f>
        <v>0</v>
      </c>
      <c r="P63" s="139"/>
      <c r="Q63" s="139"/>
      <c r="R63" s="139"/>
      <c r="S63" s="139"/>
    </row>
    <row r="64" spans="2:24" s="183" customFormat="1">
      <c r="F64" s="139" t="s">
        <v>915</v>
      </c>
      <c r="L64" s="183" t="s">
        <v>941</v>
      </c>
      <c r="N64" s="198">
        <f t="shared" ref="N64:N67" si="8">INDEX(O64:S64,$L$58)</f>
        <v>0</v>
      </c>
      <c r="O64" s="139">
        <f>CTRL!F20</f>
        <v>0</v>
      </c>
      <c r="P64" s="139"/>
      <c r="Q64" s="139"/>
      <c r="R64" s="139"/>
      <c r="S64" s="139"/>
    </row>
    <row r="65" spans="4:24" s="183" customFormat="1">
      <c r="F65" s="139" t="s">
        <v>917</v>
      </c>
      <c r="L65" s="183" t="s">
        <v>942</v>
      </c>
      <c r="N65" s="198">
        <f t="shared" si="8"/>
        <v>0</v>
      </c>
      <c r="O65" s="139">
        <f>IFERROR(O63*1000000/O64, )</f>
        <v>0</v>
      </c>
      <c r="P65" s="139"/>
      <c r="Q65" s="139"/>
      <c r="R65" s="139"/>
      <c r="S65" s="139"/>
    </row>
    <row r="66" spans="4:24" s="183" customFormat="1">
      <c r="F66" s="139" t="s">
        <v>972</v>
      </c>
      <c r="N66" s="199">
        <f t="shared" si="8"/>
        <v>1</v>
      </c>
      <c r="O66" s="200">
        <v>1</v>
      </c>
      <c r="P66" s="139"/>
      <c r="Q66" s="139"/>
      <c r="R66" s="139"/>
      <c r="S66" s="139"/>
    </row>
    <row r="67" spans="4:24" s="183" customFormat="1">
      <c r="F67" s="139" t="s">
        <v>939</v>
      </c>
      <c r="N67" s="201">
        <f t="shared" si="8"/>
        <v>0</v>
      </c>
      <c r="O67" s="202">
        <f>CTRL!K20</f>
        <v>0</v>
      </c>
      <c r="P67" s="139"/>
      <c r="Q67" s="139"/>
      <c r="R67" s="139"/>
      <c r="S67" s="139"/>
    </row>
    <row r="68" spans="4:24" s="183" customFormat="1">
      <c r="F68" s="139" t="s">
        <v>884</v>
      </c>
      <c r="N68" s="203"/>
      <c r="P68" s="139"/>
      <c r="Q68" s="139"/>
      <c r="R68" s="139"/>
      <c r="S68" s="139"/>
    </row>
    <row r="69" spans="4:24" s="155" customFormat="1">
      <c r="E69" s="155" t="s">
        <v>906</v>
      </c>
      <c r="N69" s="198"/>
      <c r="O69" s="139"/>
      <c r="P69" s="139"/>
      <c r="Q69" s="139"/>
      <c r="R69" s="139"/>
      <c r="S69" s="139"/>
    </row>
    <row r="70" spans="4:24" s="183" customFormat="1">
      <c r="F70" s="139" t="s">
        <v>913</v>
      </c>
      <c r="N70" s="198">
        <f>INDEX(O70:S70,$L$58)</f>
        <v>10000</v>
      </c>
      <c r="O70" s="139">
        <f>CTRL!E21*100</f>
        <v>10000</v>
      </c>
      <c r="P70" s="139"/>
      <c r="Q70" s="139"/>
      <c r="R70" s="139"/>
      <c r="S70" s="139"/>
    </row>
    <row r="71" spans="4:24" s="183" customFormat="1">
      <c r="F71" s="139" t="s">
        <v>914</v>
      </c>
      <c r="L71" s="183" t="s">
        <v>941</v>
      </c>
      <c r="N71" s="198">
        <f t="shared" ref="N71:N75" si="9">INDEX(O71:S71,$L$58)</f>
        <v>25000</v>
      </c>
      <c r="O71" s="139">
        <f>CTRL!F21</f>
        <v>25000</v>
      </c>
      <c r="P71" s="139"/>
      <c r="Q71" s="139"/>
      <c r="R71" s="139"/>
      <c r="S71" s="139"/>
    </row>
    <row r="72" spans="4:24" s="183" customFormat="1">
      <c r="F72" s="139" t="s">
        <v>916</v>
      </c>
      <c r="L72" s="183" t="s">
        <v>942</v>
      </c>
      <c r="N72" s="198">
        <f t="shared" si="9"/>
        <v>400000</v>
      </c>
      <c r="O72" s="139">
        <f>O70*1000000/O71</f>
        <v>400000</v>
      </c>
      <c r="P72" s="139"/>
      <c r="Q72" s="139"/>
      <c r="R72" s="139"/>
      <c r="S72" s="139"/>
    </row>
    <row r="73" spans="4:24" s="183" customFormat="1">
      <c r="F73" s="139" t="s">
        <v>955</v>
      </c>
      <c r="N73" s="198">
        <f t="shared" si="9"/>
        <v>5</v>
      </c>
      <c r="O73" s="139">
        <v>5</v>
      </c>
      <c r="P73" s="139"/>
      <c r="Q73" s="139"/>
      <c r="R73" s="139"/>
      <c r="S73" s="139"/>
    </row>
    <row r="74" spans="4:24" s="183" customFormat="1">
      <c r="F74" s="139" t="s">
        <v>944</v>
      </c>
      <c r="N74" s="199">
        <f t="shared" si="9"/>
        <v>1</v>
      </c>
      <c r="O74" s="200">
        <v>1</v>
      </c>
      <c r="P74" s="200"/>
      <c r="Q74" s="200"/>
      <c r="R74" s="200"/>
      <c r="S74" s="200"/>
    </row>
    <row r="75" spans="4:24" s="183" customFormat="1">
      <c r="E75" s="139"/>
      <c r="F75" s="139" t="s">
        <v>939</v>
      </c>
      <c r="N75" s="201">
        <f t="shared" si="9"/>
        <v>44926</v>
      </c>
      <c r="O75" s="202">
        <f>CTRL!K21</f>
        <v>44926</v>
      </c>
      <c r="P75" s="202"/>
      <c r="Q75" s="202"/>
      <c r="R75" s="202"/>
      <c r="S75" s="202"/>
      <c r="T75" s="204"/>
      <c r="U75" s="204"/>
    </row>
    <row r="76" spans="4:24">
      <c r="D76" s="195" t="s">
        <v>1014</v>
      </c>
      <c r="E76" s="196"/>
      <c r="F76" s="196"/>
      <c r="G76" s="196"/>
      <c r="H76" s="196"/>
      <c r="I76" s="196"/>
      <c r="J76" s="196"/>
      <c r="K76" s="196"/>
      <c r="L76" s="196"/>
      <c r="M76" s="196"/>
      <c r="N76" s="197">
        <f>N78+N85</f>
        <v>14000</v>
      </c>
      <c r="O76" s="197">
        <f t="shared" ref="O76:X76" si="10">O78+O85</f>
        <v>14000</v>
      </c>
      <c r="P76" s="197">
        <f t="shared" si="10"/>
        <v>0</v>
      </c>
      <c r="Q76" s="197">
        <f t="shared" si="10"/>
        <v>0</v>
      </c>
      <c r="R76" s="197">
        <f t="shared" si="10"/>
        <v>0</v>
      </c>
      <c r="S76" s="197">
        <f t="shared" si="10"/>
        <v>0</v>
      </c>
      <c r="T76" s="197">
        <f t="shared" si="10"/>
        <v>0</v>
      </c>
      <c r="U76" s="197">
        <f t="shared" si="10"/>
        <v>0</v>
      </c>
      <c r="V76" s="197">
        <f t="shared" si="10"/>
        <v>0</v>
      </c>
      <c r="W76" s="197">
        <f t="shared" si="10"/>
        <v>0</v>
      </c>
      <c r="X76" s="197">
        <f t="shared" si="10"/>
        <v>0</v>
      </c>
    </row>
    <row r="77" spans="4:24">
      <c r="E77" s="155" t="s">
        <v>905</v>
      </c>
      <c r="F77" s="155"/>
      <c r="G77" s="155"/>
      <c r="H77" s="155"/>
      <c r="I77" s="155"/>
      <c r="J77" s="155"/>
      <c r="K77" s="155"/>
      <c r="L77" s="155"/>
      <c r="M77" s="155"/>
      <c r="N77" s="198"/>
      <c r="O77" s="155"/>
      <c r="P77" s="155"/>
      <c r="Q77" s="155"/>
      <c r="R77" s="155"/>
      <c r="S77" s="155"/>
    </row>
    <row r="78" spans="4:24">
      <c r="F78" s="139" t="s">
        <v>912</v>
      </c>
      <c r="G78" s="183"/>
      <c r="H78" s="183"/>
      <c r="I78" s="183"/>
      <c r="J78" s="183"/>
      <c r="K78" s="183"/>
      <c r="L78" s="183"/>
      <c r="M78" s="183"/>
      <c r="N78" s="198">
        <f t="shared" ref="N78:N82" si="11">INDEX(O78:S78,$L$58)</f>
        <v>0</v>
      </c>
      <c r="O78" s="139">
        <f>CTRL!E26*100</f>
        <v>0</v>
      </c>
    </row>
    <row r="79" spans="4:24">
      <c r="F79" s="139" t="s">
        <v>914</v>
      </c>
      <c r="G79" s="183"/>
      <c r="H79" s="183"/>
      <c r="I79" s="183"/>
      <c r="J79" s="183"/>
      <c r="K79" s="183"/>
      <c r="L79" s="183" t="s">
        <v>941</v>
      </c>
      <c r="M79" s="183"/>
      <c r="N79" s="198">
        <f t="shared" si="11"/>
        <v>0</v>
      </c>
      <c r="O79" s="139">
        <f>CTRL!F26</f>
        <v>0</v>
      </c>
    </row>
    <row r="80" spans="4:24">
      <c r="F80" s="139" t="s">
        <v>916</v>
      </c>
      <c r="G80" s="183"/>
      <c r="H80" s="183"/>
      <c r="I80" s="183"/>
      <c r="J80" s="183"/>
      <c r="K80" s="183"/>
      <c r="L80" s="183" t="s">
        <v>942</v>
      </c>
      <c r="M80" s="183"/>
      <c r="N80" s="198">
        <f t="shared" si="11"/>
        <v>0</v>
      </c>
      <c r="O80" s="139">
        <f>IFERROR(O78*1000000/O79, )</f>
        <v>0</v>
      </c>
    </row>
    <row r="81" spans="4:24">
      <c r="F81" s="139" t="s">
        <v>972</v>
      </c>
      <c r="G81" s="183"/>
      <c r="H81" s="183"/>
      <c r="I81" s="183"/>
      <c r="J81" s="183"/>
      <c r="K81" s="183"/>
      <c r="L81" s="183"/>
      <c r="M81" s="183"/>
      <c r="N81" s="199">
        <f t="shared" si="11"/>
        <v>1</v>
      </c>
      <c r="O81" s="200">
        <v>1</v>
      </c>
      <c r="P81" s="200"/>
      <c r="Q81" s="200"/>
      <c r="R81" s="200"/>
      <c r="S81" s="200"/>
    </row>
    <row r="82" spans="4:24">
      <c r="F82" s="139" t="s">
        <v>939</v>
      </c>
      <c r="G82" s="183"/>
      <c r="H82" s="183"/>
      <c r="I82" s="183"/>
      <c r="J82" s="183"/>
      <c r="K82" s="183"/>
      <c r="L82" s="183"/>
      <c r="M82" s="183"/>
      <c r="N82" s="201">
        <f t="shared" si="11"/>
        <v>0</v>
      </c>
      <c r="O82" s="202">
        <f>CTRL!K26</f>
        <v>0</v>
      </c>
      <c r="P82" s="202"/>
      <c r="Q82" s="202"/>
      <c r="R82" s="202"/>
      <c r="S82" s="202"/>
    </row>
    <row r="83" spans="4:24">
      <c r="F83" s="139" t="s">
        <v>884</v>
      </c>
      <c r="G83" s="183"/>
      <c r="H83" s="183"/>
      <c r="I83" s="183"/>
      <c r="J83" s="183"/>
      <c r="K83" s="183"/>
      <c r="L83" s="183"/>
      <c r="M83" s="183"/>
      <c r="N83" s="203"/>
      <c r="O83" s="183"/>
      <c r="P83" s="183"/>
      <c r="Q83" s="183"/>
      <c r="R83" s="183"/>
      <c r="S83" s="183"/>
    </row>
    <row r="84" spans="4:24" s="155" customFormat="1">
      <c r="E84" s="155" t="s">
        <v>906</v>
      </c>
      <c r="N84" s="198"/>
      <c r="O84" s="139"/>
      <c r="P84" s="139"/>
      <c r="Q84" s="139"/>
      <c r="R84" s="139"/>
      <c r="S84" s="139"/>
    </row>
    <row r="85" spans="4:24">
      <c r="F85" s="139" t="s">
        <v>912</v>
      </c>
      <c r="G85" s="183"/>
      <c r="H85" s="183"/>
      <c r="I85" s="183"/>
      <c r="J85" s="183"/>
      <c r="K85" s="183"/>
      <c r="L85" s="183"/>
      <c r="M85" s="183"/>
      <c r="N85" s="198">
        <f t="shared" ref="N85:N90" si="12">INDEX(O85:S85,$L$58)</f>
        <v>14000</v>
      </c>
      <c r="O85" s="139">
        <f>CTRL!E27*100</f>
        <v>14000</v>
      </c>
    </row>
    <row r="86" spans="4:24">
      <c r="F86" s="139" t="s">
        <v>914</v>
      </c>
      <c r="L86" s="183" t="s">
        <v>941</v>
      </c>
      <c r="N86" s="198">
        <f t="shared" si="12"/>
        <v>100000</v>
      </c>
      <c r="O86" s="139">
        <f>CTRL!F27</f>
        <v>100000</v>
      </c>
    </row>
    <row r="87" spans="4:24">
      <c r="F87" s="139" t="s">
        <v>916</v>
      </c>
      <c r="L87" s="183" t="s">
        <v>942</v>
      </c>
      <c r="N87" s="198">
        <f t="shared" si="12"/>
        <v>140000</v>
      </c>
      <c r="O87" s="139">
        <f>O85*1000000/O86</f>
        <v>140000</v>
      </c>
    </row>
    <row r="88" spans="4:24">
      <c r="F88" s="139" t="s">
        <v>955</v>
      </c>
      <c r="L88" s="183"/>
      <c r="N88" s="198">
        <f t="shared" si="12"/>
        <v>5</v>
      </c>
      <c r="O88" s="139">
        <v>5</v>
      </c>
    </row>
    <row r="89" spans="4:24">
      <c r="F89" s="139" t="s">
        <v>944</v>
      </c>
      <c r="G89" s="183"/>
      <c r="H89" s="183"/>
      <c r="I89" s="183"/>
      <c r="J89" s="183"/>
      <c r="K89" s="183"/>
      <c r="L89" s="183"/>
      <c r="M89" s="183"/>
      <c r="N89" s="199">
        <f t="shared" si="12"/>
        <v>1</v>
      </c>
      <c r="O89" s="200">
        <v>1</v>
      </c>
      <c r="P89" s="200"/>
      <c r="Q89" s="200"/>
      <c r="R89" s="200"/>
      <c r="S89" s="200"/>
    </row>
    <row r="90" spans="4:24">
      <c r="F90" s="139" t="s">
        <v>939</v>
      </c>
      <c r="G90" s="183"/>
      <c r="H90" s="183"/>
      <c r="I90" s="183"/>
      <c r="J90" s="183"/>
      <c r="K90" s="183"/>
      <c r="L90" s="183"/>
      <c r="M90" s="183"/>
      <c r="N90" s="201">
        <f t="shared" si="12"/>
        <v>44926</v>
      </c>
      <c r="O90" s="202">
        <f>CTRL!K27</f>
        <v>44926</v>
      </c>
      <c r="P90" s="202"/>
      <c r="Q90" s="202"/>
      <c r="R90" s="202"/>
      <c r="S90" s="202"/>
      <c r="T90" s="204"/>
      <c r="U90" s="204"/>
    </row>
    <row r="91" spans="4:24">
      <c r="D91" s="205" t="s">
        <v>1485</v>
      </c>
      <c r="E91" s="206"/>
      <c r="F91" s="206"/>
      <c r="G91" s="206"/>
      <c r="H91" s="206"/>
      <c r="I91" s="206"/>
      <c r="J91" s="206"/>
      <c r="K91" s="206"/>
      <c r="L91" s="206"/>
      <c r="M91" s="206"/>
      <c r="N91" s="207">
        <f>SUM(N93, N97, N101, N105)</f>
        <v>3810</v>
      </c>
      <c r="O91" s="207">
        <f>SUM(O93, O97, O101, O105)</f>
        <v>3810</v>
      </c>
      <c r="P91" s="207"/>
      <c r="Q91" s="207"/>
      <c r="R91" s="207"/>
      <c r="S91" s="207"/>
      <c r="T91" s="207"/>
      <c r="U91" s="207"/>
      <c r="V91" s="207"/>
      <c r="W91" s="207"/>
      <c r="X91" s="207"/>
    </row>
    <row r="92" spans="4:24">
      <c r="E92" s="155" t="s">
        <v>1022</v>
      </c>
      <c r="F92" s="155"/>
      <c r="G92" s="155"/>
      <c r="H92" s="155"/>
      <c r="I92" s="155"/>
      <c r="J92" s="155"/>
      <c r="K92" s="155"/>
      <c r="L92" s="155"/>
      <c r="M92" s="155"/>
      <c r="N92" s="198"/>
    </row>
    <row r="93" spans="4:24">
      <c r="F93" s="139" t="s">
        <v>912</v>
      </c>
      <c r="G93" s="183"/>
      <c r="H93" s="183"/>
      <c r="I93" s="183"/>
      <c r="J93" s="183"/>
      <c r="K93" s="183"/>
      <c r="L93" s="183"/>
      <c r="M93" s="183"/>
      <c r="N93" s="198">
        <f t="shared" ref="N93:N95" si="13">INDEX(O93:S93,$L$58)</f>
        <v>750</v>
      </c>
      <c r="O93" s="139">
        <f>CTRL!E32*100</f>
        <v>750</v>
      </c>
    </row>
    <row r="94" spans="4:24">
      <c r="F94" s="139" t="s">
        <v>914</v>
      </c>
      <c r="G94" s="183"/>
      <c r="H94" s="183"/>
      <c r="I94" s="183"/>
      <c r="J94" s="183"/>
      <c r="K94" s="183"/>
      <c r="L94" s="183" t="s">
        <v>941</v>
      </c>
      <c r="M94" s="183"/>
      <c r="N94" s="198">
        <f t="shared" si="13"/>
        <v>25000</v>
      </c>
      <c r="O94" s="139">
        <f>CTRL!F32</f>
        <v>25000</v>
      </c>
    </row>
    <row r="95" spans="4:24">
      <c r="F95" s="139" t="s">
        <v>916</v>
      </c>
      <c r="G95" s="183"/>
      <c r="H95" s="183"/>
      <c r="I95" s="183"/>
      <c r="J95" s="183"/>
      <c r="K95" s="183"/>
      <c r="L95" s="183" t="s">
        <v>942</v>
      </c>
      <c r="M95" s="183"/>
      <c r="N95" s="198">
        <f t="shared" si="13"/>
        <v>30000</v>
      </c>
      <c r="O95" s="139">
        <f>O93*1000000/O94</f>
        <v>30000</v>
      </c>
    </row>
    <row r="96" spans="4:24">
      <c r="E96" s="155" t="s">
        <v>1267</v>
      </c>
      <c r="F96" s="155"/>
      <c r="G96" s="155"/>
      <c r="H96" s="155"/>
      <c r="I96" s="155"/>
      <c r="J96" s="155"/>
      <c r="K96" s="155"/>
      <c r="L96" s="155"/>
      <c r="M96" s="155"/>
      <c r="N96" s="198"/>
    </row>
    <row r="97" spans="4:24">
      <c r="F97" s="139" t="s">
        <v>912</v>
      </c>
      <c r="G97" s="183"/>
      <c r="H97" s="183"/>
      <c r="I97" s="183"/>
      <c r="J97" s="183"/>
      <c r="K97" s="183"/>
      <c r="L97" s="183"/>
      <c r="M97" s="183"/>
      <c r="N97" s="198">
        <f t="shared" ref="N97:N99" si="14">INDEX(O97:S97,$L$58)</f>
        <v>400</v>
      </c>
      <c r="O97" s="139">
        <f>CTRL!E33*100</f>
        <v>400</v>
      </c>
    </row>
    <row r="98" spans="4:24">
      <c r="F98" s="139" t="s">
        <v>914</v>
      </c>
      <c r="G98" s="183"/>
      <c r="H98" s="183"/>
      <c r="I98" s="183"/>
      <c r="J98" s="183"/>
      <c r="K98" s="183"/>
      <c r="L98" s="183" t="s">
        <v>941</v>
      </c>
      <c r="M98" s="183"/>
      <c r="N98" s="198">
        <f t="shared" si="14"/>
        <v>10000</v>
      </c>
      <c r="O98" s="139">
        <v>10000</v>
      </c>
    </row>
    <row r="99" spans="4:24">
      <c r="F99" s="139" t="s">
        <v>916</v>
      </c>
      <c r="G99" s="183"/>
      <c r="H99" s="183"/>
      <c r="I99" s="183"/>
      <c r="J99" s="183"/>
      <c r="K99" s="183"/>
      <c r="L99" s="183" t="s">
        <v>942</v>
      </c>
      <c r="M99" s="183"/>
      <c r="N99" s="198">
        <f t="shared" si="14"/>
        <v>40000</v>
      </c>
      <c r="O99" s="139">
        <f>O97*1000000/O98</f>
        <v>40000</v>
      </c>
    </row>
    <row r="100" spans="4:24">
      <c r="E100" s="155" t="s">
        <v>1023</v>
      </c>
      <c r="F100" s="155"/>
      <c r="G100" s="155"/>
      <c r="H100" s="155"/>
      <c r="I100" s="155"/>
      <c r="J100" s="155"/>
      <c r="K100" s="155"/>
      <c r="L100" s="155"/>
      <c r="M100" s="155"/>
      <c r="N100" s="198"/>
    </row>
    <row r="101" spans="4:24">
      <c r="F101" s="139" t="s">
        <v>912</v>
      </c>
      <c r="G101" s="183"/>
      <c r="H101" s="183"/>
      <c r="I101" s="183"/>
      <c r="J101" s="183"/>
      <c r="K101" s="183"/>
      <c r="L101" s="183"/>
      <c r="M101" s="183"/>
      <c r="N101" s="198">
        <f t="shared" ref="N101:N103" si="15">INDEX(O101:S101,$L$58)</f>
        <v>2100</v>
      </c>
      <c r="O101" s="139">
        <f>CTRL!E34*100</f>
        <v>2100</v>
      </c>
    </row>
    <row r="102" spans="4:24">
      <c r="F102" s="139" t="s">
        <v>914</v>
      </c>
      <c r="G102" s="183"/>
      <c r="H102" s="183"/>
      <c r="I102" s="183"/>
      <c r="J102" s="183"/>
      <c r="K102" s="183"/>
      <c r="L102" s="183" t="s">
        <v>941</v>
      </c>
      <c r="M102" s="183"/>
      <c r="N102" s="198">
        <f t="shared" si="15"/>
        <v>100000</v>
      </c>
      <c r="O102" s="139">
        <f>CTRL!F34</f>
        <v>100000</v>
      </c>
    </row>
    <row r="103" spans="4:24">
      <c r="F103" s="139" t="s">
        <v>916</v>
      </c>
      <c r="G103" s="183"/>
      <c r="H103" s="183"/>
      <c r="I103" s="183"/>
      <c r="J103" s="183"/>
      <c r="K103" s="183"/>
      <c r="L103" s="183" t="s">
        <v>942</v>
      </c>
      <c r="M103" s="183"/>
      <c r="N103" s="198">
        <f t="shared" si="15"/>
        <v>21000</v>
      </c>
      <c r="O103" s="139">
        <f>O101*1000000/O102</f>
        <v>21000</v>
      </c>
    </row>
    <row r="104" spans="4:24">
      <c r="E104" s="155" t="s">
        <v>1268</v>
      </c>
      <c r="F104" s="155"/>
      <c r="G104" s="155"/>
      <c r="H104" s="155"/>
      <c r="I104" s="155"/>
      <c r="J104" s="155"/>
      <c r="K104" s="155"/>
      <c r="L104" s="155"/>
      <c r="M104" s="155"/>
      <c r="N104" s="198"/>
    </row>
    <row r="105" spans="4:24">
      <c r="F105" s="139" t="s">
        <v>912</v>
      </c>
      <c r="G105" s="183"/>
      <c r="H105" s="183"/>
      <c r="I105" s="183"/>
      <c r="J105" s="183"/>
      <c r="K105" s="183"/>
      <c r="L105" s="183"/>
      <c r="M105" s="183"/>
      <c r="N105" s="198">
        <f t="shared" ref="N105:N107" si="16">INDEX(O105:S105,$L$58)</f>
        <v>560</v>
      </c>
      <c r="O105" s="139">
        <f>CTRL!E35*100</f>
        <v>560</v>
      </c>
    </row>
    <row r="106" spans="4:24">
      <c r="F106" s="139" t="s">
        <v>914</v>
      </c>
      <c r="G106" s="183"/>
      <c r="H106" s="183"/>
      <c r="I106" s="183"/>
      <c r="J106" s="183"/>
      <c r="K106" s="183"/>
      <c r="L106" s="183" t="s">
        <v>941</v>
      </c>
      <c r="M106" s="183"/>
      <c r="N106" s="198">
        <f t="shared" si="16"/>
        <v>10000</v>
      </c>
      <c r="O106" s="139">
        <v>10000</v>
      </c>
    </row>
    <row r="107" spans="4:24">
      <c r="F107" s="139" t="s">
        <v>916</v>
      </c>
      <c r="G107" s="183"/>
      <c r="H107" s="183"/>
      <c r="I107" s="183"/>
      <c r="J107" s="183"/>
      <c r="K107" s="183"/>
      <c r="L107" s="183" t="s">
        <v>942</v>
      </c>
      <c r="M107" s="183"/>
      <c r="N107" s="198">
        <f t="shared" si="16"/>
        <v>56000</v>
      </c>
      <c r="O107" s="139">
        <f>O105*1000000/O106</f>
        <v>56000</v>
      </c>
    </row>
    <row r="108" spans="4:24">
      <c r="D108" s="208" t="s">
        <v>1061</v>
      </c>
      <c r="E108" s="209"/>
      <c r="F108" s="209"/>
      <c r="G108" s="209"/>
      <c r="H108" s="209"/>
      <c r="I108" s="209"/>
      <c r="J108" s="209"/>
      <c r="K108" s="209"/>
      <c r="L108" s="209"/>
      <c r="M108" s="209"/>
      <c r="N108" s="210">
        <f>SUM(N110, N113, N117, N121)</f>
        <v>1100</v>
      </c>
      <c r="O108" s="210">
        <f>SUM(O110, O113, O117, O121)</f>
        <v>1100</v>
      </c>
      <c r="P108" s="210"/>
      <c r="Q108" s="210"/>
      <c r="R108" s="210"/>
      <c r="S108" s="210"/>
      <c r="T108" s="210"/>
      <c r="U108" s="210"/>
      <c r="V108" s="210"/>
      <c r="W108" s="210"/>
      <c r="X108" s="210"/>
    </row>
    <row r="109" spans="4:24">
      <c r="E109" s="155" t="s">
        <v>1069</v>
      </c>
      <c r="F109" s="155"/>
      <c r="G109" s="155"/>
      <c r="H109" s="155"/>
      <c r="I109" s="155"/>
      <c r="J109" s="155"/>
      <c r="K109" s="155"/>
      <c r="L109" s="155"/>
      <c r="M109" s="155"/>
      <c r="N109" s="198"/>
    </row>
    <row r="110" spans="4:24">
      <c r="F110" s="139" t="s">
        <v>912</v>
      </c>
      <c r="G110" s="183"/>
      <c r="H110" s="183"/>
      <c r="I110" s="183"/>
      <c r="J110" s="183"/>
      <c r="K110" s="183"/>
      <c r="L110" s="183"/>
      <c r="M110" s="183"/>
      <c r="N110" s="198">
        <f t="shared" ref="N110:N112" si="17">INDEX(O110:S110,$L$58)</f>
        <v>1100</v>
      </c>
      <c r="O110" s="139">
        <f>CTRL!E15*100</f>
        <v>1100</v>
      </c>
    </row>
    <row r="111" spans="4:24">
      <c r="F111" s="139" t="s">
        <v>914</v>
      </c>
      <c r="G111" s="183"/>
      <c r="H111" s="183"/>
      <c r="I111" s="183"/>
      <c r="J111" s="183"/>
      <c r="K111" s="183"/>
      <c r="L111" s="183" t="s">
        <v>941</v>
      </c>
      <c r="M111" s="183"/>
      <c r="N111" s="198">
        <f t="shared" si="17"/>
        <v>10000</v>
      </c>
      <c r="O111" s="139">
        <f>CTRL!F15</f>
        <v>10000</v>
      </c>
    </row>
    <row r="112" spans="4:24">
      <c r="F112" s="139" t="s">
        <v>916</v>
      </c>
      <c r="G112" s="183"/>
      <c r="H112" s="183"/>
      <c r="I112" s="183"/>
      <c r="J112" s="183"/>
      <c r="K112" s="183"/>
      <c r="L112" s="183" t="s">
        <v>942</v>
      </c>
      <c r="M112" s="183"/>
      <c r="N112" s="198">
        <f t="shared" si="17"/>
        <v>110000</v>
      </c>
      <c r="O112" s="139">
        <f>O110*1000000/O111</f>
        <v>110000</v>
      </c>
    </row>
    <row r="115" spans="2:2" s="156" customFormat="1">
      <c r="B115" s="156" t="s">
        <v>865</v>
      </c>
    </row>
    <row r="116" spans="2:2" ht="6" customHeight="1"/>
    <row r="117" spans="2:2" hidden="1" outlineLevel="1"/>
    <row r="118" spans="2:2" hidden="1" outlineLevel="1"/>
    <row r="119" spans="2:2" hidden="1" outlineLevel="1"/>
    <row r="120" spans="2:2" hidden="1" outlineLevel="1"/>
    <row r="121" spans="2:2" hidden="1" outlineLevel="1"/>
    <row r="122" spans="2:2" hidden="1" outlineLevel="1"/>
    <row r="123" spans="2:2" hidden="1" outlineLevel="1"/>
    <row r="124" spans="2:2" hidden="1" outlineLevel="1"/>
    <row r="125" spans="2:2" hidden="1" outlineLevel="1"/>
    <row r="126" spans="2:2" hidden="1" outlineLevel="1"/>
    <row r="127" spans="2:2" hidden="1" outlineLevel="1"/>
    <row r="128" spans="2:2" hidden="1" outlineLevel="1"/>
    <row r="129" spans="2:2" hidden="1" outlineLevel="1"/>
    <row r="130" spans="2:2" hidden="1" outlineLevel="1"/>
    <row r="131" spans="2:2" hidden="1" outlineLevel="1"/>
    <row r="132" spans="2:2" hidden="1" outlineLevel="1"/>
    <row r="133" spans="2:2" hidden="1" outlineLevel="1"/>
    <row r="134" spans="2:2" hidden="1" outlineLevel="1"/>
    <row r="135" spans="2:2" hidden="1" outlineLevel="1"/>
    <row r="136" spans="2:2" hidden="1" outlineLevel="1"/>
    <row r="137" spans="2:2" hidden="1" outlineLevel="1"/>
    <row r="138" spans="2:2" hidden="1" outlineLevel="1"/>
    <row r="139" spans="2:2" hidden="1" outlineLevel="1"/>
    <row r="140" spans="2:2" hidden="1" outlineLevel="1"/>
    <row r="141" spans="2:2" collapsed="1"/>
    <row r="142" spans="2:2" s="156" customFormat="1">
      <c r="B142" s="156" t="s">
        <v>866</v>
      </c>
    </row>
    <row r="143" spans="2:2" ht="6" customHeight="1"/>
    <row r="144" spans="2:2" hidden="1" outlineLevel="1"/>
    <row r="145" hidden="1" outlineLevel="1"/>
    <row r="146" hidden="1" outlineLevel="1"/>
    <row r="147" hidden="1" outlineLevel="1"/>
    <row r="148" hidden="1" outlineLevel="1"/>
    <row r="149" hidden="1" outlineLevel="1"/>
    <row r="150" hidden="1" outlineLevel="1"/>
    <row r="151" hidden="1" outlineLevel="1"/>
    <row r="152" hidden="1" outlineLevel="1"/>
    <row r="153" hidden="1" outlineLevel="1"/>
    <row r="154" hidden="1" outlineLevel="1"/>
    <row r="155" hidden="1" outlineLevel="1"/>
    <row r="156" hidden="1" outlineLevel="1"/>
    <row r="157" hidden="1" outlineLevel="1"/>
    <row r="158" hidden="1" outlineLevel="1"/>
    <row r="159" hidden="1" outlineLevel="1"/>
    <row r="160" hidden="1" outlineLevel="1"/>
    <row r="161" spans="2:2" hidden="1" outlineLevel="1"/>
    <row r="162" spans="2:2" hidden="1" outlineLevel="1"/>
    <row r="163" spans="2:2" hidden="1" outlineLevel="1"/>
    <row r="164" spans="2:2" hidden="1" outlineLevel="1"/>
    <row r="165" spans="2:2" hidden="1" outlineLevel="1"/>
    <row r="166" spans="2:2" hidden="1" outlineLevel="1"/>
    <row r="167" spans="2:2" hidden="1" outlineLevel="1"/>
    <row r="168" spans="2:2" hidden="1" outlineLevel="1"/>
    <row r="169" spans="2:2" hidden="1" outlineLevel="1"/>
    <row r="170" spans="2:2" hidden="1" outlineLevel="1"/>
    <row r="171" spans="2:2" hidden="1" outlineLevel="1"/>
    <row r="172" spans="2:2" hidden="1" outlineLevel="1"/>
    <row r="173" spans="2:2" hidden="1" outlineLevel="1"/>
    <row r="174" spans="2:2" hidden="1" outlineLevel="1"/>
    <row r="175" spans="2:2" collapsed="1"/>
    <row r="176" spans="2:2" s="156" customFormat="1">
      <c r="B176" s="156" t="s">
        <v>867</v>
      </c>
    </row>
    <row r="177" spans="2:28" ht="6" customHeight="1"/>
    <row r="178" spans="2:28" ht="6" customHeight="1"/>
    <row r="179" spans="2:28">
      <c r="B179" s="211" t="s">
        <v>994</v>
      </c>
      <c r="L179" s="212" t="s">
        <v>887</v>
      </c>
      <c r="M179" s="213"/>
      <c r="N179" s="214" t="s">
        <v>891</v>
      </c>
      <c r="O179" s="215"/>
      <c r="P179" s="215"/>
      <c r="Q179" s="215"/>
      <c r="R179" s="215"/>
      <c r="S179" s="215"/>
      <c r="T179" s="215"/>
      <c r="U179" s="215"/>
      <c r="V179" s="215"/>
      <c r="W179" s="215"/>
    </row>
    <row r="180" spans="2:28">
      <c r="M180" s="216"/>
      <c r="N180" s="558">
        <v>2019</v>
      </c>
      <c r="O180" s="559"/>
      <c r="P180" s="558">
        <v>2020</v>
      </c>
      <c r="Q180" s="559"/>
      <c r="R180" s="558">
        <v>2021</v>
      </c>
      <c r="S180" s="559"/>
      <c r="T180" s="558">
        <v>2022</v>
      </c>
      <c r="U180" s="559"/>
      <c r="V180" s="558">
        <v>2023</v>
      </c>
      <c r="W180" s="560"/>
      <c r="Y180" s="211" t="s">
        <v>1064</v>
      </c>
    </row>
    <row r="181" spans="2:28" ht="13.8" thickBot="1">
      <c r="B181" s="159" t="s">
        <v>886</v>
      </c>
      <c r="C181" s="159"/>
      <c r="D181" s="159"/>
      <c r="E181" s="159"/>
      <c r="F181" s="159"/>
      <c r="G181" s="159"/>
      <c r="H181" s="159"/>
      <c r="I181" s="159"/>
      <c r="J181" s="159"/>
      <c r="K181" s="159"/>
      <c r="L181" s="171" t="s">
        <v>888</v>
      </c>
      <c r="M181" s="217" t="s">
        <v>889</v>
      </c>
      <c r="N181" s="171" t="s">
        <v>983</v>
      </c>
      <c r="O181" s="217" t="s">
        <v>984</v>
      </c>
      <c r="P181" s="171" t="s">
        <v>888</v>
      </c>
      <c r="Q181" s="217" t="s">
        <v>889</v>
      </c>
      <c r="R181" s="171" t="s">
        <v>888</v>
      </c>
      <c r="S181" s="217" t="s">
        <v>889</v>
      </c>
      <c r="T181" s="171" t="s">
        <v>888</v>
      </c>
      <c r="U181" s="217" t="s">
        <v>889</v>
      </c>
      <c r="V181" s="171" t="s">
        <v>888</v>
      </c>
      <c r="W181" s="171" t="s">
        <v>889</v>
      </c>
      <c r="Y181" s="70" t="s">
        <v>1062</v>
      </c>
      <c r="Z181" s="61" t="s">
        <v>1063</v>
      </c>
      <c r="AA181" s="61" t="s">
        <v>1020</v>
      </c>
      <c r="AB181" s="61" t="s">
        <v>1024</v>
      </c>
    </row>
    <row r="182" spans="2:28">
      <c r="B182" s="218" t="s">
        <v>1490</v>
      </c>
      <c r="C182" s="218"/>
      <c r="D182" s="218"/>
      <c r="E182" s="218"/>
      <c r="F182" s="218"/>
      <c r="G182" s="218"/>
      <c r="H182" s="218"/>
      <c r="I182" s="218"/>
      <c r="J182" s="218"/>
      <c r="K182" s="218"/>
      <c r="L182" s="218">
        <f>206535+AB183</f>
        <v>213535</v>
      </c>
      <c r="M182" s="219">
        <f>L182/L$193</f>
        <v>0.36402147971360382</v>
      </c>
      <c r="N182" s="218">
        <f>L182</f>
        <v>213535</v>
      </c>
      <c r="O182" s="219">
        <f>N182/N$193</f>
        <v>0.3252132196162047</v>
      </c>
      <c r="P182" s="218">
        <f>N182</f>
        <v>213535</v>
      </c>
      <c r="Q182" s="219">
        <f>P182/P$193</f>
        <v>0.29107824427480916</v>
      </c>
      <c r="R182" s="218">
        <f>P182</f>
        <v>213535</v>
      </c>
      <c r="S182" s="219">
        <f>R182/R$193</f>
        <v>0.29107824427480916</v>
      </c>
      <c r="T182" s="218">
        <f>R182</f>
        <v>213535</v>
      </c>
      <c r="U182" s="219">
        <f>T182/T$193</f>
        <v>0.29107824427480916</v>
      </c>
      <c r="V182" s="218">
        <f>T182</f>
        <v>213535</v>
      </c>
      <c r="W182" s="220">
        <f>V182/V$193</f>
        <v>0.16766253140703519</v>
      </c>
      <c r="Y182" s="139" t="str">
        <f>CTRL!D12</f>
        <v>J 외 1인</v>
      </c>
      <c r="Z182" s="139">
        <f>CTRL!E12*100</f>
        <v>550</v>
      </c>
      <c r="AA182" s="139">
        <f>CTRL!F12</f>
        <v>10000</v>
      </c>
      <c r="AB182" s="139">
        <f>CTRL!G12</f>
        <v>55000</v>
      </c>
    </row>
    <row r="183" spans="2:28">
      <c r="B183" s="139" t="s">
        <v>1489</v>
      </c>
      <c r="L183" s="221">
        <f>92232+45483+AB182</f>
        <v>192715</v>
      </c>
      <c r="M183" s="222">
        <f>L183/L$193</f>
        <v>0.32852881009205592</v>
      </c>
      <c r="N183" s="139">
        <f>$L183</f>
        <v>192715</v>
      </c>
      <c r="O183" s="222">
        <f>N183/N$193</f>
        <v>0.29350441669204996</v>
      </c>
      <c r="P183" s="139">
        <f t="shared" ref="N183:V186" si="18">N183</f>
        <v>192715</v>
      </c>
      <c r="Q183" s="222">
        <f>P183/P$193</f>
        <v>0.26269765539803708</v>
      </c>
      <c r="R183" s="139">
        <f t="shared" si="18"/>
        <v>192715</v>
      </c>
      <c r="S183" s="222">
        <f>R183/R$193</f>
        <v>0.26269765539803708</v>
      </c>
      <c r="T183" s="139">
        <f t="shared" si="18"/>
        <v>192715</v>
      </c>
      <c r="U183" s="222">
        <f>T183/T$193</f>
        <v>0.26269765539803708</v>
      </c>
      <c r="V183" s="139">
        <f t="shared" si="18"/>
        <v>192715</v>
      </c>
      <c r="W183" s="223">
        <f>V183/V$193</f>
        <v>0.15131516959798996</v>
      </c>
      <c r="Y183" s="139" t="str">
        <f>CTRL!D13</f>
        <v>G</v>
      </c>
      <c r="Z183" s="139">
        <f>CTRL!E13*100</f>
        <v>70</v>
      </c>
      <c r="AA183" s="139">
        <f>CTRL!F13</f>
        <v>10000</v>
      </c>
      <c r="AB183" s="139">
        <f>CTRL!G13</f>
        <v>7000</v>
      </c>
    </row>
    <row r="184" spans="2:28">
      <c r="B184" s="139" t="s">
        <v>1491</v>
      </c>
      <c r="L184" s="139">
        <f>42350+AB184</f>
        <v>70350</v>
      </c>
      <c r="M184" s="222">
        <f>L184/L$193</f>
        <v>0.11992840095465394</v>
      </c>
      <c r="N184" s="139">
        <f>$L184</f>
        <v>70350</v>
      </c>
      <c r="O184" s="222">
        <f>N184/N$193</f>
        <v>0.10714285714285714</v>
      </c>
      <c r="P184" s="139">
        <f t="shared" si="18"/>
        <v>70350</v>
      </c>
      <c r="Q184" s="222">
        <f>P184/P$193</f>
        <v>9.5896946564885496E-2</v>
      </c>
      <c r="R184" s="139">
        <f t="shared" si="18"/>
        <v>70350</v>
      </c>
      <c r="S184" s="222">
        <f>R184/R$193</f>
        <v>9.5896946564885496E-2</v>
      </c>
      <c r="T184" s="139">
        <f t="shared" si="18"/>
        <v>70350</v>
      </c>
      <c r="U184" s="222">
        <f>T184/T$193</f>
        <v>9.5896946564885496E-2</v>
      </c>
      <c r="V184" s="139">
        <f t="shared" si="18"/>
        <v>70350</v>
      </c>
      <c r="W184" s="223">
        <f>V184/V$193</f>
        <v>5.5237123115577887E-2</v>
      </c>
      <c r="Y184" s="139" t="str">
        <f>CTRL!D14</f>
        <v>L</v>
      </c>
      <c r="Z184" s="139">
        <f>CTRL!E14*100</f>
        <v>280</v>
      </c>
      <c r="AA184" s="139">
        <f>CTRL!F14</f>
        <v>10000</v>
      </c>
      <c r="AB184" s="139">
        <f>CTRL!G14</f>
        <v>28000</v>
      </c>
    </row>
    <row r="185" spans="2:28" ht="13.8" thickBot="1">
      <c r="B185" s="139" t="str">
        <f>Y185</f>
        <v>K(1)</v>
      </c>
      <c r="L185" s="139">
        <f>AB185</f>
        <v>110000</v>
      </c>
      <c r="M185" s="222"/>
      <c r="N185" s="139">
        <f t="shared" si="18"/>
        <v>110000</v>
      </c>
      <c r="O185" s="222">
        <f>N185/N$193</f>
        <v>0.16752969844654281</v>
      </c>
      <c r="P185" s="139">
        <f t="shared" si="18"/>
        <v>110000</v>
      </c>
      <c r="Q185" s="222">
        <f>P185/P$193</f>
        <v>0.1499454743729553</v>
      </c>
      <c r="R185" s="139">
        <f t="shared" si="18"/>
        <v>110000</v>
      </c>
      <c r="S185" s="222">
        <f>R185/R$193</f>
        <v>0.1499454743729553</v>
      </c>
      <c r="T185" s="139">
        <f t="shared" si="18"/>
        <v>110000</v>
      </c>
      <c r="U185" s="222">
        <f>T185/T$193</f>
        <v>0.1499454743729553</v>
      </c>
      <c r="V185" s="139">
        <f t="shared" si="18"/>
        <v>110000</v>
      </c>
      <c r="W185" s="223">
        <f>V185/V$193</f>
        <v>8.6369346733668348E-2</v>
      </c>
      <c r="Y185" s="224" t="str">
        <f>CTRL!D15</f>
        <v>K(1)</v>
      </c>
      <c r="Z185" s="224">
        <f>CTRL!E15*100</f>
        <v>1100</v>
      </c>
      <c r="AA185" s="224">
        <f>CTRL!F15</f>
        <v>10000</v>
      </c>
      <c r="AB185" s="224">
        <f>CTRL!G15</f>
        <v>110000</v>
      </c>
    </row>
    <row r="186" spans="2:28">
      <c r="B186" s="225" t="str">
        <f>CTRL!D31</f>
        <v>A</v>
      </c>
      <c r="C186" s="225"/>
      <c r="D186" s="225"/>
      <c r="E186" s="225"/>
      <c r="F186" s="225"/>
      <c r="G186" s="225"/>
      <c r="H186" s="225"/>
      <c r="I186" s="225"/>
      <c r="J186" s="225"/>
      <c r="K186" s="225"/>
      <c r="L186" s="225"/>
      <c r="M186" s="226"/>
      <c r="N186" s="225">
        <f>SUM(N95, N99)</f>
        <v>70000</v>
      </c>
      <c r="O186" s="226">
        <f>N186/N$193</f>
        <v>0.10660980810234541</v>
      </c>
      <c r="P186" s="225">
        <f>N186+SUM(O103, O107)</f>
        <v>147000</v>
      </c>
      <c r="Q186" s="226">
        <f>P186/P$193</f>
        <v>0.20038167938931298</v>
      </c>
      <c r="R186" s="225">
        <f t="shared" si="18"/>
        <v>147000</v>
      </c>
      <c r="S186" s="226">
        <f>R186/R$193</f>
        <v>0.20038167938931298</v>
      </c>
      <c r="T186" s="225">
        <f t="shared" si="18"/>
        <v>147000</v>
      </c>
      <c r="U186" s="226">
        <f>T186/T$193</f>
        <v>0.20038167938931298</v>
      </c>
      <c r="V186" s="225">
        <f t="shared" si="18"/>
        <v>147000</v>
      </c>
      <c r="W186" s="227">
        <f>V186/V$193</f>
        <v>0.11542085427135679</v>
      </c>
    </row>
    <row r="187" spans="2:28">
      <c r="B187" s="139" t="s">
        <v>1013</v>
      </c>
      <c r="M187" s="216"/>
      <c r="O187" s="216"/>
      <c r="Q187" s="216"/>
      <c r="S187" s="216"/>
      <c r="U187" s="216"/>
    </row>
    <row r="188" spans="2:28">
      <c r="C188" s="139" t="s">
        <v>910</v>
      </c>
      <c r="M188" s="216"/>
      <c r="N188" s="139">
        <f>IF($N$66=0,0,IF(YEAR($N$67)&lt;N180,$N65,0))</f>
        <v>0</v>
      </c>
      <c r="O188" s="222">
        <f>N188/N$193</f>
        <v>0</v>
      </c>
      <c r="P188" s="139">
        <f>IF($N$66=0,0,IF(YEAR($N$67)&lt;P180,$N65,0))</f>
        <v>0</v>
      </c>
      <c r="Q188" s="222">
        <f>P188/P$193</f>
        <v>0</v>
      </c>
      <c r="R188" s="139">
        <f>IF($N$66=0,0,IF(YEAR($N$67)&lt;R180,$N65,0))</f>
        <v>0</v>
      </c>
      <c r="S188" s="222">
        <f>R188/R$193</f>
        <v>0</v>
      </c>
      <c r="T188" s="139">
        <f>IF($N$66=0,0,IF(YEAR($N$67)&lt;T180,$N65,0))</f>
        <v>0</v>
      </c>
      <c r="U188" s="222">
        <f>T188/T$193</f>
        <v>0</v>
      </c>
      <c r="V188" s="139">
        <f>IF($N$66=0,0,IF(YEAR($N$67)&lt;V180,$N65,0))</f>
        <v>0</v>
      </c>
      <c r="W188" s="223">
        <f>V188/V$193</f>
        <v>0</v>
      </c>
      <c r="Y188" s="318"/>
      <c r="Z188" s="318"/>
      <c r="AA188" s="318"/>
    </row>
    <row r="189" spans="2:28">
      <c r="B189" s="228"/>
      <c r="C189" s="228" t="s">
        <v>911</v>
      </c>
      <c r="D189" s="228"/>
      <c r="E189" s="228"/>
      <c r="F189" s="228"/>
      <c r="G189" s="228"/>
      <c r="H189" s="228"/>
      <c r="I189" s="228"/>
      <c r="J189" s="228"/>
      <c r="K189" s="228"/>
      <c r="L189" s="228"/>
      <c r="M189" s="229"/>
      <c r="N189" s="228">
        <f>IF($N$74=0,0,IF(YEAR($N$75)&lt;N180,$N72,0))</f>
        <v>0</v>
      </c>
      <c r="O189" s="230">
        <f>N189/N$193</f>
        <v>0</v>
      </c>
      <c r="P189" s="228">
        <f>IF($N$74=0,0,IF(YEAR($N$75)&lt;P180,$N72,0))</f>
        <v>0</v>
      </c>
      <c r="Q189" s="230">
        <f>P189/P$193</f>
        <v>0</v>
      </c>
      <c r="R189" s="228">
        <f>IF($N$74=0,0,IF(YEAR($N$75)&lt;R180,$N72,0))</f>
        <v>0</v>
      </c>
      <c r="S189" s="230">
        <f>R189/R$193</f>
        <v>0</v>
      </c>
      <c r="T189" s="228">
        <f>IF($N$74=0,0,IF(YEAR($N$75)&lt;T180,$N72,0))</f>
        <v>0</v>
      </c>
      <c r="U189" s="230">
        <f>T189/T$193</f>
        <v>0</v>
      </c>
      <c r="V189" s="228">
        <f>IF($N$74=0,0,IF(YEAR($N$75)&lt;V180,$N72,0))</f>
        <v>400000</v>
      </c>
      <c r="W189" s="231">
        <f>V189/V$193</f>
        <v>0.314070351758794</v>
      </c>
      <c r="Z189" s="319"/>
      <c r="AA189" s="319"/>
    </row>
    <row r="190" spans="2:28">
      <c r="B190" s="139" t="s">
        <v>1014</v>
      </c>
      <c r="M190" s="216"/>
      <c r="O190" s="216"/>
      <c r="Q190" s="216"/>
      <c r="S190" s="216"/>
      <c r="U190" s="216"/>
    </row>
    <row r="191" spans="2:28">
      <c r="C191" s="139" t="s">
        <v>907</v>
      </c>
      <c r="M191" s="216"/>
      <c r="N191" s="139">
        <f>IF($N$81=0,0,IF(YEAR($N$82)&lt;N180,$N80,0))</f>
        <v>0</v>
      </c>
      <c r="O191" s="222">
        <f>N191/N$193</f>
        <v>0</v>
      </c>
      <c r="P191" s="139">
        <f>IF($N$81=0,0,IF(YEAR($N$82)&lt;P180,$N80,0))</f>
        <v>0</v>
      </c>
      <c r="Q191" s="222">
        <f>P191/P$193</f>
        <v>0</v>
      </c>
      <c r="R191" s="139">
        <f>IF($N$81=0,0,IF(YEAR($N$82)&lt;R180,$N80,0))</f>
        <v>0</v>
      </c>
      <c r="S191" s="222">
        <f>R191/R$193</f>
        <v>0</v>
      </c>
      <c r="T191" s="139">
        <f>IF($N$81=0,0,IF(YEAR($N$82)&lt;T180,$N80,0))</f>
        <v>0</v>
      </c>
      <c r="U191" s="222">
        <f>T191/T$193</f>
        <v>0</v>
      </c>
      <c r="V191" s="139">
        <f>IF($N$81=0,0,IF(YEAR($N$82)&lt;V180,$N80,0))</f>
        <v>0</v>
      </c>
      <c r="W191" s="223">
        <f>V191/V$193</f>
        <v>0</v>
      </c>
      <c r="Y191" s="318"/>
      <c r="Z191" s="318"/>
      <c r="AA191" s="318"/>
    </row>
    <row r="192" spans="2:28">
      <c r="C192" s="139" t="s">
        <v>908</v>
      </c>
      <c r="M192" s="216"/>
      <c r="N192" s="139">
        <f>IF($N$89=0,0,IF(YEAR($N$90)&lt;N180,$N87,0))</f>
        <v>0</v>
      </c>
      <c r="O192" s="222">
        <f>N192/N$193</f>
        <v>0</v>
      </c>
      <c r="P192" s="139">
        <f>IF($N$89=0,0,IF(YEAR($N$90)&lt;P180,$N87,0))</f>
        <v>0</v>
      </c>
      <c r="Q192" s="222">
        <f>P192/P$193</f>
        <v>0</v>
      </c>
      <c r="R192" s="139">
        <f>IF($N$89=0,0,IF(YEAR($N$90)&lt;R180,$N87,0))</f>
        <v>0</v>
      </c>
      <c r="S192" s="222">
        <f>R192/R$193</f>
        <v>0</v>
      </c>
      <c r="T192" s="139">
        <f>IF($N$89=0,0,IF(YEAR($N$90)&lt;T180,$N87,0))</f>
        <v>0</v>
      </c>
      <c r="U192" s="222">
        <f>T192/T$193</f>
        <v>0</v>
      </c>
      <c r="V192" s="139">
        <f>IF($N$89=0,0,IF(YEAR($N$90)&lt;V180,$N87,0))</f>
        <v>140000</v>
      </c>
      <c r="W192" s="223">
        <f>V192/V$193</f>
        <v>0.10992462311557789</v>
      </c>
      <c r="Z192" s="319"/>
      <c r="AA192" s="319"/>
    </row>
    <row r="193" spans="2:31" ht="13.8" thickBot="1">
      <c r="B193" s="232" t="s">
        <v>890</v>
      </c>
      <c r="C193" s="232"/>
      <c r="D193" s="232"/>
      <c r="E193" s="232"/>
      <c r="F193" s="232"/>
      <c r="G193" s="232"/>
      <c r="H193" s="232"/>
      <c r="I193" s="232"/>
      <c r="J193" s="232"/>
      <c r="K193" s="232"/>
      <c r="L193" s="232">
        <f t="shared" ref="L193:W193" si="19">SUM(L182:L192)</f>
        <v>586600</v>
      </c>
      <c r="M193" s="233">
        <f t="shared" si="19"/>
        <v>0.81247869076031365</v>
      </c>
      <c r="N193" s="232">
        <f t="shared" si="19"/>
        <v>656600</v>
      </c>
      <c r="O193" s="233">
        <f t="shared" si="19"/>
        <v>1</v>
      </c>
      <c r="P193" s="232">
        <f t="shared" si="19"/>
        <v>733600</v>
      </c>
      <c r="Q193" s="233">
        <f t="shared" si="19"/>
        <v>1</v>
      </c>
      <c r="R193" s="232">
        <f t="shared" si="19"/>
        <v>733600</v>
      </c>
      <c r="S193" s="233">
        <f t="shared" si="19"/>
        <v>1</v>
      </c>
      <c r="T193" s="232">
        <f t="shared" si="19"/>
        <v>733600</v>
      </c>
      <c r="U193" s="233">
        <f t="shared" si="19"/>
        <v>1</v>
      </c>
      <c r="V193" s="232">
        <f t="shared" si="19"/>
        <v>1273600</v>
      </c>
      <c r="W193" s="234">
        <f t="shared" si="19"/>
        <v>1</v>
      </c>
    </row>
    <row r="196" spans="2:31">
      <c r="B196" s="211" t="s">
        <v>993</v>
      </c>
      <c r="M196" s="216"/>
      <c r="N196" s="558">
        <v>2019</v>
      </c>
      <c r="O196" s="559"/>
      <c r="P196" s="558">
        <v>2020</v>
      </c>
      <c r="Q196" s="559"/>
      <c r="R196" s="558">
        <v>2021</v>
      </c>
      <c r="S196" s="559"/>
      <c r="T196" s="558">
        <v>2022</v>
      </c>
      <c r="U196" s="559"/>
      <c r="V196" s="558">
        <v>2023</v>
      </c>
      <c r="W196" s="560"/>
      <c r="Y196" s="211" t="s">
        <v>993</v>
      </c>
      <c r="Z196" s="556" t="s">
        <v>1012</v>
      </c>
      <c r="AA196" s="557"/>
      <c r="AB196" s="556" t="s">
        <v>1269</v>
      </c>
      <c r="AC196" s="557"/>
      <c r="AD196" s="556" t="s">
        <v>1270</v>
      </c>
      <c r="AE196" s="556"/>
    </row>
    <row r="197" spans="2:31" ht="13.8" thickBot="1">
      <c r="B197" s="159" t="s">
        <v>886</v>
      </c>
      <c r="C197" s="159"/>
      <c r="D197" s="159"/>
      <c r="E197" s="159"/>
      <c r="F197" s="159"/>
      <c r="G197" s="159"/>
      <c r="H197" s="159"/>
      <c r="I197" s="159"/>
      <c r="J197" s="159"/>
      <c r="K197" s="159"/>
      <c r="L197" s="171" t="s">
        <v>888</v>
      </c>
      <c r="M197" s="217" t="s">
        <v>889</v>
      </c>
      <c r="N197" s="171" t="s">
        <v>983</v>
      </c>
      <c r="O197" s="217" t="s">
        <v>984</v>
      </c>
      <c r="P197" s="171" t="s">
        <v>888</v>
      </c>
      <c r="Q197" s="217" t="s">
        <v>889</v>
      </c>
      <c r="R197" s="171" t="s">
        <v>888</v>
      </c>
      <c r="S197" s="217" t="s">
        <v>889</v>
      </c>
      <c r="T197" s="171" t="s">
        <v>888</v>
      </c>
      <c r="U197" s="217" t="s">
        <v>889</v>
      </c>
      <c r="V197" s="171" t="s">
        <v>888</v>
      </c>
      <c r="W197" s="171" t="s">
        <v>889</v>
      </c>
      <c r="Y197" s="159" t="s">
        <v>886</v>
      </c>
      <c r="Z197" s="171" t="s">
        <v>888</v>
      </c>
      <c r="AA197" s="217" t="s">
        <v>889</v>
      </c>
      <c r="AB197" s="171" t="s">
        <v>983</v>
      </c>
      <c r="AC197" s="217" t="s">
        <v>984</v>
      </c>
      <c r="AD197" s="171" t="s">
        <v>888</v>
      </c>
      <c r="AE197" s="171" t="s">
        <v>889</v>
      </c>
    </row>
    <row r="198" spans="2:31">
      <c r="B198" s="139" t="str">
        <f>B182</f>
        <v>G</v>
      </c>
      <c r="L198" s="139">
        <f>SUM(L182:L182)</f>
        <v>213535</v>
      </c>
      <c r="M198" s="222">
        <f t="shared" ref="M198:M205" si="20">L198/L$205</f>
        <v>0.36402147971360382</v>
      </c>
      <c r="N198" s="139">
        <f>SUM(N182:N182)</f>
        <v>213535</v>
      </c>
      <c r="O198" s="222">
        <f>N198/N$205</f>
        <v>0.3252132196162047</v>
      </c>
      <c r="P198" s="139">
        <f>SUM(P182:P182)</f>
        <v>213535</v>
      </c>
      <c r="Q198" s="222">
        <f>P198/P$205</f>
        <v>0.29107824427480916</v>
      </c>
      <c r="R198" s="139">
        <f>SUM(R182:R182)</f>
        <v>213535</v>
      </c>
      <c r="S198" s="222">
        <f>R198/R$205</f>
        <v>0.29107824427480916</v>
      </c>
      <c r="T198" s="139">
        <f>SUM(T182:T182)</f>
        <v>213535</v>
      </c>
      <c r="U198" s="222">
        <f>T198/T$205</f>
        <v>0.29107824427480916</v>
      </c>
      <c r="V198" s="139">
        <f>SUM(V182:V182)</f>
        <v>213535</v>
      </c>
      <c r="W198" s="223">
        <f>V198/V$205</f>
        <v>0.16766253140703519</v>
      </c>
      <c r="Y198" s="139" t="str">
        <f>B198</f>
        <v>G</v>
      </c>
      <c r="Z198" s="139">
        <f>L198</f>
        <v>213535</v>
      </c>
      <c r="AA198" s="222">
        <f>Z198/Z$205</f>
        <v>0.36402147971360382</v>
      </c>
      <c r="AB198" s="139">
        <f>T198</f>
        <v>213535</v>
      </c>
      <c r="AC198" s="222">
        <f>AB198/AB$205</f>
        <v>0.20209634677266705</v>
      </c>
      <c r="AD198" s="139">
        <f>V198</f>
        <v>213535</v>
      </c>
      <c r="AE198" s="223">
        <f>AD198/AD$205</f>
        <v>0.16766253140703519</v>
      </c>
    </row>
    <row r="199" spans="2:31">
      <c r="B199" s="139" t="str">
        <f>B183</f>
        <v>J 외 1인</v>
      </c>
      <c r="L199" s="139">
        <f>SUM(L183:L183)</f>
        <v>192715</v>
      </c>
      <c r="M199" s="222">
        <f t="shared" si="20"/>
        <v>0.32852881009205592</v>
      </c>
      <c r="N199" s="139">
        <f>SUM(N183:N183)</f>
        <v>192715</v>
      </c>
      <c r="O199" s="222">
        <f>N199/N$205</f>
        <v>0.29350441669204996</v>
      </c>
      <c r="P199" s="139">
        <f>SUM(P183:P183)</f>
        <v>192715</v>
      </c>
      <c r="Q199" s="222">
        <f>P199/P$205</f>
        <v>0.26269765539803708</v>
      </c>
      <c r="R199" s="139">
        <f>SUM(R183:R183)</f>
        <v>192715</v>
      </c>
      <c r="S199" s="222">
        <f>R199/R$205</f>
        <v>0.26269765539803708</v>
      </c>
      <c r="T199" s="139">
        <f>SUM(T183:T183)</f>
        <v>192715</v>
      </c>
      <c r="U199" s="222">
        <f>T199/T$205</f>
        <v>0.26269765539803708</v>
      </c>
      <c r="V199" s="139">
        <f>SUM(V183:V183)</f>
        <v>192715</v>
      </c>
      <c r="W199" s="223">
        <f>V199/V$205</f>
        <v>0.15131516959798996</v>
      </c>
      <c r="Y199" s="139" t="str">
        <f t="shared" ref="Y199:Y204" si="21">B199</f>
        <v>J 외 1인</v>
      </c>
      <c r="Z199" s="139">
        <f t="shared" ref="Z199:Z204" si="22">L199</f>
        <v>192715</v>
      </c>
      <c r="AA199" s="222">
        <f>Z199/Z$205</f>
        <v>0.32852881009205592</v>
      </c>
      <c r="AB199" s="139">
        <f t="shared" ref="AB199:AB204" si="23">T199</f>
        <v>192715</v>
      </c>
      <c r="AC199" s="222">
        <f>AB199/AB$205</f>
        <v>0.18239163354154836</v>
      </c>
      <c r="AD199" s="139">
        <f t="shared" ref="AD199:AD204" si="24">V199</f>
        <v>192715</v>
      </c>
      <c r="AE199" s="223">
        <f t="shared" ref="AE199:AE204" si="25">AD199/AD$205</f>
        <v>0.15131516959798996</v>
      </c>
    </row>
    <row r="200" spans="2:31">
      <c r="B200" s="139" t="str">
        <f>B184</f>
        <v>L</v>
      </c>
      <c r="L200" s="139">
        <f>SUM(L184)</f>
        <v>70350</v>
      </c>
      <c r="M200" s="222">
        <f t="shared" si="20"/>
        <v>0.11992840095465394</v>
      </c>
      <c r="N200" s="139">
        <f>SUM(N184)</f>
        <v>70350</v>
      </c>
      <c r="O200" s="222">
        <f>N200/N$205</f>
        <v>0.10714285714285714</v>
      </c>
      <c r="P200" s="139">
        <f>SUM(P184)</f>
        <v>70350</v>
      </c>
      <c r="Q200" s="222">
        <f>P200/P$205</f>
        <v>9.5896946564885496E-2</v>
      </c>
      <c r="R200" s="139">
        <f>SUM(R184)</f>
        <v>70350</v>
      </c>
      <c r="S200" s="222">
        <f>R200/R$205</f>
        <v>9.5896946564885496E-2</v>
      </c>
      <c r="T200" s="139">
        <f>SUM(T184)</f>
        <v>70350</v>
      </c>
      <c r="U200" s="222">
        <f>T200/T$205</f>
        <v>9.5896946564885496E-2</v>
      </c>
      <c r="V200" s="139">
        <f>SUM(V184)</f>
        <v>70350</v>
      </c>
      <c r="W200" s="223">
        <f>V200/V$205</f>
        <v>5.5237123115577887E-2</v>
      </c>
      <c r="Y200" s="139" t="str">
        <f t="shared" si="21"/>
        <v>L</v>
      </c>
      <c r="Z200" s="139">
        <f t="shared" si="22"/>
        <v>70350</v>
      </c>
      <c r="AA200" s="222">
        <f>Z200/Z$205</f>
        <v>0.11992840095465394</v>
      </c>
      <c r="AB200" s="139">
        <f t="shared" si="23"/>
        <v>70350</v>
      </c>
      <c r="AC200" s="222">
        <f>AB200/AB$205</f>
        <v>6.6581487791027821E-2</v>
      </c>
      <c r="AD200" s="139">
        <f t="shared" si="24"/>
        <v>70350</v>
      </c>
      <c r="AE200" s="223">
        <f t="shared" si="25"/>
        <v>5.5237123115577887E-2</v>
      </c>
    </row>
    <row r="201" spans="2:31">
      <c r="B201" s="139" t="str">
        <f>B185</f>
        <v>K(1)</v>
      </c>
      <c r="L201" s="139">
        <f>SUM(L185)</f>
        <v>110000</v>
      </c>
      <c r="M201" s="222">
        <f t="shared" si="20"/>
        <v>0.18752130923968632</v>
      </c>
      <c r="N201" s="139">
        <f>SUM(N185)</f>
        <v>110000</v>
      </c>
      <c r="O201" s="222">
        <f>N201/N$205</f>
        <v>0.16752969844654281</v>
      </c>
      <c r="P201" s="139">
        <f>SUM(P185)</f>
        <v>110000</v>
      </c>
      <c r="Q201" s="222">
        <f>P201/P$205</f>
        <v>0.1499454743729553</v>
      </c>
      <c r="R201" s="139">
        <f>SUM(R185)</f>
        <v>110000</v>
      </c>
      <c r="S201" s="222">
        <f>R201/R$205</f>
        <v>0.1499454743729553</v>
      </c>
      <c r="T201" s="139">
        <f>SUM(T185)</f>
        <v>110000</v>
      </c>
      <c r="U201" s="222">
        <f>T201/T$205</f>
        <v>0.1499454743729553</v>
      </c>
      <c r="V201" s="139">
        <f>SUM(V185)</f>
        <v>110000</v>
      </c>
      <c r="W201" s="223">
        <f>V201/V$205</f>
        <v>8.6369346733668348E-2</v>
      </c>
      <c r="Y201" s="139" t="str">
        <f t="shared" si="21"/>
        <v>K(1)</v>
      </c>
      <c r="Z201" s="139">
        <f t="shared" si="22"/>
        <v>110000</v>
      </c>
      <c r="AA201" s="222">
        <f>Z201/Z$205</f>
        <v>0.18752130923968632</v>
      </c>
      <c r="AB201" s="139">
        <f t="shared" si="23"/>
        <v>110000</v>
      </c>
      <c r="AC201" s="222">
        <f>AB201/AB$205</f>
        <v>0.10410751466969526</v>
      </c>
      <c r="AD201" s="139">
        <f t="shared" si="24"/>
        <v>110000</v>
      </c>
      <c r="AE201" s="223">
        <f t="shared" si="25"/>
        <v>8.6369346733668348E-2</v>
      </c>
    </row>
    <row r="202" spans="2:31">
      <c r="B202" s="139" t="str">
        <f>B186</f>
        <v>A</v>
      </c>
      <c r="L202" s="139">
        <f>L186</f>
        <v>0</v>
      </c>
      <c r="M202" s="222">
        <f t="shared" si="20"/>
        <v>0</v>
      </c>
      <c r="N202" s="139">
        <f t="shared" ref="N202:V202" si="26">N186</f>
        <v>70000</v>
      </c>
      <c r="O202" s="222">
        <f t="shared" ref="O202:Q204" si="27">N202/N$205</f>
        <v>0.10660980810234541</v>
      </c>
      <c r="P202" s="139">
        <f t="shared" si="26"/>
        <v>147000</v>
      </c>
      <c r="Q202" s="222">
        <f t="shared" si="27"/>
        <v>0.20038167938931298</v>
      </c>
      <c r="R202" s="139">
        <f t="shared" si="26"/>
        <v>147000</v>
      </c>
      <c r="S202" s="222">
        <f t="shared" ref="S202" si="28">R202/R$205</f>
        <v>0.20038167938931298</v>
      </c>
      <c r="T202" s="139">
        <f t="shared" si="26"/>
        <v>147000</v>
      </c>
      <c r="U202" s="222">
        <f t="shared" ref="U202" si="29">T202/T$205</f>
        <v>0.20038167938931298</v>
      </c>
      <c r="V202" s="139">
        <f t="shared" si="26"/>
        <v>147000</v>
      </c>
      <c r="W202" s="223">
        <f t="shared" ref="W202" si="30">V202/V$205</f>
        <v>0.11542085427135679</v>
      </c>
      <c r="Y202" s="139" t="str">
        <f>B186</f>
        <v>A</v>
      </c>
      <c r="Z202" s="139">
        <f t="shared" si="22"/>
        <v>0</v>
      </c>
      <c r="AA202" s="222">
        <f t="shared" ref="AA202:AA204" si="31">Z202/Z$205</f>
        <v>0</v>
      </c>
      <c r="AB202" s="139">
        <f>N202</f>
        <v>70000</v>
      </c>
      <c r="AC202" s="222">
        <f t="shared" ref="AC202:AC204" si="32">AB202/AB$205</f>
        <v>6.6250236607987886E-2</v>
      </c>
      <c r="AD202" s="139">
        <f t="shared" si="24"/>
        <v>147000</v>
      </c>
      <c r="AE202" s="223">
        <f t="shared" si="25"/>
        <v>0.11542085427135679</v>
      </c>
    </row>
    <row r="203" spans="2:31">
      <c r="B203" s="139" t="s">
        <v>1013</v>
      </c>
      <c r="L203" s="139">
        <f>SUM(L188:L189)</f>
        <v>0</v>
      </c>
      <c r="M203" s="222">
        <f t="shared" si="20"/>
        <v>0</v>
      </c>
      <c r="N203" s="139">
        <f>SUM(N188:N189)</f>
        <v>0</v>
      </c>
      <c r="O203" s="222">
        <f t="shared" si="27"/>
        <v>0</v>
      </c>
      <c r="P203" s="139">
        <f>SUM(P188:P189)</f>
        <v>0</v>
      </c>
      <c r="Q203" s="222">
        <f t="shared" si="27"/>
        <v>0</v>
      </c>
      <c r="R203" s="139">
        <f>SUM(R188:R189)</f>
        <v>0</v>
      </c>
      <c r="S203" s="222">
        <f t="shared" ref="S203" si="33">R203/R$205</f>
        <v>0</v>
      </c>
      <c r="T203" s="139">
        <f>SUM(T188:T189)</f>
        <v>0</v>
      </c>
      <c r="U203" s="222">
        <f t="shared" ref="U203" si="34">T203/T$205</f>
        <v>0</v>
      </c>
      <c r="V203" s="139">
        <f>SUM(V188:V189)</f>
        <v>400000</v>
      </c>
      <c r="W203" s="223">
        <f t="shared" ref="W203" si="35">V203/V$205</f>
        <v>0.314070351758794</v>
      </c>
      <c r="Y203" s="139" t="str">
        <f t="shared" si="21"/>
        <v>1차투자</v>
      </c>
      <c r="Z203" s="139">
        <f t="shared" si="22"/>
        <v>0</v>
      </c>
      <c r="AA203" s="222">
        <f t="shared" si="31"/>
        <v>0</v>
      </c>
      <c r="AB203" s="139">
        <f>V203</f>
        <v>400000</v>
      </c>
      <c r="AC203" s="222">
        <f t="shared" si="32"/>
        <v>0.37857278061707361</v>
      </c>
      <c r="AD203" s="139">
        <f t="shared" si="24"/>
        <v>400000</v>
      </c>
      <c r="AE203" s="223">
        <f t="shared" si="25"/>
        <v>0.314070351758794</v>
      </c>
    </row>
    <row r="204" spans="2:31">
      <c r="B204" s="139" t="s">
        <v>1014</v>
      </c>
      <c r="L204" s="139">
        <f>SUM(L191:L192)</f>
        <v>0</v>
      </c>
      <c r="M204" s="222">
        <f t="shared" si="20"/>
        <v>0</v>
      </c>
      <c r="N204" s="139">
        <f>SUM(N191:N192)</f>
        <v>0</v>
      </c>
      <c r="O204" s="222">
        <f t="shared" si="27"/>
        <v>0</v>
      </c>
      <c r="P204" s="139">
        <f>SUM(P191:P192)</f>
        <v>0</v>
      </c>
      <c r="Q204" s="222">
        <f t="shared" si="27"/>
        <v>0</v>
      </c>
      <c r="R204" s="139">
        <f>SUM(R191:R192)</f>
        <v>0</v>
      </c>
      <c r="S204" s="222">
        <f t="shared" ref="S204" si="36">R204/R$205</f>
        <v>0</v>
      </c>
      <c r="T204" s="139">
        <f>SUM(T191:T192)</f>
        <v>0</v>
      </c>
      <c r="U204" s="222">
        <f t="shared" ref="U204" si="37">T204/T$205</f>
        <v>0</v>
      </c>
      <c r="V204" s="139">
        <f>SUM(V191:V192)</f>
        <v>140000</v>
      </c>
      <c r="W204" s="223">
        <f t="shared" ref="W204" si="38">V204/V$205</f>
        <v>0.10992462311557789</v>
      </c>
      <c r="Y204" s="139" t="str">
        <f t="shared" si="21"/>
        <v>2차투자</v>
      </c>
      <c r="Z204" s="139">
        <f t="shared" si="22"/>
        <v>0</v>
      </c>
      <c r="AA204" s="222">
        <f t="shared" si="31"/>
        <v>0</v>
      </c>
      <c r="AB204" s="139">
        <f t="shared" si="23"/>
        <v>0</v>
      </c>
      <c r="AC204" s="216">
        <f t="shared" si="32"/>
        <v>0</v>
      </c>
      <c r="AD204" s="139">
        <f t="shared" si="24"/>
        <v>140000</v>
      </c>
      <c r="AE204" s="223">
        <f t="shared" si="25"/>
        <v>0.10992462311557789</v>
      </c>
    </row>
    <row r="205" spans="2:31" ht="13.8" thickBot="1">
      <c r="B205" s="232" t="s">
        <v>890</v>
      </c>
      <c r="C205" s="232"/>
      <c r="D205" s="232"/>
      <c r="E205" s="232"/>
      <c r="F205" s="232"/>
      <c r="G205" s="232"/>
      <c r="H205" s="232"/>
      <c r="I205" s="232"/>
      <c r="J205" s="232"/>
      <c r="K205" s="232"/>
      <c r="L205" s="232">
        <f>SUM(L198:L204)</f>
        <v>586600</v>
      </c>
      <c r="M205" s="233">
        <f t="shared" si="20"/>
        <v>1</v>
      </c>
      <c r="N205" s="232">
        <f>SUM(N198:N204)</f>
        <v>656600</v>
      </c>
      <c r="O205" s="233">
        <f>N205/N$205</f>
        <v>1</v>
      </c>
      <c r="P205" s="232">
        <f>SUM(P198:P204)</f>
        <v>733600</v>
      </c>
      <c r="Q205" s="233">
        <f t="shared" ref="Q205" si="39">P205/P$205</f>
        <v>1</v>
      </c>
      <c r="R205" s="232">
        <f>SUM(R198:R204)</f>
        <v>733600</v>
      </c>
      <c r="S205" s="233">
        <f t="shared" ref="S205" si="40">R205/R$205</f>
        <v>1</v>
      </c>
      <c r="T205" s="232">
        <f>SUM(T198:T204)</f>
        <v>733600</v>
      </c>
      <c r="U205" s="233">
        <f t="shared" ref="U205" si="41">T205/T$205</f>
        <v>1</v>
      </c>
      <c r="V205" s="232">
        <f>SUM(V198:V204)</f>
        <v>1273600</v>
      </c>
      <c r="W205" s="234">
        <f t="shared" ref="W205" si="42">V205/V$205</f>
        <v>1</v>
      </c>
      <c r="Y205" s="232" t="s">
        <v>890</v>
      </c>
      <c r="Z205" s="232">
        <f>SUM(Z198:Z204)</f>
        <v>586600</v>
      </c>
      <c r="AA205" s="233">
        <f>Z205/Z$205</f>
        <v>1</v>
      </c>
      <c r="AB205" s="232">
        <f>SUM(AB198:AB204)</f>
        <v>1056600</v>
      </c>
      <c r="AC205" s="233">
        <f>AB205/AB$205</f>
        <v>1</v>
      </c>
      <c r="AD205" s="232">
        <f>SUM(AD198:AD204)</f>
        <v>1273600</v>
      </c>
      <c r="AE205" s="234">
        <f>AD205/AD$205</f>
        <v>1</v>
      </c>
    </row>
    <row r="206" spans="2:31" s="183" customFormat="1">
      <c r="L206" s="183" t="b">
        <f>L193=L205</f>
        <v>1</v>
      </c>
      <c r="N206" s="183" t="b">
        <f>N193=N205</f>
        <v>1</v>
      </c>
      <c r="P206" s="183" t="b">
        <f>P193=P205</f>
        <v>1</v>
      </c>
      <c r="R206" s="183" t="b">
        <f>R193=R205</f>
        <v>1</v>
      </c>
      <c r="T206" s="183" t="b">
        <f>T193=T205</f>
        <v>1</v>
      </c>
      <c r="V206" s="183" t="b">
        <f>V193=V205</f>
        <v>1</v>
      </c>
    </row>
    <row r="208" spans="2:31" s="156" customFormat="1">
      <c r="B208" s="156" t="s">
        <v>919</v>
      </c>
    </row>
    <row r="209" spans="2:37" ht="6" customHeight="1"/>
    <row r="211" spans="2:37" ht="13.8" thickBot="1">
      <c r="B211" s="157"/>
      <c r="C211" s="154"/>
      <c r="D211" s="154"/>
      <c r="E211" s="154"/>
      <c r="F211" s="154"/>
      <c r="G211" s="154"/>
      <c r="H211" s="154"/>
      <c r="I211" s="154"/>
      <c r="J211" s="154"/>
      <c r="K211" s="154"/>
      <c r="L211" s="154"/>
      <c r="M211" s="154"/>
      <c r="N211" s="154"/>
      <c r="O211" s="235" t="s">
        <v>824</v>
      </c>
      <c r="P211" s="235" t="s">
        <v>825</v>
      </c>
      <c r="Q211" s="235" t="s">
        <v>826</v>
      </c>
      <c r="R211" s="235" t="s">
        <v>827</v>
      </c>
      <c r="S211" s="235" t="s">
        <v>828</v>
      </c>
    </row>
    <row r="212" spans="2:37">
      <c r="B212" s="139" t="s">
        <v>878</v>
      </c>
      <c r="O212" s="139">
        <f>O321*$V$212</f>
        <v>15623.397705413794</v>
      </c>
      <c r="P212" s="139">
        <f>P321*$V$212</f>
        <v>34520.130863391794</v>
      </c>
      <c r="Q212" s="139">
        <f>Q321*$V$212</f>
        <v>111241.28771277943</v>
      </c>
      <c r="R212" s="139">
        <f>R321*$V$212</f>
        <v>208811.75677244799</v>
      </c>
      <c r="S212" s="139">
        <f>S321*$V$212</f>
        <v>220891.59436285956</v>
      </c>
      <c r="V212" s="236">
        <v>1</v>
      </c>
      <c r="W212" s="237" t="s">
        <v>985</v>
      </c>
    </row>
    <row r="213" spans="2:37">
      <c r="B213" s="139" t="s">
        <v>894</v>
      </c>
      <c r="O213" s="164">
        <f>$O$10</f>
        <v>6.0584372536264972</v>
      </c>
      <c r="P213" s="164">
        <f>$O$10</f>
        <v>6.0584372536264972</v>
      </c>
      <c r="Q213" s="164">
        <f>$O$10</f>
        <v>6.0584372536264972</v>
      </c>
      <c r="R213" s="164">
        <f>$O$10</f>
        <v>6.0584372536264972</v>
      </c>
      <c r="S213" s="164">
        <f>$O$10</f>
        <v>6.0584372536264972</v>
      </c>
    </row>
    <row r="214" spans="2:37">
      <c r="B214" s="168" t="s">
        <v>895</v>
      </c>
      <c r="C214" s="168"/>
      <c r="D214" s="168"/>
      <c r="E214" s="168"/>
      <c r="F214" s="168"/>
      <c r="G214" s="168"/>
      <c r="H214" s="168"/>
      <c r="I214" s="168"/>
      <c r="J214" s="168"/>
      <c r="K214" s="168"/>
      <c r="L214" s="168"/>
      <c r="M214" s="168"/>
      <c r="N214" s="168"/>
      <c r="O214" s="168">
        <f>O212*O213</f>
        <v>94653.37468670166</v>
      </c>
      <c r="P214" s="168">
        <f>P212*P213</f>
        <v>209138.04682283467</v>
      </c>
      <c r="Q214" s="168">
        <f>Q212*Q213</f>
        <v>673948.36162048648</v>
      </c>
      <c r="R214" s="168">
        <f>R212*R213</f>
        <v>1265072.926225394</v>
      </c>
      <c r="S214" s="168">
        <f>S212*S213</f>
        <v>1338257.8643009011</v>
      </c>
    </row>
    <row r="215" spans="2:37">
      <c r="B215" s="139" t="s">
        <v>897</v>
      </c>
      <c r="O215" s="139">
        <f>O360-O337</f>
        <v>-9521.1502102227605</v>
      </c>
      <c r="P215" s="139">
        <f>P360-P337</f>
        <v>-27517.869404673744</v>
      </c>
      <c r="Q215" s="139">
        <f>Q360-Q337</f>
        <v>-103818.90549096058</v>
      </c>
      <c r="R215" s="139">
        <f>R360-R337</f>
        <v>-276073.77712447615</v>
      </c>
      <c r="S215" s="139">
        <f>S360-S337</f>
        <v>-435050.8056515237</v>
      </c>
    </row>
    <row r="216" spans="2:37">
      <c r="B216" s="168" t="s">
        <v>898</v>
      </c>
      <c r="C216" s="168"/>
      <c r="D216" s="168"/>
      <c r="E216" s="168"/>
      <c r="F216" s="168"/>
      <c r="G216" s="168"/>
      <c r="H216" s="168"/>
      <c r="I216" s="168"/>
      <c r="J216" s="168"/>
      <c r="K216" s="168"/>
      <c r="L216" s="168"/>
      <c r="M216" s="168"/>
      <c r="N216" s="168"/>
      <c r="O216" s="168">
        <f>O214+O215</f>
        <v>85132.224476478907</v>
      </c>
      <c r="P216" s="168">
        <f>P214+P215</f>
        <v>181620.17741816092</v>
      </c>
      <c r="Q216" s="168">
        <f>Q214+Q215</f>
        <v>570129.4561295259</v>
      </c>
      <c r="R216" s="168">
        <f>R214+R215</f>
        <v>988999.14910091786</v>
      </c>
      <c r="S216" s="168">
        <f>S214+S215</f>
        <v>903207.05864937743</v>
      </c>
    </row>
    <row r="217" spans="2:37">
      <c r="B217" s="139" t="s">
        <v>896</v>
      </c>
      <c r="O217" s="164">
        <f>O216/O331</f>
        <v>7.4289972830052573</v>
      </c>
      <c r="P217" s="164">
        <f>P216/P331</f>
        <v>7.2718406553212276</v>
      </c>
      <c r="Q217" s="164">
        <f>Q216/Q331</f>
        <v>6.860752376356321</v>
      </c>
      <c r="R217" s="164">
        <f>R216/R331</f>
        <v>6.3726688347359604</v>
      </c>
      <c r="S217" s="164">
        <f>S216/S331</f>
        <v>5.5706402593822375</v>
      </c>
    </row>
    <row r="218" spans="2:37">
      <c r="O218" s="238"/>
      <c r="P218" s="238"/>
      <c r="Q218" s="238"/>
      <c r="R218" s="238"/>
      <c r="S218" s="238"/>
    </row>
    <row r="219" spans="2:37">
      <c r="O219" s="238"/>
      <c r="P219" s="238"/>
      <c r="Q219" s="238"/>
      <c r="R219" s="238"/>
      <c r="S219" s="238"/>
    </row>
    <row r="220" spans="2:37">
      <c r="B220" s="155" t="s">
        <v>1271</v>
      </c>
      <c r="O220" s="164"/>
      <c r="P220" s="164"/>
      <c r="Q220" s="164"/>
      <c r="R220" s="164"/>
      <c r="S220" s="164"/>
    </row>
    <row r="221" spans="2:37">
      <c r="B221" s="139" t="s">
        <v>981</v>
      </c>
      <c r="O221" s="238">
        <f>$O$188*$O$216</f>
        <v>0</v>
      </c>
      <c r="P221" s="238">
        <f>$Q$188*$P$216</f>
        <v>0</v>
      </c>
      <c r="Q221" s="238">
        <f>$S$188*$Q$216</f>
        <v>0</v>
      </c>
      <c r="R221" s="238">
        <f>$U$188*$R$216</f>
        <v>0</v>
      </c>
      <c r="S221" s="238">
        <f>$W$188*$S$216</f>
        <v>0</v>
      </c>
    </row>
    <row r="222" spans="2:37">
      <c r="L222" s="165"/>
      <c r="M222" s="165" t="s">
        <v>903</v>
      </c>
      <c r="N222" s="165" t="s">
        <v>938</v>
      </c>
      <c r="P222" s="164"/>
      <c r="Q222" s="164"/>
      <c r="R222" s="164"/>
      <c r="S222" s="164"/>
    </row>
    <row r="223" spans="2:37">
      <c r="B223" s="239" t="s">
        <v>928</v>
      </c>
      <c r="C223" s="239"/>
      <c r="D223" s="239"/>
      <c r="E223" s="239"/>
      <c r="F223" s="239"/>
      <c r="G223" s="239"/>
      <c r="H223" s="239"/>
      <c r="I223" s="239"/>
      <c r="J223" s="239"/>
      <c r="K223" s="239"/>
      <c r="L223" s="239"/>
      <c r="M223" s="239"/>
      <c r="N223" s="240">
        <f>-$K$36</f>
        <v>0</v>
      </c>
      <c r="O223" s="240">
        <f>O226</f>
        <v>0</v>
      </c>
      <c r="P223" s="240">
        <f>P228</f>
        <v>0</v>
      </c>
      <c r="Q223" s="240">
        <f>Q230</f>
        <v>0</v>
      </c>
      <c r="R223" s="240">
        <f>R232</f>
        <v>0</v>
      </c>
      <c r="S223" s="240">
        <f>S234</f>
        <v>0</v>
      </c>
    </row>
    <row r="224" spans="2:37">
      <c r="B224" s="139" t="s">
        <v>929</v>
      </c>
      <c r="K224" s="202">
        <f>$K$9</f>
        <v>43462</v>
      </c>
      <c r="M224" s="139">
        <f>-N224</f>
        <v>0</v>
      </c>
      <c r="N224" s="241">
        <f>-$K$36</f>
        <v>0</v>
      </c>
      <c r="O224" s="241">
        <f>$N$224</f>
        <v>0</v>
      </c>
      <c r="P224" s="241">
        <f>$N$224</f>
        <v>0</v>
      </c>
      <c r="Q224" s="241">
        <f>$N$224</f>
        <v>0</v>
      </c>
      <c r="R224" s="241">
        <f>$N$224</f>
        <v>0</v>
      </c>
      <c r="S224" s="241">
        <f>$N$224</f>
        <v>0</v>
      </c>
      <c r="AG224" s="242">
        <f>AH224-1</f>
        <v>4.0584372536264972</v>
      </c>
      <c r="AH224" s="242">
        <f>AI224-1</f>
        <v>5.0584372536264972</v>
      </c>
      <c r="AI224" s="315">
        <v>6.0584372536264972</v>
      </c>
      <c r="AJ224" s="242">
        <f>AI224+1</f>
        <v>7.0584372536264972</v>
      </c>
      <c r="AK224" s="242">
        <f>AJ224+1</f>
        <v>8.0584372536264972</v>
      </c>
    </row>
    <row r="225" spans="2:37">
      <c r="K225" s="202">
        <f>EDATE(K224,6)</f>
        <v>43644</v>
      </c>
      <c r="M225" s="139">
        <f>M224*(1+$K$38)^((K225-K224)/365)</f>
        <v>0</v>
      </c>
      <c r="N225" s="238">
        <f>$K$36*$K$37/2</f>
        <v>0</v>
      </c>
      <c r="O225" s="238">
        <f>$N$225</f>
        <v>0</v>
      </c>
      <c r="P225" s="238">
        <f>$N$225</f>
        <v>0</v>
      </c>
      <c r="Q225" s="238">
        <f>$N$225</f>
        <v>0</v>
      </c>
      <c r="R225" s="238">
        <f>$N$225</f>
        <v>0</v>
      </c>
      <c r="S225" s="238">
        <f>$N$225</f>
        <v>0</v>
      </c>
    </row>
    <row r="226" spans="2:37">
      <c r="B226" s="139" t="s">
        <v>930</v>
      </c>
      <c r="K226" s="202">
        <f>EDATE(K225,6)</f>
        <v>43827</v>
      </c>
      <c r="M226" s="139">
        <f t="shared" ref="M226:M234" si="43">(M225-N225)*(1+$K$38)^((K226-K225)/365)</f>
        <v>0</v>
      </c>
      <c r="N226" s="238">
        <f t="shared" ref="N226:N234" si="44">$K$36*$K$37/2</f>
        <v>0</v>
      </c>
      <c r="O226" s="139">
        <f>MAX($M226,$N226+O$221)</f>
        <v>0</v>
      </c>
      <c r="P226" s="238">
        <f>$N$226</f>
        <v>0</v>
      </c>
      <c r="Q226" s="238">
        <f>$N$226</f>
        <v>0</v>
      </c>
      <c r="R226" s="238">
        <f>$N$226</f>
        <v>0</v>
      </c>
      <c r="S226" s="238">
        <f>$N$226</f>
        <v>0</v>
      </c>
    </row>
    <row r="227" spans="2:37">
      <c r="K227" s="202">
        <f t="shared" ref="K227:K234" si="45">EDATE(K226,6)</f>
        <v>44010</v>
      </c>
      <c r="M227" s="139">
        <f t="shared" si="43"/>
        <v>0</v>
      </c>
      <c r="N227" s="238">
        <f t="shared" si="44"/>
        <v>0</v>
      </c>
      <c r="P227" s="238">
        <f>$N$227</f>
        <v>0</v>
      </c>
      <c r="Q227" s="238">
        <f>$N227</f>
        <v>0</v>
      </c>
      <c r="R227" s="238">
        <f>$N$227</f>
        <v>0</v>
      </c>
      <c r="S227" s="238">
        <f>$N$227</f>
        <v>0</v>
      </c>
    </row>
    <row r="228" spans="2:37">
      <c r="B228" s="139" t="s">
        <v>931</v>
      </c>
      <c r="K228" s="202">
        <f t="shared" si="45"/>
        <v>44193</v>
      </c>
      <c r="M228" s="139">
        <f t="shared" si="43"/>
        <v>0</v>
      </c>
      <c r="N228" s="238">
        <f t="shared" si="44"/>
        <v>0</v>
      </c>
      <c r="P228" s="139">
        <f>MAX($M228,$N228+P$221)</f>
        <v>0</v>
      </c>
      <c r="Q228" s="238">
        <f>$N228</f>
        <v>0</v>
      </c>
      <c r="R228" s="238">
        <f t="shared" ref="R228:S233" si="46">$N228</f>
        <v>0</v>
      </c>
      <c r="S228" s="238">
        <f t="shared" si="46"/>
        <v>0</v>
      </c>
      <c r="V228" s="243" t="s">
        <v>986</v>
      </c>
      <c r="W228" s="244" t="s">
        <v>987</v>
      </c>
      <c r="X228" s="245"/>
      <c r="Y228" s="246"/>
      <c r="Z228" s="246"/>
      <c r="AA228" s="247"/>
      <c r="AF228" s="243" t="s">
        <v>986</v>
      </c>
      <c r="AG228" s="244" t="s">
        <v>987</v>
      </c>
      <c r="AH228" s="245"/>
      <c r="AI228" s="246"/>
      <c r="AJ228" s="246"/>
      <c r="AK228" s="247"/>
    </row>
    <row r="229" spans="2:37">
      <c r="K229" s="202">
        <f t="shared" si="45"/>
        <v>44375</v>
      </c>
      <c r="M229" s="139">
        <f t="shared" si="43"/>
        <v>0</v>
      </c>
      <c r="N229" s="238">
        <f t="shared" si="44"/>
        <v>0</v>
      </c>
      <c r="P229" s="238"/>
      <c r="Q229" s="238">
        <f>$N229</f>
        <v>0</v>
      </c>
      <c r="R229" s="238">
        <f t="shared" si="46"/>
        <v>0</v>
      </c>
      <c r="S229" s="238">
        <f t="shared" si="46"/>
        <v>0</v>
      </c>
      <c r="V229" s="248">
        <f>$AF$229</f>
        <v>0</v>
      </c>
      <c r="W229" s="249">
        <f>AG229</f>
        <v>4.0584372536264972</v>
      </c>
      <c r="X229" s="249">
        <f t="shared" ref="X229:AA234" si="47">AH229</f>
        <v>5.0584372536264972</v>
      </c>
      <c r="Y229" s="249">
        <f t="shared" si="47"/>
        <v>6.0584372536264972</v>
      </c>
      <c r="Z229" s="249">
        <f t="shared" si="47"/>
        <v>7.0584372536264972</v>
      </c>
      <c r="AA229" s="250">
        <f t="shared" si="47"/>
        <v>8.0584372536264972</v>
      </c>
      <c r="AF229" s="248">
        <f>MAX(O236:S236)</f>
        <v>0</v>
      </c>
      <c r="AG229" s="249">
        <f>AG$224</f>
        <v>4.0584372536264972</v>
      </c>
      <c r="AH229" s="249">
        <f t="shared" ref="AH229:AK229" si="48">AH$224</f>
        <v>5.0584372536264972</v>
      </c>
      <c r="AI229" s="249">
        <f t="shared" si="48"/>
        <v>6.0584372536264972</v>
      </c>
      <c r="AJ229" s="249">
        <f t="shared" si="48"/>
        <v>7.0584372536264972</v>
      </c>
      <c r="AK229" s="250">
        <f t="shared" si="48"/>
        <v>8.0584372536264972</v>
      </c>
    </row>
    <row r="230" spans="2:37">
      <c r="B230" s="139" t="s">
        <v>932</v>
      </c>
      <c r="K230" s="202">
        <f t="shared" si="45"/>
        <v>44558</v>
      </c>
      <c r="M230" s="139">
        <f t="shared" si="43"/>
        <v>0</v>
      </c>
      <c r="N230" s="238">
        <f t="shared" si="44"/>
        <v>0</v>
      </c>
      <c r="P230" s="238"/>
      <c r="Q230" s="139">
        <f>MAX($M230,$N230+Q$221)</f>
        <v>0</v>
      </c>
      <c r="R230" s="238">
        <f>$N230</f>
        <v>0</v>
      </c>
      <c r="S230" s="238">
        <f t="shared" si="46"/>
        <v>0</v>
      </c>
      <c r="T230" s="238"/>
      <c r="V230" s="251">
        <v>1.2000000000000002</v>
      </c>
      <c r="W230" s="252">
        <f>AG230</f>
        <v>0</v>
      </c>
      <c r="X230" s="253">
        <f t="shared" si="47"/>
        <v>0</v>
      </c>
      <c r="Y230" s="254">
        <f t="shared" si="47"/>
        <v>0</v>
      </c>
      <c r="Z230" s="253">
        <f t="shared" si="47"/>
        <v>0</v>
      </c>
      <c r="AA230" s="255">
        <f t="shared" si="47"/>
        <v>0</v>
      </c>
      <c r="AD230" s="256">
        <f>AD231+10%</f>
        <v>1.2000000000000002</v>
      </c>
      <c r="AF230" s="251">
        <v>1.2000000000000002</v>
      </c>
      <c r="AG230" s="252">
        <f t="dataTable" ref="AG230:AK234" dt2D="1" dtr="1" r1="O10" r2="V212" ca="1"/>
        <v>0</v>
      </c>
      <c r="AH230" s="253">
        <v>0</v>
      </c>
      <c r="AI230" s="254">
        <v>0</v>
      </c>
      <c r="AJ230" s="253">
        <v>0</v>
      </c>
      <c r="AK230" s="255">
        <v>0</v>
      </c>
    </row>
    <row r="231" spans="2:37">
      <c r="K231" s="202">
        <f t="shared" si="45"/>
        <v>44740</v>
      </c>
      <c r="M231" s="139">
        <f t="shared" si="43"/>
        <v>0</v>
      </c>
      <c r="N231" s="238">
        <f t="shared" si="44"/>
        <v>0</v>
      </c>
      <c r="P231" s="238"/>
      <c r="Q231" s="238"/>
      <c r="R231" s="238">
        <f>$N231</f>
        <v>0</v>
      </c>
      <c r="S231" s="238">
        <f t="shared" si="46"/>
        <v>0</v>
      </c>
      <c r="V231" s="257">
        <v>1.1000000000000001</v>
      </c>
      <c r="W231" s="253">
        <f t="shared" ref="W231:W234" si="49">AG231</f>
        <v>0</v>
      </c>
      <c r="X231" s="253">
        <f t="shared" si="47"/>
        <v>0</v>
      </c>
      <c r="Y231" s="254">
        <f t="shared" si="47"/>
        <v>0</v>
      </c>
      <c r="Z231" s="253">
        <f t="shared" si="47"/>
        <v>0</v>
      </c>
      <c r="AA231" s="255">
        <f t="shared" si="47"/>
        <v>0</v>
      </c>
      <c r="AD231" s="256">
        <f>AD232+10%</f>
        <v>1.1000000000000001</v>
      </c>
      <c r="AF231" s="257">
        <v>1.1000000000000001</v>
      </c>
      <c r="AG231" s="253">
        <v>0</v>
      </c>
      <c r="AH231" s="253">
        <v>0</v>
      </c>
      <c r="AI231" s="254">
        <v>0</v>
      </c>
      <c r="AJ231" s="253">
        <v>0</v>
      </c>
      <c r="AK231" s="255">
        <v>0</v>
      </c>
    </row>
    <row r="232" spans="2:37">
      <c r="B232" s="139" t="s">
        <v>933</v>
      </c>
      <c r="K232" s="202">
        <f t="shared" si="45"/>
        <v>44923</v>
      </c>
      <c r="M232" s="139">
        <f t="shared" si="43"/>
        <v>0</v>
      </c>
      <c r="N232" s="238">
        <f t="shared" si="44"/>
        <v>0</v>
      </c>
      <c r="P232" s="238"/>
      <c r="Q232" s="238"/>
      <c r="R232" s="139">
        <f>MAX($M232,$N232+R$221)</f>
        <v>0</v>
      </c>
      <c r="S232" s="238">
        <f t="shared" si="46"/>
        <v>0</v>
      </c>
      <c r="V232" s="257">
        <v>1</v>
      </c>
      <c r="W232" s="254">
        <f t="shared" si="49"/>
        <v>0</v>
      </c>
      <c r="X232" s="254">
        <f t="shared" si="47"/>
        <v>0</v>
      </c>
      <c r="Y232" s="254">
        <f t="shared" si="47"/>
        <v>0</v>
      </c>
      <c r="Z232" s="254">
        <f t="shared" si="47"/>
        <v>0</v>
      </c>
      <c r="AA232" s="258">
        <f t="shared" si="47"/>
        <v>0</v>
      </c>
      <c r="AD232" s="256">
        <f>$V$212</f>
        <v>1</v>
      </c>
      <c r="AF232" s="257">
        <v>1</v>
      </c>
      <c r="AG232" s="254">
        <v>0</v>
      </c>
      <c r="AH232" s="254">
        <v>0</v>
      </c>
      <c r="AI232" s="254">
        <v>0</v>
      </c>
      <c r="AJ232" s="254">
        <v>0</v>
      </c>
      <c r="AK232" s="258">
        <v>0</v>
      </c>
    </row>
    <row r="233" spans="2:37">
      <c r="K233" s="202">
        <f t="shared" si="45"/>
        <v>45105</v>
      </c>
      <c r="M233" s="139">
        <f t="shared" si="43"/>
        <v>0</v>
      </c>
      <c r="N233" s="238">
        <f t="shared" si="44"/>
        <v>0</v>
      </c>
      <c r="P233" s="238"/>
      <c r="Q233" s="238"/>
      <c r="R233" s="238"/>
      <c r="S233" s="238">
        <f t="shared" si="46"/>
        <v>0</v>
      </c>
      <c r="V233" s="257">
        <v>0.9</v>
      </c>
      <c r="W233" s="253">
        <f t="shared" si="49"/>
        <v>0</v>
      </c>
      <c r="X233" s="253">
        <f t="shared" si="47"/>
        <v>0</v>
      </c>
      <c r="Y233" s="254">
        <f t="shared" si="47"/>
        <v>0</v>
      </c>
      <c r="Z233" s="253">
        <f t="shared" si="47"/>
        <v>0</v>
      </c>
      <c r="AA233" s="255">
        <f t="shared" si="47"/>
        <v>0</v>
      </c>
      <c r="AD233" s="256">
        <f>AD232-10%</f>
        <v>0.9</v>
      </c>
      <c r="AF233" s="257">
        <v>0.9</v>
      </c>
      <c r="AG233" s="253">
        <v>0</v>
      </c>
      <c r="AH233" s="253">
        <v>0</v>
      </c>
      <c r="AI233" s="254">
        <v>0</v>
      </c>
      <c r="AJ233" s="253">
        <v>0</v>
      </c>
      <c r="AK233" s="255">
        <v>0</v>
      </c>
    </row>
    <row r="234" spans="2:37">
      <c r="B234" s="139" t="s">
        <v>934</v>
      </c>
      <c r="K234" s="202">
        <f t="shared" si="45"/>
        <v>45288</v>
      </c>
      <c r="M234" s="139">
        <f t="shared" si="43"/>
        <v>0</v>
      </c>
      <c r="N234" s="238">
        <f t="shared" si="44"/>
        <v>0</v>
      </c>
      <c r="P234" s="238"/>
      <c r="Q234" s="238"/>
      <c r="R234" s="238"/>
      <c r="S234" s="139">
        <f>MAX($M234,$N234+S$221)</f>
        <v>0</v>
      </c>
      <c r="V234" s="259">
        <v>0.8</v>
      </c>
      <c r="W234" s="260">
        <f t="shared" si="49"/>
        <v>0</v>
      </c>
      <c r="X234" s="260">
        <f t="shared" si="47"/>
        <v>0</v>
      </c>
      <c r="Y234" s="261">
        <f t="shared" si="47"/>
        <v>0</v>
      </c>
      <c r="Z234" s="260">
        <f t="shared" si="47"/>
        <v>0</v>
      </c>
      <c r="AA234" s="262">
        <f t="shared" si="47"/>
        <v>0</v>
      </c>
      <c r="AD234" s="256">
        <f>AD233-10%</f>
        <v>0.8</v>
      </c>
      <c r="AF234" s="259">
        <v>0.8</v>
      </c>
      <c r="AG234" s="260">
        <v>0</v>
      </c>
      <c r="AH234" s="260">
        <v>0</v>
      </c>
      <c r="AI234" s="261">
        <v>0</v>
      </c>
      <c r="AJ234" s="260">
        <v>0</v>
      </c>
      <c r="AK234" s="262">
        <v>0</v>
      </c>
    </row>
    <row r="235" spans="2:37" s="155" customFormat="1">
      <c r="B235" s="263" t="s">
        <v>935</v>
      </c>
      <c r="C235" s="263"/>
      <c r="D235" s="263"/>
      <c r="E235" s="263"/>
      <c r="F235" s="263"/>
      <c r="G235" s="263"/>
      <c r="H235" s="263"/>
      <c r="I235" s="263"/>
      <c r="J235" s="263"/>
      <c r="K235" s="263"/>
      <c r="L235" s="263"/>
      <c r="M235" s="263"/>
      <c r="N235" s="263"/>
      <c r="O235" s="264">
        <f>SUM(O224:O234)</f>
        <v>0</v>
      </c>
      <c r="P235" s="264">
        <f>SUM(P224:P234)</f>
        <v>0</v>
      </c>
      <c r="Q235" s="264">
        <f>SUM(Q224:Q234)</f>
        <v>0</v>
      </c>
      <c r="R235" s="264">
        <f>SUM(R224:R234)</f>
        <v>0</v>
      </c>
      <c r="S235" s="264">
        <f>SUM(S224:S234)</f>
        <v>0</v>
      </c>
    </row>
    <row r="236" spans="2:37">
      <c r="B236" s="265" t="s">
        <v>936</v>
      </c>
      <c r="C236" s="266"/>
      <c r="D236" s="266"/>
      <c r="E236" s="266"/>
      <c r="F236" s="266"/>
      <c r="G236" s="266"/>
      <c r="H236" s="266"/>
      <c r="I236" s="266"/>
      <c r="J236" s="266"/>
      <c r="K236" s="266"/>
      <c r="L236" s="266"/>
      <c r="M236" s="266"/>
      <c r="N236" s="266"/>
      <c r="O236" s="267" t="str">
        <f>IFERROR(XIRR(O224:O234,$K$224:$K$234),"NM")</f>
        <v>NM</v>
      </c>
      <c r="P236" s="267" t="str">
        <f>IFERROR(XIRR(P224:P234,$K$224:$K$234),"NM")</f>
        <v>NM</v>
      </c>
      <c r="Q236" s="267" t="str">
        <f>IFERROR(XIRR(Q224:Q234,$K$224:$K$234),"NM")</f>
        <v>NM</v>
      </c>
      <c r="R236" s="267" t="str">
        <f>IFERROR(XIRR(R224:R234,$K$224:$K$234),"NM")</f>
        <v>NM</v>
      </c>
      <c r="S236" s="268" t="str">
        <f>IFERROR(XIRR(S224:S234,$K$224:$K$234),"NM")</f>
        <v>NM</v>
      </c>
    </row>
    <row r="237" spans="2:37">
      <c r="B237" s="269" t="s">
        <v>937</v>
      </c>
      <c r="C237" s="270"/>
      <c r="D237" s="270"/>
      <c r="E237" s="270"/>
      <c r="F237" s="270"/>
      <c r="G237" s="270"/>
      <c r="H237" s="270"/>
      <c r="I237" s="270"/>
      <c r="J237" s="270"/>
      <c r="K237" s="270"/>
      <c r="L237" s="270"/>
      <c r="M237" s="270"/>
      <c r="N237" s="270"/>
      <c r="O237" s="271" t="str">
        <f>IFERROR(-SUM(O225:O234)/O224,"NM")</f>
        <v>NM</v>
      </c>
      <c r="P237" s="271" t="str">
        <f>IFERROR(-SUM(P225:P234)/P224,"NM")</f>
        <v>NM</v>
      </c>
      <c r="Q237" s="271" t="str">
        <f>IFERROR(-SUM(Q225:Q234)/Q224,"NM")</f>
        <v>NM</v>
      </c>
      <c r="R237" s="271" t="str">
        <f>IFERROR(-SUM(R225:R234)/R224,"NM")</f>
        <v>NM</v>
      </c>
      <c r="S237" s="272" t="str">
        <f>IFERROR(-SUM(S225:S234)/S224,"NM")</f>
        <v>NM</v>
      </c>
    </row>
    <row r="238" spans="2:37">
      <c r="O238" s="164"/>
      <c r="P238" s="164"/>
      <c r="Q238" s="164"/>
      <c r="R238" s="164"/>
      <c r="S238" s="164"/>
    </row>
    <row r="239" spans="2:37">
      <c r="O239" s="164"/>
      <c r="P239" s="164"/>
      <c r="Q239" s="164"/>
      <c r="R239" s="164"/>
      <c r="S239" s="164"/>
    </row>
    <row r="240" spans="2:37">
      <c r="B240" s="155" t="s">
        <v>1272</v>
      </c>
      <c r="O240" s="164"/>
      <c r="P240" s="164"/>
      <c r="Q240" s="164"/>
      <c r="R240" s="164"/>
      <c r="S240" s="164"/>
    </row>
    <row r="241" spans="2:37">
      <c r="B241" s="139" t="s">
        <v>982</v>
      </c>
      <c r="O241" s="238">
        <f>$O$189*$O$216</f>
        <v>0</v>
      </c>
      <c r="P241" s="238">
        <f>$Q$189*$P$216</f>
        <v>0</v>
      </c>
      <c r="Q241" s="238">
        <f>$S$189*$Q$216</f>
        <v>0</v>
      </c>
      <c r="R241" s="238">
        <f>$U$189*$R$216</f>
        <v>0</v>
      </c>
      <c r="S241" s="238">
        <f>$W$189*$S$216</f>
        <v>283670.55862103566</v>
      </c>
    </row>
    <row r="242" spans="2:37">
      <c r="M242" s="139" t="s">
        <v>976</v>
      </c>
      <c r="N242" s="139" t="s">
        <v>974</v>
      </c>
      <c r="O242" s="164"/>
      <c r="P242" s="164"/>
      <c r="Q242" s="164"/>
      <c r="R242" s="164"/>
      <c r="S242" s="164"/>
    </row>
    <row r="243" spans="2:37">
      <c r="B243" s="239" t="s">
        <v>973</v>
      </c>
      <c r="C243" s="239"/>
      <c r="D243" s="239"/>
      <c r="E243" s="239"/>
      <c r="F243" s="239"/>
      <c r="G243" s="239"/>
      <c r="H243" s="239"/>
      <c r="I243" s="239"/>
      <c r="J243" s="239"/>
      <c r="K243" s="239"/>
      <c r="L243" s="239"/>
      <c r="M243" s="239"/>
      <c r="N243" s="239">
        <f>-$K$40</f>
        <v>-10000</v>
      </c>
      <c r="O243" s="239">
        <f>O245</f>
        <v>10600</v>
      </c>
      <c r="P243" s="239">
        <f>P246</f>
        <v>10600</v>
      </c>
      <c r="Q243" s="239">
        <f>Q247</f>
        <v>10600</v>
      </c>
      <c r="R243" s="239">
        <f>R248</f>
        <v>10600</v>
      </c>
      <c r="S243" s="239">
        <f>S249</f>
        <v>283670.55862103566</v>
      </c>
      <c r="AG243" s="242"/>
      <c r="AH243" s="242"/>
      <c r="AI243" s="242"/>
      <c r="AJ243" s="242"/>
      <c r="AK243" s="242"/>
    </row>
    <row r="244" spans="2:37">
      <c r="B244" s="139" t="s">
        <v>929</v>
      </c>
      <c r="K244" s="202">
        <f>$K$9</f>
        <v>43462</v>
      </c>
      <c r="M244" s="139">
        <f>$K$40</f>
        <v>10000</v>
      </c>
      <c r="N244" s="139">
        <f>-$K$40</f>
        <v>-10000</v>
      </c>
      <c r="O244" s="139">
        <f>$N$244</f>
        <v>-10000</v>
      </c>
      <c r="P244" s="139">
        <f t="shared" ref="P244:S244" si="50">$N$244</f>
        <v>-10000</v>
      </c>
      <c r="Q244" s="139">
        <f t="shared" si="50"/>
        <v>-10000</v>
      </c>
      <c r="R244" s="139">
        <f t="shared" si="50"/>
        <v>-10000</v>
      </c>
      <c r="S244" s="139">
        <f t="shared" si="50"/>
        <v>-10000</v>
      </c>
    </row>
    <row r="245" spans="2:37">
      <c r="B245" s="139" t="s">
        <v>930</v>
      </c>
      <c r="K245" s="202">
        <f>EDATE(K244,12)</f>
        <v>43827</v>
      </c>
      <c r="M245" s="139">
        <f t="shared" ref="M245:M249" si="51">$K$40</f>
        <v>10000</v>
      </c>
      <c r="N245" s="139">
        <f>$K$40*$K$41</f>
        <v>600</v>
      </c>
      <c r="O245" s="139">
        <f>MAX(($M245+$N245),O241)</f>
        <v>10600</v>
      </c>
    </row>
    <row r="246" spans="2:37">
      <c r="B246" s="139" t="s">
        <v>931</v>
      </c>
      <c r="K246" s="202">
        <f t="shared" ref="K246:K249" si="52">EDATE(K245,12)</f>
        <v>44193</v>
      </c>
      <c r="M246" s="139">
        <f t="shared" si="51"/>
        <v>10000</v>
      </c>
      <c r="N246" s="139">
        <f t="shared" ref="N246:N249" si="53">$K$40*$K$41</f>
        <v>600</v>
      </c>
      <c r="P246" s="139">
        <f>MAX(($M246+$N246),P241)</f>
        <v>10600</v>
      </c>
    </row>
    <row r="247" spans="2:37">
      <c r="B247" s="139" t="s">
        <v>932</v>
      </c>
      <c r="K247" s="202">
        <f t="shared" si="52"/>
        <v>44558</v>
      </c>
      <c r="M247" s="139">
        <f t="shared" si="51"/>
        <v>10000</v>
      </c>
      <c r="N247" s="139">
        <f t="shared" si="53"/>
        <v>600</v>
      </c>
      <c r="Q247" s="139">
        <f>MAX(($M247+$N247),Q241)</f>
        <v>10600</v>
      </c>
      <c r="V247" s="243" t="s">
        <v>988</v>
      </c>
      <c r="W247" s="244" t="s">
        <v>987</v>
      </c>
      <c r="X247" s="245"/>
      <c r="Y247" s="246"/>
      <c r="Z247" s="246"/>
      <c r="AA247" s="247"/>
      <c r="AF247" s="243" t="s">
        <v>988</v>
      </c>
      <c r="AG247" s="244" t="s">
        <v>987</v>
      </c>
      <c r="AH247" s="245"/>
      <c r="AI247" s="246"/>
      <c r="AJ247" s="246"/>
      <c r="AK247" s="247"/>
    </row>
    <row r="248" spans="2:37">
      <c r="B248" s="139" t="s">
        <v>933</v>
      </c>
      <c r="K248" s="202">
        <f t="shared" si="52"/>
        <v>44923</v>
      </c>
      <c r="M248" s="139">
        <f t="shared" si="51"/>
        <v>10000</v>
      </c>
      <c r="N248" s="139">
        <f t="shared" si="53"/>
        <v>600</v>
      </c>
      <c r="R248" s="139">
        <f>MAX(($M248+$N248),R241)</f>
        <v>10600</v>
      </c>
      <c r="V248" s="248">
        <f>$AF$248</f>
        <v>0.95165804624557504</v>
      </c>
      <c r="W248" s="249">
        <f>AG248</f>
        <v>4.0584372536264972</v>
      </c>
      <c r="X248" s="249">
        <f t="shared" ref="X248:X253" si="54">AH248</f>
        <v>5.0584372536264972</v>
      </c>
      <c r="Y248" s="249">
        <f t="shared" ref="Y248:Y253" si="55">AI248</f>
        <v>6.0584372536264972</v>
      </c>
      <c r="Z248" s="249">
        <f t="shared" ref="Z248:Z253" si="56">AJ248</f>
        <v>7.0584372536264972</v>
      </c>
      <c r="AA248" s="250">
        <f t="shared" ref="AA248:AA253" si="57">AK248</f>
        <v>8.0584372536264972</v>
      </c>
      <c r="AF248" s="248">
        <f>MAX(O251:S251)</f>
        <v>0.95165804624557504</v>
      </c>
      <c r="AG248" s="249">
        <f>AG$224</f>
        <v>4.0584372536264972</v>
      </c>
      <c r="AH248" s="249">
        <f t="shared" ref="AH248:AK248" si="58">AH$224</f>
        <v>5.0584372536264972</v>
      </c>
      <c r="AI248" s="249">
        <f t="shared" si="58"/>
        <v>6.0584372536264972</v>
      </c>
      <c r="AJ248" s="249">
        <f t="shared" si="58"/>
        <v>7.0584372536264972</v>
      </c>
      <c r="AK248" s="250">
        <f t="shared" si="58"/>
        <v>8.0584372536264972</v>
      </c>
    </row>
    <row r="249" spans="2:37">
      <c r="B249" s="139" t="s">
        <v>934</v>
      </c>
      <c r="K249" s="202">
        <f t="shared" si="52"/>
        <v>45288</v>
      </c>
      <c r="M249" s="139">
        <f t="shared" si="51"/>
        <v>10000</v>
      </c>
      <c r="N249" s="139">
        <f t="shared" si="53"/>
        <v>600</v>
      </c>
      <c r="S249" s="139">
        <f>MAX(($M249+$N249),S241)</f>
        <v>283670.55862103566</v>
      </c>
      <c r="V249" s="251">
        <v>1.2000000000000002</v>
      </c>
      <c r="W249" s="252">
        <f>AG249</f>
        <v>0.82220019102096575</v>
      </c>
      <c r="X249" s="253">
        <f t="shared" si="54"/>
        <v>0.95277186632156385</v>
      </c>
      <c r="Y249" s="254">
        <f t="shared" si="55"/>
        <v>1.0555820107460021</v>
      </c>
      <c r="Z249" s="253">
        <f t="shared" si="56"/>
        <v>1.1411681532859803</v>
      </c>
      <c r="AA249" s="255">
        <f t="shared" si="57"/>
        <v>1.2149143338203434</v>
      </c>
      <c r="AD249" s="256">
        <f>AD250+10%</f>
        <v>1.2000000000000002</v>
      </c>
      <c r="AF249" s="251">
        <v>1.2000000000000002</v>
      </c>
      <c r="AG249" s="252">
        <f t="dataTable" ref="AG249:AK253" dt2D="1" dtr="1" r1="O10" r2="V212" ca="1"/>
        <v>0.82220019102096575</v>
      </c>
      <c r="AH249" s="253">
        <v>0.95277186632156385</v>
      </c>
      <c r="AI249" s="254">
        <v>1.0555820107460021</v>
      </c>
      <c r="AJ249" s="253">
        <v>1.1411681532859803</v>
      </c>
      <c r="AK249" s="255">
        <v>1.2149143338203434</v>
      </c>
    </row>
    <row r="250" spans="2:37">
      <c r="B250" s="263" t="s">
        <v>975</v>
      </c>
      <c r="C250" s="239"/>
      <c r="D250" s="239"/>
      <c r="E250" s="239"/>
      <c r="F250" s="239"/>
      <c r="G250" s="239"/>
      <c r="H250" s="239"/>
      <c r="I250" s="239"/>
      <c r="J250" s="239"/>
      <c r="K250" s="239"/>
      <c r="L250" s="239"/>
      <c r="M250" s="239"/>
      <c r="N250" s="239"/>
      <c r="O250" s="273"/>
      <c r="P250" s="273"/>
      <c r="Q250" s="273"/>
      <c r="R250" s="273"/>
      <c r="S250" s="273"/>
      <c r="V250" s="257">
        <v>1.1000000000000001</v>
      </c>
      <c r="W250" s="253">
        <f t="shared" ref="W250:W253" si="59">AG250</f>
        <v>0.76811834573745741</v>
      </c>
      <c r="X250" s="253">
        <f t="shared" si="54"/>
        <v>0.90205112695693979</v>
      </c>
      <c r="Y250" s="254">
        <f t="shared" si="55"/>
        <v>1.0063107132911684</v>
      </c>
      <c r="Z250" s="253">
        <f t="shared" si="56"/>
        <v>1.0925343394279483</v>
      </c>
      <c r="AA250" s="255">
        <f t="shared" si="57"/>
        <v>1.1665118575096129</v>
      </c>
      <c r="AD250" s="256">
        <f>AD251+10%</f>
        <v>1.1000000000000001</v>
      </c>
      <c r="AF250" s="257">
        <v>1.1000000000000001</v>
      </c>
      <c r="AG250" s="253">
        <v>0.76811834573745741</v>
      </c>
      <c r="AH250" s="253">
        <v>0.90205112695693979</v>
      </c>
      <c r="AI250" s="254">
        <v>1.0063107132911684</v>
      </c>
      <c r="AJ250" s="253">
        <v>1.0925343394279483</v>
      </c>
      <c r="AK250" s="255">
        <v>1.1665118575096129</v>
      </c>
    </row>
    <row r="251" spans="2:37">
      <c r="B251" s="265" t="s">
        <v>936</v>
      </c>
      <c r="C251" s="266"/>
      <c r="D251" s="266"/>
      <c r="E251" s="266"/>
      <c r="F251" s="266"/>
      <c r="G251" s="266"/>
      <c r="H251" s="266"/>
      <c r="I251" s="266"/>
      <c r="J251" s="266"/>
      <c r="K251" s="266"/>
      <c r="L251" s="266"/>
      <c r="M251" s="266"/>
      <c r="N251" s="266"/>
      <c r="O251" s="267">
        <f>IFERROR(XIRR(O244:O249,$K$244:$K$249),"NM")</f>
        <v>5.9999999403953522E-2</v>
      </c>
      <c r="P251" s="274">
        <f>IFERROR(XIRR(P244:P249,$K$244:$K$249),"NM")</f>
        <v>2.952198088169098E-2</v>
      </c>
      <c r="Q251" s="274">
        <f>IFERROR(XIRR(Q244:Q249,$K$244:$K$249),"NM")</f>
        <v>1.9594755768775944E-2</v>
      </c>
      <c r="R251" s="274">
        <f>IFERROR(XIRR(R244:R249,$K$244:$K$249),"NM")</f>
        <v>1.4663729071617126E-2</v>
      </c>
      <c r="S251" s="275">
        <f>IFERROR(XIRR(S244:S249,$K$244:$K$249),"NM")</f>
        <v>0.95165804624557504</v>
      </c>
      <c r="V251" s="257">
        <v>1</v>
      </c>
      <c r="W251" s="254">
        <f t="shared" si="59"/>
        <v>0.70646828413009644</v>
      </c>
      <c r="X251" s="254">
        <f t="shared" si="54"/>
        <v>0.84525607824325588</v>
      </c>
      <c r="Y251" s="254">
        <f>AI251</f>
        <v>0.95165804624557504</v>
      </c>
      <c r="Z251" s="254">
        <f t="shared" si="56"/>
        <v>1.0389038205146788</v>
      </c>
      <c r="AA251" s="258">
        <f t="shared" si="57"/>
        <v>1.1133486390113829</v>
      </c>
      <c r="AD251" s="256">
        <f>$V$212</f>
        <v>1</v>
      </c>
      <c r="AF251" s="257">
        <v>1</v>
      </c>
      <c r="AG251" s="254">
        <v>0.70646828413009644</v>
      </c>
      <c r="AH251" s="254">
        <v>0.84525607824325588</v>
      </c>
      <c r="AI251" s="254">
        <v>0.95165804624557504</v>
      </c>
      <c r="AJ251" s="254">
        <v>1.0389038205146788</v>
      </c>
      <c r="AK251" s="258">
        <v>1.1133486390113829</v>
      </c>
    </row>
    <row r="252" spans="2:37">
      <c r="B252" s="269" t="s">
        <v>937</v>
      </c>
      <c r="C252" s="270"/>
      <c r="D252" s="270"/>
      <c r="E252" s="270"/>
      <c r="F252" s="270"/>
      <c r="G252" s="270"/>
      <c r="H252" s="270"/>
      <c r="I252" s="270"/>
      <c r="J252" s="270"/>
      <c r="K252" s="270"/>
      <c r="L252" s="270"/>
      <c r="M252" s="270"/>
      <c r="N252" s="270"/>
      <c r="O252" s="271">
        <f>IFERROR(-SUM(O245:O249)/O244,"NM")</f>
        <v>1.06</v>
      </c>
      <c r="P252" s="271">
        <f>IFERROR(-SUM(P245:P249)/P244,"NM")</f>
        <v>1.06</v>
      </c>
      <c r="Q252" s="271">
        <f>IFERROR(-SUM(Q245:Q249)/Q244,"NM")</f>
        <v>1.06</v>
      </c>
      <c r="R252" s="271">
        <f>IFERROR(-SUM(R245:R249)/R244,"NM")</f>
        <v>1.06</v>
      </c>
      <c r="S252" s="272">
        <f>IFERROR(-SUM(S245:S249)/S244,"NM")</f>
        <v>28.367055862103566</v>
      </c>
      <c r="V252" s="257">
        <v>0.9</v>
      </c>
      <c r="W252" s="253">
        <f t="shared" si="59"/>
        <v>0.63434918522834793</v>
      </c>
      <c r="X252" s="253">
        <f t="shared" si="54"/>
        <v>0.78045598268508898</v>
      </c>
      <c r="Y252" s="254">
        <f t="shared" si="55"/>
        <v>0.8900888085365295</v>
      </c>
      <c r="Z252" s="253">
        <f t="shared" si="56"/>
        <v>0.9789485812187193</v>
      </c>
      <c r="AA252" s="255">
        <f t="shared" si="57"/>
        <v>1.0542212367057802</v>
      </c>
      <c r="AD252" s="256">
        <f>AD251-10%</f>
        <v>0.9</v>
      </c>
      <c r="AF252" s="257">
        <v>0.9</v>
      </c>
      <c r="AG252" s="253">
        <v>0.63434918522834793</v>
      </c>
      <c r="AH252" s="253">
        <v>0.78045598268508898</v>
      </c>
      <c r="AI252" s="254">
        <v>0.8900888085365295</v>
      </c>
      <c r="AJ252" s="253">
        <v>0.9789485812187193</v>
      </c>
      <c r="AK252" s="255">
        <v>1.0542212367057802</v>
      </c>
    </row>
    <row r="253" spans="2:37">
      <c r="O253" s="164"/>
      <c r="P253" s="164"/>
      <c r="Q253" s="164"/>
      <c r="R253" s="164"/>
      <c r="S253" s="164"/>
      <c r="V253" s="259">
        <v>0.8</v>
      </c>
      <c r="W253" s="260">
        <f t="shared" si="59"/>
        <v>0.54664676785469057</v>
      </c>
      <c r="X253" s="260">
        <f t="shared" si="54"/>
        <v>0.70455552339553829</v>
      </c>
      <c r="Y253" s="261">
        <f t="shared" si="55"/>
        <v>0.81925541162490845</v>
      </c>
      <c r="Z253" s="260">
        <f t="shared" si="56"/>
        <v>0.91069453954696677</v>
      </c>
      <c r="AA253" s="262">
        <f t="shared" si="57"/>
        <v>0.98737410306930551</v>
      </c>
      <c r="AD253" s="256">
        <f>AD252-10%</f>
        <v>0.8</v>
      </c>
      <c r="AF253" s="259">
        <v>0.8</v>
      </c>
      <c r="AG253" s="260">
        <v>0.54664676785469057</v>
      </c>
      <c r="AH253" s="260">
        <v>0.70455552339553829</v>
      </c>
      <c r="AI253" s="261">
        <v>0.81925541162490845</v>
      </c>
      <c r="AJ253" s="260">
        <v>0.91069453954696677</v>
      </c>
      <c r="AK253" s="262">
        <v>0.98737410306930551</v>
      </c>
    </row>
    <row r="254" spans="2:37">
      <c r="O254" s="164"/>
      <c r="P254" s="164"/>
      <c r="Q254" s="164"/>
      <c r="R254" s="164"/>
      <c r="S254" s="164"/>
    </row>
    <row r="255" spans="2:37">
      <c r="B255" s="155" t="s">
        <v>1273</v>
      </c>
      <c r="O255" s="164"/>
      <c r="P255" s="164"/>
      <c r="Q255" s="164"/>
      <c r="R255" s="164"/>
      <c r="S255" s="164"/>
    </row>
    <row r="256" spans="2:37">
      <c r="B256" s="139" t="s">
        <v>981</v>
      </c>
      <c r="O256" s="238">
        <f>$O$191*$O$216</f>
        <v>0</v>
      </c>
      <c r="P256" s="238">
        <f>$Q$191*$P$216</f>
        <v>0</v>
      </c>
      <c r="Q256" s="238">
        <f>$S$191*$Q$216</f>
        <v>0</v>
      </c>
      <c r="R256" s="238">
        <f>$U$191*$R$216</f>
        <v>0</v>
      </c>
      <c r="S256" s="238">
        <f>$W$191*$S$216</f>
        <v>0</v>
      </c>
    </row>
    <row r="257" spans="2:37">
      <c r="L257" s="165"/>
      <c r="M257" s="165" t="s">
        <v>903</v>
      </c>
      <c r="N257" s="165" t="s">
        <v>938</v>
      </c>
      <c r="P257" s="164"/>
      <c r="Q257" s="164"/>
      <c r="R257" s="164"/>
      <c r="S257" s="164"/>
    </row>
    <row r="258" spans="2:37">
      <c r="B258" s="239" t="s">
        <v>928</v>
      </c>
      <c r="C258" s="239"/>
      <c r="D258" s="239"/>
      <c r="E258" s="239"/>
      <c r="F258" s="239"/>
      <c r="G258" s="239"/>
      <c r="H258" s="239"/>
      <c r="I258" s="239"/>
      <c r="J258" s="239"/>
      <c r="K258" s="239"/>
      <c r="L258" s="239"/>
      <c r="M258" s="239"/>
      <c r="N258" s="240">
        <f>-$K$45</f>
        <v>0</v>
      </c>
      <c r="O258" s="240">
        <f>O261</f>
        <v>0</v>
      </c>
      <c r="P258" s="240">
        <f>P263</f>
        <v>0</v>
      </c>
      <c r="Q258" s="240">
        <f>Q265</f>
        <v>0</v>
      </c>
      <c r="R258" s="240">
        <f>R267</f>
        <v>0</v>
      </c>
      <c r="S258" s="240">
        <f>S269</f>
        <v>0</v>
      </c>
    </row>
    <row r="259" spans="2:37">
      <c r="B259" s="139" t="s">
        <v>929</v>
      </c>
      <c r="K259" s="202">
        <f>$K$9</f>
        <v>43462</v>
      </c>
      <c r="M259" s="139">
        <f>-N259</f>
        <v>0</v>
      </c>
      <c r="N259" s="241">
        <f>-$K$45</f>
        <v>0</v>
      </c>
      <c r="O259" s="241">
        <f>$N$259</f>
        <v>0</v>
      </c>
      <c r="P259" s="241">
        <f t="shared" ref="P259:S259" si="60">$N$259</f>
        <v>0</v>
      </c>
      <c r="Q259" s="241">
        <f t="shared" si="60"/>
        <v>0</v>
      </c>
      <c r="R259" s="241">
        <f t="shared" si="60"/>
        <v>0</v>
      </c>
      <c r="S259" s="241">
        <f t="shared" si="60"/>
        <v>0</v>
      </c>
    </row>
    <row r="260" spans="2:37">
      <c r="K260" s="202">
        <f>EDATE(K259,6)</f>
        <v>43644</v>
      </c>
      <c r="M260" s="139">
        <f>M259*(1+$K$38)^((K260-K259)/365)</f>
        <v>0</v>
      </c>
      <c r="N260" s="238">
        <f>$K$45*$K$46/2</f>
        <v>0</v>
      </c>
      <c r="O260" s="238">
        <f>$N$260</f>
        <v>0</v>
      </c>
      <c r="P260" s="238">
        <f>O260</f>
        <v>0</v>
      </c>
      <c r="Q260" s="238">
        <f t="shared" ref="Q260:S260" si="61">P260</f>
        <v>0</v>
      </c>
      <c r="R260" s="238">
        <f t="shared" si="61"/>
        <v>0</v>
      </c>
      <c r="S260" s="238">
        <f t="shared" si="61"/>
        <v>0</v>
      </c>
    </row>
    <row r="261" spans="2:37">
      <c r="B261" s="139" t="s">
        <v>930</v>
      </c>
      <c r="K261" s="202">
        <f>EDATE(K260,6)</f>
        <v>43827</v>
      </c>
      <c r="M261" s="139">
        <f t="shared" ref="M261:M269" si="62">(M260-N260)*(1+$K$38)^((K261-K260)/365)</f>
        <v>0</v>
      </c>
      <c r="N261" s="238">
        <f t="shared" ref="N261:N269" si="63">$K$45*$K$46/2</f>
        <v>0</v>
      </c>
      <c r="O261" s="139">
        <f>MAX($M261,$N261+O$256)</f>
        <v>0</v>
      </c>
      <c r="P261" s="238">
        <f>N261</f>
        <v>0</v>
      </c>
      <c r="Q261" s="238">
        <f>P261</f>
        <v>0</v>
      </c>
      <c r="R261" s="238">
        <f t="shared" ref="R261:S261" si="64">Q261</f>
        <v>0</v>
      </c>
      <c r="S261" s="238">
        <f t="shared" si="64"/>
        <v>0</v>
      </c>
    </row>
    <row r="262" spans="2:37">
      <c r="K262" s="202">
        <f t="shared" ref="K262:K269" si="65">EDATE(K261,6)</f>
        <v>44010</v>
      </c>
      <c r="M262" s="139">
        <f t="shared" si="62"/>
        <v>0</v>
      </c>
      <c r="N262" s="238">
        <f t="shared" si="63"/>
        <v>0</v>
      </c>
      <c r="P262" s="238">
        <f>N262</f>
        <v>0</v>
      </c>
      <c r="Q262" s="238">
        <f>P262</f>
        <v>0</v>
      </c>
      <c r="R262" s="238">
        <f t="shared" ref="R262:S262" si="66">Q262</f>
        <v>0</v>
      </c>
      <c r="S262" s="238">
        <f t="shared" si="66"/>
        <v>0</v>
      </c>
      <c r="AG262" s="242"/>
      <c r="AH262" s="242"/>
      <c r="AI262" s="242"/>
      <c r="AJ262" s="242"/>
      <c r="AK262" s="242"/>
    </row>
    <row r="263" spans="2:37">
      <c r="B263" s="139" t="s">
        <v>931</v>
      </c>
      <c r="K263" s="202">
        <f t="shared" si="65"/>
        <v>44193</v>
      </c>
      <c r="M263" s="139">
        <f t="shared" si="62"/>
        <v>0</v>
      </c>
      <c r="N263" s="238">
        <f t="shared" si="63"/>
        <v>0</v>
      </c>
      <c r="P263" s="139">
        <f>MAX($M263,$N263+P$256)</f>
        <v>0</v>
      </c>
      <c r="Q263" s="238">
        <f>$N263</f>
        <v>0</v>
      </c>
      <c r="R263" s="238">
        <f t="shared" ref="R263:S268" si="67">$N263</f>
        <v>0</v>
      </c>
      <c r="S263" s="238">
        <f t="shared" si="67"/>
        <v>0</v>
      </c>
    </row>
    <row r="264" spans="2:37">
      <c r="K264" s="202">
        <f t="shared" si="65"/>
        <v>44375</v>
      </c>
      <c r="M264" s="139">
        <f t="shared" si="62"/>
        <v>0</v>
      </c>
      <c r="N264" s="238">
        <f t="shared" si="63"/>
        <v>0</v>
      </c>
      <c r="P264" s="238"/>
      <c r="Q264" s="238">
        <f>$N264</f>
        <v>0</v>
      </c>
      <c r="R264" s="238">
        <f t="shared" si="67"/>
        <v>0</v>
      </c>
      <c r="S264" s="238">
        <f t="shared" si="67"/>
        <v>0</v>
      </c>
    </row>
    <row r="265" spans="2:37">
      <c r="B265" s="139" t="s">
        <v>932</v>
      </c>
      <c r="K265" s="202">
        <f t="shared" si="65"/>
        <v>44558</v>
      </c>
      <c r="M265" s="139">
        <f t="shared" si="62"/>
        <v>0</v>
      </c>
      <c r="N265" s="238">
        <f t="shared" si="63"/>
        <v>0</v>
      </c>
      <c r="P265" s="238"/>
      <c r="Q265" s="139">
        <f>MAX($M265,$N265+Q$256)</f>
        <v>0</v>
      </c>
      <c r="R265" s="238">
        <f>$N265</f>
        <v>0</v>
      </c>
      <c r="S265" s="238">
        <f t="shared" si="67"/>
        <v>0</v>
      </c>
    </row>
    <row r="266" spans="2:37">
      <c r="K266" s="202">
        <f t="shared" si="65"/>
        <v>44740</v>
      </c>
      <c r="M266" s="139">
        <f t="shared" si="62"/>
        <v>0</v>
      </c>
      <c r="N266" s="238">
        <f t="shared" si="63"/>
        <v>0</v>
      </c>
      <c r="P266" s="238"/>
      <c r="Q266" s="238"/>
      <c r="R266" s="238">
        <f>$N266</f>
        <v>0</v>
      </c>
      <c r="S266" s="238">
        <f t="shared" si="67"/>
        <v>0</v>
      </c>
      <c r="V266" s="243" t="s">
        <v>991</v>
      </c>
      <c r="W266" s="244" t="s">
        <v>987</v>
      </c>
      <c r="X266" s="245"/>
      <c r="Y266" s="246"/>
      <c r="Z266" s="246"/>
      <c r="AA266" s="247"/>
      <c r="AF266" s="243" t="s">
        <v>989</v>
      </c>
      <c r="AG266" s="244" t="s">
        <v>987</v>
      </c>
      <c r="AH266" s="245"/>
      <c r="AI266" s="246"/>
      <c r="AJ266" s="246"/>
      <c r="AK266" s="247"/>
    </row>
    <row r="267" spans="2:37">
      <c r="B267" s="139" t="s">
        <v>933</v>
      </c>
      <c r="K267" s="202">
        <f t="shared" si="65"/>
        <v>44923</v>
      </c>
      <c r="M267" s="139">
        <f t="shared" si="62"/>
        <v>0</v>
      </c>
      <c r="N267" s="238">
        <f t="shared" si="63"/>
        <v>0</v>
      </c>
      <c r="P267" s="238"/>
      <c r="Q267" s="238"/>
      <c r="R267" s="139">
        <f>MAX($M267,$N267+R$256)</f>
        <v>0</v>
      </c>
      <c r="S267" s="238">
        <f t="shared" si="67"/>
        <v>0</v>
      </c>
      <c r="V267" s="248" t="str">
        <f>$AF$267</f>
        <v>NM</v>
      </c>
      <c r="W267" s="249">
        <f t="shared" ref="W267:W272" si="68">AG267</f>
        <v>4.0584372536264972</v>
      </c>
      <c r="X267" s="249">
        <f t="shared" ref="X267" si="69">AH267</f>
        <v>5.0584372536264972</v>
      </c>
      <c r="Y267" s="249">
        <f t="shared" ref="Y267" si="70">AI267</f>
        <v>6.0584372536264972</v>
      </c>
      <c r="Z267" s="249">
        <f t="shared" ref="Z267" si="71">AJ267</f>
        <v>7.0584372536264972</v>
      </c>
      <c r="AA267" s="250">
        <f t="shared" ref="AA267" si="72">AK267</f>
        <v>8.0584372536264972</v>
      </c>
      <c r="AF267" s="248" t="str">
        <f>$R$271</f>
        <v>NM</v>
      </c>
      <c r="AG267" s="249">
        <f>AG$224</f>
        <v>4.0584372536264972</v>
      </c>
      <c r="AH267" s="249">
        <f t="shared" ref="AH267:AK267" si="73">AH$224</f>
        <v>5.0584372536264972</v>
      </c>
      <c r="AI267" s="249">
        <f t="shared" si="73"/>
        <v>6.0584372536264972</v>
      </c>
      <c r="AJ267" s="249">
        <f t="shared" si="73"/>
        <v>7.0584372536264972</v>
      </c>
      <c r="AK267" s="250">
        <f t="shared" si="73"/>
        <v>8.0584372536264972</v>
      </c>
    </row>
    <row r="268" spans="2:37">
      <c r="K268" s="202">
        <f t="shared" si="65"/>
        <v>45105</v>
      </c>
      <c r="M268" s="139">
        <f t="shared" si="62"/>
        <v>0</v>
      </c>
      <c r="N268" s="238">
        <f t="shared" si="63"/>
        <v>0</v>
      </c>
      <c r="P268" s="238"/>
      <c r="Q268" s="238"/>
      <c r="R268" s="238"/>
      <c r="S268" s="238">
        <f t="shared" si="67"/>
        <v>0</v>
      </c>
      <c r="V268" s="251">
        <v>1.2000000000000002</v>
      </c>
      <c r="W268" s="252" t="str">
        <f t="shared" si="68"/>
        <v>NM</v>
      </c>
      <c r="X268" s="253" t="str">
        <f t="shared" ref="X268:AA272" si="74">AH268</f>
        <v>NM</v>
      </c>
      <c r="Y268" s="254" t="str">
        <f t="shared" si="74"/>
        <v>NM</v>
      </c>
      <c r="Z268" s="253" t="str">
        <f t="shared" si="74"/>
        <v>NM</v>
      </c>
      <c r="AA268" s="255" t="str">
        <f t="shared" si="74"/>
        <v>NM</v>
      </c>
      <c r="AD268" s="256">
        <f>AD269+10%</f>
        <v>1.2000000000000002</v>
      </c>
      <c r="AF268" s="251">
        <v>1.2</v>
      </c>
      <c r="AG268" s="252" t="str">
        <f t="dataTable" ref="AG268:AK272" dt2D="1" dtr="1" r1="O10" r2="V212" ca="1"/>
        <v>NM</v>
      </c>
      <c r="AH268" s="253" t="str">
        <v>NM</v>
      </c>
      <c r="AI268" s="254" t="str">
        <v>NM</v>
      </c>
      <c r="AJ268" s="253" t="str">
        <v>NM</v>
      </c>
      <c r="AK268" s="255" t="str">
        <v>NM</v>
      </c>
    </row>
    <row r="269" spans="2:37">
      <c r="B269" s="139" t="s">
        <v>934</v>
      </c>
      <c r="K269" s="202">
        <f t="shared" si="65"/>
        <v>45288</v>
      </c>
      <c r="M269" s="139">
        <f t="shared" si="62"/>
        <v>0</v>
      </c>
      <c r="N269" s="238">
        <f t="shared" si="63"/>
        <v>0</v>
      </c>
      <c r="P269" s="238"/>
      <c r="Q269" s="238"/>
      <c r="R269" s="238"/>
      <c r="S269" s="139">
        <f>MAX($M269,$N269+S$256)</f>
        <v>0</v>
      </c>
      <c r="V269" s="257">
        <v>1.1000000000000001</v>
      </c>
      <c r="W269" s="253" t="str">
        <f t="shared" si="68"/>
        <v>NM</v>
      </c>
      <c r="X269" s="253" t="str">
        <f t="shared" si="74"/>
        <v>NM</v>
      </c>
      <c r="Y269" s="254" t="str">
        <f t="shared" si="74"/>
        <v>NM</v>
      </c>
      <c r="Z269" s="253" t="str">
        <f t="shared" si="74"/>
        <v>NM</v>
      </c>
      <c r="AA269" s="255" t="str">
        <f t="shared" si="74"/>
        <v>NM</v>
      </c>
      <c r="AD269" s="256">
        <f>AD270+10%</f>
        <v>1.1000000000000001</v>
      </c>
      <c r="AF269" s="257">
        <v>1.1000000000000001</v>
      </c>
      <c r="AG269" s="253" t="str">
        <v>NM</v>
      </c>
      <c r="AH269" s="253" t="str">
        <v>NM</v>
      </c>
      <c r="AI269" s="254" t="str">
        <v>NM</v>
      </c>
      <c r="AJ269" s="253" t="str">
        <v>NM</v>
      </c>
      <c r="AK269" s="255" t="str">
        <v>NM</v>
      </c>
    </row>
    <row r="270" spans="2:37">
      <c r="B270" s="263" t="s">
        <v>935</v>
      </c>
      <c r="C270" s="263"/>
      <c r="D270" s="263"/>
      <c r="E270" s="263"/>
      <c r="F270" s="263"/>
      <c r="G270" s="263"/>
      <c r="H270" s="263"/>
      <c r="I270" s="263"/>
      <c r="J270" s="263"/>
      <c r="K270" s="263"/>
      <c r="L270" s="263"/>
      <c r="M270" s="263"/>
      <c r="N270" s="263"/>
      <c r="O270" s="264">
        <f>SUM(O259:O269)</f>
        <v>0</v>
      </c>
      <c r="P270" s="264">
        <f>SUM(P259:P269)</f>
        <v>0</v>
      </c>
      <c r="Q270" s="264">
        <f>SUM(Q259:Q269)</f>
        <v>0</v>
      </c>
      <c r="R270" s="264">
        <f>SUM(R259:R269)</f>
        <v>0</v>
      </c>
      <c r="S270" s="264">
        <f>SUM(S259:S269)</f>
        <v>0</v>
      </c>
      <c r="V270" s="257">
        <v>1</v>
      </c>
      <c r="W270" s="254" t="str">
        <f t="shared" si="68"/>
        <v>NM</v>
      </c>
      <c r="X270" s="254" t="str">
        <f t="shared" si="74"/>
        <v>NM</v>
      </c>
      <c r="Y270" s="254" t="str">
        <f t="shared" si="74"/>
        <v>NM</v>
      </c>
      <c r="Z270" s="254" t="str">
        <f t="shared" si="74"/>
        <v>NM</v>
      </c>
      <c r="AA270" s="258" t="str">
        <f t="shared" si="74"/>
        <v>NM</v>
      </c>
      <c r="AD270" s="256">
        <f>$V$212</f>
        <v>1</v>
      </c>
      <c r="AF270" s="257">
        <v>1</v>
      </c>
      <c r="AG270" s="254" t="str">
        <v>NM</v>
      </c>
      <c r="AH270" s="254" t="str">
        <v>NM</v>
      </c>
      <c r="AI270" s="254" t="str">
        <v>NM</v>
      </c>
      <c r="AJ270" s="254" t="str">
        <v>NM</v>
      </c>
      <c r="AK270" s="258" t="str">
        <v>NM</v>
      </c>
    </row>
    <row r="271" spans="2:37">
      <c r="B271" s="265" t="s">
        <v>936</v>
      </c>
      <c r="C271" s="266"/>
      <c r="D271" s="266"/>
      <c r="E271" s="266"/>
      <c r="F271" s="266"/>
      <c r="G271" s="266"/>
      <c r="H271" s="266"/>
      <c r="I271" s="266"/>
      <c r="J271" s="266"/>
      <c r="K271" s="266"/>
      <c r="L271" s="266"/>
      <c r="M271" s="266"/>
      <c r="N271" s="266"/>
      <c r="O271" s="267" t="str">
        <f>IFERROR(XIRR(O259:O269,$K$259:$K$269),"NM")</f>
        <v>NM</v>
      </c>
      <c r="P271" s="267" t="str">
        <f>IFERROR(XIRR(P259:P269,$K$259:$K$269),"NM")</f>
        <v>NM</v>
      </c>
      <c r="Q271" s="267" t="str">
        <f>IFERROR(XIRR(Q259:Q269,$K$259:$K$269),"NM")</f>
        <v>NM</v>
      </c>
      <c r="R271" s="267" t="str">
        <f>IFERROR(XIRR(R259:R269,$K$259:$K$269),"NM")</f>
        <v>NM</v>
      </c>
      <c r="S271" s="268" t="str">
        <f>IFERROR(XIRR(S259:S269,$K$259:$K$269),"NM")</f>
        <v>NM</v>
      </c>
      <c r="V271" s="257">
        <v>0.9</v>
      </c>
      <c r="W271" s="253" t="str">
        <f t="shared" si="68"/>
        <v>NM</v>
      </c>
      <c r="X271" s="253" t="str">
        <f t="shared" si="74"/>
        <v>NM</v>
      </c>
      <c r="Y271" s="254" t="str">
        <f t="shared" si="74"/>
        <v>NM</v>
      </c>
      <c r="Z271" s="253" t="str">
        <f t="shared" si="74"/>
        <v>NM</v>
      </c>
      <c r="AA271" s="255" t="str">
        <f t="shared" si="74"/>
        <v>NM</v>
      </c>
      <c r="AD271" s="256">
        <f>AD270-10%</f>
        <v>0.9</v>
      </c>
      <c r="AF271" s="257">
        <v>0.9</v>
      </c>
      <c r="AG271" s="253" t="str">
        <v>NM</v>
      </c>
      <c r="AH271" s="253" t="str">
        <v>NM</v>
      </c>
      <c r="AI271" s="254" t="str">
        <v>NM</v>
      </c>
      <c r="AJ271" s="253" t="str">
        <v>NM</v>
      </c>
      <c r="AK271" s="255" t="str">
        <v>NM</v>
      </c>
    </row>
    <row r="272" spans="2:37">
      <c r="B272" s="269" t="s">
        <v>937</v>
      </c>
      <c r="C272" s="270"/>
      <c r="D272" s="270"/>
      <c r="E272" s="270"/>
      <c r="F272" s="270"/>
      <c r="G272" s="270"/>
      <c r="H272" s="270"/>
      <c r="I272" s="270"/>
      <c r="J272" s="270"/>
      <c r="K272" s="270"/>
      <c r="L272" s="270"/>
      <c r="M272" s="270"/>
      <c r="N272" s="270"/>
      <c r="O272" s="271" t="str">
        <f>IFERROR(-SUM(O260:O269)/O259,"NM")</f>
        <v>NM</v>
      </c>
      <c r="P272" s="271" t="str">
        <f>IFERROR(-SUM(P260:P269)/P259,"NM")</f>
        <v>NM</v>
      </c>
      <c r="Q272" s="271" t="str">
        <f>IFERROR(-SUM(Q260:Q269)/Q259,"NM")</f>
        <v>NM</v>
      </c>
      <c r="R272" s="271" t="str">
        <f>IFERROR(-SUM(R260:R269)/R259,"NM")</f>
        <v>NM</v>
      </c>
      <c r="S272" s="272" t="str">
        <f>IFERROR(-SUM(S260:S269)/S259,"NM")</f>
        <v>NM</v>
      </c>
      <c r="V272" s="259">
        <v>0.8</v>
      </c>
      <c r="W272" s="260" t="str">
        <f t="shared" si="68"/>
        <v>NM</v>
      </c>
      <c r="X272" s="260" t="str">
        <f t="shared" si="74"/>
        <v>NM</v>
      </c>
      <c r="Y272" s="261" t="str">
        <f t="shared" si="74"/>
        <v>NM</v>
      </c>
      <c r="Z272" s="260" t="str">
        <f t="shared" si="74"/>
        <v>NM</v>
      </c>
      <c r="AA272" s="262" t="str">
        <f t="shared" si="74"/>
        <v>NM</v>
      </c>
      <c r="AD272" s="256">
        <f>AD271-10%</f>
        <v>0.8</v>
      </c>
      <c r="AF272" s="259">
        <v>0.8</v>
      </c>
      <c r="AG272" s="260" t="str">
        <v>NM</v>
      </c>
      <c r="AH272" s="260" t="str">
        <v>NM</v>
      </c>
      <c r="AI272" s="261" t="str">
        <v>NM</v>
      </c>
      <c r="AJ272" s="260" t="str">
        <v>NM</v>
      </c>
      <c r="AK272" s="262" t="str">
        <v>NM</v>
      </c>
    </row>
    <row r="273" spans="2:37">
      <c r="O273" s="164"/>
      <c r="P273" s="164"/>
      <c r="Q273" s="164"/>
      <c r="R273" s="164"/>
      <c r="S273" s="164"/>
    </row>
    <row r="274" spans="2:37">
      <c r="O274" s="164"/>
      <c r="P274" s="164"/>
      <c r="Q274" s="164"/>
      <c r="R274" s="164"/>
      <c r="S274" s="164"/>
    </row>
    <row r="275" spans="2:37">
      <c r="B275" s="155" t="s">
        <v>1274</v>
      </c>
      <c r="O275" s="164"/>
      <c r="P275" s="164"/>
      <c r="Q275" s="164"/>
      <c r="R275" s="164"/>
      <c r="S275" s="164"/>
    </row>
    <row r="276" spans="2:37">
      <c r="B276" s="139" t="s">
        <v>982</v>
      </c>
      <c r="O276" s="238">
        <f>$O$192*$O$216</f>
        <v>0</v>
      </c>
      <c r="P276" s="238">
        <f>$Q$192*$P$216</f>
        <v>0</v>
      </c>
      <c r="Q276" s="238">
        <f>$S$192*$Q$216</f>
        <v>0</v>
      </c>
      <c r="R276" s="238">
        <f>$U$192*$R$216</f>
        <v>0</v>
      </c>
      <c r="S276" s="238">
        <f>$W$192*$S$216</f>
        <v>99284.695517362474</v>
      </c>
    </row>
    <row r="277" spans="2:37">
      <c r="M277" s="139" t="s">
        <v>976</v>
      </c>
      <c r="N277" s="139" t="s">
        <v>974</v>
      </c>
      <c r="O277" s="164"/>
      <c r="P277" s="164"/>
      <c r="Q277" s="164"/>
      <c r="R277" s="164"/>
      <c r="S277" s="164"/>
      <c r="AG277" s="242"/>
      <c r="AH277" s="242"/>
      <c r="AI277" s="242"/>
      <c r="AJ277" s="242"/>
      <c r="AK277" s="242"/>
    </row>
    <row r="278" spans="2:37">
      <c r="B278" s="239" t="s">
        <v>973</v>
      </c>
      <c r="C278" s="239"/>
      <c r="D278" s="239"/>
      <c r="E278" s="239"/>
      <c r="F278" s="239"/>
      <c r="G278" s="239"/>
      <c r="H278" s="239"/>
      <c r="I278" s="239"/>
      <c r="J278" s="239"/>
      <c r="K278" s="239"/>
      <c r="L278" s="239"/>
      <c r="M278" s="239"/>
      <c r="N278" s="239">
        <f>-$K$49</f>
        <v>-14000</v>
      </c>
      <c r="O278" s="239">
        <f>O280</f>
        <v>14840</v>
      </c>
      <c r="P278" s="239">
        <f>P281</f>
        <v>14840</v>
      </c>
      <c r="Q278" s="239">
        <f>Q282</f>
        <v>14840</v>
      </c>
      <c r="R278" s="239">
        <f>R283</f>
        <v>14840</v>
      </c>
      <c r="S278" s="239">
        <f>S284</f>
        <v>99284.695517362474</v>
      </c>
    </row>
    <row r="279" spans="2:37">
      <c r="B279" s="139" t="s">
        <v>929</v>
      </c>
      <c r="K279" s="202">
        <f>$K$9</f>
        <v>43462</v>
      </c>
      <c r="M279" s="139">
        <f>$K$49</f>
        <v>14000</v>
      </c>
      <c r="N279" s="139">
        <f>-$K$49</f>
        <v>-14000</v>
      </c>
      <c r="O279" s="139">
        <f>$N$279</f>
        <v>-14000</v>
      </c>
      <c r="P279" s="139">
        <f t="shared" ref="P279:S279" si="75">$N$279</f>
        <v>-14000</v>
      </c>
      <c r="Q279" s="139">
        <f t="shared" si="75"/>
        <v>-14000</v>
      </c>
      <c r="R279" s="139">
        <f t="shared" si="75"/>
        <v>-14000</v>
      </c>
      <c r="S279" s="139">
        <f t="shared" si="75"/>
        <v>-14000</v>
      </c>
    </row>
    <row r="280" spans="2:37">
      <c r="B280" s="139" t="s">
        <v>930</v>
      </c>
      <c r="K280" s="202">
        <f>EDATE(K279,12)</f>
        <v>43827</v>
      </c>
      <c r="M280" s="139">
        <f t="shared" ref="M280:M284" si="76">$K$49</f>
        <v>14000</v>
      </c>
      <c r="N280" s="139">
        <f>$K$49*$K$50</f>
        <v>840</v>
      </c>
      <c r="O280" s="139">
        <f>MAX(($M280+$N280),O276)</f>
        <v>14840</v>
      </c>
    </row>
    <row r="281" spans="2:37">
      <c r="B281" s="139" t="s">
        <v>931</v>
      </c>
      <c r="K281" s="202">
        <f t="shared" ref="K281:K284" si="77">EDATE(K280,12)</f>
        <v>44193</v>
      </c>
      <c r="M281" s="139">
        <f t="shared" si="76"/>
        <v>14000</v>
      </c>
      <c r="N281" s="139">
        <f t="shared" ref="N281:N284" si="78">$K$49*$K$50</f>
        <v>840</v>
      </c>
      <c r="P281" s="139">
        <f>MAX(($M281+$N281),P276)</f>
        <v>14840</v>
      </c>
      <c r="V281" s="243" t="s">
        <v>990</v>
      </c>
      <c r="W281" s="244" t="s">
        <v>987</v>
      </c>
      <c r="X281" s="245"/>
      <c r="Y281" s="246"/>
      <c r="Z281" s="246"/>
      <c r="AA281" s="247"/>
      <c r="AF281" s="243" t="s">
        <v>989</v>
      </c>
      <c r="AG281" s="244" t="s">
        <v>987</v>
      </c>
      <c r="AH281" s="245"/>
      <c r="AI281" s="246"/>
      <c r="AJ281" s="246"/>
      <c r="AK281" s="247"/>
    </row>
    <row r="282" spans="2:37">
      <c r="B282" s="139" t="s">
        <v>932</v>
      </c>
      <c r="K282" s="202">
        <f t="shared" si="77"/>
        <v>44558</v>
      </c>
      <c r="M282" s="139">
        <f t="shared" si="76"/>
        <v>14000</v>
      </c>
      <c r="N282" s="139">
        <f t="shared" si="78"/>
        <v>840</v>
      </c>
      <c r="Q282" s="139">
        <f>MAX(($M282+$N282),Q276)</f>
        <v>14840</v>
      </c>
      <c r="V282" s="248">
        <f>$AF$282</f>
        <v>2.952198088169098E-2</v>
      </c>
      <c r="W282" s="249">
        <f>AG282</f>
        <v>4.0584372536264972</v>
      </c>
      <c r="X282" s="249">
        <f t="shared" ref="X282:X287" si="79">AH282</f>
        <v>5.0584372536264972</v>
      </c>
      <c r="Y282" s="249">
        <f t="shared" ref="Y282:Y287" si="80">AI282</f>
        <v>6.0584372536264972</v>
      </c>
      <c r="Z282" s="249">
        <f t="shared" ref="Z282:Z287" si="81">AJ282</f>
        <v>7.0584372536264972</v>
      </c>
      <c r="AA282" s="250">
        <f t="shared" ref="AA282:AA287" si="82">AK282</f>
        <v>8.0584372536264972</v>
      </c>
      <c r="AF282" s="248">
        <f>$P$286</f>
        <v>2.952198088169098E-2</v>
      </c>
      <c r="AG282" s="249">
        <f>AG$224</f>
        <v>4.0584372536264972</v>
      </c>
      <c r="AH282" s="249">
        <f t="shared" ref="AH282:AK282" si="83">AH$224</f>
        <v>5.0584372536264972</v>
      </c>
      <c r="AI282" s="249">
        <f t="shared" si="83"/>
        <v>6.0584372536264972</v>
      </c>
      <c r="AJ282" s="249">
        <f t="shared" si="83"/>
        <v>7.0584372536264972</v>
      </c>
      <c r="AK282" s="250">
        <f t="shared" si="83"/>
        <v>8.0584372536264972</v>
      </c>
    </row>
    <row r="283" spans="2:37">
      <c r="B283" s="139" t="s">
        <v>933</v>
      </c>
      <c r="K283" s="202">
        <f t="shared" si="77"/>
        <v>44923</v>
      </c>
      <c r="M283" s="139">
        <f t="shared" si="76"/>
        <v>14000</v>
      </c>
      <c r="N283" s="139">
        <f t="shared" si="78"/>
        <v>840</v>
      </c>
      <c r="R283" s="139">
        <f>MAX(($M283+$N283),R276)</f>
        <v>14840</v>
      </c>
      <c r="V283" s="251">
        <v>1.2000000000000002</v>
      </c>
      <c r="W283" s="252">
        <f>AG283</f>
        <v>2.952198088169098E-2</v>
      </c>
      <c r="X283" s="253">
        <f t="shared" si="79"/>
        <v>2.952198088169098E-2</v>
      </c>
      <c r="Y283" s="254">
        <f t="shared" si="80"/>
        <v>2.952198088169098E-2</v>
      </c>
      <c r="Z283" s="253">
        <f t="shared" si="81"/>
        <v>2.952198088169098E-2</v>
      </c>
      <c r="AA283" s="255">
        <f t="shared" si="82"/>
        <v>2.952198088169098E-2</v>
      </c>
      <c r="AD283" s="256">
        <f>AD284+10%</f>
        <v>1.2000000000000002</v>
      </c>
      <c r="AF283" s="251">
        <v>1.2</v>
      </c>
      <c r="AG283" s="252">
        <f t="dataTable" ref="AG283:AK286" dt2D="1" dtr="1" r1="O10" r2="V212"/>
        <v>2.952198088169098E-2</v>
      </c>
      <c r="AH283" s="253">
        <v>2.952198088169098E-2</v>
      </c>
      <c r="AI283" s="254">
        <v>2.952198088169098E-2</v>
      </c>
      <c r="AJ283" s="253">
        <v>2.952198088169098E-2</v>
      </c>
      <c r="AK283" s="255">
        <v>2.952198088169098E-2</v>
      </c>
    </row>
    <row r="284" spans="2:37">
      <c r="B284" s="139" t="s">
        <v>934</v>
      </c>
      <c r="K284" s="202">
        <f t="shared" si="77"/>
        <v>45288</v>
      </c>
      <c r="M284" s="139">
        <f t="shared" si="76"/>
        <v>14000</v>
      </c>
      <c r="N284" s="139">
        <f t="shared" si="78"/>
        <v>840</v>
      </c>
      <c r="S284" s="139">
        <f>MAX(($M284+$N284),S276)</f>
        <v>99284.695517362474</v>
      </c>
      <c r="V284" s="257">
        <v>1.1000000000000001</v>
      </c>
      <c r="W284" s="253">
        <f t="shared" ref="W284:W287" si="84">AG284</f>
        <v>2.952198088169098E-2</v>
      </c>
      <c r="X284" s="253">
        <f t="shared" si="79"/>
        <v>2.952198088169098E-2</v>
      </c>
      <c r="Y284" s="254">
        <f t="shared" si="80"/>
        <v>2.952198088169098E-2</v>
      </c>
      <c r="Z284" s="253">
        <f t="shared" si="81"/>
        <v>2.952198088169098E-2</v>
      </c>
      <c r="AA284" s="255">
        <f t="shared" si="82"/>
        <v>2.952198088169098E-2</v>
      </c>
      <c r="AD284" s="256">
        <f>AD285+10%</f>
        <v>1.1000000000000001</v>
      </c>
      <c r="AF284" s="257">
        <v>1.1000000000000001</v>
      </c>
      <c r="AG284" s="253">
        <v>2.952198088169098E-2</v>
      </c>
      <c r="AH284" s="253">
        <v>2.952198088169098E-2</v>
      </c>
      <c r="AI284" s="254">
        <v>2.952198088169098E-2</v>
      </c>
      <c r="AJ284" s="253">
        <v>2.952198088169098E-2</v>
      </c>
      <c r="AK284" s="255">
        <v>2.952198088169098E-2</v>
      </c>
    </row>
    <row r="285" spans="2:37">
      <c r="B285" s="263" t="s">
        <v>975</v>
      </c>
      <c r="C285" s="239"/>
      <c r="D285" s="239"/>
      <c r="E285" s="239"/>
      <c r="F285" s="239"/>
      <c r="G285" s="239"/>
      <c r="H285" s="239"/>
      <c r="I285" s="239"/>
      <c r="J285" s="239"/>
      <c r="K285" s="239"/>
      <c r="L285" s="239"/>
      <c r="M285" s="239"/>
      <c r="N285" s="239"/>
      <c r="O285" s="273"/>
      <c r="P285" s="273"/>
      <c r="Q285" s="273"/>
      <c r="R285" s="273"/>
      <c r="S285" s="273"/>
      <c r="V285" s="257">
        <v>1</v>
      </c>
      <c r="W285" s="254">
        <f t="shared" si="84"/>
        <v>2.952198088169098E-2</v>
      </c>
      <c r="X285" s="254">
        <f t="shared" si="79"/>
        <v>2.952198088169098E-2</v>
      </c>
      <c r="Y285" s="254">
        <f t="shared" si="80"/>
        <v>2.952198088169098E-2</v>
      </c>
      <c r="Z285" s="254">
        <f t="shared" si="81"/>
        <v>2.952198088169098E-2</v>
      </c>
      <c r="AA285" s="258">
        <f t="shared" si="82"/>
        <v>2.952198088169098E-2</v>
      </c>
      <c r="AD285" s="256">
        <f>$V$212</f>
        <v>1</v>
      </c>
      <c r="AF285" s="257">
        <v>1</v>
      </c>
      <c r="AG285" s="254">
        <v>2.952198088169098E-2</v>
      </c>
      <c r="AH285" s="254">
        <v>2.952198088169098E-2</v>
      </c>
      <c r="AI285" s="254">
        <v>2.952198088169098E-2</v>
      </c>
      <c r="AJ285" s="254">
        <v>2.952198088169098E-2</v>
      </c>
      <c r="AK285" s="258">
        <v>2.952198088169098E-2</v>
      </c>
    </row>
    <row r="286" spans="2:37">
      <c r="B286" s="265" t="s">
        <v>936</v>
      </c>
      <c r="C286" s="266"/>
      <c r="D286" s="266"/>
      <c r="E286" s="266"/>
      <c r="F286" s="266"/>
      <c r="G286" s="266"/>
      <c r="H286" s="266"/>
      <c r="I286" s="266"/>
      <c r="J286" s="266"/>
      <c r="K286" s="266"/>
      <c r="L286" s="266"/>
      <c r="M286" s="266"/>
      <c r="N286" s="266"/>
      <c r="O286" s="267">
        <f>IFERROR(XIRR(O279:O284,$K$279:$K$284),"NM")</f>
        <v>5.9999999403953522E-2</v>
      </c>
      <c r="P286" s="274">
        <f>IFERROR(XIRR(P279:P284,$K$279:$K$284),"NM")</f>
        <v>2.952198088169098E-2</v>
      </c>
      <c r="Q286" s="274">
        <f>IFERROR(XIRR(Q279:Q284,$K$279:$K$284),"NM")</f>
        <v>1.9594755768775944E-2</v>
      </c>
      <c r="R286" s="274">
        <f>IFERROR(XIRR(R279:R284,$K$279:$K$284),"NM")</f>
        <v>1.4663729071617126E-2</v>
      </c>
      <c r="S286" s="275">
        <f>IFERROR(XIRR(S279:S284,$K$279:$K$284),"NM")</f>
        <v>0.47930482029914856</v>
      </c>
      <c r="V286" s="257">
        <v>0.9</v>
      </c>
      <c r="W286" s="253">
        <f t="shared" si="84"/>
        <v>2.952198088169098E-2</v>
      </c>
      <c r="X286" s="253">
        <f t="shared" si="79"/>
        <v>2.952198088169098E-2</v>
      </c>
      <c r="Y286" s="254">
        <f t="shared" si="80"/>
        <v>2.952198088169098E-2</v>
      </c>
      <c r="Z286" s="253">
        <f t="shared" si="81"/>
        <v>2.952198088169098E-2</v>
      </c>
      <c r="AA286" s="255">
        <f t="shared" si="82"/>
        <v>2.952198088169098E-2</v>
      </c>
      <c r="AD286" s="256">
        <f>AD285-10%</f>
        <v>0.9</v>
      </c>
      <c r="AF286" s="257">
        <v>0.9</v>
      </c>
      <c r="AG286" s="253">
        <v>2.952198088169098E-2</v>
      </c>
      <c r="AH286" s="253">
        <v>2.952198088169098E-2</v>
      </c>
      <c r="AI286" s="254">
        <v>2.952198088169098E-2</v>
      </c>
      <c r="AJ286" s="253">
        <v>2.952198088169098E-2</v>
      </c>
      <c r="AK286" s="255">
        <v>2.952198088169098E-2</v>
      </c>
    </row>
    <row r="287" spans="2:37">
      <c r="B287" s="269" t="s">
        <v>937</v>
      </c>
      <c r="C287" s="270"/>
      <c r="D287" s="270"/>
      <c r="E287" s="270"/>
      <c r="F287" s="270"/>
      <c r="G287" s="270"/>
      <c r="H287" s="270"/>
      <c r="I287" s="270"/>
      <c r="J287" s="270"/>
      <c r="K287" s="270"/>
      <c r="L287" s="270"/>
      <c r="M287" s="270"/>
      <c r="N287" s="270"/>
      <c r="O287" s="271">
        <f>IFERROR(-SUM(O280:O284)/O279,"NM")</f>
        <v>1.06</v>
      </c>
      <c r="P287" s="271">
        <f>IFERROR(-SUM(P280:P284)/P279,"NM")</f>
        <v>1.06</v>
      </c>
      <c r="Q287" s="271">
        <f>IFERROR(-SUM(Q280:Q284)/Q279,"NM")</f>
        <v>1.06</v>
      </c>
      <c r="R287" s="271">
        <f>IFERROR(-SUM(R280:R284)/R279,"NM")</f>
        <v>1.06</v>
      </c>
      <c r="S287" s="272">
        <f>IFERROR(-SUM(S280:S284)/S279,"NM")</f>
        <v>7.0917639655258906</v>
      </c>
      <c r="V287" s="259">
        <v>0.8</v>
      </c>
      <c r="W287" s="260">
        <f t="shared" si="84"/>
        <v>2.952198088169098E-2</v>
      </c>
      <c r="X287" s="260">
        <f t="shared" si="79"/>
        <v>2.952198088169098E-2</v>
      </c>
      <c r="Y287" s="261">
        <f t="shared" si="80"/>
        <v>2.952198088169098E-2</v>
      </c>
      <c r="Z287" s="260">
        <f t="shared" si="81"/>
        <v>2.952198088169098E-2</v>
      </c>
      <c r="AA287" s="262">
        <f t="shared" si="82"/>
        <v>2.952198088169098E-2</v>
      </c>
      <c r="AD287" s="256">
        <f>AD286-10%</f>
        <v>0.8</v>
      </c>
      <c r="AF287" s="259">
        <v>0.8</v>
      </c>
      <c r="AG287" s="260">
        <v>2.952198088169098E-2</v>
      </c>
      <c r="AH287" s="260">
        <v>2.952198088169098E-2</v>
      </c>
      <c r="AI287" s="261">
        <v>2.952198088169098E-2</v>
      </c>
      <c r="AJ287" s="260">
        <v>2.952198088169098E-2</v>
      </c>
      <c r="AK287" s="262">
        <v>2.952198088169098E-2</v>
      </c>
    </row>
    <row r="288" spans="2:37">
      <c r="O288" s="164"/>
      <c r="P288" s="164"/>
      <c r="Q288" s="164"/>
      <c r="R288" s="164"/>
      <c r="S288" s="164"/>
    </row>
    <row r="290" spans="2:19" s="156" customFormat="1">
      <c r="B290" s="156" t="s">
        <v>918</v>
      </c>
    </row>
    <row r="291" spans="2:19" ht="6" customHeight="1"/>
    <row r="292" spans="2:19" outlineLevel="1"/>
    <row r="293" spans="2:19" ht="13.8" outlineLevel="1" thickBot="1">
      <c r="B293" s="157"/>
      <c r="C293" s="154"/>
      <c r="D293" s="154"/>
      <c r="E293" s="154"/>
      <c r="F293" s="154"/>
      <c r="G293" s="154"/>
      <c r="H293" s="154"/>
      <c r="I293" s="154"/>
      <c r="J293" s="154"/>
      <c r="K293" s="154"/>
      <c r="L293" s="154"/>
      <c r="M293" s="154"/>
      <c r="N293" s="276">
        <v>2018</v>
      </c>
      <c r="O293" s="276">
        <v>2019</v>
      </c>
      <c r="P293" s="276">
        <f>O293+1</f>
        <v>2020</v>
      </c>
      <c r="Q293" s="276">
        <f t="shared" ref="Q293:S293" si="85">P293+1</f>
        <v>2021</v>
      </c>
      <c r="R293" s="276">
        <f t="shared" si="85"/>
        <v>2022</v>
      </c>
      <c r="S293" s="276">
        <f t="shared" si="85"/>
        <v>2023</v>
      </c>
    </row>
    <row r="294" spans="2:19" outlineLevel="1">
      <c r="B294" s="139" t="s">
        <v>920</v>
      </c>
      <c r="O294" s="139">
        <f>O331</f>
        <v>11459.45021022276</v>
      </c>
      <c r="P294" s="139">
        <f t="shared" ref="P294:R294" si="86">P331</f>
        <v>24975.819194450982</v>
      </c>
      <c r="Q294" s="139">
        <f t="shared" si="86"/>
        <v>83100.136086286817</v>
      </c>
      <c r="R294" s="139">
        <f t="shared" si="86"/>
        <v>155193.87163351558</v>
      </c>
      <c r="S294" s="139">
        <f>S331</f>
        <v>162137.02852704754</v>
      </c>
    </row>
    <row r="295" spans="2:19" outlineLevel="1">
      <c r="B295" s="139" t="s">
        <v>922</v>
      </c>
      <c r="O295" s="164">
        <f>$O$12</f>
        <v>11.386864999999998</v>
      </c>
      <c r="P295" s="164">
        <f t="shared" ref="P295:S295" si="87">$O$12</f>
        <v>11.386864999999998</v>
      </c>
      <c r="Q295" s="164">
        <f t="shared" si="87"/>
        <v>11.386864999999998</v>
      </c>
      <c r="R295" s="164">
        <f t="shared" si="87"/>
        <v>11.386864999999998</v>
      </c>
      <c r="S295" s="164">
        <f t="shared" si="87"/>
        <v>11.386864999999998</v>
      </c>
    </row>
    <row r="296" spans="2:19" outlineLevel="1">
      <c r="B296" s="168" t="s">
        <v>895</v>
      </c>
      <c r="C296" s="168"/>
      <c r="D296" s="168"/>
      <c r="E296" s="168"/>
      <c r="F296" s="168"/>
      <c r="G296" s="168"/>
      <c r="H296" s="168"/>
      <c r="I296" s="168"/>
      <c r="J296" s="168"/>
      <c r="K296" s="168"/>
      <c r="L296" s="168"/>
      <c r="M296" s="168"/>
      <c r="N296" s="168"/>
      <c r="O296" s="168">
        <f>O294*O295</f>
        <v>130487.21251802817</v>
      </c>
      <c r="P296" s="168">
        <f t="shared" ref="P296:R296" si="88">P294*P295</f>
        <v>284396.28143162205</v>
      </c>
      <c r="Q296" s="168">
        <f t="shared" si="88"/>
        <v>946250.03109617624</v>
      </c>
      <c r="R296" s="168">
        <f t="shared" si="88"/>
        <v>1767171.6651181711</v>
      </c>
      <c r="S296" s="168">
        <f>S294*S295</f>
        <v>1846232.455338639</v>
      </c>
    </row>
    <row r="297" spans="2:19" outlineLevel="1">
      <c r="B297" s="139" t="s">
        <v>897</v>
      </c>
      <c r="N297" s="139">
        <f t="shared" ref="N297:S297" si="89">SUM(N356:N359)-N337</f>
        <v>-8000</v>
      </c>
      <c r="O297" s="139">
        <f t="shared" si="89"/>
        <v>-9521.1502102227605</v>
      </c>
      <c r="P297" s="139">
        <f t="shared" si="89"/>
        <v>-27517.869404673744</v>
      </c>
      <c r="Q297" s="139">
        <f t="shared" si="89"/>
        <v>-103818.90549096058</v>
      </c>
      <c r="R297" s="139">
        <f t="shared" si="89"/>
        <v>-276073.77712447615</v>
      </c>
      <c r="S297" s="139">
        <f t="shared" si="89"/>
        <v>-435050.8056515237</v>
      </c>
    </row>
    <row r="298" spans="2:19" outlineLevel="1">
      <c r="B298" s="168" t="s">
        <v>898</v>
      </c>
      <c r="C298" s="168"/>
      <c r="D298" s="168"/>
      <c r="E298" s="168"/>
      <c r="F298" s="168"/>
      <c r="G298" s="168"/>
      <c r="H298" s="168"/>
      <c r="I298" s="168"/>
      <c r="J298" s="168"/>
      <c r="K298" s="168"/>
      <c r="L298" s="168"/>
      <c r="M298" s="168"/>
      <c r="N298" s="168"/>
      <c r="O298" s="168">
        <f>O296+O297</f>
        <v>120966.0623078054</v>
      </c>
      <c r="P298" s="168">
        <f t="shared" ref="P298:R298" si="90">P296+P297</f>
        <v>256878.4120269483</v>
      </c>
      <c r="Q298" s="168">
        <f t="shared" si="90"/>
        <v>842431.12560521567</v>
      </c>
      <c r="R298" s="168">
        <f t="shared" si="90"/>
        <v>1491097.887993695</v>
      </c>
      <c r="S298" s="168">
        <f>S296+S297</f>
        <v>1411181.6496871153</v>
      </c>
    </row>
    <row r="299" spans="2:19" outlineLevel="1">
      <c r="B299" s="139" t="s">
        <v>927</v>
      </c>
      <c r="O299" s="164">
        <f>O298/O321</f>
        <v>7.7426219692204628</v>
      </c>
      <c r="P299" s="164">
        <f>P298/P321</f>
        <v>7.4414089866433537</v>
      </c>
      <c r="Q299" s="164">
        <f>Q298/Q321</f>
        <v>7.573007674815301</v>
      </c>
      <c r="R299" s="164">
        <f>R298/R321</f>
        <v>7.1408713333062686</v>
      </c>
      <c r="S299" s="164">
        <f>S298/S321</f>
        <v>6.3885710715137547</v>
      </c>
    </row>
    <row r="300" spans="2:19" outlineLevel="1"/>
    <row r="301" spans="2:19" outlineLevel="1"/>
    <row r="304" spans="2:19" s="156" customFormat="1">
      <c r="B304" s="156" t="s">
        <v>868</v>
      </c>
    </row>
    <row r="305" spans="2:19" ht="6" customHeight="1"/>
    <row r="307" spans="2:19" ht="13.8" outlineLevel="1" thickBot="1">
      <c r="B307" s="157" t="s">
        <v>384</v>
      </c>
      <c r="C307" s="154"/>
      <c r="D307" s="154"/>
      <c r="E307" s="154"/>
      <c r="F307" s="154"/>
      <c r="G307" s="154"/>
      <c r="H307" s="154"/>
      <c r="I307" s="154"/>
      <c r="J307" s="154"/>
      <c r="K307" s="154"/>
      <c r="L307" s="154"/>
      <c r="M307" s="154"/>
      <c r="N307" s="276">
        <v>2018</v>
      </c>
      <c r="O307" s="276">
        <v>2019</v>
      </c>
      <c r="P307" s="276">
        <f>O307+1</f>
        <v>2020</v>
      </c>
      <c r="Q307" s="276">
        <f t="shared" ref="Q307:S307" si="91">P307+1</f>
        <v>2021</v>
      </c>
      <c r="R307" s="276">
        <f t="shared" si="91"/>
        <v>2022</v>
      </c>
      <c r="S307" s="276">
        <f t="shared" si="91"/>
        <v>2023</v>
      </c>
    </row>
    <row r="308" spans="2:19" outlineLevel="1">
      <c r="B308" s="155" t="s">
        <v>440</v>
      </c>
      <c r="C308" s="155"/>
      <c r="D308" s="155"/>
      <c r="E308" s="155"/>
      <c r="F308" s="155"/>
      <c r="G308" s="155"/>
      <c r="H308" s="155"/>
      <c r="I308" s="155"/>
      <c r="J308" s="155"/>
      <c r="K308" s="155"/>
      <c r="L308" s="155"/>
      <c r="M308" s="155"/>
      <c r="N308" s="155"/>
      <c r="O308" s="155">
        <f>FS!J6</f>
        <v>76660.000672442373</v>
      </c>
      <c r="P308" s="155">
        <f>FS!K6</f>
        <v>204774.97274344892</v>
      </c>
      <c r="Q308" s="155">
        <f>FS!L6</f>
        <v>351501.44967243657</v>
      </c>
      <c r="R308" s="155">
        <f>FS!M6</f>
        <v>531288.29546267656</v>
      </c>
      <c r="S308" s="155">
        <f>FS!N6</f>
        <v>565495.98081451666</v>
      </c>
    </row>
    <row r="309" spans="2:19" outlineLevel="1">
      <c r="B309" s="155" t="s">
        <v>439</v>
      </c>
      <c r="C309" s="155"/>
      <c r="D309" s="155"/>
      <c r="E309" s="155"/>
      <c r="F309" s="155"/>
      <c r="G309" s="155"/>
      <c r="H309" s="155"/>
      <c r="I309" s="155"/>
      <c r="J309" s="155"/>
      <c r="K309" s="155"/>
      <c r="L309" s="155"/>
      <c r="M309" s="155"/>
      <c r="N309" s="155"/>
      <c r="O309" s="155">
        <f>FS!J7</f>
        <v>44493.297479428576</v>
      </c>
      <c r="P309" s="155">
        <f>FS!K7</f>
        <v>124621.20071885714</v>
      </c>
      <c r="Q309" s="155">
        <f>FS!L7</f>
        <v>175242.88591085715</v>
      </c>
      <c r="R309" s="155">
        <f>FS!M7</f>
        <v>236908.98301942853</v>
      </c>
      <c r="S309" s="155">
        <f>FS!N7</f>
        <v>253449.64103085711</v>
      </c>
    </row>
    <row r="310" spans="2:19" outlineLevel="1">
      <c r="B310" s="168" t="s">
        <v>1275</v>
      </c>
      <c r="C310" s="168"/>
      <c r="D310" s="168"/>
      <c r="E310" s="168"/>
      <c r="F310" s="168"/>
      <c r="G310" s="168"/>
      <c r="H310" s="168"/>
      <c r="I310" s="168"/>
      <c r="J310" s="168"/>
      <c r="K310" s="168"/>
      <c r="L310" s="168"/>
      <c r="M310" s="168"/>
      <c r="N310" s="168"/>
      <c r="O310" s="168">
        <f>O308-O309</f>
        <v>32166.703193013796</v>
      </c>
      <c r="P310" s="168">
        <f t="shared" ref="P310:S310" si="92">P308-P309</f>
        <v>80153.772024591774</v>
      </c>
      <c r="Q310" s="168">
        <f t="shared" si="92"/>
        <v>176258.56376157943</v>
      </c>
      <c r="R310" s="168">
        <f t="shared" si="92"/>
        <v>294379.312443248</v>
      </c>
      <c r="S310" s="168">
        <f t="shared" si="92"/>
        <v>312046.33978365955</v>
      </c>
    </row>
    <row r="311" spans="2:19" outlineLevel="1">
      <c r="B311" s="155" t="s">
        <v>648</v>
      </c>
      <c r="C311" s="155"/>
      <c r="D311" s="155"/>
      <c r="E311" s="155"/>
      <c r="F311" s="155"/>
      <c r="G311" s="155"/>
      <c r="H311" s="155"/>
      <c r="I311" s="155"/>
      <c r="J311" s="155"/>
      <c r="K311" s="155"/>
      <c r="L311" s="155"/>
      <c r="M311" s="155"/>
      <c r="N311" s="155"/>
      <c r="O311" s="155">
        <f>O312+O313+O314</f>
        <v>17503.305487600002</v>
      </c>
      <c r="P311" s="155">
        <f t="shared" ref="P311:R311" si="93">P312+P313+P314</f>
        <v>47813.641161199979</v>
      </c>
      <c r="Q311" s="155">
        <f t="shared" si="93"/>
        <v>68677.276048799991</v>
      </c>
      <c r="R311" s="155">
        <f t="shared" si="93"/>
        <v>90967.555670800008</v>
      </c>
      <c r="S311" s="155">
        <f>S312+S313+S314</f>
        <v>98754.745420799984</v>
      </c>
    </row>
    <row r="312" spans="2:19" outlineLevel="1">
      <c r="C312" s="139" t="s">
        <v>630</v>
      </c>
      <c r="O312" s="139">
        <f>FS!J10</f>
        <v>4268.6336000000001</v>
      </c>
      <c r="P312" s="139">
        <f>FS!K10</f>
        <v>13077.942399999994</v>
      </c>
      <c r="Q312" s="139">
        <f>FS!L10</f>
        <v>20132.975999999999</v>
      </c>
      <c r="R312" s="139">
        <f>FS!M10</f>
        <v>27788.48959999999</v>
      </c>
      <c r="S312" s="139">
        <f>FS!N10</f>
        <v>30069.567999999988</v>
      </c>
    </row>
    <row r="313" spans="2:19" outlineLevel="1">
      <c r="C313" s="139" t="s">
        <v>631</v>
      </c>
      <c r="O313" s="139">
        <f>FS!J11</f>
        <v>12274.671887600001</v>
      </c>
      <c r="P313" s="139">
        <f>FS!K11</f>
        <v>32555.698761199987</v>
      </c>
      <c r="Q313" s="139">
        <f>FS!L11</f>
        <v>44884.300048799996</v>
      </c>
      <c r="R313" s="139">
        <f>FS!M11</f>
        <v>57779.066070800014</v>
      </c>
      <c r="S313" s="139">
        <f>FS!N11</f>
        <v>61085.177420799999</v>
      </c>
    </row>
    <row r="314" spans="2:19" outlineLevel="1">
      <c r="C314" s="139" t="s">
        <v>481</v>
      </c>
      <c r="O314" s="139">
        <f>O315+O316</f>
        <v>960</v>
      </c>
      <c r="P314" s="139">
        <f t="shared" ref="P314:R314" si="94">P315+P316</f>
        <v>2180</v>
      </c>
      <c r="Q314" s="139">
        <f t="shared" si="94"/>
        <v>3660</v>
      </c>
      <c r="R314" s="139">
        <f t="shared" si="94"/>
        <v>5400</v>
      </c>
      <c r="S314" s="139">
        <f>S315+S316</f>
        <v>7600</v>
      </c>
    </row>
    <row r="315" spans="2:19" outlineLevel="1">
      <c r="D315" s="139" t="s">
        <v>633</v>
      </c>
      <c r="O315" s="139">
        <f>FS!J13</f>
        <v>340</v>
      </c>
      <c r="P315" s="139">
        <f>FS!K13</f>
        <v>460</v>
      </c>
      <c r="Q315" s="139">
        <f>FS!L13</f>
        <v>540</v>
      </c>
      <c r="R315" s="139">
        <f>FS!M13</f>
        <v>580</v>
      </c>
      <c r="S315" s="139">
        <f>FS!N13</f>
        <v>780</v>
      </c>
    </row>
    <row r="316" spans="2:19" outlineLevel="1">
      <c r="D316" s="139" t="s">
        <v>634</v>
      </c>
      <c r="O316" s="139">
        <f>FS!J14</f>
        <v>620</v>
      </c>
      <c r="P316" s="139">
        <f>FS!K14</f>
        <v>1720</v>
      </c>
      <c r="Q316" s="139">
        <f>FS!L14</f>
        <v>3120</v>
      </c>
      <c r="R316" s="139">
        <f>FS!M14</f>
        <v>4820</v>
      </c>
      <c r="S316" s="139">
        <f>FS!N14</f>
        <v>6820</v>
      </c>
    </row>
    <row r="317" spans="2:19" outlineLevel="1">
      <c r="B317" s="168" t="s">
        <v>628</v>
      </c>
      <c r="C317" s="168"/>
      <c r="D317" s="168"/>
      <c r="E317" s="168"/>
      <c r="F317" s="168"/>
      <c r="G317" s="168"/>
      <c r="H317" s="168"/>
      <c r="I317" s="168"/>
      <c r="J317" s="168"/>
      <c r="K317" s="168"/>
      <c r="L317" s="168"/>
      <c r="M317" s="168"/>
      <c r="N317" s="168"/>
      <c r="O317" s="168">
        <f>O310-O311</f>
        <v>14663.397705413794</v>
      </c>
      <c r="P317" s="168">
        <f t="shared" ref="P317:R317" si="95">P310-P311</f>
        <v>32340.130863391794</v>
      </c>
      <c r="Q317" s="168">
        <f t="shared" si="95"/>
        <v>107581.28771277943</v>
      </c>
      <c r="R317" s="168">
        <f t="shared" si="95"/>
        <v>203411.75677244799</v>
      </c>
      <c r="S317" s="168">
        <f>S310-S311</f>
        <v>213291.59436285956</v>
      </c>
    </row>
    <row r="318" spans="2:19" s="183" customFormat="1" outlineLevel="1">
      <c r="B318" s="277"/>
      <c r="C318" s="277" t="s">
        <v>877</v>
      </c>
      <c r="D318" s="277"/>
      <c r="E318" s="277"/>
      <c r="F318" s="277"/>
      <c r="G318" s="277"/>
      <c r="H318" s="277"/>
      <c r="I318" s="277"/>
      <c r="J318" s="277"/>
      <c r="K318" s="277"/>
      <c r="L318" s="277"/>
      <c r="M318" s="277"/>
      <c r="N318" s="277"/>
      <c r="O318" s="256">
        <f>O317/O$308</f>
        <v>0.19127834042251673</v>
      </c>
      <c r="P318" s="256">
        <f t="shared" ref="P318:R318" si="96">P317/P$308</f>
        <v>0.15793009482613352</v>
      </c>
      <c r="Q318" s="256">
        <f t="shared" si="96"/>
        <v>0.30606214515767771</v>
      </c>
      <c r="R318" s="256">
        <f t="shared" si="96"/>
        <v>0.38286511957750785</v>
      </c>
      <c r="S318" s="256">
        <f>S317/S$308</f>
        <v>0.37717614554155326</v>
      </c>
    </row>
    <row r="319" spans="2:19" outlineLevel="1">
      <c r="B319" s="278" t="s">
        <v>875</v>
      </c>
      <c r="C319" s="278"/>
      <c r="D319" s="278"/>
      <c r="E319" s="278"/>
      <c r="F319" s="278"/>
      <c r="G319" s="278"/>
      <c r="H319" s="278"/>
      <c r="I319" s="278"/>
      <c r="J319" s="278"/>
      <c r="K319" s="278"/>
      <c r="L319" s="278"/>
      <c r="M319" s="278"/>
      <c r="N319" s="278"/>
      <c r="O319" s="278">
        <f>O314</f>
        <v>960</v>
      </c>
      <c r="P319" s="278">
        <f t="shared" ref="P319:R319" si="97">P314</f>
        <v>2180</v>
      </c>
      <c r="Q319" s="278">
        <f t="shared" si="97"/>
        <v>3660</v>
      </c>
      <c r="R319" s="278">
        <f t="shared" si="97"/>
        <v>5400</v>
      </c>
      <c r="S319" s="278">
        <f>S314</f>
        <v>7600</v>
      </c>
    </row>
    <row r="320" spans="2:19" s="183" customFormat="1" outlineLevel="1">
      <c r="B320" s="277"/>
      <c r="C320" s="277" t="s">
        <v>877</v>
      </c>
      <c r="D320" s="277"/>
      <c r="E320" s="277"/>
      <c r="F320" s="277"/>
      <c r="G320" s="277"/>
      <c r="H320" s="277"/>
      <c r="I320" s="277"/>
      <c r="J320" s="277"/>
      <c r="K320" s="277"/>
      <c r="L320" s="277"/>
      <c r="M320" s="277"/>
      <c r="N320" s="277"/>
      <c r="O320" s="256">
        <f>O319/O$308</f>
        <v>1.2522827962159143E-2</v>
      </c>
      <c r="P320" s="256">
        <f t="shared" ref="P320" si="98">P319/P$308</f>
        <v>1.0645832206903525E-2</v>
      </c>
      <c r="Q320" s="256">
        <f t="shared" ref="Q320" si="99">Q319/Q$308</f>
        <v>1.0412474837332096E-2</v>
      </c>
      <c r="R320" s="256">
        <f t="shared" ref="R320" si="100">R319/R$308</f>
        <v>1.0163973206481743E-2</v>
      </c>
      <c r="S320" s="256">
        <f>S319/S$308</f>
        <v>1.3439529648032651E-2</v>
      </c>
    </row>
    <row r="321" spans="2:23" outlineLevel="1">
      <c r="B321" s="168" t="s">
        <v>879</v>
      </c>
      <c r="C321" s="168"/>
      <c r="D321" s="168"/>
      <c r="E321" s="168"/>
      <c r="F321" s="168"/>
      <c r="G321" s="168"/>
      <c r="H321" s="168"/>
      <c r="I321" s="168"/>
      <c r="J321" s="168"/>
      <c r="K321" s="168"/>
      <c r="L321" s="168"/>
      <c r="M321" s="168"/>
      <c r="N321" s="168"/>
      <c r="O321" s="168">
        <f>O317+O319</f>
        <v>15623.397705413794</v>
      </c>
      <c r="P321" s="168">
        <f t="shared" ref="P321:R321" si="101">P317+P319</f>
        <v>34520.130863391794</v>
      </c>
      <c r="Q321" s="168">
        <f t="shared" si="101"/>
        <v>111241.28771277943</v>
      </c>
      <c r="R321" s="168">
        <f t="shared" si="101"/>
        <v>208811.75677244799</v>
      </c>
      <c r="S321" s="168">
        <f>S317+S319</f>
        <v>220891.59436285956</v>
      </c>
    </row>
    <row r="322" spans="2:23" s="183" customFormat="1" outlineLevel="1">
      <c r="B322" s="277"/>
      <c r="C322" s="277" t="s">
        <v>876</v>
      </c>
      <c r="D322" s="277"/>
      <c r="E322" s="277"/>
      <c r="F322" s="277"/>
      <c r="G322" s="277"/>
      <c r="H322" s="277"/>
      <c r="I322" s="277"/>
      <c r="J322" s="277"/>
      <c r="K322" s="277"/>
      <c r="L322" s="277"/>
      <c r="M322" s="277"/>
      <c r="N322" s="277"/>
      <c r="O322" s="256">
        <f>O321/O$308</f>
        <v>0.20380116838467588</v>
      </c>
      <c r="P322" s="256">
        <f t="shared" ref="P322" si="102">P321/P$308</f>
        <v>0.16857592703303703</v>
      </c>
      <c r="Q322" s="256">
        <f t="shared" ref="Q322" si="103">Q321/Q$308</f>
        <v>0.31647461999500981</v>
      </c>
      <c r="R322" s="256">
        <f t="shared" ref="R322" si="104">R321/R$308</f>
        <v>0.39302909278398962</v>
      </c>
      <c r="S322" s="256">
        <f>S321/S$308</f>
        <v>0.39061567518958595</v>
      </c>
    </row>
    <row r="323" spans="2:23" s="155" customFormat="1" outlineLevel="1">
      <c r="B323" s="168" t="s">
        <v>658</v>
      </c>
      <c r="C323" s="168"/>
      <c r="D323" s="168"/>
      <c r="E323" s="168"/>
      <c r="F323" s="168"/>
      <c r="G323" s="168"/>
      <c r="H323" s="168"/>
      <c r="I323" s="168"/>
      <c r="J323" s="168"/>
      <c r="K323" s="168"/>
      <c r="L323" s="168"/>
      <c r="M323" s="168"/>
      <c r="N323" s="168"/>
      <c r="O323" s="168">
        <f>O324+O325+O326+O327</f>
        <v>0</v>
      </c>
      <c r="P323" s="168">
        <f t="shared" ref="P323:S323" si="105">P324+P325+P326+P327</f>
        <v>0</v>
      </c>
      <c r="Q323" s="168">
        <f t="shared" si="105"/>
        <v>-1440</v>
      </c>
      <c r="R323" s="168">
        <f t="shared" si="105"/>
        <v>-720</v>
      </c>
      <c r="S323" s="168">
        <f t="shared" si="105"/>
        <v>0</v>
      </c>
    </row>
    <row r="324" spans="2:23" outlineLevel="1">
      <c r="C324" s="139" t="s">
        <v>655</v>
      </c>
    </row>
    <row r="325" spans="2:23" outlineLevel="1">
      <c r="C325" s="139" t="s">
        <v>656</v>
      </c>
      <c r="O325" s="139">
        <f>-(Debt_Schedule!K49+Debt_Schedule!K50)</f>
        <v>0</v>
      </c>
      <c r="P325" s="139">
        <f>-(Debt_Schedule!L49+Debt_Schedule!L50)</f>
        <v>0</v>
      </c>
      <c r="Q325" s="139">
        <f>-(Debt_Schedule!M49+Debt_Schedule!M50)</f>
        <v>-1440</v>
      </c>
      <c r="R325" s="139">
        <f>-(Debt_Schedule!N49+Debt_Schedule!N50)</f>
        <v>-720</v>
      </c>
      <c r="S325" s="139">
        <f>-(Debt_Schedule!O49+Debt_Schedule!O50)</f>
        <v>0</v>
      </c>
    </row>
    <row r="326" spans="2:23" outlineLevel="1">
      <c r="C326" s="139" t="s">
        <v>657</v>
      </c>
      <c r="O326" s="279">
        <v>0</v>
      </c>
      <c r="P326" s="279">
        <v>0</v>
      </c>
      <c r="Q326" s="279">
        <v>0</v>
      </c>
      <c r="R326" s="279">
        <v>0</v>
      </c>
      <c r="S326" s="279">
        <v>0</v>
      </c>
    </row>
    <row r="327" spans="2:23" outlineLevel="1">
      <c r="C327" s="139" t="s">
        <v>648</v>
      </c>
      <c r="O327" s="279">
        <v>0</v>
      </c>
      <c r="P327" s="279">
        <v>0</v>
      </c>
      <c r="Q327" s="279">
        <v>0</v>
      </c>
      <c r="R327" s="279">
        <v>0</v>
      </c>
      <c r="S327" s="279">
        <v>0</v>
      </c>
      <c r="U327" s="139" t="s">
        <v>707</v>
      </c>
      <c r="V327" s="139" t="s">
        <v>708</v>
      </c>
      <c r="W327" s="139" t="s">
        <v>709</v>
      </c>
    </row>
    <row r="328" spans="2:23" outlineLevel="1">
      <c r="B328" s="168" t="s">
        <v>659</v>
      </c>
      <c r="C328" s="168"/>
      <c r="D328" s="168"/>
      <c r="E328" s="168"/>
      <c r="F328" s="168"/>
      <c r="G328" s="168"/>
      <c r="H328" s="168"/>
      <c r="I328" s="168"/>
      <c r="J328" s="168"/>
      <c r="K328" s="168"/>
      <c r="L328" s="168"/>
      <c r="M328" s="168"/>
      <c r="N328" s="168"/>
      <c r="O328" s="168">
        <f>O317-O323</f>
        <v>14663.397705413794</v>
      </c>
      <c r="P328" s="168">
        <f t="shared" ref="P328:R328" si="106">P317-P323</f>
        <v>32340.130863391794</v>
      </c>
      <c r="Q328" s="168">
        <f t="shared" si="106"/>
        <v>109021.28771277943</v>
      </c>
      <c r="R328" s="168">
        <f t="shared" si="106"/>
        <v>204131.75677244799</v>
      </c>
      <c r="S328" s="168">
        <f>S317-S323</f>
        <v>213291.59436285956</v>
      </c>
      <c r="U328" s="280">
        <v>0</v>
      </c>
      <c r="V328" s="281">
        <v>0.11</v>
      </c>
      <c r="W328" s="282">
        <v>0</v>
      </c>
    </row>
    <row r="329" spans="2:23" outlineLevel="1">
      <c r="B329" s="139" t="s">
        <v>660</v>
      </c>
      <c r="O329" s="139">
        <f>O328*O330-VLOOKUP(O330,$V$328:$W$331,2,0)</f>
        <v>3203.9474951910347</v>
      </c>
      <c r="P329" s="139">
        <f t="shared" ref="P329:R329" si="107">P328*P330-VLOOKUP(P330,$V$328:$W$331,2,0)</f>
        <v>7364.3116689408143</v>
      </c>
      <c r="Q329" s="139">
        <f t="shared" si="107"/>
        <v>25921.151626492621</v>
      </c>
      <c r="R329" s="139">
        <f t="shared" si="107"/>
        <v>48937.885138932412</v>
      </c>
      <c r="S329" s="139">
        <f>S328*S330-VLOOKUP(S330,$V$328:$W$331,2,0)</f>
        <v>51154.565835812013</v>
      </c>
      <c r="U329" s="283">
        <v>200</v>
      </c>
      <c r="V329" s="284">
        <v>0.22</v>
      </c>
      <c r="W329" s="285">
        <f>U329*(V329-V328)</f>
        <v>22</v>
      </c>
    </row>
    <row r="330" spans="2:23" outlineLevel="1">
      <c r="C330" s="183" t="s">
        <v>710</v>
      </c>
      <c r="O330" s="223">
        <f>IF(O328&lt;=$U$329,$V$328,IF(O328&lt;=$U$330,$V$329,IF(O328&lt;=$U$331,$V$330,$V$331)))</f>
        <v>0.22</v>
      </c>
      <c r="P330" s="223">
        <f t="shared" ref="P330:R330" si="108">IF(P328&lt;=$U$329,$V$328,IF(P328&lt;=$U$330,$V$329,IF(P328&lt;=$U$331,$V$330,$V$331)))</f>
        <v>0.24199999999999999</v>
      </c>
      <c r="Q330" s="223">
        <f t="shared" si="108"/>
        <v>0.24199999999999999</v>
      </c>
      <c r="R330" s="223">
        <f t="shared" si="108"/>
        <v>0.24199999999999999</v>
      </c>
      <c r="S330" s="223">
        <f>IF(S328&lt;=$U$329,$V$328,IF(S328&lt;=$U$330,$V$329,IF(S328&lt;=$U$331,$V$330,$V$331)))</f>
        <v>0.24199999999999999</v>
      </c>
      <c r="U330" s="283">
        <v>20000</v>
      </c>
      <c r="V330" s="284">
        <v>0.24199999999999999</v>
      </c>
      <c r="W330" s="285">
        <f>U329*(V330-V328)+(U330-U329)*(V330-V329)</f>
        <v>461.99999999999983</v>
      </c>
    </row>
    <row r="331" spans="2:23" ht="13.8" outlineLevel="1" thickBot="1">
      <c r="B331" s="232" t="s">
        <v>661</v>
      </c>
      <c r="C331" s="232"/>
      <c r="D331" s="232"/>
      <c r="E331" s="232"/>
      <c r="F331" s="232"/>
      <c r="G331" s="232"/>
      <c r="H331" s="232"/>
      <c r="I331" s="232"/>
      <c r="J331" s="232"/>
      <c r="K331" s="232"/>
      <c r="L331" s="232"/>
      <c r="M331" s="232"/>
      <c r="N331" s="232"/>
      <c r="O331" s="232">
        <f>O328-O329</f>
        <v>11459.45021022276</v>
      </c>
      <c r="P331" s="232">
        <f t="shared" ref="P331:R331" si="109">P328-P329</f>
        <v>24975.819194450982</v>
      </c>
      <c r="Q331" s="232">
        <f t="shared" si="109"/>
        <v>83100.136086286817</v>
      </c>
      <c r="R331" s="232">
        <f t="shared" si="109"/>
        <v>155193.87163351558</v>
      </c>
      <c r="S331" s="232">
        <f>S328-S329</f>
        <v>162137.02852704754</v>
      </c>
      <c r="U331" s="283">
        <v>300000</v>
      </c>
      <c r="V331" s="284">
        <v>0.27500000000000002</v>
      </c>
      <c r="W331" s="285">
        <f>(U330-U329)*(V331-V329)+(U331-U330)*(V331-V330)+U329*(V331-V328)</f>
        <v>10362.000000000009</v>
      </c>
    </row>
    <row r="332" spans="2:23">
      <c r="B332" s="237" t="s">
        <v>119</v>
      </c>
      <c r="N332" s="182">
        <f>N331-FS!I24</f>
        <v>0</v>
      </c>
      <c r="O332" s="182">
        <f>O331-FS!J24</f>
        <v>0</v>
      </c>
      <c r="P332" s="182">
        <f>P331-FS!K24</f>
        <v>0</v>
      </c>
      <c r="Q332" s="182">
        <f>Q331-FS!L24</f>
        <v>0</v>
      </c>
      <c r="R332" s="182">
        <f>R331-FS!M24</f>
        <v>0</v>
      </c>
      <c r="S332" s="182">
        <f>S331-FS!N24</f>
        <v>0</v>
      </c>
    </row>
    <row r="334" spans="2:23" s="156" customFormat="1">
      <c r="B334" s="156" t="s">
        <v>869</v>
      </c>
    </row>
    <row r="335" spans="2:23" ht="6" customHeight="1"/>
    <row r="336" spans="2:23" ht="13.8" thickBot="1">
      <c r="B336" s="154"/>
      <c r="C336" s="154"/>
      <c r="D336" s="154"/>
      <c r="E336" s="154"/>
      <c r="F336" s="154"/>
      <c r="G336" s="154"/>
      <c r="H336" s="154"/>
      <c r="I336" s="154"/>
      <c r="J336" s="154"/>
      <c r="K336" s="154"/>
      <c r="L336" s="154"/>
      <c r="M336" s="154"/>
      <c r="N336" s="276">
        <v>2018</v>
      </c>
      <c r="O336" s="276">
        <v>2019</v>
      </c>
      <c r="P336" s="276">
        <f>O336+1</f>
        <v>2020</v>
      </c>
      <c r="Q336" s="276">
        <f t="shared" ref="Q336:S336" si="110">P336+1</f>
        <v>2021</v>
      </c>
      <c r="R336" s="276">
        <f t="shared" si="110"/>
        <v>2022</v>
      </c>
      <c r="S336" s="276">
        <f t="shared" si="110"/>
        <v>2023</v>
      </c>
    </row>
    <row r="337" spans="2:19">
      <c r="B337" s="139" t="s">
        <v>677</v>
      </c>
      <c r="N337" s="213">
        <f>N424-N431</f>
        <v>18000</v>
      </c>
      <c r="O337" s="139">
        <f t="shared" ref="O337" si="111">O437</f>
        <v>19521.150210222761</v>
      </c>
      <c r="P337" s="139">
        <f t="shared" ref="P337:R337" si="112">P437</f>
        <v>51517.869404673744</v>
      </c>
      <c r="Q337" s="139">
        <f t="shared" si="112"/>
        <v>127818.90549096058</v>
      </c>
      <c r="R337" s="139">
        <f t="shared" si="112"/>
        <v>276073.77712447615</v>
      </c>
      <c r="S337" s="139">
        <f>S437</f>
        <v>435050.8056515237</v>
      </c>
    </row>
    <row r="338" spans="2:19">
      <c r="B338" s="139" t="s">
        <v>678</v>
      </c>
    </row>
    <row r="339" spans="2:19">
      <c r="B339" s="139" t="s">
        <v>679</v>
      </c>
    </row>
    <row r="340" spans="2:19">
      <c r="B340" s="168" t="s">
        <v>870</v>
      </c>
      <c r="C340" s="168"/>
      <c r="D340" s="168"/>
      <c r="E340" s="168"/>
      <c r="F340" s="168"/>
      <c r="G340" s="168"/>
      <c r="H340" s="168"/>
      <c r="I340" s="168"/>
      <c r="J340" s="168"/>
      <c r="K340" s="168"/>
      <c r="L340" s="168"/>
      <c r="M340" s="168"/>
      <c r="N340" s="168">
        <f>N337+N338+N339</f>
        <v>18000</v>
      </c>
      <c r="O340" s="168">
        <f t="shared" ref="O340" si="113">O337+O338+O339</f>
        <v>19521.150210222761</v>
      </c>
      <c r="P340" s="168">
        <f t="shared" ref="P340:R340" si="114">P337+P338+P339</f>
        <v>51517.869404673744</v>
      </c>
      <c r="Q340" s="168">
        <f t="shared" si="114"/>
        <v>127818.90549096058</v>
      </c>
      <c r="R340" s="168">
        <f t="shared" si="114"/>
        <v>276073.77712447615</v>
      </c>
      <c r="S340" s="168">
        <f>S337+S338+S339</f>
        <v>435050.8056515237</v>
      </c>
    </row>
    <row r="342" spans="2:19">
      <c r="B342" s="139" t="s">
        <v>681</v>
      </c>
      <c r="O342" s="139">
        <f>FS!J35</f>
        <v>6098.2999999999993</v>
      </c>
      <c r="P342" s="139">
        <f>FS!K35</f>
        <v>9157.4</v>
      </c>
      <c r="Q342" s="139">
        <f>FS!L35</f>
        <v>12216.5</v>
      </c>
      <c r="R342" s="139">
        <f>FS!M35</f>
        <v>15615.5</v>
      </c>
      <c r="S342" s="139">
        <f>FS!N35</f>
        <v>15615.5</v>
      </c>
    </row>
    <row r="343" spans="2:19">
      <c r="B343" s="139" t="s">
        <v>662</v>
      </c>
      <c r="O343" s="139">
        <f>FS!J38</f>
        <v>1360</v>
      </c>
      <c r="P343" s="139">
        <f>FS!K38</f>
        <v>1500</v>
      </c>
      <c r="Q343" s="139">
        <f>FS!L38</f>
        <v>1360</v>
      </c>
      <c r="R343" s="139">
        <f>FS!M38</f>
        <v>1220</v>
      </c>
      <c r="S343" s="139">
        <f>FS!N38</f>
        <v>1200</v>
      </c>
    </row>
    <row r="344" spans="2:19">
      <c r="B344" s="139" t="s">
        <v>663</v>
      </c>
      <c r="O344" s="139">
        <f>FS!J41</f>
        <v>2480</v>
      </c>
      <c r="P344" s="139">
        <f>FS!K41</f>
        <v>6260</v>
      </c>
      <c r="Q344" s="139">
        <f>FS!L41</f>
        <v>10140</v>
      </c>
      <c r="R344" s="139">
        <f>FS!M41</f>
        <v>13820</v>
      </c>
      <c r="S344" s="139">
        <f>FS!N41</f>
        <v>17000</v>
      </c>
    </row>
    <row r="345" spans="2:19">
      <c r="B345" s="139" t="s">
        <v>1262</v>
      </c>
      <c r="N345" s="139">
        <f>$V$16</f>
        <v>5866</v>
      </c>
      <c r="O345" s="139">
        <f t="shared" ref="O345" si="115">N345</f>
        <v>5866</v>
      </c>
      <c r="P345" s="139">
        <f t="shared" ref="P345:S345" si="116">O345</f>
        <v>5866</v>
      </c>
      <c r="Q345" s="139">
        <f t="shared" si="116"/>
        <v>5866</v>
      </c>
      <c r="R345" s="139">
        <f t="shared" si="116"/>
        <v>5866</v>
      </c>
      <c r="S345" s="139">
        <f t="shared" si="116"/>
        <v>5866</v>
      </c>
    </row>
    <row r="346" spans="2:19">
      <c r="B346" s="168" t="s">
        <v>680</v>
      </c>
      <c r="C346" s="168"/>
      <c r="D346" s="168"/>
      <c r="E346" s="168"/>
      <c r="F346" s="168"/>
      <c r="G346" s="168"/>
      <c r="H346" s="168"/>
      <c r="I346" s="168"/>
      <c r="J346" s="168"/>
      <c r="K346" s="168"/>
      <c r="L346" s="168"/>
      <c r="M346" s="168"/>
      <c r="N346" s="168">
        <f>N342+N343+N344+N345</f>
        <v>5866</v>
      </c>
      <c r="O346" s="168">
        <f t="shared" ref="O346" si="117">O342+O343+O344+O345</f>
        <v>15804.3</v>
      </c>
      <c r="P346" s="168">
        <f t="shared" ref="P346:R346" si="118">P342+P343+P344+P345</f>
        <v>22783.4</v>
      </c>
      <c r="Q346" s="168">
        <f t="shared" si="118"/>
        <v>29582.5</v>
      </c>
      <c r="R346" s="168">
        <f t="shared" si="118"/>
        <v>36521.5</v>
      </c>
      <c r="S346" s="168">
        <f>S342+S343+S344+S345</f>
        <v>39681.5</v>
      </c>
    </row>
    <row r="348" spans="2:19" ht="13.8" thickBot="1">
      <c r="B348" s="232" t="s">
        <v>703</v>
      </c>
      <c r="C348" s="232"/>
      <c r="D348" s="232"/>
      <c r="E348" s="232"/>
      <c r="F348" s="232"/>
      <c r="G348" s="232"/>
      <c r="H348" s="232"/>
      <c r="I348" s="232"/>
      <c r="J348" s="232"/>
      <c r="K348" s="232"/>
      <c r="L348" s="232"/>
      <c r="M348" s="232"/>
      <c r="N348" s="232">
        <f>N340+N346</f>
        <v>23866</v>
      </c>
      <c r="O348" s="232">
        <f t="shared" ref="O348" si="119">O340+O346</f>
        <v>35325.450210222756</v>
      </c>
      <c r="P348" s="232">
        <f t="shared" ref="P348:R348" si="120">P340+P346</f>
        <v>74301.269404673745</v>
      </c>
      <c r="Q348" s="232">
        <f t="shared" si="120"/>
        <v>157401.40549096058</v>
      </c>
      <c r="R348" s="232">
        <f t="shared" si="120"/>
        <v>312595.27712447615</v>
      </c>
      <c r="S348" s="232">
        <f>S340+S346</f>
        <v>474732.3056515237</v>
      </c>
    </row>
    <row r="349" spans="2:19">
      <c r="B349" s="237" t="s">
        <v>119</v>
      </c>
      <c r="N349" s="182">
        <f>N348-FS!I44</f>
        <v>0</v>
      </c>
      <c r="O349" s="182">
        <f>O348-FS!J44</f>
        <v>0</v>
      </c>
      <c r="P349" s="182">
        <f>P348-FS!K44</f>
        <v>0</v>
      </c>
      <c r="Q349" s="182">
        <f>Q348-FS!L44</f>
        <v>0</v>
      </c>
      <c r="R349" s="182">
        <f>R348-FS!M44</f>
        <v>0</v>
      </c>
      <c r="S349" s="182">
        <f>S348-FS!N44</f>
        <v>0</v>
      </c>
    </row>
    <row r="351" spans="2:19">
      <c r="B351" s="139" t="s">
        <v>1276</v>
      </c>
    </row>
    <row r="352" spans="2:19">
      <c r="B352" s="139" t="s">
        <v>1277</v>
      </c>
    </row>
    <row r="353" spans="2:19">
      <c r="B353" s="168" t="s">
        <v>697</v>
      </c>
      <c r="C353" s="168"/>
      <c r="D353" s="168"/>
      <c r="E353" s="168"/>
      <c r="F353" s="168"/>
      <c r="G353" s="168"/>
      <c r="H353" s="168"/>
      <c r="I353" s="168"/>
      <c r="J353" s="168"/>
      <c r="K353" s="168"/>
      <c r="L353" s="168"/>
      <c r="M353" s="168"/>
      <c r="N353" s="168">
        <f>N351+N352</f>
        <v>0</v>
      </c>
      <c r="O353" s="168">
        <f t="shared" ref="O353" si="121">O351+O352</f>
        <v>0</v>
      </c>
      <c r="P353" s="168">
        <f t="shared" ref="P353:S353" si="122">P351+P352</f>
        <v>0</v>
      </c>
      <c r="Q353" s="168">
        <f t="shared" si="122"/>
        <v>0</v>
      </c>
      <c r="R353" s="168">
        <f t="shared" si="122"/>
        <v>0</v>
      </c>
      <c r="S353" s="168">
        <f t="shared" si="122"/>
        <v>0</v>
      </c>
    </row>
    <row r="356" spans="2:19">
      <c r="B356" s="139" t="s">
        <v>1278</v>
      </c>
      <c r="N356" s="139">
        <f>Debt_Schedule!J43</f>
        <v>10000</v>
      </c>
      <c r="O356" s="139">
        <f>Debt_Schedule!K43</f>
        <v>10000</v>
      </c>
      <c r="P356" s="139">
        <f>Debt_Schedule!L43</f>
        <v>10000</v>
      </c>
      <c r="Q356" s="139">
        <f>Debt_Schedule!M43</f>
        <v>10000</v>
      </c>
      <c r="R356" s="139">
        <f>Debt_Schedule!N43</f>
        <v>0</v>
      </c>
      <c r="S356" s="139">
        <f>Debt_Schedule!O43</f>
        <v>0</v>
      </c>
    </row>
    <row r="357" spans="2:19">
      <c r="B357" s="139" t="s">
        <v>1279</v>
      </c>
      <c r="N357" s="139">
        <f>Debt_Schedule!J45</f>
        <v>0</v>
      </c>
      <c r="O357" s="139">
        <f>Debt_Schedule!K45</f>
        <v>0</v>
      </c>
      <c r="P357" s="139">
        <f>Debt_Schedule!L45</f>
        <v>0</v>
      </c>
      <c r="Q357" s="139">
        <f>Debt_Schedule!M45</f>
        <v>0</v>
      </c>
      <c r="R357" s="139">
        <f>Debt_Schedule!N45</f>
        <v>0</v>
      </c>
      <c r="S357" s="139">
        <f>Debt_Schedule!O45</f>
        <v>0</v>
      </c>
    </row>
    <row r="358" spans="2:19">
      <c r="B358" s="139" t="s">
        <v>1280</v>
      </c>
      <c r="N358" s="139">
        <f>Debt_Schedule!J44</f>
        <v>0</v>
      </c>
      <c r="O358" s="139">
        <f>Debt_Schedule!K44</f>
        <v>0</v>
      </c>
      <c r="P358" s="139">
        <f>Debt_Schedule!L44</f>
        <v>14000</v>
      </c>
      <c r="Q358" s="139">
        <f>Debt_Schedule!M44</f>
        <v>14000</v>
      </c>
      <c r="R358" s="139">
        <f>Debt_Schedule!N44</f>
        <v>0</v>
      </c>
      <c r="S358" s="139">
        <f>Debt_Schedule!O44</f>
        <v>0</v>
      </c>
    </row>
    <row r="359" spans="2:19">
      <c r="B359" s="139" t="s">
        <v>1281</v>
      </c>
      <c r="N359" s="139">
        <f>Debt_Schedule!J46</f>
        <v>0</v>
      </c>
      <c r="O359" s="139">
        <f>Debt_Schedule!K46</f>
        <v>0</v>
      </c>
      <c r="P359" s="139">
        <f>Debt_Schedule!L46</f>
        <v>0</v>
      </c>
      <c r="Q359" s="139">
        <f>Debt_Schedule!M46</f>
        <v>0</v>
      </c>
      <c r="R359" s="139">
        <f>Debt_Schedule!N46</f>
        <v>0</v>
      </c>
      <c r="S359" s="139">
        <f>Debt_Schedule!O46</f>
        <v>0</v>
      </c>
    </row>
    <row r="360" spans="2:19">
      <c r="B360" s="168" t="s">
        <v>698</v>
      </c>
      <c r="C360" s="168"/>
      <c r="D360" s="168"/>
      <c r="E360" s="168"/>
      <c r="F360" s="168"/>
      <c r="G360" s="168"/>
      <c r="H360" s="168"/>
      <c r="I360" s="168"/>
      <c r="J360" s="168"/>
      <c r="K360" s="168"/>
      <c r="L360" s="168"/>
      <c r="M360" s="168"/>
      <c r="N360" s="168">
        <f t="shared" ref="N360:O360" si="123">N357+N356+N359+N358</f>
        <v>10000</v>
      </c>
      <c r="O360" s="168">
        <f t="shared" si="123"/>
        <v>10000</v>
      </c>
      <c r="P360" s="168">
        <f t="shared" ref="P360:S360" si="124">P357+P356+P359+P358</f>
        <v>24000</v>
      </c>
      <c r="Q360" s="168">
        <f t="shared" si="124"/>
        <v>24000</v>
      </c>
      <c r="R360" s="168">
        <f t="shared" si="124"/>
        <v>0</v>
      </c>
      <c r="S360" s="168">
        <f t="shared" si="124"/>
        <v>0</v>
      </c>
    </row>
    <row r="363" spans="2:19">
      <c r="B363" s="139" t="s">
        <v>700</v>
      </c>
      <c r="N363" s="139">
        <f>N381</f>
        <v>13866</v>
      </c>
      <c r="O363" s="139">
        <f t="shared" ref="O363" si="125">O381</f>
        <v>13866</v>
      </c>
      <c r="P363" s="139">
        <f t="shared" ref="P363:S363" si="126">P381</f>
        <v>13866</v>
      </c>
      <c r="Q363" s="139">
        <f t="shared" si="126"/>
        <v>13866</v>
      </c>
      <c r="R363" s="139">
        <f t="shared" si="126"/>
        <v>37866</v>
      </c>
      <c r="S363" s="139">
        <f t="shared" si="126"/>
        <v>37866</v>
      </c>
    </row>
    <row r="364" spans="2:19">
      <c r="B364" s="139" t="s">
        <v>701</v>
      </c>
      <c r="O364" s="139">
        <f t="shared" ref="O364" si="127">N364+O385</f>
        <v>11459.45021022276</v>
      </c>
      <c r="P364" s="139">
        <f t="shared" ref="P364:R364" si="128">O364+P385</f>
        <v>36435.269404673745</v>
      </c>
      <c r="Q364" s="139">
        <f t="shared" si="128"/>
        <v>119535.40549096056</v>
      </c>
      <c r="R364" s="139">
        <f t="shared" si="128"/>
        <v>274729.27712447615</v>
      </c>
      <c r="S364" s="139">
        <f>R364+S385</f>
        <v>436866.3056515237</v>
      </c>
    </row>
    <row r="365" spans="2:19" ht="13.8" thickBot="1">
      <c r="B365" s="232" t="s">
        <v>737</v>
      </c>
      <c r="C365" s="232"/>
      <c r="D365" s="232"/>
      <c r="E365" s="232"/>
      <c r="F365" s="232"/>
      <c r="G365" s="232"/>
      <c r="H365" s="232"/>
      <c r="I365" s="232"/>
      <c r="J365" s="232"/>
      <c r="K365" s="232"/>
      <c r="L365" s="232"/>
      <c r="M365" s="232"/>
      <c r="N365" s="232">
        <f t="shared" ref="N365:R365" si="129">N353+N360+N363+N364</f>
        <v>23866</v>
      </c>
      <c r="O365" s="232">
        <f t="shared" ref="O365" si="130">O353+O360+O363+O364</f>
        <v>35325.450210222756</v>
      </c>
      <c r="P365" s="232">
        <f t="shared" si="129"/>
        <v>74301.269404673745</v>
      </c>
      <c r="Q365" s="232">
        <f t="shared" si="129"/>
        <v>157401.40549096058</v>
      </c>
      <c r="R365" s="232">
        <f t="shared" si="129"/>
        <v>312595.27712447615</v>
      </c>
      <c r="S365" s="232">
        <f>S353+S360+S363+S364</f>
        <v>474732.3056515237</v>
      </c>
    </row>
    <row r="367" spans="2:19" s="237" customFormat="1">
      <c r="B367" s="237" t="s">
        <v>871</v>
      </c>
      <c r="N367" s="237">
        <f t="shared" ref="N367:R367" si="131">N348-N365</f>
        <v>0</v>
      </c>
      <c r="O367" s="237">
        <f>O348-O365</f>
        <v>0</v>
      </c>
      <c r="P367" s="237">
        <f t="shared" si="131"/>
        <v>0</v>
      </c>
      <c r="Q367" s="237">
        <f t="shared" si="131"/>
        <v>0</v>
      </c>
      <c r="R367" s="237">
        <f t="shared" si="131"/>
        <v>0</v>
      </c>
      <c r="S367" s="237">
        <f>S348-S365</f>
        <v>0</v>
      </c>
    </row>
    <row r="369" spans="2:19" s="156" customFormat="1">
      <c r="B369" s="156" t="s">
        <v>892</v>
      </c>
    </row>
    <row r="370" spans="2:19" ht="6" customHeight="1"/>
    <row r="371" spans="2:19" ht="6" customHeight="1"/>
    <row r="372" spans="2:19">
      <c r="B372" s="286" t="s">
        <v>962</v>
      </c>
    </row>
    <row r="373" spans="2:19" ht="13.8" thickBot="1">
      <c r="B373" s="154"/>
      <c r="C373" s="154"/>
      <c r="D373" s="154"/>
      <c r="E373" s="154"/>
      <c r="F373" s="154"/>
      <c r="G373" s="154"/>
      <c r="H373" s="154"/>
      <c r="I373" s="154"/>
      <c r="J373" s="154"/>
      <c r="K373" s="154"/>
      <c r="L373" s="154"/>
      <c r="M373" s="154"/>
      <c r="N373" s="276">
        <v>2018</v>
      </c>
      <c r="O373" s="276">
        <v>2019</v>
      </c>
      <c r="P373" s="276">
        <f>O373+1</f>
        <v>2020</v>
      </c>
      <c r="Q373" s="276">
        <f t="shared" ref="Q373:S373" si="132">P373+1</f>
        <v>2021</v>
      </c>
      <c r="R373" s="276">
        <f t="shared" si="132"/>
        <v>2022</v>
      </c>
      <c r="S373" s="276">
        <f t="shared" si="132"/>
        <v>2023</v>
      </c>
    </row>
    <row r="374" spans="2:19">
      <c r="B374" s="139" t="s">
        <v>968</v>
      </c>
      <c r="N374" s="139">
        <v>0</v>
      </c>
      <c r="O374" s="139">
        <f>N381</f>
        <v>13866</v>
      </c>
      <c r="P374" s="139">
        <f>O381</f>
        <v>13866</v>
      </c>
      <c r="Q374" s="139">
        <f t="shared" ref="Q374:S374" si="133">P381</f>
        <v>13866</v>
      </c>
      <c r="R374" s="139">
        <f t="shared" si="133"/>
        <v>13866</v>
      </c>
      <c r="S374" s="139">
        <f t="shared" si="133"/>
        <v>37866</v>
      </c>
    </row>
    <row r="375" spans="2:19">
      <c r="B375" s="139" t="s">
        <v>1263</v>
      </c>
      <c r="N375" s="139">
        <f>$V$16</f>
        <v>5866</v>
      </c>
      <c r="O375" s="139">
        <v>0</v>
      </c>
      <c r="P375" s="139">
        <v>0</v>
      </c>
      <c r="Q375" s="139">
        <v>0</v>
      </c>
      <c r="R375" s="139">
        <v>0</v>
      </c>
      <c r="S375" s="139">
        <v>0</v>
      </c>
    </row>
    <row r="376" spans="2:19">
      <c r="B376" s="139" t="s">
        <v>1279</v>
      </c>
      <c r="N376" s="139">
        <v>0</v>
      </c>
      <c r="O376" s="139">
        <f>Debt_Schedule!K87</f>
        <v>0</v>
      </c>
      <c r="P376" s="139">
        <f>Debt_Schedule!L87</f>
        <v>0</v>
      </c>
      <c r="Q376" s="139">
        <f>Debt_Schedule!M87</f>
        <v>0</v>
      </c>
      <c r="R376" s="139">
        <f>Debt_Schedule!N87</f>
        <v>0</v>
      </c>
      <c r="S376" s="139">
        <f>Debt_Schedule!O87</f>
        <v>0</v>
      </c>
    </row>
    <row r="377" spans="2:19">
      <c r="B377" s="139" t="s">
        <v>1278</v>
      </c>
      <c r="N377" s="139">
        <v>0</v>
      </c>
      <c r="O377" s="139">
        <f>Debt_Schedule!K71</f>
        <v>0</v>
      </c>
      <c r="P377" s="139">
        <f>Debt_Schedule!L71</f>
        <v>0</v>
      </c>
      <c r="Q377" s="139">
        <f>Debt_Schedule!M71</f>
        <v>0</v>
      </c>
      <c r="R377" s="139">
        <f>Debt_Schedule!N71</f>
        <v>10000</v>
      </c>
      <c r="S377" s="139">
        <f>Debt_Schedule!O71</f>
        <v>0</v>
      </c>
    </row>
    <row r="378" spans="2:19">
      <c r="B378" s="139" t="s">
        <v>1281</v>
      </c>
      <c r="N378" s="139">
        <v>0</v>
      </c>
      <c r="O378" s="139">
        <f>Debt_Schedule!K123</f>
        <v>0</v>
      </c>
      <c r="P378" s="139">
        <f>Debt_Schedule!L123</f>
        <v>0</v>
      </c>
      <c r="Q378" s="139">
        <f>Debt_Schedule!M123</f>
        <v>0</v>
      </c>
      <c r="R378" s="139">
        <f>Debt_Schedule!N123</f>
        <v>0</v>
      </c>
      <c r="S378" s="139">
        <f>Debt_Schedule!O123</f>
        <v>0</v>
      </c>
    </row>
    <row r="379" spans="2:19">
      <c r="B379" s="139" t="s">
        <v>1280</v>
      </c>
      <c r="N379" s="139">
        <f>N69</f>
        <v>0</v>
      </c>
      <c r="O379" s="139">
        <f>Debt_Schedule!K107</f>
        <v>0</v>
      </c>
      <c r="P379" s="139">
        <f>Debt_Schedule!L107</f>
        <v>0</v>
      </c>
      <c r="Q379" s="139">
        <f>Debt_Schedule!M107</f>
        <v>0</v>
      </c>
      <c r="R379" s="139">
        <f>Debt_Schedule!N107</f>
        <v>14000</v>
      </c>
      <c r="S379" s="139">
        <f>Debt_Schedule!O107</f>
        <v>0</v>
      </c>
    </row>
    <row r="380" spans="2:19">
      <c r="B380" s="139" t="s">
        <v>1260</v>
      </c>
      <c r="N380" s="139">
        <f>CTRL!E17*100</f>
        <v>8000</v>
      </c>
    </row>
    <row r="381" spans="2:19">
      <c r="B381" s="168" t="s">
        <v>893</v>
      </c>
      <c r="C381" s="168"/>
      <c r="D381" s="168"/>
      <c r="E381" s="168"/>
      <c r="F381" s="168"/>
      <c r="G381" s="168"/>
      <c r="H381" s="168"/>
      <c r="I381" s="168"/>
      <c r="J381" s="168"/>
      <c r="K381" s="168"/>
      <c r="L381" s="168"/>
      <c r="M381" s="168"/>
      <c r="N381" s="168">
        <f>N374+N375+N376+N377+N378+N379+N380</f>
        <v>13866</v>
      </c>
      <c r="O381" s="168">
        <f t="shared" ref="O381:S381" si="134">O374+O375+O376+O377+O378+O379+O380</f>
        <v>13866</v>
      </c>
      <c r="P381" s="168">
        <f t="shared" si="134"/>
        <v>13866</v>
      </c>
      <c r="Q381" s="168">
        <f t="shared" si="134"/>
        <v>13866</v>
      </c>
      <c r="R381" s="168">
        <f t="shared" si="134"/>
        <v>37866</v>
      </c>
      <c r="S381" s="168">
        <f t="shared" si="134"/>
        <v>37866</v>
      </c>
    </row>
    <row r="383" spans="2:19">
      <c r="B383" s="286" t="s">
        <v>963</v>
      </c>
    </row>
    <row r="384" spans="2:19" ht="13.8" thickBot="1">
      <c r="B384" s="154"/>
      <c r="C384" s="154"/>
      <c r="D384" s="154"/>
      <c r="E384" s="154"/>
      <c r="F384" s="154"/>
      <c r="G384" s="154"/>
      <c r="H384" s="154"/>
      <c r="I384" s="154"/>
      <c r="J384" s="154"/>
      <c r="K384" s="154"/>
      <c r="L384" s="154"/>
      <c r="M384" s="154"/>
      <c r="N384" s="276">
        <v>2018</v>
      </c>
      <c r="O384" s="276">
        <v>2019</v>
      </c>
      <c r="P384" s="276">
        <f>O384+1</f>
        <v>2020</v>
      </c>
      <c r="Q384" s="276">
        <f t="shared" ref="Q384:S384" si="135">P384+1</f>
        <v>2021</v>
      </c>
      <c r="R384" s="276">
        <f t="shared" si="135"/>
        <v>2022</v>
      </c>
      <c r="S384" s="276">
        <f t="shared" si="135"/>
        <v>2023</v>
      </c>
    </row>
    <row r="385" spans="2:19">
      <c r="B385" s="139" t="s">
        <v>661</v>
      </c>
      <c r="O385" s="139">
        <f>O331</f>
        <v>11459.45021022276</v>
      </c>
      <c r="P385" s="139">
        <f>P331</f>
        <v>24975.819194450982</v>
      </c>
      <c r="Q385" s="139">
        <f>Q331</f>
        <v>83100.136086286817</v>
      </c>
      <c r="R385" s="139">
        <f>R331</f>
        <v>155193.87163351558</v>
      </c>
      <c r="S385" s="139">
        <f>S331</f>
        <v>162137.02852704754</v>
      </c>
    </row>
    <row r="386" spans="2:19">
      <c r="B386" s="286"/>
    </row>
    <row r="388" spans="2:19" s="156" customFormat="1">
      <c r="B388" s="156" t="s">
        <v>704</v>
      </c>
    </row>
    <row r="389" spans="2:19" ht="6" customHeight="1"/>
    <row r="391" spans="2:19" ht="13.8" thickBot="1">
      <c r="B391" s="157" t="s">
        <v>384</v>
      </c>
      <c r="C391" s="154"/>
      <c r="D391" s="154"/>
      <c r="E391" s="154"/>
      <c r="F391" s="154"/>
      <c r="G391" s="154"/>
      <c r="H391" s="154"/>
      <c r="I391" s="154"/>
      <c r="J391" s="154"/>
      <c r="K391" s="154"/>
      <c r="L391" s="154"/>
      <c r="M391" s="154"/>
      <c r="N391" s="235">
        <v>2018</v>
      </c>
      <c r="O391" s="235">
        <v>2019</v>
      </c>
      <c r="P391" s="235">
        <f t="shared" ref="P391:S391" si="136">O391+1</f>
        <v>2020</v>
      </c>
      <c r="Q391" s="235">
        <f t="shared" si="136"/>
        <v>2021</v>
      </c>
      <c r="R391" s="235">
        <f t="shared" si="136"/>
        <v>2022</v>
      </c>
      <c r="S391" s="235">
        <f t="shared" si="136"/>
        <v>2023</v>
      </c>
    </row>
    <row r="392" spans="2:19" s="155" customFormat="1">
      <c r="B392" s="155" t="s">
        <v>706</v>
      </c>
      <c r="O392" s="155">
        <f>O331</f>
        <v>11459.45021022276</v>
      </c>
      <c r="P392" s="155">
        <f>P331</f>
        <v>24975.819194450982</v>
      </c>
      <c r="Q392" s="155">
        <f>Q331</f>
        <v>83100.136086286817</v>
      </c>
      <c r="R392" s="155">
        <f>R331</f>
        <v>155193.87163351558</v>
      </c>
      <c r="S392" s="155">
        <f>S331</f>
        <v>162137.02852704754</v>
      </c>
    </row>
    <row r="393" spans="2:19">
      <c r="B393" s="155" t="s">
        <v>711</v>
      </c>
      <c r="C393" s="155"/>
      <c r="E393" s="155"/>
      <c r="F393" s="155"/>
      <c r="G393" s="155"/>
      <c r="H393" s="155"/>
      <c r="O393" s="139">
        <f>O394</f>
        <v>960</v>
      </c>
      <c r="P393" s="139">
        <f t="shared" ref="P393:R393" si="137">P394</f>
        <v>2180</v>
      </c>
      <c r="Q393" s="139">
        <f t="shared" si="137"/>
        <v>3660</v>
      </c>
      <c r="R393" s="139">
        <f t="shared" si="137"/>
        <v>5400</v>
      </c>
      <c r="S393" s="139">
        <f>S394</f>
        <v>7600</v>
      </c>
    </row>
    <row r="394" spans="2:19">
      <c r="C394" s="139" t="s">
        <v>712</v>
      </c>
      <c r="O394" s="139">
        <f>O314</f>
        <v>960</v>
      </c>
      <c r="P394" s="139">
        <f>P314</f>
        <v>2180</v>
      </c>
      <c r="Q394" s="139">
        <f>Q314</f>
        <v>3660</v>
      </c>
      <c r="R394" s="139">
        <f>R314</f>
        <v>5400</v>
      </c>
      <c r="S394" s="139">
        <f>S314</f>
        <v>7600</v>
      </c>
    </row>
    <row r="395" spans="2:19">
      <c r="B395" s="155" t="s">
        <v>713</v>
      </c>
      <c r="C395" s="155"/>
      <c r="E395" s="155"/>
      <c r="F395" s="155"/>
      <c r="G395" s="155"/>
      <c r="H395" s="155"/>
    </row>
    <row r="398" spans="2:19">
      <c r="B398" s="155" t="s">
        <v>714</v>
      </c>
      <c r="C398" s="155"/>
      <c r="E398" s="155"/>
      <c r="F398" s="155"/>
      <c r="G398" s="155"/>
      <c r="H398" s="155"/>
    </row>
    <row r="399" spans="2:19">
      <c r="C399" s="139" t="s">
        <v>715</v>
      </c>
    </row>
    <row r="400" spans="2:19">
      <c r="C400" s="139" t="s">
        <v>716</v>
      </c>
    </row>
    <row r="401" spans="2:19">
      <c r="C401" s="139" t="s">
        <v>717</v>
      </c>
    </row>
    <row r="402" spans="2:19">
      <c r="C402" s="139" t="s">
        <v>718</v>
      </c>
    </row>
    <row r="403" spans="2:19">
      <c r="B403" s="168" t="s">
        <v>705</v>
      </c>
      <c r="C403" s="168"/>
      <c r="D403" s="168"/>
      <c r="E403" s="168"/>
      <c r="F403" s="168"/>
      <c r="G403" s="168"/>
      <c r="H403" s="168"/>
      <c r="I403" s="168"/>
      <c r="J403" s="168"/>
      <c r="K403" s="168"/>
      <c r="L403" s="168"/>
      <c r="M403" s="168"/>
      <c r="N403" s="168"/>
      <c r="O403" s="168">
        <f>O392+O393+O395+O398</f>
        <v>12419.45021022276</v>
      </c>
      <c r="P403" s="168">
        <f>P392+P393+P395+P398</f>
        <v>27155.819194450982</v>
      </c>
      <c r="Q403" s="168">
        <f>Q392+Q393+Q395+Q398</f>
        <v>86760.136086286817</v>
      </c>
      <c r="R403" s="168">
        <f>R392+R393+R395+R398</f>
        <v>160593.87163351558</v>
      </c>
      <c r="S403" s="168">
        <f>S392+S393+S395+S398</f>
        <v>169737.02852704754</v>
      </c>
    </row>
    <row r="406" spans="2:19">
      <c r="B406" s="155" t="s">
        <v>720</v>
      </c>
      <c r="C406" s="155"/>
      <c r="D406" s="155"/>
      <c r="F406" s="155"/>
      <c r="G406" s="155"/>
      <c r="H406" s="155"/>
    </row>
    <row r="408" spans="2:19">
      <c r="B408" s="155" t="s">
        <v>721</v>
      </c>
      <c r="C408" s="155"/>
      <c r="D408" s="155"/>
      <c r="F408" s="155"/>
      <c r="G408" s="155"/>
      <c r="H408" s="155"/>
      <c r="O408" s="155">
        <f>O409+O412+O415</f>
        <v>-10898.3</v>
      </c>
      <c r="P408" s="155">
        <f t="shared" ref="P408:R408" si="138">P409+P412+P415</f>
        <v>-9159.1</v>
      </c>
      <c r="Q408" s="155">
        <f t="shared" si="138"/>
        <v>-10459.099999999999</v>
      </c>
      <c r="R408" s="155">
        <f t="shared" si="138"/>
        <v>-12338.999999999998</v>
      </c>
      <c r="S408" s="155">
        <f>S409+S412+S415</f>
        <v>-10760</v>
      </c>
    </row>
    <row r="409" spans="2:19">
      <c r="C409" s="139" t="s">
        <v>681</v>
      </c>
      <c r="O409" s="139">
        <f>O410+O411</f>
        <v>-6098.2999999999993</v>
      </c>
      <c r="P409" s="139">
        <f t="shared" ref="P409:S409" si="139">P410+P411</f>
        <v>-3059.1</v>
      </c>
      <c r="Q409" s="139">
        <f t="shared" si="139"/>
        <v>-3059.1</v>
      </c>
      <c r="R409" s="139">
        <f t="shared" si="139"/>
        <v>-3399</v>
      </c>
      <c r="S409" s="139">
        <f t="shared" si="139"/>
        <v>0</v>
      </c>
    </row>
    <row r="410" spans="2:19">
      <c r="D410" s="139" t="s">
        <v>689</v>
      </c>
      <c r="O410" s="139">
        <f>FS!J85</f>
        <v>-5778.2999999999993</v>
      </c>
      <c r="P410" s="139">
        <f>FS!K85</f>
        <v>-3059.1</v>
      </c>
      <c r="Q410" s="139">
        <f>FS!L85</f>
        <v>-3059.1</v>
      </c>
      <c r="R410" s="139">
        <f>FS!M85</f>
        <v>-3399</v>
      </c>
      <c r="S410" s="139">
        <f>FS!N85</f>
        <v>0</v>
      </c>
    </row>
    <row r="411" spans="2:19">
      <c r="D411" s="139" t="s">
        <v>683</v>
      </c>
      <c r="O411" s="139">
        <f>FS!J86</f>
        <v>-320</v>
      </c>
      <c r="P411" s="139">
        <f>FS!K86</f>
        <v>0</v>
      </c>
      <c r="Q411" s="139">
        <f>FS!L86</f>
        <v>0</v>
      </c>
      <c r="R411" s="139">
        <f>FS!M86</f>
        <v>0</v>
      </c>
      <c r="S411" s="139">
        <f>FS!N86</f>
        <v>0</v>
      </c>
    </row>
    <row r="412" spans="2:19">
      <c r="C412" s="139" t="s">
        <v>725</v>
      </c>
      <c r="O412" s="139">
        <f>O413+O414</f>
        <v>-1700</v>
      </c>
      <c r="P412" s="139">
        <f t="shared" ref="P412:R412" si="140">P413+P414</f>
        <v>-600</v>
      </c>
      <c r="Q412" s="139">
        <f t="shared" si="140"/>
        <v>-400</v>
      </c>
      <c r="R412" s="139">
        <f t="shared" si="140"/>
        <v>-440</v>
      </c>
      <c r="S412" s="139">
        <f>S413+S414</f>
        <v>-760</v>
      </c>
    </row>
    <row r="413" spans="2:19">
      <c r="D413" s="139" t="s">
        <v>665</v>
      </c>
      <c r="O413" s="139">
        <f>FS!J88</f>
        <v>-1600</v>
      </c>
      <c r="P413" s="139">
        <f>FS!K88</f>
        <v>-600</v>
      </c>
      <c r="Q413" s="139">
        <f>FS!L88</f>
        <v>-400</v>
      </c>
      <c r="R413" s="139">
        <f>FS!M88</f>
        <v>-440</v>
      </c>
      <c r="S413" s="139">
        <f>FS!N88</f>
        <v>-760</v>
      </c>
    </row>
    <row r="414" spans="2:19">
      <c r="D414" s="139" t="s">
        <v>694</v>
      </c>
      <c r="O414" s="139">
        <f>FS!J89</f>
        <v>-100</v>
      </c>
      <c r="P414" s="139">
        <f>FS!K89</f>
        <v>0</v>
      </c>
      <c r="Q414" s="139">
        <f>FS!L89</f>
        <v>0</v>
      </c>
      <c r="R414" s="139">
        <f>FS!M89</f>
        <v>0</v>
      </c>
      <c r="S414" s="139">
        <f>FS!N89</f>
        <v>0</v>
      </c>
    </row>
    <row r="415" spans="2:19">
      <c r="C415" s="139" t="s">
        <v>726</v>
      </c>
      <c r="O415" s="139">
        <f>O416</f>
        <v>-3100</v>
      </c>
      <c r="P415" s="139">
        <f t="shared" ref="P415:S415" si="141">P416</f>
        <v>-5500</v>
      </c>
      <c r="Q415" s="139">
        <f t="shared" si="141"/>
        <v>-6999.9999999999991</v>
      </c>
      <c r="R415" s="139">
        <f t="shared" si="141"/>
        <v>-8499.9999999999982</v>
      </c>
      <c r="S415" s="139">
        <f t="shared" si="141"/>
        <v>-10000</v>
      </c>
    </row>
    <row r="416" spans="2:19">
      <c r="D416" s="139" t="s">
        <v>669</v>
      </c>
      <c r="O416" s="139">
        <f>FS!J91</f>
        <v>-3100</v>
      </c>
      <c r="P416" s="139">
        <f>FS!K91</f>
        <v>-5500</v>
      </c>
      <c r="Q416" s="139">
        <f>FS!L91</f>
        <v>-6999.9999999999991</v>
      </c>
      <c r="R416" s="139">
        <f>FS!M91</f>
        <v>-8499.9999999999982</v>
      </c>
      <c r="S416" s="139">
        <f>FS!N91</f>
        <v>-10000</v>
      </c>
    </row>
    <row r="417" spans="2:19">
      <c r="B417" s="168" t="s">
        <v>719</v>
      </c>
      <c r="C417" s="168"/>
      <c r="D417" s="168"/>
      <c r="E417" s="168"/>
      <c r="F417" s="168"/>
      <c r="G417" s="168"/>
      <c r="H417" s="168"/>
      <c r="I417" s="168"/>
      <c r="J417" s="168"/>
      <c r="K417" s="168"/>
      <c r="L417" s="168"/>
      <c r="M417" s="168"/>
      <c r="N417" s="168"/>
      <c r="O417" s="168">
        <f>O406+O408</f>
        <v>-10898.3</v>
      </c>
      <c r="P417" s="168">
        <f>P406+P408</f>
        <v>-9159.1</v>
      </c>
      <c r="Q417" s="168">
        <f>Q406+Q408</f>
        <v>-10459.099999999999</v>
      </c>
      <c r="R417" s="168">
        <f>R406+R408</f>
        <v>-12338.999999999998</v>
      </c>
      <c r="S417" s="168">
        <f>S406+S408</f>
        <v>-10760</v>
      </c>
    </row>
    <row r="419" spans="2:19">
      <c r="B419" s="139" t="s">
        <v>872</v>
      </c>
    </row>
    <row r="420" spans="2:19">
      <c r="B420" s="139" t="s">
        <v>873</v>
      </c>
      <c r="O420" s="139">
        <f>-$O$16*O308</f>
        <v>0</v>
      </c>
      <c r="P420" s="139">
        <f>-$O$16*P308</f>
        <v>0</v>
      </c>
      <c r="Q420" s="139">
        <f>-$O$16*Q308</f>
        <v>0</v>
      </c>
      <c r="R420" s="139">
        <f>-$O$16*R308</f>
        <v>0</v>
      </c>
      <c r="S420" s="139">
        <f>-$O$16*S308</f>
        <v>0</v>
      </c>
    </row>
    <row r="421" spans="2:19">
      <c r="B421" s="139" t="s">
        <v>880</v>
      </c>
      <c r="O421" s="139">
        <f>O403+O417</f>
        <v>1521.1502102227605</v>
      </c>
      <c r="P421" s="139">
        <f t="shared" ref="P421:R421" si="142">P403+P417</f>
        <v>17996.719194450983</v>
      </c>
      <c r="Q421" s="139">
        <f t="shared" si="142"/>
        <v>76301.036086286826</v>
      </c>
      <c r="R421" s="139">
        <f t="shared" si="142"/>
        <v>148254.87163351558</v>
      </c>
      <c r="S421" s="139">
        <f>S403+S417</f>
        <v>158977.02852704754</v>
      </c>
    </row>
    <row r="422" spans="2:19">
      <c r="B422" s="168" t="s">
        <v>874</v>
      </c>
      <c r="C422" s="168"/>
      <c r="D422" s="168"/>
      <c r="E422" s="168"/>
      <c r="F422" s="168"/>
      <c r="G422" s="168"/>
      <c r="H422" s="168"/>
      <c r="I422" s="168"/>
      <c r="J422" s="168"/>
      <c r="K422" s="168"/>
      <c r="L422" s="168"/>
      <c r="M422" s="168"/>
      <c r="N422" s="168"/>
      <c r="O422" s="168">
        <f>O419+O420+O421</f>
        <v>1521.1502102227605</v>
      </c>
      <c r="P422" s="168">
        <f t="shared" ref="P422:R422" si="143">P419+P420+P421</f>
        <v>17996.719194450983</v>
      </c>
      <c r="Q422" s="168">
        <f t="shared" si="143"/>
        <v>76301.036086286826</v>
      </c>
      <c r="R422" s="168">
        <f t="shared" si="143"/>
        <v>148254.87163351558</v>
      </c>
      <c r="S422" s="168">
        <f>S419+S420+S421</f>
        <v>158977.02852704754</v>
      </c>
    </row>
    <row r="424" spans="2:19">
      <c r="B424" s="155" t="s">
        <v>1282</v>
      </c>
      <c r="N424" s="155">
        <f t="shared" ref="N424:S424" si="144">N425+N426+N427+N428+N429</f>
        <v>18000</v>
      </c>
      <c r="O424" s="155">
        <f t="shared" si="144"/>
        <v>0</v>
      </c>
      <c r="P424" s="155">
        <f t="shared" si="144"/>
        <v>14000</v>
      </c>
      <c r="Q424" s="155">
        <f t="shared" si="144"/>
        <v>0</v>
      </c>
      <c r="R424" s="155">
        <f t="shared" si="144"/>
        <v>0</v>
      </c>
      <c r="S424" s="155">
        <f t="shared" si="144"/>
        <v>0</v>
      </c>
    </row>
    <row r="425" spans="2:19">
      <c r="C425" s="213" t="s">
        <v>1279</v>
      </c>
      <c r="D425" s="213"/>
      <c r="E425" s="213"/>
      <c r="F425" s="213"/>
      <c r="G425" s="213"/>
      <c r="H425" s="213"/>
      <c r="I425" s="213"/>
      <c r="J425" s="213"/>
      <c r="K425" s="213"/>
      <c r="L425" s="213"/>
      <c r="M425" s="213"/>
      <c r="N425" s="213">
        <f>IF(YEAR(CTRL!$J$23)=N$391, CTRL!$E20*100, 0)</f>
        <v>0</v>
      </c>
      <c r="O425" s="213">
        <f>IF(YEAR(CTRL!$J$23)=O$391, CTRL!$E20*100, 0)</f>
        <v>0</v>
      </c>
      <c r="P425" s="213">
        <f>IF(YEAR(CTRL!$J$23)=P$391, CTRL!$E20*100, 0)</f>
        <v>0</v>
      </c>
      <c r="Q425" s="213">
        <f>IF(YEAR(CTRL!$J$23)=Q$391, CTRL!$E20*100, 0)</f>
        <v>0</v>
      </c>
      <c r="R425" s="213">
        <f>IF(YEAR(CTRL!$J$23)=R$391, CTRL!$E20*100, 0)</f>
        <v>0</v>
      </c>
      <c r="S425" s="213">
        <f>IF(YEAR(CTRL!$J$23)=S$391, CTRL!$E20*100, 0)</f>
        <v>0</v>
      </c>
    </row>
    <row r="426" spans="2:19">
      <c r="C426" s="213" t="s">
        <v>1278</v>
      </c>
      <c r="D426" s="213"/>
      <c r="E426" s="213"/>
      <c r="F426" s="213"/>
      <c r="G426" s="213"/>
      <c r="H426" s="213"/>
      <c r="I426" s="213"/>
      <c r="J426" s="213"/>
      <c r="K426" s="213"/>
      <c r="L426" s="213"/>
      <c r="M426" s="213"/>
      <c r="N426" s="213">
        <f>IF(YEAR(CTRL!$J$23)=N$391, CTRL!$E21*100, 0)</f>
        <v>10000</v>
      </c>
      <c r="O426" s="213">
        <f>IF(YEAR(CTRL!$J$23)=O$391, CTRL!$E21*100, 0)</f>
        <v>0</v>
      </c>
      <c r="P426" s="213">
        <f>IF(YEAR(CTRL!$J$23)=P$391, CTRL!$E21*100, 0)</f>
        <v>0</v>
      </c>
      <c r="Q426" s="213">
        <f>IF(YEAR(CTRL!$J$23)=Q$391, CTRL!$E21*100, 0)</f>
        <v>0</v>
      </c>
      <c r="R426" s="213">
        <f>IF(YEAR(CTRL!$J$23)=R$391, CTRL!$E21*100, 0)</f>
        <v>0</v>
      </c>
      <c r="S426" s="213">
        <f>IF(YEAR(CTRL!$J$23)=S$391, CTRL!$E21*100, 0)</f>
        <v>0</v>
      </c>
    </row>
    <row r="427" spans="2:19">
      <c r="C427" s="139" t="s">
        <v>967</v>
      </c>
      <c r="N427" s="139">
        <f>IF(YEAR(CTRL!$J$29)=N$391, CTRL!$E26*100, 0)</f>
        <v>0</v>
      </c>
      <c r="O427" s="139">
        <f>IF(YEAR(CTRL!$J$29)=O$391, CTRL!$E26*100, 0)</f>
        <v>0</v>
      </c>
      <c r="P427" s="139">
        <f>IF(YEAR(CTRL!$J$29)=P$391, CTRL!$E26*100, 0)</f>
        <v>0</v>
      </c>
      <c r="Q427" s="139">
        <f>IF(YEAR(CTRL!$J$29)=Q$391, CTRL!$E26*100, 0)</f>
        <v>0</v>
      </c>
      <c r="R427" s="139">
        <f>IF(YEAR(CTRL!$J$29)=R$391, CTRL!$E26*100, 0)</f>
        <v>0</v>
      </c>
      <c r="S427" s="139">
        <f>IF(YEAR(CTRL!$J$29)=S$391, CTRL!$E26*100, 0)</f>
        <v>0</v>
      </c>
    </row>
    <row r="428" spans="2:19">
      <c r="C428" s="139" t="s">
        <v>969</v>
      </c>
      <c r="N428" s="139">
        <f>IF(YEAR(CTRL!$J$29)=N$391, CTRL!$E27*100, 0)</f>
        <v>0</v>
      </c>
      <c r="O428" s="139">
        <f>IF(YEAR(CTRL!$J$29)=O$391, CTRL!$E27*100, 0)</f>
        <v>0</v>
      </c>
      <c r="P428" s="139">
        <f>IF(YEAR(CTRL!$J$29)=P$391, CTRL!$E27*100, 0)</f>
        <v>14000</v>
      </c>
      <c r="Q428" s="139">
        <f>IF(YEAR(CTRL!$J$29)=Q$391, CTRL!$E27*100, 0)</f>
        <v>0</v>
      </c>
      <c r="R428" s="139">
        <f>IF(YEAR(CTRL!$J$29)=R$391, CTRL!$E27*100, 0)</f>
        <v>0</v>
      </c>
      <c r="S428" s="139">
        <f>IF(YEAR(CTRL!$J$29)=S$391, CTRL!$E27*100, 0)</f>
        <v>0</v>
      </c>
    </row>
    <row r="429" spans="2:19">
      <c r="C429" s="213" t="s">
        <v>1259</v>
      </c>
      <c r="D429" s="213"/>
      <c r="E429" s="213"/>
      <c r="F429" s="213"/>
      <c r="G429" s="213"/>
      <c r="H429" s="213"/>
      <c r="I429" s="213"/>
      <c r="J429" s="213"/>
      <c r="K429" s="213"/>
      <c r="L429" s="213"/>
      <c r="M429" s="213"/>
      <c r="N429" s="213">
        <f>CTRL!E17*100</f>
        <v>8000</v>
      </c>
      <c r="O429" s="213">
        <v>0</v>
      </c>
      <c r="P429" s="213">
        <v>0</v>
      </c>
      <c r="Q429" s="213">
        <v>0</v>
      </c>
      <c r="R429" s="213">
        <v>0</v>
      </c>
      <c r="S429" s="213">
        <v>0</v>
      </c>
    </row>
    <row r="431" spans="2:19">
      <c r="B431" s="155" t="s">
        <v>1283</v>
      </c>
      <c r="N431" s="155">
        <f>N432+N433</f>
        <v>0</v>
      </c>
      <c r="O431" s="155">
        <f>O432+O433</f>
        <v>0</v>
      </c>
      <c r="P431" s="155">
        <f t="shared" ref="P431:S431" si="145">P432+P433</f>
        <v>0</v>
      </c>
      <c r="Q431" s="155">
        <f t="shared" si="145"/>
        <v>0</v>
      </c>
      <c r="R431" s="155">
        <f t="shared" si="145"/>
        <v>0</v>
      </c>
      <c r="S431" s="155">
        <f t="shared" si="145"/>
        <v>0</v>
      </c>
    </row>
    <row r="432" spans="2:19">
      <c r="C432" s="139" t="s">
        <v>1284</v>
      </c>
      <c r="N432" s="139">
        <f>Debt_Schedule!J65</f>
        <v>0</v>
      </c>
      <c r="O432" s="139">
        <f>Debt_Schedule!K65</f>
        <v>0</v>
      </c>
      <c r="P432" s="139">
        <f>Debt_Schedule!L65</f>
        <v>0</v>
      </c>
      <c r="Q432" s="139">
        <f>Debt_Schedule!M65</f>
        <v>0</v>
      </c>
      <c r="R432" s="139">
        <f>Debt_Schedule!N65</f>
        <v>0</v>
      </c>
      <c r="S432" s="139">
        <f>Debt_Schedule!O65</f>
        <v>0</v>
      </c>
    </row>
    <row r="433" spans="2:19">
      <c r="C433" s="139" t="s">
        <v>1285</v>
      </c>
      <c r="N433" s="139">
        <f>Debt_Schedule!J101</f>
        <v>0</v>
      </c>
      <c r="O433" s="139">
        <f>Debt_Schedule!K101</f>
        <v>0</v>
      </c>
      <c r="P433" s="139">
        <f>Debt_Schedule!L101</f>
        <v>0</v>
      </c>
      <c r="Q433" s="139">
        <f>Debt_Schedule!M101</f>
        <v>0</v>
      </c>
      <c r="R433" s="139">
        <f>Debt_Schedule!N101</f>
        <v>0</v>
      </c>
      <c r="S433" s="139">
        <f>Debt_Schedule!O101</f>
        <v>0</v>
      </c>
    </row>
    <row r="435" spans="2:19">
      <c r="B435" s="155" t="s">
        <v>730</v>
      </c>
      <c r="N435" s="155">
        <v>0</v>
      </c>
      <c r="O435" s="155">
        <f>N437</f>
        <v>18000</v>
      </c>
      <c r="P435" s="155">
        <f>O437</f>
        <v>19521.150210222761</v>
      </c>
      <c r="Q435" s="155">
        <f t="shared" ref="Q435:S435" si="146">P437</f>
        <v>51517.869404673744</v>
      </c>
      <c r="R435" s="155">
        <f t="shared" si="146"/>
        <v>127818.90549096058</v>
      </c>
      <c r="S435" s="155">
        <f t="shared" si="146"/>
        <v>276073.77712447615</v>
      </c>
    </row>
    <row r="436" spans="2:19">
      <c r="B436" s="176" t="s">
        <v>970</v>
      </c>
      <c r="N436" s="155">
        <f>N422+N424+N431</f>
        <v>18000</v>
      </c>
      <c r="O436" s="155">
        <f>O422+O424+O431</f>
        <v>1521.1502102227605</v>
      </c>
      <c r="P436" s="155">
        <f t="shared" ref="P436:R436" si="147">P422+P424+P431</f>
        <v>31996.719194450983</v>
      </c>
      <c r="Q436" s="155">
        <f t="shared" si="147"/>
        <v>76301.036086286826</v>
      </c>
      <c r="R436" s="155">
        <f t="shared" si="147"/>
        <v>148254.87163351558</v>
      </c>
      <c r="S436" s="155">
        <f>S422+S424+S431</f>
        <v>158977.02852704754</v>
      </c>
    </row>
    <row r="437" spans="2:19">
      <c r="B437" s="155" t="s">
        <v>732</v>
      </c>
      <c r="N437" s="155">
        <f>N435+N436</f>
        <v>18000</v>
      </c>
      <c r="O437" s="155">
        <f>O435+O436</f>
        <v>19521.150210222761</v>
      </c>
      <c r="P437" s="155">
        <f t="shared" ref="P437:R437" si="148">P435+P436</f>
        <v>51517.869404673744</v>
      </c>
      <c r="Q437" s="155">
        <f t="shared" si="148"/>
        <v>127818.90549096058</v>
      </c>
      <c r="R437" s="155">
        <f t="shared" si="148"/>
        <v>276073.77712447615</v>
      </c>
      <c r="S437" s="155">
        <f>S435+S436</f>
        <v>435050.8056515237</v>
      </c>
    </row>
  </sheetData>
  <mergeCells count="13">
    <mergeCell ref="N180:O180"/>
    <mergeCell ref="P180:Q180"/>
    <mergeCell ref="R180:S180"/>
    <mergeCell ref="T180:U180"/>
    <mergeCell ref="V180:W180"/>
    <mergeCell ref="Z196:AA196"/>
    <mergeCell ref="AB196:AC196"/>
    <mergeCell ref="AD196:AE196"/>
    <mergeCell ref="N196:O196"/>
    <mergeCell ref="P196:Q196"/>
    <mergeCell ref="R196:S196"/>
    <mergeCell ref="T196:U196"/>
    <mergeCell ref="V196:W196"/>
  </mergeCells>
  <phoneticPr fontId="24" type="noConversion"/>
  <pageMargins left="0.6" right="0.6" top="1" bottom="1" header="0.5" footer="0.5"/>
  <pageSetup scale="11" orientation="landscape" r:id="rId1"/>
  <headerFooter>
    <oddHeader>&amp;RDraft - Work in Progress</oddHeader>
    <oddFooter>&amp;L&amp;F
&amp;D, &amp;T&amp;CPage &amp;P of &amp;N&amp;R&amp;A</oddFooter>
  </headerFooter>
  <ignoredErrors>
    <ignoredError sqref="O319:S319 O321:S321 Q227 O182 O184 O183 N187:W187 N189:W192 N188:Q188 S188:W188 Q182 Q184 Q183 S182 S184 S183 U182 U184 U183 W182 W184 W183" formula="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2060"/>
    <pageSetUpPr fitToPage="1"/>
  </sheetPr>
  <dimension ref="B2:Z132"/>
  <sheetViews>
    <sheetView tabSelected="1" workbookViewId="0">
      <selection activeCell="R17" sqref="R17"/>
    </sheetView>
  </sheetViews>
  <sheetFormatPr defaultColWidth="9.125" defaultRowHeight="13.2" outlineLevelRow="1" outlineLevelCol="1"/>
  <cols>
    <col min="1" max="1" width="2" style="139" customWidth="1"/>
    <col min="2" max="2" width="5.125" style="139" customWidth="1"/>
    <col min="3" max="4" width="9.125" style="139"/>
    <col min="5" max="5" width="7.25" style="139" customWidth="1"/>
    <col min="6" max="10" width="9" style="139" customWidth="1"/>
    <col min="11" max="11" width="11" style="139" customWidth="1"/>
    <col min="12" max="12" width="11" style="139" customWidth="1" outlineLevel="1"/>
    <col min="13" max="14" width="10" style="139" customWidth="1"/>
    <col min="15" max="15" width="11" style="139" customWidth="1"/>
    <col min="16" max="16" width="11.25" style="139" customWidth="1"/>
    <col min="17" max="17" width="9.125" style="139" customWidth="1"/>
    <col min="18" max="18" width="11.25" style="139" customWidth="1"/>
    <col min="19" max="19" width="10.625" style="139" customWidth="1"/>
    <col min="20" max="20" width="9.125" style="139"/>
    <col min="21" max="21" width="10.625" style="139" customWidth="1"/>
    <col min="22" max="22" width="9.125" style="139"/>
    <col min="23" max="23" width="10.625" style="139" customWidth="1"/>
    <col min="24" max="16384" width="9.125" style="139"/>
  </cols>
  <sheetData>
    <row r="2" spans="2:14">
      <c r="B2" s="221"/>
      <c r="C2" s="139" t="s">
        <v>122</v>
      </c>
    </row>
    <row r="7" spans="2:14" s="322" customFormat="1" ht="17.399999999999999">
      <c r="B7" s="321" t="s">
        <v>293</v>
      </c>
    </row>
    <row r="9" spans="2:14" ht="13.8" thickBot="1">
      <c r="B9" s="304" t="s">
        <v>0</v>
      </c>
      <c r="C9" s="157"/>
      <c r="D9" s="304"/>
      <c r="E9" s="304"/>
      <c r="F9" s="304"/>
      <c r="G9" s="304"/>
      <c r="H9" s="304"/>
      <c r="I9" s="304"/>
      <c r="J9" s="304"/>
      <c r="K9" s="304"/>
      <c r="L9" s="304"/>
      <c r="M9" s="304"/>
      <c r="N9" s="323" t="s">
        <v>119</v>
      </c>
    </row>
    <row r="10" spans="2:14">
      <c r="B10" s="139">
        <v>1</v>
      </c>
      <c r="C10" s="139" t="s">
        <v>294</v>
      </c>
      <c r="D10" s="139" t="s">
        <v>295</v>
      </c>
      <c r="E10" s="324">
        <f>CTRL!F127</f>
        <v>0.8</v>
      </c>
      <c r="F10" s="165" t="s">
        <v>116</v>
      </c>
      <c r="G10" s="165" t="s">
        <v>117</v>
      </c>
      <c r="N10" s="325" t="str">
        <f>IF(E10&gt;1,"Error","TRUE")</f>
        <v>TRUE</v>
      </c>
    </row>
    <row r="11" spans="2:14">
      <c r="B11" s="326"/>
      <c r="C11" s="326"/>
      <c r="D11" s="326" t="s">
        <v>277</v>
      </c>
      <c r="E11" s="327">
        <f>AVERAGE(F11:G11)</f>
        <v>0.72500000000000009</v>
      </c>
      <c r="F11" s="328">
        <v>0.8</v>
      </c>
      <c r="G11" s="328">
        <v>0.65</v>
      </c>
      <c r="H11" s="326"/>
      <c r="I11" s="326"/>
      <c r="J11" s="326"/>
      <c r="K11" s="326"/>
      <c r="L11" s="326"/>
      <c r="M11" s="326"/>
      <c r="N11" s="329" t="str">
        <f>IF(OR((E11&gt;1),(F11&gt;1),(G11&gt;1)),"Error","TRUE")</f>
        <v>TRUE</v>
      </c>
    </row>
    <row r="12" spans="2:14">
      <c r="B12" s="139">
        <v>2</v>
      </c>
      <c r="C12" s="139" t="s">
        <v>296</v>
      </c>
      <c r="D12" s="139" t="s">
        <v>118</v>
      </c>
      <c r="E12" s="324">
        <f>CTRL!F129</f>
        <v>0.62</v>
      </c>
      <c r="N12" s="325"/>
    </row>
    <row r="13" spans="2:14">
      <c r="D13" s="139" t="s">
        <v>297</v>
      </c>
      <c r="E13" s="324">
        <f>CTRL!F130</f>
        <v>0.27</v>
      </c>
      <c r="F13" s="183"/>
      <c r="N13" s="325"/>
    </row>
    <row r="14" spans="2:14">
      <c r="B14" s="326"/>
      <c r="C14" s="326"/>
      <c r="D14" s="326" t="s">
        <v>298</v>
      </c>
      <c r="E14" s="328">
        <f>CTRL!F131</f>
        <v>0.11</v>
      </c>
      <c r="F14" s="326"/>
      <c r="G14" s="326"/>
      <c r="H14" s="326"/>
      <c r="I14" s="326"/>
      <c r="J14" s="326"/>
      <c r="K14" s="326"/>
      <c r="L14" s="326"/>
      <c r="M14" s="326"/>
      <c r="N14" s="329" t="b">
        <f>SUM(E12:E14)=1</f>
        <v>1</v>
      </c>
    </row>
    <row r="15" spans="2:14">
      <c r="B15" s="330">
        <v>3</v>
      </c>
      <c r="C15" s="330" t="s">
        <v>299</v>
      </c>
      <c r="D15" s="330" t="s">
        <v>300</v>
      </c>
      <c r="E15" s="331">
        <f>CTRL!F132</f>
        <v>1133</v>
      </c>
      <c r="F15" s="330"/>
      <c r="G15" s="330"/>
      <c r="H15" s="330"/>
      <c r="I15" s="330"/>
      <c r="J15" s="330"/>
      <c r="K15" s="330"/>
      <c r="L15" s="330"/>
      <c r="M15" s="330"/>
      <c r="N15" s="330"/>
    </row>
    <row r="16" spans="2:14">
      <c r="B16" s="139">
        <v>4</v>
      </c>
      <c r="C16" s="139" t="s">
        <v>301</v>
      </c>
      <c r="D16" s="139" t="s">
        <v>302</v>
      </c>
      <c r="E16" s="221">
        <f>CTRL!F133</f>
        <v>3000</v>
      </c>
    </row>
    <row r="17" spans="2:10">
      <c r="B17" s="139">
        <v>5</v>
      </c>
      <c r="C17" s="139" t="s">
        <v>583</v>
      </c>
      <c r="E17" s="167"/>
      <c r="F17" s="183" t="s">
        <v>584</v>
      </c>
    </row>
    <row r="18" spans="2:10" ht="13.8" thickBot="1">
      <c r="B18" s="139">
        <v>6</v>
      </c>
      <c r="C18" s="139" t="s">
        <v>585</v>
      </c>
      <c r="D18" s="303"/>
      <c r="E18" s="303" t="s">
        <v>1038</v>
      </c>
      <c r="F18" s="154" t="s">
        <v>586</v>
      </c>
      <c r="G18" s="154" t="s">
        <v>593</v>
      </c>
      <c r="H18" s="154" t="s">
        <v>594</v>
      </c>
      <c r="I18" s="154" t="s">
        <v>595</v>
      </c>
      <c r="J18" s="154" t="s">
        <v>596</v>
      </c>
    </row>
    <row r="19" spans="2:10">
      <c r="D19" s="139" t="s">
        <v>587</v>
      </c>
      <c r="E19" s="139" t="s">
        <v>589</v>
      </c>
      <c r="F19" s="139">
        <f>CTRL!G139</f>
        <v>0</v>
      </c>
      <c r="G19" s="139">
        <f>CTRL!H139</f>
        <v>20</v>
      </c>
      <c r="H19" s="139">
        <f>CTRL!I139</f>
        <v>20</v>
      </c>
      <c r="I19" s="139">
        <f>CTRL!J139</f>
        <v>20</v>
      </c>
      <c r="J19" s="139">
        <f>CTRL!K139</f>
        <v>20</v>
      </c>
    </row>
    <row r="20" spans="2:10">
      <c r="E20" s="139" t="s">
        <v>590</v>
      </c>
      <c r="F20" s="139">
        <f>CTRL!G140</f>
        <v>0</v>
      </c>
      <c r="G20" s="139">
        <f>CTRL!H140</f>
        <v>20</v>
      </c>
      <c r="H20" s="139">
        <f>CTRL!I140</f>
        <v>20</v>
      </c>
      <c r="I20" s="139">
        <f>CTRL!J140</f>
        <v>20</v>
      </c>
      <c r="J20" s="139">
        <f>CTRL!K140</f>
        <v>20</v>
      </c>
    </row>
    <row r="21" spans="2:10">
      <c r="E21" s="139" t="s">
        <v>216</v>
      </c>
      <c r="F21" s="139">
        <f>CTRL!G141</f>
        <v>0</v>
      </c>
      <c r="G21" s="139">
        <f>CTRL!H141</f>
        <v>20</v>
      </c>
      <c r="H21" s="139">
        <f>CTRL!I141</f>
        <v>20</v>
      </c>
      <c r="I21" s="139">
        <f>CTRL!J141</f>
        <v>20</v>
      </c>
      <c r="J21" s="139">
        <f>CTRL!K141</f>
        <v>20</v>
      </c>
    </row>
    <row r="22" spans="2:10">
      <c r="E22" s="139" t="s">
        <v>591</v>
      </c>
      <c r="F22" s="139">
        <f>CTRL!G142</f>
        <v>0</v>
      </c>
      <c r="G22" s="139">
        <f>CTRL!H142</f>
        <v>20</v>
      </c>
      <c r="H22" s="139">
        <f>CTRL!I142</f>
        <v>20</v>
      </c>
      <c r="I22" s="139">
        <f>CTRL!J142</f>
        <v>20</v>
      </c>
      <c r="J22" s="139">
        <f>CTRL!K142</f>
        <v>20</v>
      </c>
    </row>
    <row r="23" spans="2:10">
      <c r="D23" s="139" t="s">
        <v>588</v>
      </c>
      <c r="E23" s="139" t="s">
        <v>1363</v>
      </c>
      <c r="F23" s="139">
        <f>CTRL!G143</f>
        <v>20</v>
      </c>
      <c r="G23" s="139">
        <f>CTRL!H143</f>
        <v>40</v>
      </c>
      <c r="H23" s="139">
        <f>CTRL!I143</f>
        <v>60</v>
      </c>
      <c r="I23" s="139">
        <f>CTRL!J143</f>
        <v>60</v>
      </c>
      <c r="J23" s="139">
        <f>CTRL!K143</f>
        <v>60</v>
      </c>
    </row>
    <row r="24" spans="2:10">
      <c r="E24" s="139" t="s">
        <v>590</v>
      </c>
      <c r="F24" s="139">
        <f>CTRL!G144</f>
        <v>100</v>
      </c>
      <c r="G24" s="139">
        <f>CTRL!H144</f>
        <v>200</v>
      </c>
      <c r="H24" s="139">
        <f>CTRL!I144</f>
        <v>600</v>
      </c>
      <c r="I24" s="139">
        <f>CTRL!J144</f>
        <v>1000</v>
      </c>
      <c r="J24" s="139">
        <f>CTRL!K144</f>
        <v>2000</v>
      </c>
    </row>
    <row r="25" spans="2:10">
      <c r="E25" s="139" t="s">
        <v>216</v>
      </c>
      <c r="F25" s="139">
        <f>CTRL!G145</f>
        <v>10</v>
      </c>
      <c r="G25" s="139">
        <f>CTRL!H145</f>
        <v>20</v>
      </c>
      <c r="H25" s="139">
        <f>CTRL!I145</f>
        <v>30</v>
      </c>
      <c r="I25" s="139">
        <f>CTRL!J145</f>
        <v>60</v>
      </c>
      <c r="J25" s="139">
        <f>CTRL!K145</f>
        <v>60</v>
      </c>
    </row>
    <row r="26" spans="2:10">
      <c r="E26" s="139" t="s">
        <v>591</v>
      </c>
      <c r="F26" s="139">
        <f>CTRL!G146</f>
        <v>10</v>
      </c>
      <c r="G26" s="139">
        <f>CTRL!H146</f>
        <v>20</v>
      </c>
      <c r="H26" s="139">
        <f>CTRL!I146</f>
        <v>30</v>
      </c>
      <c r="I26" s="139">
        <f>CTRL!J146</f>
        <v>40</v>
      </c>
      <c r="J26" s="139">
        <f>CTRL!K146</f>
        <v>40</v>
      </c>
    </row>
    <row r="28" spans="2:10" ht="13.8" thickBot="1">
      <c r="B28" s="139">
        <v>7</v>
      </c>
      <c r="C28" s="139" t="s">
        <v>598</v>
      </c>
      <c r="D28" s="303"/>
      <c r="E28" s="303" t="s">
        <v>599</v>
      </c>
      <c r="F28" s="154" t="s">
        <v>586</v>
      </c>
      <c r="G28" s="154" t="s">
        <v>593</v>
      </c>
      <c r="H28" s="154" t="s">
        <v>594</v>
      </c>
      <c r="I28" s="154" t="s">
        <v>595</v>
      </c>
      <c r="J28" s="154" t="s">
        <v>596</v>
      </c>
    </row>
    <row r="29" spans="2:10">
      <c r="E29" s="139" t="s">
        <v>598</v>
      </c>
      <c r="F29" s="139">
        <f>CTRL!G149</f>
        <v>1</v>
      </c>
      <c r="G29" s="139">
        <f>CTRL!H149</f>
        <v>1</v>
      </c>
      <c r="H29" s="139">
        <f>CTRL!I149</f>
        <v>1</v>
      </c>
      <c r="I29" s="139">
        <f>CTRL!J149</f>
        <v>1</v>
      </c>
      <c r="J29" s="139">
        <f>CTRL!K149</f>
        <v>1</v>
      </c>
    </row>
    <row r="43" spans="2:26" s="322" customFormat="1" ht="17.399999999999999">
      <c r="B43" s="321" t="s">
        <v>303</v>
      </c>
    </row>
    <row r="45" spans="2:26">
      <c r="B45" s="286" t="s">
        <v>364</v>
      </c>
    </row>
    <row r="46" spans="2:26">
      <c r="E46" s="332"/>
      <c r="F46" s="332"/>
      <c r="P46" s="333" t="s">
        <v>357</v>
      </c>
      <c r="Q46" s="333"/>
      <c r="R46" s="333"/>
      <c r="S46" s="334" t="s">
        <v>359</v>
      </c>
      <c r="T46" s="333"/>
      <c r="U46" s="333"/>
    </row>
    <row r="47" spans="2:26" ht="40.200000000000003" thickBot="1">
      <c r="B47" s="304" t="s">
        <v>0</v>
      </c>
      <c r="C47" s="157" t="s">
        <v>304</v>
      </c>
      <c r="D47" s="157" t="s">
        <v>433</v>
      </c>
      <c r="E47" s="304"/>
      <c r="F47" s="154"/>
      <c r="G47" s="154"/>
      <c r="H47" s="154"/>
      <c r="I47" s="154"/>
      <c r="J47" s="154" t="s">
        <v>124</v>
      </c>
      <c r="K47" s="154" t="s">
        <v>351</v>
      </c>
      <c r="L47" s="154" t="s">
        <v>353</v>
      </c>
      <c r="M47" s="154" t="s">
        <v>306</v>
      </c>
      <c r="N47" s="154" t="s">
        <v>615</v>
      </c>
      <c r="O47" s="335" t="s">
        <v>307</v>
      </c>
      <c r="P47" s="154" t="s">
        <v>355</v>
      </c>
      <c r="Q47" s="154" t="s">
        <v>356</v>
      </c>
      <c r="R47" s="154" t="s">
        <v>308</v>
      </c>
      <c r="S47" s="154" t="s">
        <v>12</v>
      </c>
      <c r="T47" s="154" t="s">
        <v>13</v>
      </c>
      <c r="U47" s="154" t="s">
        <v>14</v>
      </c>
      <c r="V47" s="335" t="s">
        <v>309</v>
      </c>
      <c r="W47" s="154" t="s">
        <v>354</v>
      </c>
      <c r="X47" s="154" t="s">
        <v>310</v>
      </c>
      <c r="Y47" s="335" t="s">
        <v>358</v>
      </c>
      <c r="Z47" s="336"/>
    </row>
    <row r="48" spans="2:26" s="155" customFormat="1">
      <c r="B48" s="310">
        <v>1</v>
      </c>
      <c r="C48" s="155">
        <f>C73</f>
        <v>737</v>
      </c>
      <c r="D48" s="310" t="str">
        <f>"M"&amp;CTRL!H57</f>
        <v>M7</v>
      </c>
      <c r="J48" s="155">
        <f t="shared" ref="J48:N48" si="0">J73</f>
        <v>15</v>
      </c>
      <c r="K48" s="155">
        <f t="shared" si="0"/>
        <v>70</v>
      </c>
      <c r="L48" s="155">
        <f t="shared" si="0"/>
        <v>30</v>
      </c>
      <c r="M48" s="155">
        <f t="shared" si="0"/>
        <v>100</v>
      </c>
      <c r="N48" s="155">
        <f t="shared" si="0"/>
        <v>30</v>
      </c>
      <c r="O48" s="298">
        <f>O73</f>
        <v>487.67775</v>
      </c>
      <c r="V48" s="298">
        <f>IFERROR(K48*W48+N48*X48, )</f>
        <v>321.99250999999998</v>
      </c>
      <c r="W48" s="337">
        <f>HLOOKUP($C48,CM!$H$3:$I$8,5,0)</f>
        <v>3.3071428571428569</v>
      </c>
      <c r="X48" s="337">
        <f>HLOOKUP($C48,CM!$H$3:$I$8,6,0)</f>
        <v>3.0164169999999997</v>
      </c>
      <c r="Y48" s="298">
        <f>O48-V48</f>
        <v>165.68524000000002</v>
      </c>
    </row>
    <row r="49" spans="2:25" s="155" customFormat="1">
      <c r="B49" s="310">
        <f>B48+1</f>
        <v>2</v>
      </c>
      <c r="C49" s="155">
        <f>C79</f>
        <v>737</v>
      </c>
      <c r="D49" s="310" t="str">
        <f>"M"&amp;CTRL!H58</f>
        <v>M7</v>
      </c>
      <c r="J49" s="155">
        <f t="shared" ref="J49:N49" si="1">J79</f>
        <v>15</v>
      </c>
      <c r="K49" s="155">
        <f t="shared" si="1"/>
        <v>90</v>
      </c>
      <c r="L49" s="155">
        <f t="shared" si="1"/>
        <v>30</v>
      </c>
      <c r="M49" s="155">
        <f t="shared" si="1"/>
        <v>120</v>
      </c>
      <c r="N49" s="155">
        <f t="shared" si="1"/>
        <v>30</v>
      </c>
      <c r="O49" s="298">
        <f>O79</f>
        <v>689.95222058823538</v>
      </c>
      <c r="V49" s="298">
        <f t="shared" ref="V49:V57" si="2">IFERROR(K49*W49+N49*X49, )</f>
        <v>388.13536714285709</v>
      </c>
      <c r="W49" s="337">
        <f>HLOOKUP($C49,CM!$H$3:$I$8,5,0)</f>
        <v>3.3071428571428569</v>
      </c>
      <c r="X49" s="337">
        <f>HLOOKUP($C49,CM!$H$3:$I$8,6,0)</f>
        <v>3.0164169999999997</v>
      </c>
      <c r="Y49" s="298">
        <f>O49-V49</f>
        <v>301.81685344537829</v>
      </c>
    </row>
    <row r="50" spans="2:25" s="155" customFormat="1">
      <c r="B50" s="310">
        <f t="shared" ref="B50:B61" si="3">B49+1</f>
        <v>3</v>
      </c>
      <c r="C50" s="155">
        <f>C85</f>
        <v>737</v>
      </c>
      <c r="D50" s="310" t="str">
        <f>"M"&amp;CTRL!H59</f>
        <v>M7</v>
      </c>
      <c r="J50" s="155">
        <f t="shared" ref="J50:O50" si="4">J85</f>
        <v>17</v>
      </c>
      <c r="K50" s="155">
        <f t="shared" si="4"/>
        <v>83</v>
      </c>
      <c r="L50" s="155">
        <f t="shared" si="4"/>
        <v>34</v>
      </c>
      <c r="M50" s="155">
        <f t="shared" si="4"/>
        <v>117</v>
      </c>
      <c r="N50" s="155">
        <f t="shared" si="4"/>
        <v>34</v>
      </c>
      <c r="O50" s="298">
        <f t="shared" si="4"/>
        <v>753.89901176470596</v>
      </c>
      <c r="V50" s="298">
        <f t="shared" si="2"/>
        <v>377.05103514285713</v>
      </c>
      <c r="W50" s="337">
        <f>HLOOKUP($C50,CM!$H$3:$I$8,5,0)</f>
        <v>3.3071428571428569</v>
      </c>
      <c r="X50" s="337">
        <f>HLOOKUP($C50,CM!$H$3:$I$8,6,0)</f>
        <v>3.0164169999999997</v>
      </c>
      <c r="Y50" s="298">
        <f>O50-V50</f>
        <v>376.84797662184883</v>
      </c>
    </row>
    <row r="51" spans="2:25" s="155" customFormat="1">
      <c r="B51" s="310">
        <f t="shared" si="3"/>
        <v>4</v>
      </c>
      <c r="C51" s="155">
        <f>C91</f>
        <v>767</v>
      </c>
      <c r="D51" s="310" t="str">
        <f>"M"&amp;CTRL!H60</f>
        <v>M7</v>
      </c>
      <c r="J51" s="155">
        <f>J91</f>
        <v>7</v>
      </c>
      <c r="K51" s="155">
        <f t="shared" ref="K51:O51" si="5">K91</f>
        <v>84</v>
      </c>
      <c r="L51" s="155">
        <f t="shared" si="5"/>
        <v>14</v>
      </c>
      <c r="M51" s="155">
        <f t="shared" si="5"/>
        <v>98</v>
      </c>
      <c r="N51" s="155">
        <f t="shared" si="5"/>
        <v>14</v>
      </c>
      <c r="O51" s="298">
        <f t="shared" si="5"/>
        <v>1016.932581971765</v>
      </c>
      <c r="V51" s="298">
        <f t="shared" si="2"/>
        <v>624.10176000000001</v>
      </c>
      <c r="W51" s="337">
        <f>IFERROR(HLOOKUP($C51,CM!$H$3:$I$8,5,0), )</f>
        <v>6.8821428571428571</v>
      </c>
      <c r="X51" s="337">
        <f>IFERROR(HLOOKUP($C51,CM!$H$3:$I$8,6,0), )</f>
        <v>3.2858399999999994</v>
      </c>
      <c r="Y51" s="298">
        <f t="shared" ref="Y51:Y57" si="6">O51-V51</f>
        <v>392.83082197176498</v>
      </c>
    </row>
    <row r="52" spans="2:25" s="155" customFormat="1">
      <c r="B52" s="310">
        <f t="shared" si="3"/>
        <v>5</v>
      </c>
      <c r="C52" s="155">
        <f>C97</f>
        <v>737</v>
      </c>
      <c r="D52" s="310" t="str">
        <f>"M"&amp;CTRL!H61</f>
        <v>M13</v>
      </c>
      <c r="J52" s="155">
        <f>J97</f>
        <v>10</v>
      </c>
      <c r="K52" s="155">
        <f t="shared" ref="K52:O52" si="7">K97</f>
        <v>80</v>
      </c>
      <c r="L52" s="155">
        <f t="shared" si="7"/>
        <v>20</v>
      </c>
      <c r="M52" s="155">
        <f t="shared" si="7"/>
        <v>100</v>
      </c>
      <c r="N52" s="155">
        <f t="shared" si="7"/>
        <v>20</v>
      </c>
      <c r="O52" s="298">
        <f t="shared" si="7"/>
        <v>403.87447058823534</v>
      </c>
      <c r="V52" s="298">
        <f t="shared" si="2"/>
        <v>324.89976857142858</v>
      </c>
      <c r="W52" s="337">
        <f>IFERROR(HLOOKUP($C52,CM!$H$3:$I$8,5,0), )</f>
        <v>3.3071428571428569</v>
      </c>
      <c r="X52" s="337">
        <f>IFERROR(HLOOKUP($C52,CM!$H$3:$I$8,6,0), )</f>
        <v>3.0164169999999997</v>
      </c>
      <c r="Y52" s="298">
        <f t="shared" si="6"/>
        <v>78.974702016806759</v>
      </c>
    </row>
    <row r="53" spans="2:25" s="155" customFormat="1">
      <c r="B53" s="310">
        <f t="shared" si="3"/>
        <v>6</v>
      </c>
      <c r="C53" s="155">
        <f>C103</f>
        <v>767</v>
      </c>
      <c r="D53" s="310" t="str">
        <f>"M"&amp;CTRL!K57</f>
        <v>M19</v>
      </c>
      <c r="J53" s="155">
        <f>J103</f>
        <v>6</v>
      </c>
      <c r="K53" s="155">
        <f>K103</f>
        <v>99</v>
      </c>
      <c r="L53" s="155">
        <f t="shared" ref="L53:O53" si="8">L103</f>
        <v>12</v>
      </c>
      <c r="M53" s="155">
        <f t="shared" si="8"/>
        <v>111</v>
      </c>
      <c r="N53" s="155">
        <f t="shared" si="8"/>
        <v>12</v>
      </c>
      <c r="O53" s="298">
        <f t="shared" si="8"/>
        <v>1171.2884203067651</v>
      </c>
      <c r="V53" s="298">
        <f t="shared" si="2"/>
        <v>720.76222285714277</v>
      </c>
      <c r="W53" s="337">
        <f>IFERROR(HLOOKUP($C53,CM!$H$3:$I$8,5,0), )</f>
        <v>6.8821428571428571</v>
      </c>
      <c r="X53" s="337">
        <f>IFERROR(HLOOKUP($C53,CM!$H$3:$I$8,6,0), )</f>
        <v>3.2858399999999994</v>
      </c>
      <c r="Y53" s="298">
        <f t="shared" si="6"/>
        <v>450.52619744962237</v>
      </c>
    </row>
    <row r="54" spans="2:25" s="155" customFormat="1">
      <c r="B54" s="310">
        <f t="shared" si="3"/>
        <v>7</v>
      </c>
      <c r="C54" s="155">
        <f>C109</f>
        <v>737</v>
      </c>
      <c r="D54" s="310" t="str">
        <f>"M"&amp;CTRL!K58</f>
        <v>M25</v>
      </c>
      <c r="J54" s="155">
        <f>J109</f>
        <v>9</v>
      </c>
      <c r="K54" s="155">
        <f t="shared" ref="K54:O54" si="9">K109</f>
        <v>81</v>
      </c>
      <c r="L54" s="155">
        <f t="shared" si="9"/>
        <v>18</v>
      </c>
      <c r="M54" s="155">
        <f t="shared" si="9"/>
        <v>99</v>
      </c>
      <c r="N54" s="155">
        <f t="shared" si="9"/>
        <v>18</v>
      </c>
      <c r="O54" s="298">
        <f t="shared" si="9"/>
        <v>969.29872941176495</v>
      </c>
      <c r="V54" s="298">
        <f t="shared" si="2"/>
        <v>322.17407742857142</v>
      </c>
      <c r="W54" s="337">
        <f>IFERROR(HLOOKUP($C54,CM!$H$3:$I$8,5,0), )</f>
        <v>3.3071428571428569</v>
      </c>
      <c r="X54" s="337">
        <f>IFERROR(HLOOKUP($C54,CM!$H$3:$I$8,6,0), )</f>
        <v>3.0164169999999997</v>
      </c>
      <c r="Y54" s="298">
        <f t="shared" si="6"/>
        <v>647.12465198319353</v>
      </c>
    </row>
    <row r="55" spans="2:25" s="155" customFormat="1">
      <c r="B55" s="310">
        <f t="shared" si="3"/>
        <v>8</v>
      </c>
      <c r="C55" s="155">
        <f>C115</f>
        <v>767</v>
      </c>
      <c r="D55" s="310" t="str">
        <f>"M"&amp;CTRL!K59</f>
        <v>M31</v>
      </c>
      <c r="J55" s="155">
        <f>J115</f>
        <v>10</v>
      </c>
      <c r="K55" s="155">
        <f t="shared" ref="K55:O55" si="10">K115</f>
        <v>75</v>
      </c>
      <c r="L55" s="155">
        <f t="shared" si="10"/>
        <v>20</v>
      </c>
      <c r="M55" s="155">
        <f t="shared" si="10"/>
        <v>95</v>
      </c>
      <c r="N55" s="155">
        <f t="shared" si="10"/>
        <v>20</v>
      </c>
      <c r="O55" s="298">
        <f t="shared" si="10"/>
        <v>2533.4401566000001</v>
      </c>
      <c r="V55" s="298">
        <f t="shared" si="2"/>
        <v>581.87751428571437</v>
      </c>
      <c r="W55" s="337">
        <f>IFERROR(HLOOKUP($C55,CM!$H$3:$I$8,5,0), )</f>
        <v>6.8821428571428571</v>
      </c>
      <c r="X55" s="337">
        <f>IFERROR(HLOOKUP($C55,CM!$H$3:$I$8,6,0), )</f>
        <v>3.2858399999999994</v>
      </c>
      <c r="Y55" s="298">
        <f t="shared" si="6"/>
        <v>1951.5626423142858</v>
      </c>
    </row>
    <row r="56" spans="2:25" s="155" customFormat="1">
      <c r="B56" s="310">
        <f t="shared" si="3"/>
        <v>9</v>
      </c>
      <c r="C56" s="155">
        <f>C121</f>
        <v>767</v>
      </c>
      <c r="D56" s="310" t="str">
        <f>"M"&amp;CTRL!K60</f>
        <v>M37</v>
      </c>
      <c r="J56" s="155">
        <f>J121</f>
        <v>4</v>
      </c>
      <c r="K56" s="155">
        <f t="shared" ref="K56:O56" si="11">K121</f>
        <v>80</v>
      </c>
      <c r="L56" s="155">
        <f t="shared" si="11"/>
        <v>8</v>
      </c>
      <c r="M56" s="155">
        <f t="shared" si="11"/>
        <v>88</v>
      </c>
      <c r="N56" s="155">
        <f t="shared" si="11"/>
        <v>8</v>
      </c>
      <c r="O56" s="298">
        <f t="shared" si="11"/>
        <v>1532.8791609</v>
      </c>
      <c r="V56" s="298">
        <f t="shared" si="2"/>
        <v>576.8581485714285</v>
      </c>
      <c r="W56" s="337">
        <f>IFERROR(HLOOKUP($C56,CM!$H$3:$I$8,5,0), )</f>
        <v>6.8821428571428571</v>
      </c>
      <c r="X56" s="337">
        <f>IFERROR(HLOOKUP($C56,CM!$H$3:$I$8,6,0), )</f>
        <v>3.2858399999999994</v>
      </c>
      <c r="Y56" s="298">
        <f t="shared" si="6"/>
        <v>956.02101232857149</v>
      </c>
    </row>
    <row r="57" spans="2:25" s="155" customFormat="1">
      <c r="B57" s="310">
        <f t="shared" si="3"/>
        <v>10</v>
      </c>
      <c r="C57" s="155">
        <f>C127</f>
        <v>767</v>
      </c>
      <c r="D57" s="310" t="str">
        <f>"M"&amp;CTRL!K61</f>
        <v>M43</v>
      </c>
      <c r="J57" s="155">
        <f>J127</f>
        <v>8</v>
      </c>
      <c r="K57" s="155">
        <f t="shared" ref="K57:O57" si="12">K127</f>
        <v>84.8</v>
      </c>
      <c r="L57" s="155">
        <f t="shared" si="12"/>
        <v>16</v>
      </c>
      <c r="M57" s="155">
        <f t="shared" si="12"/>
        <v>100.8</v>
      </c>
      <c r="N57" s="155">
        <f t="shared" si="12"/>
        <v>16</v>
      </c>
      <c r="O57" s="298">
        <f t="shared" si="12"/>
        <v>1315.6802058400001</v>
      </c>
      <c r="V57" s="298">
        <f t="shared" si="2"/>
        <v>636.17915428571428</v>
      </c>
      <c r="W57" s="337">
        <f>IFERROR(HLOOKUP($C57,CM!$H$3:$I$8,5,0), )</f>
        <v>6.8821428571428571</v>
      </c>
      <c r="X57" s="337">
        <f>IFERROR(HLOOKUP($C57,CM!$H$3:$I$8,6,0), )</f>
        <v>3.2858399999999994</v>
      </c>
      <c r="Y57" s="298">
        <f t="shared" si="6"/>
        <v>679.50105155428582</v>
      </c>
    </row>
    <row r="58" spans="2:25">
      <c r="B58" s="310">
        <f t="shared" si="3"/>
        <v>11</v>
      </c>
      <c r="D58" s="221"/>
      <c r="O58" s="338"/>
      <c r="V58" s="338"/>
      <c r="Y58" s="338"/>
    </row>
    <row r="59" spans="2:25">
      <c r="B59" s="310">
        <f t="shared" si="3"/>
        <v>12</v>
      </c>
      <c r="D59" s="221"/>
      <c r="O59" s="338"/>
      <c r="V59" s="338"/>
      <c r="Y59" s="338"/>
    </row>
    <row r="60" spans="2:25">
      <c r="B60" s="310">
        <f t="shared" si="3"/>
        <v>13</v>
      </c>
      <c r="D60" s="221"/>
      <c r="O60" s="338"/>
      <c r="V60" s="338"/>
      <c r="Y60" s="338"/>
    </row>
    <row r="61" spans="2:25" ht="13.8" thickBot="1">
      <c r="B61" s="339">
        <f t="shared" si="3"/>
        <v>14</v>
      </c>
      <c r="C61" s="224"/>
      <c r="D61" s="340"/>
      <c r="E61" s="224"/>
      <c r="F61" s="224"/>
      <c r="G61" s="224"/>
      <c r="H61" s="224"/>
      <c r="I61" s="224"/>
      <c r="J61" s="224"/>
      <c r="K61" s="224"/>
      <c r="L61" s="224"/>
      <c r="M61" s="224"/>
      <c r="N61" s="224"/>
      <c r="O61" s="341"/>
      <c r="P61" s="224"/>
      <c r="Q61" s="224"/>
      <c r="R61" s="224"/>
      <c r="S61" s="224"/>
      <c r="T61" s="224"/>
      <c r="U61" s="224"/>
      <c r="V61" s="341"/>
      <c r="W61" s="224"/>
      <c r="X61" s="224"/>
      <c r="Y61" s="341"/>
    </row>
    <row r="66" spans="2:21">
      <c r="B66" s="286" t="s">
        <v>363</v>
      </c>
    </row>
    <row r="68" spans="2:21" ht="13.8" outlineLevel="1" thickBot="1">
      <c r="B68" s="154"/>
      <c r="C68" s="154" t="s">
        <v>311</v>
      </c>
      <c r="D68" s="154" t="s">
        <v>277</v>
      </c>
      <c r="G68" s="139" t="s">
        <v>1055</v>
      </c>
      <c r="S68" s="154" t="s">
        <v>120</v>
      </c>
      <c r="T68" s="154" t="s">
        <v>312</v>
      </c>
      <c r="U68" s="304" t="s">
        <v>313</v>
      </c>
    </row>
    <row r="69" spans="2:21" outlineLevel="1">
      <c r="B69" s="139" t="s">
        <v>123</v>
      </c>
      <c r="C69" s="342">
        <f>E10</f>
        <v>0.8</v>
      </c>
      <c r="D69" s="342">
        <f>E11</f>
        <v>0.72500000000000009</v>
      </c>
      <c r="S69" s="342">
        <f>E12</f>
        <v>0.62</v>
      </c>
      <c r="T69" s="342">
        <f>E13</f>
        <v>0.27</v>
      </c>
      <c r="U69" s="342">
        <f>E14</f>
        <v>0.11</v>
      </c>
    </row>
    <row r="71" spans="2:21">
      <c r="E71" s="332" t="s">
        <v>115</v>
      </c>
      <c r="F71" s="332"/>
      <c r="R71" s="332" t="s">
        <v>314</v>
      </c>
    </row>
    <row r="72" spans="2:21" ht="40.200000000000003" thickBot="1">
      <c r="B72" s="304" t="s">
        <v>146</v>
      </c>
      <c r="C72" s="157" t="s">
        <v>304</v>
      </c>
      <c r="D72" s="157" t="s">
        <v>315</v>
      </c>
      <c r="E72" s="304" t="s">
        <v>305</v>
      </c>
      <c r="F72" s="154" t="s">
        <v>316</v>
      </c>
      <c r="G72" s="154" t="s">
        <v>345</v>
      </c>
      <c r="H72" s="154" t="s">
        <v>347</v>
      </c>
      <c r="I72" s="154" t="s">
        <v>317</v>
      </c>
      <c r="J72" s="154" t="s">
        <v>318</v>
      </c>
      <c r="K72" s="154" t="s">
        <v>350</v>
      </c>
      <c r="L72" s="154" t="s">
        <v>352</v>
      </c>
      <c r="M72" s="154" t="s">
        <v>306</v>
      </c>
      <c r="N72" s="154" t="s">
        <v>615</v>
      </c>
      <c r="O72" s="154" t="s">
        <v>319</v>
      </c>
      <c r="P72" s="154" t="s">
        <v>121</v>
      </c>
      <c r="Q72" s="154" t="s">
        <v>320</v>
      </c>
      <c r="R72" s="154" t="s">
        <v>125</v>
      </c>
      <c r="S72" s="154" t="s">
        <v>12</v>
      </c>
      <c r="T72" s="154" t="s">
        <v>13</v>
      </c>
      <c r="U72" s="154" t="s">
        <v>14</v>
      </c>
    </row>
    <row r="73" spans="2:21" s="155" customFormat="1">
      <c r="B73" s="343">
        <v>1</v>
      </c>
      <c r="C73" s="343">
        <f>CTRL!E64</f>
        <v>737</v>
      </c>
      <c r="D73" s="343"/>
      <c r="E73" s="343"/>
      <c r="F73" s="343"/>
      <c r="G73" s="343"/>
      <c r="H73" s="343"/>
      <c r="I73" s="343"/>
      <c r="J73" s="343">
        <f>SUM(J74:J78)</f>
        <v>15</v>
      </c>
      <c r="K73" s="343">
        <f>SUM(K74:K78)</f>
        <v>70</v>
      </c>
      <c r="L73" s="343">
        <f>SUM(L74:L78)</f>
        <v>30</v>
      </c>
      <c r="M73" s="343">
        <f>IF(SUM(M74:M78)&gt;144,"운항시간초과",SUM(M74:M78))</f>
        <v>100</v>
      </c>
      <c r="N73" s="343">
        <f>SUM(N74:N78)</f>
        <v>30</v>
      </c>
      <c r="O73" s="344">
        <f>IF(M73="운항시간초과","Error",SUMPRODUCT(N74:N78,O74:O78))</f>
        <v>487.67775</v>
      </c>
      <c r="P73" s="345"/>
      <c r="Q73" s="345"/>
      <c r="R73" s="345"/>
      <c r="S73" s="345"/>
      <c r="T73" s="345"/>
      <c r="U73" s="345"/>
    </row>
    <row r="74" spans="2:21" outlineLevel="1">
      <c r="C74" s="139">
        <f>C73</f>
        <v>737</v>
      </c>
      <c r="D74" s="221" t="str">
        <f>CTRL!I65</f>
        <v>C1</v>
      </c>
      <c r="E74" s="139" t="str">
        <f>IFERROR(VLOOKUP(D74,노선정리!$C$4:$S$31,3,0),)</f>
        <v>제주</v>
      </c>
      <c r="F74" s="139" t="str">
        <f>IFERROR(IF(D74="C1","국내","국제"), )</f>
        <v>국내</v>
      </c>
      <c r="G74" s="139">
        <f>IFERROR(VLOOKUP(D74,노선정리!$C$4:$S$31,9,0),)</f>
        <v>2</v>
      </c>
      <c r="H74" s="139">
        <f>IFERROR(VLOOKUP(D74,노선정리!$C$4:$S$31,10,0),)</f>
        <v>2</v>
      </c>
      <c r="I74" s="139">
        <f>IFERROR(G74+H74, )</f>
        <v>4</v>
      </c>
      <c r="J74" s="221">
        <f>CTRL!J65</f>
        <v>10</v>
      </c>
      <c r="K74" s="139">
        <f t="shared" ref="K74:L77" si="13">IFERROR(G74*$J74, )</f>
        <v>20</v>
      </c>
      <c r="L74" s="139">
        <f t="shared" si="13"/>
        <v>20</v>
      </c>
      <c r="M74" s="139">
        <f>IFERROR(I74*J74, )</f>
        <v>40</v>
      </c>
      <c r="N74" s="139">
        <f>IFERROR(J74*2, )</f>
        <v>20</v>
      </c>
      <c r="O74" s="346">
        <f>IFERROR(P74*Q74*R74, )</f>
        <v>10.079999999999998</v>
      </c>
      <c r="P74" s="238">
        <f>IFERROR(HLOOKUP(C74,'2.기초자료_정리'!$F$4:$I$6,3,0), )</f>
        <v>21000</v>
      </c>
      <c r="Q74" s="342">
        <f>IFERROR(IF(F74="국내",C$69,D$69), )</f>
        <v>0.8</v>
      </c>
      <c r="R74" s="347">
        <f>IFERROR(IF(F74="국내",S74,S74*S$69+T74*T$69+U74*U$69), )</f>
        <v>5.9999999999999995E-4</v>
      </c>
      <c r="S74" s="347">
        <f>IFERROR(VLOOKUP($D74,노선정리!$C$4:$S$31,15,0),)</f>
        <v>5.9999999999999995E-4</v>
      </c>
      <c r="T74" s="347">
        <f>IFERROR(VLOOKUP($D74,노선정리!$C$4:$S$31,16,0),)</f>
        <v>0</v>
      </c>
      <c r="U74" s="347">
        <f>IFERROR(VLOOKUP($D74,노선정리!$C$4:$S$31,17,0),)</f>
        <v>0</v>
      </c>
    </row>
    <row r="75" spans="2:21" outlineLevel="1">
      <c r="C75" s="139">
        <f>C74</f>
        <v>737</v>
      </c>
      <c r="D75" s="221" t="str">
        <f>CTRL!I66</f>
        <v>C2</v>
      </c>
      <c r="E75" s="139" t="str">
        <f>IFERROR(VLOOKUP(D75,노선정리!$C$4:$S$31,3,0),)</f>
        <v>하노이</v>
      </c>
      <c r="F75" s="139" t="str">
        <f>IFERROR(IF(D75="C1","국내","국제"), )</f>
        <v>국제</v>
      </c>
      <c r="G75" s="139">
        <f>IFERROR(VLOOKUP(D75,노선정리!$C$4:$S$31,9,0),)</f>
        <v>10</v>
      </c>
      <c r="H75" s="139">
        <f>IFERROR(VLOOKUP(D75,노선정리!$C$4:$S$31,10,0),)</f>
        <v>2</v>
      </c>
      <c r="I75" s="139">
        <f>IFERROR(G75+H75, )</f>
        <v>12</v>
      </c>
      <c r="J75" s="221">
        <f>CTRL!J66</f>
        <v>5</v>
      </c>
      <c r="K75" s="139">
        <f t="shared" si="13"/>
        <v>50</v>
      </c>
      <c r="L75" s="139">
        <f t="shared" si="13"/>
        <v>10</v>
      </c>
      <c r="M75" s="139">
        <f>IFERROR(I75*J75, )</f>
        <v>60</v>
      </c>
      <c r="N75" s="139">
        <f>IFERROR(J75*2, )</f>
        <v>10</v>
      </c>
      <c r="O75" s="346">
        <f>IFERROR(P75*Q75*R75, )</f>
        <v>28.607775000000004</v>
      </c>
      <c r="P75" s="238">
        <f>IFERROR(HLOOKUP(C75,'2.기초자료_정리'!$F$4:$I$6,3,0), )</f>
        <v>21000</v>
      </c>
      <c r="Q75" s="342">
        <f>IFERROR(IF(F75="국내",C$69,D$69), )</f>
        <v>0.72500000000000009</v>
      </c>
      <c r="R75" s="347">
        <f>IFERROR(IF(F75="국내",S75,S75*S$69+T75*T$69+U75*U$69), )</f>
        <v>1.879E-3</v>
      </c>
      <c r="S75" s="347">
        <f>IFERROR(VLOOKUP($D75,노선정리!$C$4:$S$31,15,0),)</f>
        <v>1.6999999999999999E-3</v>
      </c>
      <c r="T75" s="347">
        <f>IFERROR(VLOOKUP($D75,노선정리!$C$4:$S$31,16,0),)</f>
        <v>2.2000000000000001E-3</v>
      </c>
      <c r="U75" s="347">
        <f>IFERROR(VLOOKUP($D75,노선정리!$C$4:$S$31,17,0),)</f>
        <v>2.0999999999999999E-3</v>
      </c>
    </row>
    <row r="76" spans="2:21" outlineLevel="1">
      <c r="C76" s="139">
        <f>C75</f>
        <v>737</v>
      </c>
      <c r="D76" s="221">
        <f>CTRL!I67</f>
        <v>0</v>
      </c>
      <c r="E76" s="139">
        <f>IFERROR(VLOOKUP(D76,노선정리!$C$4:$S$31,3,0),)</f>
        <v>0</v>
      </c>
      <c r="F76" s="139" t="str">
        <f>IFERROR(IF(D76="C1","국내","국제"), )</f>
        <v>국제</v>
      </c>
      <c r="G76" s="139">
        <f>IFERROR(VLOOKUP(D76,노선정리!$C$4:$S$31,9,0),)</f>
        <v>0</v>
      </c>
      <c r="H76" s="139">
        <f>IFERROR(VLOOKUP(D76,노선정리!$C$4:$S$31,10,0),)</f>
        <v>0</v>
      </c>
      <c r="I76" s="139">
        <f>IFERROR(G76+H76, )</f>
        <v>0</v>
      </c>
      <c r="J76" s="221">
        <f>CTRL!J67</f>
        <v>0</v>
      </c>
      <c r="K76" s="139">
        <f t="shared" si="13"/>
        <v>0</v>
      </c>
      <c r="L76" s="139">
        <f t="shared" si="13"/>
        <v>0</v>
      </c>
      <c r="M76" s="139">
        <f>IFERROR(I76*J76, )</f>
        <v>0</v>
      </c>
      <c r="N76" s="139">
        <f>IFERROR(J76*2, )</f>
        <v>0</v>
      </c>
      <c r="O76" s="346">
        <f>IFERROR(P76*Q76*R76, )</f>
        <v>0</v>
      </c>
      <c r="P76" s="238">
        <f>IFERROR(HLOOKUP(C76,'2.기초자료_정리'!$F$4:$I$6,3,0), )</f>
        <v>21000</v>
      </c>
      <c r="Q76" s="342">
        <f>IFERROR(IF(F76="국내",C$69,D$69), )</f>
        <v>0.72500000000000009</v>
      </c>
      <c r="R76" s="347">
        <f>IFERROR(IF(F76="국내",S76,S76*S$69+T76*T$69+U76*U$69), )</f>
        <v>0</v>
      </c>
      <c r="S76" s="347">
        <f>IFERROR(VLOOKUP($D76,노선정리!$C$4:$S$31,15,0),)</f>
        <v>0</v>
      </c>
      <c r="T76" s="347">
        <f>IFERROR(VLOOKUP($D76,노선정리!$C$4:$S$31,16,0),)</f>
        <v>0</v>
      </c>
      <c r="U76" s="347">
        <f>IFERROR(VLOOKUP($D76,노선정리!$C$4:$S$31,17,0),)</f>
        <v>0</v>
      </c>
    </row>
    <row r="77" spans="2:21" outlineLevel="1">
      <c r="C77" s="139">
        <f>C76</f>
        <v>737</v>
      </c>
      <c r="D77" s="221">
        <f>CTRL!I68</f>
        <v>0</v>
      </c>
      <c r="E77" s="139">
        <f>IFERROR(VLOOKUP(D77,노선정리!$C$4:$S$31,3,0),)</f>
        <v>0</v>
      </c>
      <c r="F77" s="139" t="str">
        <f>IFERROR(IF(D77="C1","국내","국제"), )</f>
        <v>국제</v>
      </c>
      <c r="G77" s="139">
        <f>IFERROR(VLOOKUP(D77,노선정리!$C$4:$S$31,9,0),)</f>
        <v>0</v>
      </c>
      <c r="H77" s="139">
        <f>IFERROR(VLOOKUP(D77,노선정리!$C$4:$S$31,10,0),)</f>
        <v>0</v>
      </c>
      <c r="I77" s="139">
        <f>IFERROR(G77+H77, )</f>
        <v>0</v>
      </c>
      <c r="J77" s="221">
        <f>CTRL!J68</f>
        <v>0</v>
      </c>
      <c r="K77" s="139">
        <f t="shared" si="13"/>
        <v>0</v>
      </c>
      <c r="L77" s="139">
        <f t="shared" si="13"/>
        <v>0</v>
      </c>
      <c r="M77" s="139">
        <f>IFERROR(I77*J77, )</f>
        <v>0</v>
      </c>
      <c r="N77" s="139">
        <f>IFERROR(J77*2, )</f>
        <v>0</v>
      </c>
      <c r="O77" s="346">
        <f>IFERROR(P77*Q77*R77, )</f>
        <v>0</v>
      </c>
      <c r="P77" s="238">
        <f>IFERROR(HLOOKUP(C77,'2.기초자료_정리'!$F$4:$I$6,3,0), )</f>
        <v>21000</v>
      </c>
      <c r="Q77" s="342">
        <f>IFERROR(IF(F77="국내",C$69,D$69), )</f>
        <v>0.72500000000000009</v>
      </c>
      <c r="R77" s="347">
        <f>IFERROR(IF(F77="국내",S77,S77*S$69+T77*T$69+U77*U$69), )</f>
        <v>0</v>
      </c>
      <c r="S77" s="347">
        <f>IFERROR(VLOOKUP($D77,노선정리!$C$4:$S$31,15,0),)</f>
        <v>0</v>
      </c>
      <c r="T77" s="347">
        <f>IFERROR(VLOOKUP($D77,노선정리!$C$4:$S$31,16,0),)</f>
        <v>0</v>
      </c>
      <c r="U77" s="347">
        <f>IFERROR(VLOOKUP($D77,노선정리!$C$4:$S$31,17,0),)</f>
        <v>0</v>
      </c>
    </row>
    <row r="78" spans="2:21" outlineLevel="1">
      <c r="B78" s="270"/>
      <c r="C78" s="270"/>
      <c r="D78" s="348"/>
      <c r="E78" s="270"/>
      <c r="F78" s="270"/>
      <c r="G78" s="270"/>
      <c r="H78" s="270"/>
      <c r="I78" s="270"/>
      <c r="J78" s="348"/>
      <c r="K78" s="270"/>
      <c r="L78" s="270"/>
      <c r="M78" s="270"/>
      <c r="N78" s="270"/>
      <c r="O78" s="270"/>
      <c r="P78" s="270"/>
      <c r="Q78" s="270"/>
      <c r="R78" s="270"/>
      <c r="S78" s="270"/>
      <c r="T78" s="270"/>
      <c r="U78" s="270"/>
    </row>
    <row r="79" spans="2:21">
      <c r="B79" s="343">
        <v>2</v>
      </c>
      <c r="C79" s="343">
        <f>CTRL!E70</f>
        <v>737</v>
      </c>
      <c r="D79" s="343"/>
      <c r="E79" s="343"/>
      <c r="F79" s="343"/>
      <c r="G79" s="343"/>
      <c r="H79" s="343"/>
      <c r="I79" s="343"/>
      <c r="J79" s="343">
        <f>SUM(J80:J84)</f>
        <v>15</v>
      </c>
      <c r="K79" s="343">
        <f>SUM(K80:K84)</f>
        <v>90</v>
      </c>
      <c r="L79" s="343">
        <f>SUM(L80:L84)</f>
        <v>30</v>
      </c>
      <c r="M79" s="343">
        <f>IF(SUM(M80:M84)&gt;144,"운항시간초과",SUM(M80:M84))</f>
        <v>120</v>
      </c>
      <c r="N79" s="343">
        <f>SUM(N80:N84)</f>
        <v>30</v>
      </c>
      <c r="O79" s="349">
        <f>IF(M79="운항시간초과","Error",SUMPRODUCT(N80:N84,O80:O84))</f>
        <v>689.95222058823538</v>
      </c>
      <c r="P79" s="345"/>
      <c r="Q79" s="345"/>
      <c r="R79" s="345"/>
      <c r="S79" s="345"/>
      <c r="T79" s="345"/>
      <c r="U79" s="345"/>
    </row>
    <row r="80" spans="2:21" outlineLevel="1">
      <c r="C80" s="139">
        <f t="shared" ref="C80:C83" si="14">C79</f>
        <v>737</v>
      </c>
      <c r="D80" s="221" t="str">
        <f>CTRL!I71</f>
        <v>I1</v>
      </c>
      <c r="E80" s="139" t="str">
        <f>IFERROR(VLOOKUP(D80,노선정리!$C$4:$S$31,3,0),)</f>
        <v>호치민</v>
      </c>
      <c r="F80" s="139" t="str">
        <f>IFERROR(IF(D80="C1","국내","국제"), )</f>
        <v>국제</v>
      </c>
      <c r="G80" s="139">
        <f>IFERROR(VLOOKUP(D80,노선정리!$C$4:$S$31,9,0),)</f>
        <v>12</v>
      </c>
      <c r="H80" s="139">
        <f>IFERROR(VLOOKUP(D80,노선정리!$C$4:$S$31,10,0),)</f>
        <v>2</v>
      </c>
      <c r="I80" s="139">
        <f>IFERROR(G80+H80, )</f>
        <v>14</v>
      </c>
      <c r="J80" s="221">
        <f>CTRL!J71</f>
        <v>5</v>
      </c>
      <c r="K80" s="139">
        <f t="shared" ref="K80:L83" si="15">IFERROR(G80*$J80, )</f>
        <v>60</v>
      </c>
      <c r="L80" s="139">
        <f t="shared" si="15"/>
        <v>10</v>
      </c>
      <c r="M80" s="139">
        <f>IFERROR(I80*J80, )</f>
        <v>70</v>
      </c>
      <c r="N80" s="139">
        <f>IFERROR(J80*2, )</f>
        <v>10</v>
      </c>
      <c r="O80" s="346">
        <f>IFERROR(P80*Q80*R80, )</f>
        <v>28.607775000000004</v>
      </c>
      <c r="P80" s="238">
        <f>IFERROR(HLOOKUP(C80,'2.기초자료_정리'!$F$4:$I$6,3,0), )</f>
        <v>21000</v>
      </c>
      <c r="Q80" s="342">
        <f>IFERROR(IF(F80="국내",C$69,D$69), )</f>
        <v>0.72500000000000009</v>
      </c>
      <c r="R80" s="347">
        <f>IFERROR(IF(F80="국내",S80,S80*S$69+T80*T$69+U80*U$69), )</f>
        <v>1.879E-3</v>
      </c>
      <c r="S80" s="347">
        <f>IFERROR(VLOOKUP($D80,노선정리!$C$4:$S$31,15,0),)</f>
        <v>1.6999999999999999E-3</v>
      </c>
      <c r="T80" s="347">
        <f>IFERROR(VLOOKUP($D80,노선정리!$C$4:$S$31,16,0),)</f>
        <v>2.2000000000000001E-3</v>
      </c>
      <c r="U80" s="347">
        <f>IFERROR(VLOOKUP($D80,노선정리!$C$4:$S$31,17,0),)</f>
        <v>2.0999999999999999E-3</v>
      </c>
    </row>
    <row r="81" spans="2:21" outlineLevel="1">
      <c r="C81" s="139">
        <f t="shared" si="14"/>
        <v>737</v>
      </c>
      <c r="D81" s="221" t="str">
        <f>CTRL!I72</f>
        <v>C3</v>
      </c>
      <c r="E81" s="139" t="str">
        <f>IFERROR(VLOOKUP(D81,노선정리!$C$4:$S$31,3,0),)</f>
        <v>옌타이</v>
      </c>
      <c r="F81" s="139" t="str">
        <f>IFERROR(IF(D81="C1","국내","국제"), )</f>
        <v>국제</v>
      </c>
      <c r="G81" s="139">
        <f>IFERROR(VLOOKUP(D81,노선정리!$C$4:$S$31,9,0),)</f>
        <v>3</v>
      </c>
      <c r="H81" s="139">
        <f>IFERROR(VLOOKUP(D81,노선정리!$C$4:$S$31,10,0),)</f>
        <v>2</v>
      </c>
      <c r="I81" s="139">
        <f>IFERROR(G81+H81, )</f>
        <v>5</v>
      </c>
      <c r="J81" s="221">
        <f>CTRL!J72</f>
        <v>5</v>
      </c>
      <c r="K81" s="139">
        <f t="shared" si="15"/>
        <v>15</v>
      </c>
      <c r="L81" s="139">
        <f t="shared" si="15"/>
        <v>10</v>
      </c>
      <c r="M81" s="139">
        <f>IFERROR(I81*J81, )</f>
        <v>25</v>
      </c>
      <c r="N81" s="139">
        <f>IFERROR(J81*2, )</f>
        <v>10</v>
      </c>
      <c r="O81" s="346">
        <f>IFERROR(P81*Q81*R81, )</f>
        <v>20.193723529411766</v>
      </c>
      <c r="P81" s="238">
        <f>IFERROR(HLOOKUP(C81,'2.기초자료_정리'!$F$4:$I$6,3,0), )</f>
        <v>21000</v>
      </c>
      <c r="Q81" s="342">
        <f>IFERROR(IF(F81="국내",C$69,D$69), )</f>
        <v>0.72500000000000009</v>
      </c>
      <c r="R81" s="347">
        <f>IFERROR(IF(F81="국내",S81,S81*S$69+T81*T$69+U81*U$69), )</f>
        <v>1.3263529411764706E-3</v>
      </c>
      <c r="S81" s="347">
        <f>IFERROR(VLOOKUP($D81,노선정리!$C$4:$S$31,15,0),)</f>
        <v>1.1999999999999999E-3</v>
      </c>
      <c r="T81" s="347">
        <f>IFERROR(VLOOKUP($D81,노선정리!$C$4:$S$31,16,0),)</f>
        <v>1.5529411764705883E-3</v>
      </c>
      <c r="U81" s="347">
        <f>IFERROR(VLOOKUP($D81,노선정리!$C$4:$S$31,17,0),)</f>
        <v>1.4823529411764705E-3</v>
      </c>
    </row>
    <row r="82" spans="2:21" outlineLevel="1">
      <c r="C82" s="139">
        <f t="shared" si="14"/>
        <v>737</v>
      </c>
      <c r="D82" s="221" t="str">
        <f>CTRL!I73</f>
        <v>C4</v>
      </c>
      <c r="E82" s="139" t="str">
        <f>IFERROR(VLOOKUP(D82,노선정리!$C$4:$S$31,3,0),)</f>
        <v>칭다오</v>
      </c>
      <c r="F82" s="139" t="str">
        <f>IFERROR(IF(D82="C1","국내","국제"), )</f>
        <v>국제</v>
      </c>
      <c r="G82" s="139">
        <f>IFERROR(VLOOKUP(D82,노선정리!$C$4:$S$31,9,0),)</f>
        <v>3</v>
      </c>
      <c r="H82" s="139">
        <f>IFERROR(VLOOKUP(D82,노선정리!$C$4:$S$31,10,0),)</f>
        <v>2</v>
      </c>
      <c r="I82" s="139">
        <f>IFERROR(G82+H82, )</f>
        <v>5</v>
      </c>
      <c r="J82" s="221">
        <f>CTRL!J73</f>
        <v>5</v>
      </c>
      <c r="K82" s="139">
        <f t="shared" si="15"/>
        <v>15</v>
      </c>
      <c r="L82" s="139">
        <f t="shared" si="15"/>
        <v>10</v>
      </c>
      <c r="M82" s="139">
        <f>IFERROR(I82*J82, )</f>
        <v>25</v>
      </c>
      <c r="N82" s="139">
        <f>IFERROR(J82*2, )</f>
        <v>10</v>
      </c>
      <c r="O82" s="346">
        <f>IFERROR(P82*Q82*R82, )</f>
        <v>20.193723529411766</v>
      </c>
      <c r="P82" s="238">
        <f>IFERROR(HLOOKUP(C82,'2.기초자료_정리'!$F$4:$I$6,3,0), )</f>
        <v>21000</v>
      </c>
      <c r="Q82" s="342">
        <f>IFERROR(IF(F82="국내",C$69,D$69), )</f>
        <v>0.72500000000000009</v>
      </c>
      <c r="R82" s="347">
        <f>IFERROR(IF(F82="국내",S82,S82*S$69+T82*T$69+U82*U$69), )</f>
        <v>1.3263529411764706E-3</v>
      </c>
      <c r="S82" s="347">
        <f>IFERROR(VLOOKUP($D82,노선정리!$C$4:$S$31,15,0),)</f>
        <v>1.1999999999999999E-3</v>
      </c>
      <c r="T82" s="347">
        <f>IFERROR(VLOOKUP($D82,노선정리!$C$4:$S$31,16,0),)</f>
        <v>1.5529411764705883E-3</v>
      </c>
      <c r="U82" s="347">
        <f>IFERROR(VLOOKUP($D82,노선정리!$C$4:$S$31,17,0),)</f>
        <v>1.4823529411764705E-3</v>
      </c>
    </row>
    <row r="83" spans="2:21" outlineLevel="1">
      <c r="C83" s="139">
        <f t="shared" si="14"/>
        <v>737</v>
      </c>
      <c r="D83" s="221">
        <f>CTRL!I74</f>
        <v>0</v>
      </c>
      <c r="E83" s="139">
        <f>IFERROR(VLOOKUP(D83,노선정리!$C$4:$S$31,3,0),)</f>
        <v>0</v>
      </c>
      <c r="F83" s="139" t="str">
        <f>IFERROR(IF(D83="C1","국내","국제"), )</f>
        <v>국제</v>
      </c>
      <c r="G83" s="139">
        <f>IFERROR(VLOOKUP(D83,노선정리!$C$4:$S$31,9,0),)</f>
        <v>0</v>
      </c>
      <c r="H83" s="139">
        <f>IFERROR(VLOOKUP(D83,노선정리!$C$4:$S$31,10,0),)</f>
        <v>0</v>
      </c>
      <c r="I83" s="139">
        <f>IFERROR(G83+H83, )</f>
        <v>0</v>
      </c>
      <c r="J83" s="221">
        <f>CTRL!J74</f>
        <v>0</v>
      </c>
      <c r="K83" s="139">
        <f t="shared" si="15"/>
        <v>0</v>
      </c>
      <c r="L83" s="139">
        <f t="shared" si="15"/>
        <v>0</v>
      </c>
      <c r="M83" s="139">
        <f>IFERROR(I83*J83, )</f>
        <v>0</v>
      </c>
      <c r="N83" s="139">
        <f>IFERROR(J83*2, )</f>
        <v>0</v>
      </c>
      <c r="O83" s="346">
        <f>IFERROR(P83*Q83*R83, )</f>
        <v>0</v>
      </c>
      <c r="P83" s="238">
        <f>IFERROR(HLOOKUP(C83,'2.기초자료_정리'!$F$4:$I$6,3,0), )</f>
        <v>21000</v>
      </c>
      <c r="Q83" s="342">
        <f>IFERROR(IF(F83="국내",C$69,D$69), )</f>
        <v>0.72500000000000009</v>
      </c>
      <c r="R83" s="347">
        <f>IFERROR(IF(F83="국내",S83,S83*S$69+T83*T$69+U83*U$69), )</f>
        <v>0</v>
      </c>
      <c r="S83" s="347">
        <f>IFERROR(VLOOKUP($D83,노선정리!$C$4:$S$31,15,0),)</f>
        <v>0</v>
      </c>
      <c r="T83" s="347">
        <f>IFERROR(VLOOKUP($D83,노선정리!$C$4:$S$31,16,0),)</f>
        <v>0</v>
      </c>
      <c r="U83" s="347">
        <f>IFERROR(VLOOKUP($D83,노선정리!$C$4:$S$31,17,0),)</f>
        <v>0</v>
      </c>
    </row>
    <row r="84" spans="2:21" outlineLevel="1">
      <c r="B84" s="270"/>
      <c r="C84" s="270"/>
      <c r="D84" s="348"/>
      <c r="E84" s="270"/>
      <c r="F84" s="270"/>
      <c r="G84" s="270"/>
      <c r="H84" s="270"/>
      <c r="I84" s="270"/>
      <c r="J84" s="348"/>
      <c r="K84" s="270"/>
      <c r="L84" s="270"/>
      <c r="M84" s="270"/>
      <c r="N84" s="270"/>
      <c r="O84" s="270"/>
      <c r="P84" s="270"/>
      <c r="Q84" s="270"/>
      <c r="R84" s="270"/>
      <c r="S84" s="270"/>
      <c r="T84" s="270"/>
      <c r="U84" s="270"/>
    </row>
    <row r="85" spans="2:21">
      <c r="B85" s="343">
        <v>3</v>
      </c>
      <c r="C85" s="343">
        <f>CTRL!E76</f>
        <v>737</v>
      </c>
      <c r="D85" s="343"/>
      <c r="E85" s="343"/>
      <c r="F85" s="343"/>
      <c r="G85" s="343"/>
      <c r="H85" s="343"/>
      <c r="I85" s="343"/>
      <c r="J85" s="343">
        <f>SUM(J86:J90)</f>
        <v>17</v>
      </c>
      <c r="K85" s="343">
        <f>SUM(K86:K90)</f>
        <v>83</v>
      </c>
      <c r="L85" s="343">
        <f>SUM(L86:L90)</f>
        <v>34</v>
      </c>
      <c r="M85" s="343">
        <f>IF(SUM(M86:M90)&gt;144,"운항시간초과",SUM(M86:M90))</f>
        <v>117</v>
      </c>
      <c r="N85" s="343">
        <f>SUM(N86:N90)</f>
        <v>34</v>
      </c>
      <c r="O85" s="350">
        <f>IF(M85="운항시간초과","Error",SUMPRODUCT(N86:N90,O86:O90))</f>
        <v>753.89901176470596</v>
      </c>
      <c r="P85" s="345"/>
      <c r="Q85" s="345"/>
      <c r="R85" s="345"/>
      <c r="S85" s="345"/>
      <c r="T85" s="345"/>
      <c r="U85" s="345"/>
    </row>
    <row r="86" spans="2:21" outlineLevel="1">
      <c r="C86" s="139">
        <f t="shared" ref="C86:C89" si="16">C85</f>
        <v>737</v>
      </c>
      <c r="D86" s="221" t="str">
        <f>CTRL!I77</f>
        <v>I2</v>
      </c>
      <c r="E86" s="139" t="str">
        <f>IFERROR(VLOOKUP(D86,노선정리!$C$4:$S$31,3,0),)</f>
        <v>다낭</v>
      </c>
      <c r="F86" s="139" t="str">
        <f>IFERROR(IF(D86="C1","국내","국제"), )</f>
        <v>국제</v>
      </c>
      <c r="G86" s="139">
        <f>IFERROR(VLOOKUP(D86,노선정리!$C$4:$S$31,9,0),)</f>
        <v>9</v>
      </c>
      <c r="H86" s="139">
        <f>IFERROR(VLOOKUP(D86,노선정리!$C$4:$S$31,10,0),)</f>
        <v>2</v>
      </c>
      <c r="I86" s="139">
        <f>IFERROR(G86+H86, )</f>
        <v>11</v>
      </c>
      <c r="J86" s="221">
        <f>CTRL!J77</f>
        <v>4</v>
      </c>
      <c r="K86" s="139">
        <f t="shared" ref="K86:L89" si="17">IFERROR(G86*$J86, )</f>
        <v>36</v>
      </c>
      <c r="L86" s="139">
        <f t="shared" si="17"/>
        <v>8</v>
      </c>
      <c r="M86" s="139">
        <f>IFERROR(I86*J86, )</f>
        <v>44</v>
      </c>
      <c r="N86" s="139">
        <f>IFERROR(J86*2, )</f>
        <v>8</v>
      </c>
      <c r="O86" s="346">
        <f>IFERROR(P86*Q86*R86, )</f>
        <v>28.607775000000004</v>
      </c>
      <c r="P86" s="238">
        <f>IFERROR(HLOOKUP(C86,'2.기초자료_정리'!$F$4:$I$6,3,0), )</f>
        <v>21000</v>
      </c>
      <c r="Q86" s="342">
        <f>IFERROR(IF(F86="국내",C$69,D$69), )</f>
        <v>0.72500000000000009</v>
      </c>
      <c r="R86" s="347">
        <f>IFERROR(IF(F86="국내",S86,S86*S$69+T86*T$69+U86*U$69), )</f>
        <v>1.879E-3</v>
      </c>
      <c r="S86" s="347">
        <f>IFERROR(VLOOKUP($D86,노선정리!$C$4:$S$31,15,0),)</f>
        <v>1.6999999999999999E-3</v>
      </c>
      <c r="T86" s="347">
        <f>IFERROR(VLOOKUP($D86,노선정리!$C$4:$S$31,16,0),)</f>
        <v>2.2000000000000001E-3</v>
      </c>
      <c r="U86" s="347">
        <f>IFERROR(VLOOKUP($D86,노선정리!$C$4:$S$31,17,0),)</f>
        <v>2.0999999999999999E-3</v>
      </c>
    </row>
    <row r="87" spans="2:21" outlineLevel="1">
      <c r="C87" s="139">
        <f t="shared" si="16"/>
        <v>737</v>
      </c>
      <c r="D87" s="221" t="str">
        <f>CTRL!I78</f>
        <v>I3</v>
      </c>
      <c r="E87" s="139" t="str">
        <f>IFERROR(VLOOKUP(D87,노선정리!$C$4:$S$31,3,0),)</f>
        <v>나리타</v>
      </c>
      <c r="F87" s="139" t="str">
        <f>IFERROR(IF(D87="C1","국내","국제"), )</f>
        <v>국제</v>
      </c>
      <c r="G87" s="139">
        <f>IFERROR(VLOOKUP(D87,노선정리!$C$4:$S$31,9,0),)</f>
        <v>4</v>
      </c>
      <c r="H87" s="139">
        <f>IFERROR(VLOOKUP(D87,노선정리!$C$4:$S$31,10,0),)</f>
        <v>2</v>
      </c>
      <c r="I87" s="139">
        <f>IFERROR(G87+H87, )</f>
        <v>6</v>
      </c>
      <c r="J87" s="221">
        <f>CTRL!J78</f>
        <v>4</v>
      </c>
      <c r="K87" s="139">
        <f t="shared" si="17"/>
        <v>16</v>
      </c>
      <c r="L87" s="139">
        <f t="shared" si="17"/>
        <v>8</v>
      </c>
      <c r="M87" s="139">
        <f>IFERROR(I87*J87, )</f>
        <v>24</v>
      </c>
      <c r="N87" s="139">
        <f>IFERROR(J87*2, )</f>
        <v>8</v>
      </c>
      <c r="O87" s="346">
        <f>IFERROR(P87*Q87*R87, )</f>
        <v>20.193723529411766</v>
      </c>
      <c r="P87" s="238">
        <f>IFERROR(HLOOKUP(C87,'2.기초자료_정리'!$F$4:$I$6,3,0), )</f>
        <v>21000</v>
      </c>
      <c r="Q87" s="342">
        <f>IFERROR(IF(F87="국내",C$69,D$69), )</f>
        <v>0.72500000000000009</v>
      </c>
      <c r="R87" s="347">
        <f>IFERROR(IF(F87="국내",S87,S87*S$69+T87*T$69+U87*U$69), )</f>
        <v>1.3263529411764706E-3</v>
      </c>
      <c r="S87" s="347">
        <f>IFERROR(VLOOKUP($D87,노선정리!$C$4:$S$31,15,0),)</f>
        <v>1.1999999999999999E-3</v>
      </c>
      <c r="T87" s="347">
        <f>IFERROR(VLOOKUP($D87,노선정리!$C$4:$S$31,16,0),)</f>
        <v>1.5529411764705883E-3</v>
      </c>
      <c r="U87" s="347">
        <f>IFERROR(VLOOKUP($D87,노선정리!$C$4:$S$31,17,0),)</f>
        <v>1.4823529411764705E-3</v>
      </c>
    </row>
    <row r="88" spans="2:21" outlineLevel="1">
      <c r="C88" s="139">
        <f t="shared" si="16"/>
        <v>737</v>
      </c>
      <c r="D88" s="221" t="str">
        <f>CTRL!I79</f>
        <v>I4</v>
      </c>
      <c r="E88" s="139" t="str">
        <f>IFERROR(VLOOKUP(D88,노선정리!$C$4:$S$31,3,0),)</f>
        <v>간사이</v>
      </c>
      <c r="F88" s="139" t="str">
        <f>IFERROR(IF(D88="C1","국내","국제"), )</f>
        <v>국제</v>
      </c>
      <c r="G88" s="139">
        <f>IFERROR(VLOOKUP(D88,노선정리!$C$4:$S$31,9,0),)</f>
        <v>3</v>
      </c>
      <c r="H88" s="139">
        <f>IFERROR(VLOOKUP(D88,노선정리!$C$4:$S$31,10,0),)</f>
        <v>2</v>
      </c>
      <c r="I88" s="139">
        <f>IFERROR(G88+H88, )</f>
        <v>5</v>
      </c>
      <c r="J88" s="221">
        <f>CTRL!J79</f>
        <v>5</v>
      </c>
      <c r="K88" s="139">
        <f t="shared" si="17"/>
        <v>15</v>
      </c>
      <c r="L88" s="139">
        <f t="shared" si="17"/>
        <v>10</v>
      </c>
      <c r="M88" s="139">
        <f>IFERROR(I88*J88, )</f>
        <v>25</v>
      </c>
      <c r="N88" s="139">
        <f>IFERROR(J88*2, )</f>
        <v>10</v>
      </c>
      <c r="O88" s="346">
        <f>IFERROR(P88*Q88*R88, )</f>
        <v>20.193723529411766</v>
      </c>
      <c r="P88" s="238">
        <f>IFERROR(HLOOKUP(C88,'2.기초자료_정리'!$F$4:$I$6,3,0), )</f>
        <v>21000</v>
      </c>
      <c r="Q88" s="342">
        <f>IFERROR(IF(F88="국내",C$69,D$69), )</f>
        <v>0.72500000000000009</v>
      </c>
      <c r="R88" s="347">
        <f>IFERROR(IF(F88="국내",S88,S88*S$69+T88*T$69+U88*U$69), )</f>
        <v>1.3263529411764706E-3</v>
      </c>
      <c r="S88" s="347">
        <f>IFERROR(VLOOKUP($D88,노선정리!$C$4:$S$31,15,0),)</f>
        <v>1.1999999999999999E-3</v>
      </c>
      <c r="T88" s="347">
        <f>IFERROR(VLOOKUP($D88,노선정리!$C$4:$S$31,16,0),)</f>
        <v>1.5529411764705883E-3</v>
      </c>
      <c r="U88" s="347">
        <f>IFERROR(VLOOKUP($D88,노선정리!$C$4:$S$31,17,0),)</f>
        <v>1.4823529411764705E-3</v>
      </c>
    </row>
    <row r="89" spans="2:21" outlineLevel="1">
      <c r="C89" s="139">
        <f t="shared" si="16"/>
        <v>737</v>
      </c>
      <c r="D89" s="221" t="str">
        <f>CTRL!I80</f>
        <v>C5</v>
      </c>
      <c r="E89" s="139" t="str">
        <f>IFERROR(VLOOKUP(D89,노선정리!$C$4:$S$31,3,0),)</f>
        <v>지난</v>
      </c>
      <c r="F89" s="139" t="str">
        <f>IFERROR(IF(D89="C1","국내","국제"), )</f>
        <v>국제</v>
      </c>
      <c r="G89" s="139">
        <f>IFERROR(VLOOKUP(D89,노선정리!$C$4:$S$31,9,0),)</f>
        <v>4</v>
      </c>
      <c r="H89" s="139">
        <f>IFERROR(VLOOKUP(D89,노선정리!$C$4:$S$31,10,0),)</f>
        <v>2</v>
      </c>
      <c r="I89" s="139">
        <f>IFERROR(G89+H89, )</f>
        <v>6</v>
      </c>
      <c r="J89" s="221">
        <f>CTRL!J80</f>
        <v>4</v>
      </c>
      <c r="K89" s="139">
        <f t="shared" si="17"/>
        <v>16</v>
      </c>
      <c r="L89" s="139">
        <f t="shared" si="17"/>
        <v>8</v>
      </c>
      <c r="M89" s="139">
        <f>IFERROR(I89*J89, )</f>
        <v>24</v>
      </c>
      <c r="N89" s="139">
        <f>IFERROR(J89*2, )</f>
        <v>8</v>
      </c>
      <c r="O89" s="346">
        <f>IFERROR(P89*Q89*R89, )</f>
        <v>20.193723529411766</v>
      </c>
      <c r="P89" s="238">
        <f>IFERROR(HLOOKUP(C89,'2.기초자료_정리'!$F$4:$I$6,3,0), )</f>
        <v>21000</v>
      </c>
      <c r="Q89" s="342">
        <f>IFERROR(IF(F89="국내",C$69,D$69), )</f>
        <v>0.72500000000000009</v>
      </c>
      <c r="R89" s="347">
        <f>IFERROR(IF(F89="국내",S89,S89*S$69+T89*T$69+U89*U$69), )</f>
        <v>1.3263529411764706E-3</v>
      </c>
      <c r="S89" s="347">
        <f>IFERROR(VLOOKUP($D89,노선정리!$C$4:$S$31,15,0),)</f>
        <v>1.1999999999999999E-3</v>
      </c>
      <c r="T89" s="347">
        <f>IFERROR(VLOOKUP($D89,노선정리!$C$4:$S$31,16,0),)</f>
        <v>1.5529411764705883E-3</v>
      </c>
      <c r="U89" s="347">
        <f>IFERROR(VLOOKUP($D89,노선정리!$C$4:$S$31,17,0),)</f>
        <v>1.4823529411764705E-3</v>
      </c>
    </row>
    <row r="90" spans="2:21" outlineLevel="1">
      <c r="B90" s="270"/>
      <c r="C90" s="270"/>
      <c r="D90" s="348"/>
      <c r="E90" s="270"/>
      <c r="F90" s="270"/>
      <c r="G90" s="270"/>
      <c r="H90" s="270"/>
      <c r="I90" s="270"/>
      <c r="J90" s="348"/>
      <c r="K90" s="270"/>
      <c r="L90" s="270"/>
      <c r="M90" s="270"/>
      <c r="N90" s="270"/>
      <c r="O90" s="270"/>
      <c r="P90" s="270"/>
      <c r="Q90" s="270"/>
      <c r="R90" s="270"/>
      <c r="S90" s="270"/>
      <c r="T90" s="270"/>
      <c r="U90" s="270"/>
    </row>
    <row r="91" spans="2:21">
      <c r="B91" s="343">
        <v>4</v>
      </c>
      <c r="C91" s="343">
        <f>CTRL!E82</f>
        <v>767</v>
      </c>
      <c r="D91" s="343"/>
      <c r="E91" s="343"/>
      <c r="F91" s="343"/>
      <c r="G91" s="343"/>
      <c r="H91" s="343"/>
      <c r="I91" s="343"/>
      <c r="J91" s="343">
        <f>SUM(J92:J96)</f>
        <v>7</v>
      </c>
      <c r="K91" s="343">
        <f>SUM(K92:K96)</f>
        <v>84</v>
      </c>
      <c r="L91" s="343">
        <f>SUM(L92:L96)</f>
        <v>14</v>
      </c>
      <c r="M91" s="343">
        <f>IF(SUM(M92:M96)&gt;144,"운항시간초과",SUM(M92:M96))</f>
        <v>98</v>
      </c>
      <c r="N91" s="343">
        <f>SUM(N92:N96)</f>
        <v>14</v>
      </c>
      <c r="O91" s="350">
        <f>IF(M91="운항시간초과","Error",SUMPRODUCT(N92:N96,O92:O96))</f>
        <v>1016.932581971765</v>
      </c>
      <c r="P91" s="345"/>
      <c r="Q91" s="345"/>
      <c r="R91" s="345"/>
      <c r="S91" s="345"/>
      <c r="T91" s="345"/>
      <c r="U91" s="345"/>
    </row>
    <row r="92" spans="2:21" outlineLevel="1">
      <c r="C92" s="139">
        <f t="shared" ref="C92" si="18">C91</f>
        <v>767</v>
      </c>
      <c r="D92" s="221" t="str">
        <f>CTRL!I83</f>
        <v>I9</v>
      </c>
      <c r="E92" s="139" t="str">
        <f>IFERROR(VLOOKUP(D92,노선정리!$C$4:$S$31,3,0),)</f>
        <v>방콕</v>
      </c>
      <c r="F92" s="139" t="str">
        <f>IFERROR(IF(D92="C1","국내","국제"), )</f>
        <v>국제</v>
      </c>
      <c r="G92" s="139">
        <f>IFERROR(VLOOKUP(D92,노선정리!$C$4:$S$31,9,0),)</f>
        <v>12</v>
      </c>
      <c r="H92" s="139">
        <f>IFERROR(VLOOKUP(D92,노선정리!$C$4:$S$31,10,0),)</f>
        <v>2</v>
      </c>
      <c r="I92" s="139">
        <f>IFERROR(G92+H92, )</f>
        <v>14</v>
      </c>
      <c r="J92" s="221">
        <f>CTRL!J83</f>
        <v>7</v>
      </c>
      <c r="K92" s="139">
        <f>IFERROR(G92*$J92, )</f>
        <v>84</v>
      </c>
      <c r="L92" s="139">
        <f>IFERROR(H92*$J92, )</f>
        <v>14</v>
      </c>
      <c r="M92" s="139">
        <f>IFERROR(I92*J92, )</f>
        <v>98</v>
      </c>
      <c r="N92" s="139">
        <f>IFERROR(J92*2, )</f>
        <v>14</v>
      </c>
      <c r="O92" s="346">
        <f>IFERROR(P92*Q92*R92, )</f>
        <v>72.638041569411783</v>
      </c>
      <c r="P92" s="238">
        <f>IFERROR(HLOOKUP(C92,'2.기초자료_정리'!$F$4:$I$6,3,0), )</f>
        <v>56653.7</v>
      </c>
      <c r="Q92" s="342">
        <f>IFERROR(IF(F92="국내",C$69,D$69), )</f>
        <v>0.72500000000000009</v>
      </c>
      <c r="R92" s="347">
        <f>IFERROR(IF(F92="국내",S92,S92*S$69+T92*T$69+U92*U$69), )</f>
        <v>1.7684705882352943E-3</v>
      </c>
      <c r="S92" s="347">
        <f>IFERROR(VLOOKUP($D92,노선정리!$C$4:$S$31,15,0),)</f>
        <v>1.6000000000000001E-3</v>
      </c>
      <c r="T92" s="347">
        <f>IFERROR(VLOOKUP($D92,노선정리!$C$4:$S$31,16,0),)</f>
        <v>2.0705882352941179E-3</v>
      </c>
      <c r="U92" s="347">
        <f>IFERROR(VLOOKUP($D92,노선정리!$C$4:$S$31,17,0),)</f>
        <v>1.9764705882352944E-3</v>
      </c>
    </row>
    <row r="93" spans="2:21" outlineLevel="1">
      <c r="C93" s="139">
        <f t="shared" ref="C93:C95" si="19">C92</f>
        <v>767</v>
      </c>
      <c r="D93" s="221">
        <f>CTRL!I84</f>
        <v>0</v>
      </c>
      <c r="E93" s="139">
        <f>IFERROR(VLOOKUP(D93,노선정리!$C$4:$S$31,3,0),)</f>
        <v>0</v>
      </c>
      <c r="F93" s="139" t="str">
        <f t="shared" ref="F93:F95" si="20">IFERROR(IF(D93="C1","국내","국제"), )</f>
        <v>국제</v>
      </c>
      <c r="G93" s="139">
        <f>IFERROR(VLOOKUP(D93,노선정리!$C$4:$S$31,9,0),)</f>
        <v>0</v>
      </c>
      <c r="H93" s="139">
        <f>IFERROR(VLOOKUP(D93,노선정리!$C$4:$S$31,10,0),)</f>
        <v>0</v>
      </c>
      <c r="I93" s="139">
        <f t="shared" ref="I93:I95" si="21">IFERROR(G93+H93, )</f>
        <v>0</v>
      </c>
      <c r="J93" s="221">
        <f>CTRL!J84</f>
        <v>0</v>
      </c>
      <c r="K93" s="139">
        <f t="shared" ref="K93:K95" si="22">IFERROR(G93*$J93, )</f>
        <v>0</v>
      </c>
      <c r="L93" s="139">
        <f t="shared" ref="L93:L95" si="23">IFERROR(H93*$J93, )</f>
        <v>0</v>
      </c>
      <c r="M93" s="139">
        <f t="shared" ref="M93:M95" si="24">IFERROR(I93*J93, )</f>
        <v>0</v>
      </c>
      <c r="N93" s="139">
        <f t="shared" ref="N93:N95" si="25">IFERROR(J93*2, )</f>
        <v>0</v>
      </c>
      <c r="O93" s="346">
        <f t="shared" ref="O93:O95" si="26">IFERROR(P93*Q93*R93, )</f>
        <v>0</v>
      </c>
      <c r="P93" s="238">
        <f>IFERROR(HLOOKUP(C93,'2.기초자료_정리'!$F$4:$I$6,3,0), )</f>
        <v>56653.7</v>
      </c>
      <c r="Q93" s="342">
        <f t="shared" ref="Q93:Q95" si="27">IFERROR(IF(F93="국내",C$69,D$69), )</f>
        <v>0.72500000000000009</v>
      </c>
      <c r="R93" s="347">
        <f t="shared" ref="R93:R95" si="28">IFERROR(IF(F93="국내",S93,S93*S$69+T93*T$69+U93*U$69), )</f>
        <v>0</v>
      </c>
      <c r="S93" s="347">
        <f>IFERROR(VLOOKUP($D93,노선정리!$C$4:$S$31,15,0),)</f>
        <v>0</v>
      </c>
      <c r="T93" s="347">
        <f>IFERROR(VLOOKUP($D93,노선정리!$C$4:$S$31,16,0),)</f>
        <v>0</v>
      </c>
      <c r="U93" s="347">
        <f>IFERROR(VLOOKUP($D93,노선정리!$C$4:$S$31,17,0),)</f>
        <v>0</v>
      </c>
    </row>
    <row r="94" spans="2:21" outlineLevel="1">
      <c r="C94" s="139">
        <f t="shared" si="19"/>
        <v>767</v>
      </c>
      <c r="D94" s="221">
        <f>CTRL!I85</f>
        <v>0</v>
      </c>
      <c r="E94" s="139">
        <f>IFERROR(VLOOKUP(D94,노선정리!$C$4:$S$31,3,0),)</f>
        <v>0</v>
      </c>
      <c r="F94" s="139" t="str">
        <f t="shared" si="20"/>
        <v>국제</v>
      </c>
      <c r="G94" s="139">
        <f>IFERROR(VLOOKUP(D94,노선정리!$C$4:$S$31,9,0),)</f>
        <v>0</v>
      </c>
      <c r="H94" s="139">
        <f>IFERROR(VLOOKUP(D94,노선정리!$C$4:$S$31,10,0),)</f>
        <v>0</v>
      </c>
      <c r="I94" s="139">
        <f t="shared" si="21"/>
        <v>0</v>
      </c>
      <c r="J94" s="221">
        <f>CTRL!J85</f>
        <v>0</v>
      </c>
      <c r="K94" s="139">
        <f t="shared" si="22"/>
        <v>0</v>
      </c>
      <c r="L94" s="139">
        <f t="shared" si="23"/>
        <v>0</v>
      </c>
      <c r="M94" s="139">
        <f t="shared" si="24"/>
        <v>0</v>
      </c>
      <c r="N94" s="139">
        <f t="shared" si="25"/>
        <v>0</v>
      </c>
      <c r="O94" s="346">
        <f t="shared" si="26"/>
        <v>0</v>
      </c>
      <c r="P94" s="238">
        <f>IFERROR(HLOOKUP(C94,'2.기초자료_정리'!$F$4:$I$6,3,0), )</f>
        <v>56653.7</v>
      </c>
      <c r="Q94" s="342">
        <f t="shared" si="27"/>
        <v>0.72500000000000009</v>
      </c>
      <c r="R94" s="347">
        <f t="shared" si="28"/>
        <v>0</v>
      </c>
      <c r="S94" s="347">
        <f>IFERROR(VLOOKUP($D94,노선정리!$C$4:$S$31,15,0),)</f>
        <v>0</v>
      </c>
      <c r="T94" s="347">
        <f>IFERROR(VLOOKUP($D94,노선정리!$C$4:$S$31,16,0),)</f>
        <v>0</v>
      </c>
      <c r="U94" s="347">
        <f>IFERROR(VLOOKUP($D94,노선정리!$C$4:$S$31,17,0),)</f>
        <v>0</v>
      </c>
    </row>
    <row r="95" spans="2:21" outlineLevel="1">
      <c r="C95" s="139">
        <f t="shared" si="19"/>
        <v>767</v>
      </c>
      <c r="D95" s="221">
        <f>CTRL!I86</f>
        <v>0</v>
      </c>
      <c r="E95" s="139">
        <f>IFERROR(VLOOKUP(D95,노선정리!$C$4:$S$31,3,0),)</f>
        <v>0</v>
      </c>
      <c r="F95" s="139" t="str">
        <f t="shared" si="20"/>
        <v>국제</v>
      </c>
      <c r="G95" s="139">
        <f>IFERROR(VLOOKUP(D95,노선정리!$C$4:$S$31,9,0),)</f>
        <v>0</v>
      </c>
      <c r="H95" s="139">
        <f>IFERROR(VLOOKUP(D95,노선정리!$C$4:$S$31,10,0),)</f>
        <v>0</v>
      </c>
      <c r="I95" s="139">
        <f t="shared" si="21"/>
        <v>0</v>
      </c>
      <c r="J95" s="221">
        <f>CTRL!J86</f>
        <v>0</v>
      </c>
      <c r="K95" s="139">
        <f t="shared" si="22"/>
        <v>0</v>
      </c>
      <c r="L95" s="139">
        <f t="shared" si="23"/>
        <v>0</v>
      </c>
      <c r="M95" s="139">
        <f t="shared" si="24"/>
        <v>0</v>
      </c>
      <c r="N95" s="139">
        <f t="shared" si="25"/>
        <v>0</v>
      </c>
      <c r="O95" s="346">
        <f t="shared" si="26"/>
        <v>0</v>
      </c>
      <c r="P95" s="238">
        <f>IFERROR(HLOOKUP(C95,'2.기초자료_정리'!$F$4:$I$6,3,0), )</f>
        <v>56653.7</v>
      </c>
      <c r="Q95" s="342">
        <f t="shared" si="27"/>
        <v>0.72500000000000009</v>
      </c>
      <c r="R95" s="347">
        <f t="shared" si="28"/>
        <v>0</v>
      </c>
      <c r="S95" s="347">
        <f>IFERROR(VLOOKUP($D95,노선정리!$C$4:$S$31,15,0),)</f>
        <v>0</v>
      </c>
      <c r="T95" s="347">
        <f>IFERROR(VLOOKUP($D95,노선정리!$C$4:$S$31,16,0),)</f>
        <v>0</v>
      </c>
      <c r="U95" s="347">
        <f>IFERROR(VLOOKUP($D95,노선정리!$C$4:$S$31,17,0),)</f>
        <v>0</v>
      </c>
    </row>
    <row r="96" spans="2:21" outlineLevel="1">
      <c r="B96" s="270"/>
      <c r="C96" s="270"/>
      <c r="D96" s="348"/>
      <c r="E96" s="270"/>
      <c r="F96" s="270"/>
      <c r="G96" s="270"/>
      <c r="H96" s="270"/>
      <c r="I96" s="270"/>
      <c r="J96" s="348"/>
      <c r="K96" s="270"/>
      <c r="L96" s="270"/>
      <c r="M96" s="270"/>
      <c r="N96" s="270"/>
      <c r="O96" s="351"/>
      <c r="P96" s="352"/>
      <c r="Q96" s="353"/>
      <c r="R96" s="354"/>
      <c r="S96" s="354"/>
      <c r="T96" s="354"/>
      <c r="U96" s="354"/>
    </row>
    <row r="97" spans="2:21">
      <c r="B97" s="343">
        <v>5</v>
      </c>
      <c r="C97" s="343">
        <f>CTRL!E88</f>
        <v>737</v>
      </c>
      <c r="D97" s="343"/>
      <c r="E97" s="343"/>
      <c r="F97" s="343"/>
      <c r="G97" s="343"/>
      <c r="H97" s="343"/>
      <c r="I97" s="343"/>
      <c r="J97" s="343">
        <f>SUM(J98:J102)</f>
        <v>10</v>
      </c>
      <c r="K97" s="343">
        <f>SUM(K98:K102)</f>
        <v>80</v>
      </c>
      <c r="L97" s="343">
        <f>SUM(L98:L102)</f>
        <v>20</v>
      </c>
      <c r="M97" s="343">
        <f>IF(SUM(M98:M102)&gt;144,"운항시간초과",SUM(M98:M102))</f>
        <v>100</v>
      </c>
      <c r="N97" s="343">
        <f>SUM(N98:N102)</f>
        <v>20</v>
      </c>
      <c r="O97" s="350">
        <f>IF(M97="운항시간초과","Error",SUMPRODUCT(N98:N102,O98:O102))</f>
        <v>403.87447058823534</v>
      </c>
      <c r="P97" s="345"/>
      <c r="Q97" s="345"/>
      <c r="R97" s="345"/>
      <c r="S97" s="345"/>
      <c r="T97" s="345"/>
      <c r="U97" s="345"/>
    </row>
    <row r="98" spans="2:21" outlineLevel="1">
      <c r="C98" s="139">
        <f t="shared" ref="C98:C101" si="29">C97</f>
        <v>737</v>
      </c>
      <c r="D98" s="221" t="str">
        <f>CTRL!I89</f>
        <v>C7</v>
      </c>
      <c r="E98" s="139" t="str">
        <f>IFERROR(VLOOKUP(D98,노선정리!$C$4:$S$31,3,0),)</f>
        <v>시안</v>
      </c>
      <c r="F98" s="139" t="str">
        <f t="shared" ref="F98:F101" si="30">IFERROR(IF(D98="C1","국내","국제"), )</f>
        <v>국제</v>
      </c>
      <c r="G98" s="139">
        <f>IFERROR(VLOOKUP(D98,노선정리!$C$4:$S$31,9,0),)</f>
        <v>8</v>
      </c>
      <c r="H98" s="139">
        <f>IFERROR(VLOOKUP(D98,노선정리!$C$4:$S$31,10,0),)</f>
        <v>2</v>
      </c>
      <c r="I98" s="139">
        <f t="shared" ref="I98:I101" si="31">IFERROR(G98+H98, )</f>
        <v>10</v>
      </c>
      <c r="J98" s="221">
        <f>CTRL!J89</f>
        <v>5</v>
      </c>
      <c r="K98" s="139">
        <f t="shared" ref="K98:K101" si="32">IFERROR(G98*$J98, )</f>
        <v>40</v>
      </c>
      <c r="L98" s="139">
        <f t="shared" ref="L98:L101" si="33">IFERROR(H98*$J98, )</f>
        <v>10</v>
      </c>
      <c r="M98" s="139">
        <f t="shared" ref="M98:M101" si="34">IFERROR(I98*J98, )</f>
        <v>50</v>
      </c>
      <c r="N98" s="139">
        <f t="shared" ref="N98:N101" si="35">IFERROR(J98*2, )</f>
        <v>10</v>
      </c>
      <c r="O98" s="346">
        <f t="shared" ref="O98:O101" si="36">IFERROR(P98*Q98*R98, )</f>
        <v>20.193723529411766</v>
      </c>
      <c r="P98" s="238">
        <f>IFERROR(HLOOKUP(C98,'2.기초자료_정리'!$F$4:$I$6,3,0), )</f>
        <v>21000</v>
      </c>
      <c r="Q98" s="342">
        <f t="shared" ref="Q98:Q101" si="37">IFERROR(IF(F98="국내",C$69,D$69), )</f>
        <v>0.72500000000000009</v>
      </c>
      <c r="R98" s="347">
        <f t="shared" ref="R98:R101" si="38">IFERROR(IF(F98="국내",S98,S98*S$69+T98*T$69+U98*U$69), )</f>
        <v>1.3263529411764706E-3</v>
      </c>
      <c r="S98" s="347">
        <f>IFERROR(VLOOKUP($D98,노선정리!$C$4:$S$31,15,0),)</f>
        <v>1.1999999999999999E-3</v>
      </c>
      <c r="T98" s="347">
        <f>IFERROR(VLOOKUP($D98,노선정리!$C$4:$S$31,16,0),)</f>
        <v>1.5529411764705883E-3</v>
      </c>
      <c r="U98" s="347">
        <f>IFERROR(VLOOKUP($D98,노선정리!$C$4:$S$31,17,0),)</f>
        <v>1.4823529411764705E-3</v>
      </c>
    </row>
    <row r="99" spans="2:21" outlineLevel="1">
      <c r="C99" s="139">
        <f t="shared" si="29"/>
        <v>737</v>
      </c>
      <c r="D99" s="221" t="str">
        <f>CTRL!I90</f>
        <v>C8</v>
      </c>
      <c r="E99" s="139" t="str">
        <f>IFERROR(VLOOKUP(D99,노선정리!$C$4:$S$31,3,0),)</f>
        <v>충칭</v>
      </c>
      <c r="F99" s="139" t="str">
        <f t="shared" si="30"/>
        <v>국제</v>
      </c>
      <c r="G99" s="139">
        <f>IFERROR(VLOOKUP(D99,노선정리!$C$4:$S$31,9,0),)</f>
        <v>8</v>
      </c>
      <c r="H99" s="139">
        <f>IFERROR(VLOOKUP(D99,노선정리!$C$4:$S$31,10,0),)</f>
        <v>2</v>
      </c>
      <c r="I99" s="139">
        <f t="shared" si="31"/>
        <v>10</v>
      </c>
      <c r="J99" s="221">
        <f>CTRL!J90</f>
        <v>5</v>
      </c>
      <c r="K99" s="139">
        <f t="shared" si="32"/>
        <v>40</v>
      </c>
      <c r="L99" s="139">
        <f t="shared" si="33"/>
        <v>10</v>
      </c>
      <c r="M99" s="139">
        <f t="shared" si="34"/>
        <v>50</v>
      </c>
      <c r="N99" s="139">
        <f t="shared" si="35"/>
        <v>10</v>
      </c>
      <c r="O99" s="346">
        <f t="shared" si="36"/>
        <v>20.193723529411766</v>
      </c>
      <c r="P99" s="238">
        <f>IFERROR(HLOOKUP(C99,'2.기초자료_정리'!$F$4:$I$6,3,0), )</f>
        <v>21000</v>
      </c>
      <c r="Q99" s="342">
        <f t="shared" si="37"/>
        <v>0.72500000000000009</v>
      </c>
      <c r="R99" s="347">
        <f t="shared" si="38"/>
        <v>1.3263529411764706E-3</v>
      </c>
      <c r="S99" s="347">
        <f>IFERROR(VLOOKUP($D99,노선정리!$C$4:$S$31,15,0),)</f>
        <v>1.1999999999999999E-3</v>
      </c>
      <c r="T99" s="347">
        <f>IFERROR(VLOOKUP($D99,노선정리!$C$4:$S$31,16,0),)</f>
        <v>1.5529411764705883E-3</v>
      </c>
      <c r="U99" s="347">
        <f>IFERROR(VLOOKUP($D99,노선정리!$C$4:$S$31,17,0),)</f>
        <v>1.4823529411764705E-3</v>
      </c>
    </row>
    <row r="100" spans="2:21" outlineLevel="1">
      <c r="C100" s="139">
        <f t="shared" si="29"/>
        <v>737</v>
      </c>
      <c r="D100" s="221">
        <f>CTRL!I91</f>
        <v>0</v>
      </c>
      <c r="E100" s="139">
        <f>IFERROR(VLOOKUP(D100,노선정리!$C$4:$S$31,3,0),)</f>
        <v>0</v>
      </c>
      <c r="F100" s="139" t="str">
        <f t="shared" si="30"/>
        <v>국제</v>
      </c>
      <c r="G100" s="139">
        <f>IFERROR(VLOOKUP(D100,노선정리!$C$4:$S$31,9,0),)</f>
        <v>0</v>
      </c>
      <c r="H100" s="139">
        <f>IFERROR(VLOOKUP(D100,노선정리!$C$4:$S$31,10,0),)</f>
        <v>0</v>
      </c>
      <c r="I100" s="139">
        <f t="shared" si="31"/>
        <v>0</v>
      </c>
      <c r="J100" s="221">
        <f>CTRL!J91</f>
        <v>0</v>
      </c>
      <c r="K100" s="139">
        <f t="shared" si="32"/>
        <v>0</v>
      </c>
      <c r="L100" s="139">
        <f t="shared" si="33"/>
        <v>0</v>
      </c>
      <c r="M100" s="139">
        <f t="shared" si="34"/>
        <v>0</v>
      </c>
      <c r="N100" s="139">
        <f t="shared" si="35"/>
        <v>0</v>
      </c>
      <c r="O100" s="346">
        <f t="shared" si="36"/>
        <v>0</v>
      </c>
      <c r="P100" s="238">
        <f>IFERROR(HLOOKUP(C100,'2.기초자료_정리'!$F$4:$I$6,3,0), )</f>
        <v>21000</v>
      </c>
      <c r="Q100" s="342">
        <f t="shared" si="37"/>
        <v>0.72500000000000009</v>
      </c>
      <c r="R100" s="347">
        <f t="shared" si="38"/>
        <v>0</v>
      </c>
      <c r="S100" s="347">
        <f>IFERROR(VLOOKUP($D100,노선정리!$C$4:$S$31,15,0),)</f>
        <v>0</v>
      </c>
      <c r="T100" s="347">
        <f>IFERROR(VLOOKUP($D100,노선정리!$C$4:$S$31,16,0),)</f>
        <v>0</v>
      </c>
      <c r="U100" s="347">
        <f>IFERROR(VLOOKUP($D100,노선정리!$C$4:$S$31,17,0),)</f>
        <v>0</v>
      </c>
    </row>
    <row r="101" spans="2:21" outlineLevel="1">
      <c r="C101" s="139">
        <f t="shared" si="29"/>
        <v>737</v>
      </c>
      <c r="D101" s="221">
        <f>CTRL!I92</f>
        <v>0</v>
      </c>
      <c r="E101" s="139">
        <f>IFERROR(VLOOKUP(D101,노선정리!$C$4:$S$31,3,0),)</f>
        <v>0</v>
      </c>
      <c r="F101" s="139" t="str">
        <f t="shared" si="30"/>
        <v>국제</v>
      </c>
      <c r="G101" s="139">
        <f>IFERROR(VLOOKUP(D101,노선정리!$C$4:$S$31,9,0),)</f>
        <v>0</v>
      </c>
      <c r="H101" s="139">
        <f>IFERROR(VLOOKUP(D101,노선정리!$C$4:$S$31,10,0),)</f>
        <v>0</v>
      </c>
      <c r="I101" s="139">
        <f t="shared" si="31"/>
        <v>0</v>
      </c>
      <c r="J101" s="221">
        <f>CTRL!J92</f>
        <v>0</v>
      </c>
      <c r="K101" s="139">
        <f t="shared" si="32"/>
        <v>0</v>
      </c>
      <c r="L101" s="139">
        <f t="shared" si="33"/>
        <v>0</v>
      </c>
      <c r="M101" s="139">
        <f t="shared" si="34"/>
        <v>0</v>
      </c>
      <c r="N101" s="139">
        <f t="shared" si="35"/>
        <v>0</v>
      </c>
      <c r="O101" s="346">
        <f t="shared" si="36"/>
        <v>0</v>
      </c>
      <c r="P101" s="238">
        <f>IFERROR(HLOOKUP(C101,'2.기초자료_정리'!$F$4:$I$6,3,0), )</f>
        <v>21000</v>
      </c>
      <c r="Q101" s="342">
        <f t="shared" si="37"/>
        <v>0.72500000000000009</v>
      </c>
      <c r="R101" s="347">
        <f t="shared" si="38"/>
        <v>0</v>
      </c>
      <c r="S101" s="347">
        <f>IFERROR(VLOOKUP($D101,노선정리!$C$4:$S$31,15,0),)</f>
        <v>0</v>
      </c>
      <c r="T101" s="347">
        <f>IFERROR(VLOOKUP($D101,노선정리!$C$4:$S$31,16,0),)</f>
        <v>0</v>
      </c>
      <c r="U101" s="347">
        <f>IFERROR(VLOOKUP($D101,노선정리!$C$4:$S$31,17,0),)</f>
        <v>0</v>
      </c>
    </row>
    <row r="102" spans="2:21" outlineLevel="1">
      <c r="B102" s="270"/>
      <c r="C102" s="270"/>
      <c r="D102" s="348"/>
      <c r="E102" s="270"/>
      <c r="F102" s="270"/>
      <c r="G102" s="270"/>
      <c r="H102" s="270"/>
      <c r="I102" s="270"/>
      <c r="J102" s="348"/>
      <c r="K102" s="270"/>
      <c r="L102" s="270"/>
      <c r="M102" s="270"/>
      <c r="N102" s="270"/>
      <c r="O102" s="270"/>
      <c r="P102" s="270"/>
      <c r="Q102" s="270"/>
      <c r="R102" s="270"/>
      <c r="S102" s="270"/>
      <c r="T102" s="270"/>
      <c r="U102" s="270"/>
    </row>
    <row r="103" spans="2:21" s="155" customFormat="1">
      <c r="B103" s="343">
        <v>6</v>
      </c>
      <c r="C103" s="343">
        <f>CTRL!E94</f>
        <v>767</v>
      </c>
      <c r="D103" s="343"/>
      <c r="E103" s="343"/>
      <c r="F103" s="343"/>
      <c r="G103" s="343"/>
      <c r="H103" s="343"/>
      <c r="I103" s="343"/>
      <c r="J103" s="343">
        <f>SUM(J104:J108)</f>
        <v>6</v>
      </c>
      <c r="K103" s="343">
        <f>SUM(K104:K108)</f>
        <v>99</v>
      </c>
      <c r="L103" s="343">
        <f>SUM(L104:L108)</f>
        <v>12</v>
      </c>
      <c r="M103" s="343">
        <f>IF(SUM(M104:M108)&gt;144,"운항시간초과",SUM(M104:M108))</f>
        <v>111</v>
      </c>
      <c r="N103" s="343">
        <f>SUM(N104:N108)</f>
        <v>12</v>
      </c>
      <c r="O103" s="349">
        <f>IF(M103="운항시간초과","Error",SUMPRODUCT(N104:N108,O104:O108))</f>
        <v>1171.2884203067651</v>
      </c>
      <c r="P103" s="345"/>
      <c r="Q103" s="345"/>
      <c r="R103" s="345"/>
      <c r="S103" s="345"/>
      <c r="T103" s="345"/>
      <c r="U103" s="345"/>
    </row>
    <row r="104" spans="2:21" outlineLevel="1">
      <c r="C104" s="139">
        <f t="shared" ref="C104:C107" si="39">C103</f>
        <v>767</v>
      </c>
      <c r="D104" s="221" t="str">
        <f>CTRL!I95</f>
        <v>I10</v>
      </c>
      <c r="E104" s="139" t="str">
        <f>IFERROR(VLOOKUP(D104,노선정리!$C$4:$S$31,3,0),)</f>
        <v>자카르타</v>
      </c>
      <c r="F104" s="139" t="str">
        <f t="shared" ref="F104:F107" si="40">IFERROR(IF(D104="C1","국내","국제"), )</f>
        <v>국제</v>
      </c>
      <c r="G104" s="139">
        <f>IFERROR(VLOOKUP(D104,노선정리!$C$4:$S$31,9,0),)</f>
        <v>14</v>
      </c>
      <c r="H104" s="139">
        <f>IFERROR(VLOOKUP(D104,노선정리!$C$4:$S$31,10,0),)</f>
        <v>2</v>
      </c>
      <c r="I104" s="139">
        <f t="shared" ref="I104:I107" si="41">IFERROR(G104+H104, )</f>
        <v>16</v>
      </c>
      <c r="J104" s="221">
        <f>CTRL!J95</f>
        <v>3</v>
      </c>
      <c r="K104" s="139">
        <f t="shared" ref="K104:K107" si="42">IFERROR(G104*$J104, )</f>
        <v>42</v>
      </c>
      <c r="L104" s="139">
        <f t="shared" ref="L104:L107" si="43">IFERROR(H104*$J104, )</f>
        <v>6</v>
      </c>
      <c r="M104" s="139">
        <f t="shared" ref="M104:M107" si="44">IFERROR(I104*J104, )</f>
        <v>48</v>
      </c>
      <c r="N104" s="139">
        <f t="shared" ref="N104:N107" si="45">IFERROR(J104*2, )</f>
        <v>6</v>
      </c>
      <c r="O104" s="346">
        <f t="shared" ref="O104:O107" si="46">IFERROR(P104*Q104*R104, )</f>
        <v>72.638041569411783</v>
      </c>
      <c r="P104" s="238">
        <f>IFERROR(HLOOKUP(C104,'2.기초자료_정리'!$F$4:$I$6,3,0), )</f>
        <v>56653.7</v>
      </c>
      <c r="Q104" s="342">
        <f t="shared" ref="Q104:Q107" si="47">IFERROR(IF(F104="국내",C$69,D$69), )</f>
        <v>0.72500000000000009</v>
      </c>
      <c r="R104" s="347">
        <f t="shared" ref="R104:R107" si="48">IFERROR(IF(F104="국내",S104,S104*S$69+T104*T$69+U104*U$69), )</f>
        <v>1.7684705882352943E-3</v>
      </c>
      <c r="S104" s="347">
        <f>IFERROR(VLOOKUP($D104,노선정리!$C$4:$S$31,15,0),)</f>
        <v>1.6000000000000001E-3</v>
      </c>
      <c r="T104" s="347">
        <f>IFERROR(VLOOKUP($D104,노선정리!$C$4:$S$31,16,0),)</f>
        <v>2.0705882352941179E-3</v>
      </c>
      <c r="U104" s="347">
        <f>IFERROR(VLOOKUP($D104,노선정리!$C$4:$S$31,17,0),)</f>
        <v>1.9764705882352944E-3</v>
      </c>
    </row>
    <row r="105" spans="2:21" outlineLevel="1">
      <c r="C105" s="139">
        <f t="shared" si="39"/>
        <v>767</v>
      </c>
      <c r="D105" s="221" t="str">
        <f>CTRL!I96</f>
        <v>I12</v>
      </c>
      <c r="E105" s="139" t="str">
        <f>IFERROR(VLOOKUP(D105,노선정리!$C$4:$S$31,3,0),)</f>
        <v>델리</v>
      </c>
      <c r="F105" s="139" t="str">
        <f t="shared" si="40"/>
        <v>국제</v>
      </c>
      <c r="G105" s="139">
        <f>IFERROR(VLOOKUP(D105,노선정리!$C$4:$S$31,9,0),)</f>
        <v>19</v>
      </c>
      <c r="H105" s="139">
        <f>IFERROR(VLOOKUP(D105,노선정리!$C$4:$S$31,10,0),)</f>
        <v>2</v>
      </c>
      <c r="I105" s="139">
        <f t="shared" si="41"/>
        <v>21</v>
      </c>
      <c r="J105" s="221">
        <f>CTRL!J96</f>
        <v>3</v>
      </c>
      <c r="K105" s="139">
        <f t="shared" si="42"/>
        <v>57</v>
      </c>
      <c r="L105" s="139">
        <f t="shared" si="43"/>
        <v>6</v>
      </c>
      <c r="M105" s="139">
        <f t="shared" si="44"/>
        <v>63</v>
      </c>
      <c r="N105" s="139">
        <f t="shared" si="45"/>
        <v>6</v>
      </c>
      <c r="O105" s="346">
        <f t="shared" si="46"/>
        <v>122.57669514838238</v>
      </c>
      <c r="P105" s="238">
        <f>IFERROR(HLOOKUP(C105,'2.기초자료_정리'!$F$4:$I$6,3,0), )</f>
        <v>56653.7</v>
      </c>
      <c r="Q105" s="342">
        <f t="shared" si="47"/>
        <v>0.72500000000000009</v>
      </c>
      <c r="R105" s="347">
        <f t="shared" si="48"/>
        <v>2.9842941176470594E-3</v>
      </c>
      <c r="S105" s="347">
        <f>IFERROR(VLOOKUP($D105,노선정리!$C$4:$S$31,15,0),)</f>
        <v>2.7000000000000001E-3</v>
      </c>
      <c r="T105" s="347">
        <f>IFERROR(VLOOKUP($D105,노선정리!$C$4:$S$31,16,0),)</f>
        <v>3.4941176470588242E-3</v>
      </c>
      <c r="U105" s="347">
        <f>IFERROR(VLOOKUP($D105,노선정리!$C$4:$S$31,17,0),)</f>
        <v>3.3352941176470591E-3</v>
      </c>
    </row>
    <row r="106" spans="2:21" outlineLevel="1">
      <c r="C106" s="139">
        <f t="shared" si="39"/>
        <v>767</v>
      </c>
      <c r="D106" s="221">
        <f>CTRL!I97</f>
        <v>0</v>
      </c>
      <c r="E106" s="139">
        <f>IFERROR(VLOOKUP(D106,노선정리!$C$4:$S$31,3,0),)</f>
        <v>0</v>
      </c>
      <c r="F106" s="139" t="str">
        <f t="shared" si="40"/>
        <v>국제</v>
      </c>
      <c r="G106" s="139">
        <f>IFERROR(VLOOKUP(D106,노선정리!$C$4:$S$31,9,0),)</f>
        <v>0</v>
      </c>
      <c r="H106" s="139">
        <f>IFERROR(VLOOKUP(D106,노선정리!$C$4:$S$31,10,0),)</f>
        <v>0</v>
      </c>
      <c r="I106" s="139">
        <f t="shared" si="41"/>
        <v>0</v>
      </c>
      <c r="J106" s="221">
        <f>CTRL!J97</f>
        <v>0</v>
      </c>
      <c r="K106" s="139">
        <f t="shared" si="42"/>
        <v>0</v>
      </c>
      <c r="L106" s="139">
        <f t="shared" si="43"/>
        <v>0</v>
      </c>
      <c r="M106" s="139">
        <f t="shared" si="44"/>
        <v>0</v>
      </c>
      <c r="N106" s="139">
        <f t="shared" si="45"/>
        <v>0</v>
      </c>
      <c r="O106" s="346">
        <f t="shared" si="46"/>
        <v>0</v>
      </c>
      <c r="P106" s="238">
        <f>IFERROR(HLOOKUP(C106,'2.기초자료_정리'!$F$4:$I$6,3,0), )</f>
        <v>56653.7</v>
      </c>
      <c r="Q106" s="342">
        <f t="shared" si="47"/>
        <v>0.72500000000000009</v>
      </c>
      <c r="R106" s="347">
        <f t="shared" si="48"/>
        <v>0</v>
      </c>
      <c r="S106" s="347">
        <f>IFERROR(VLOOKUP($D106,노선정리!$C$4:$S$31,15,0),)</f>
        <v>0</v>
      </c>
      <c r="T106" s="347">
        <f>IFERROR(VLOOKUP($D106,노선정리!$C$4:$S$31,16,0),)</f>
        <v>0</v>
      </c>
      <c r="U106" s="347">
        <f>IFERROR(VLOOKUP($D106,노선정리!$C$4:$S$31,17,0),)</f>
        <v>0</v>
      </c>
    </row>
    <row r="107" spans="2:21" outlineLevel="1">
      <c r="C107" s="139">
        <f t="shared" si="39"/>
        <v>767</v>
      </c>
      <c r="D107" s="221">
        <f>CTRL!I98</f>
        <v>0</v>
      </c>
      <c r="E107" s="139">
        <f>IFERROR(VLOOKUP(D107,노선정리!$C$4:$S$31,3,0),)</f>
        <v>0</v>
      </c>
      <c r="F107" s="139" t="str">
        <f t="shared" si="40"/>
        <v>국제</v>
      </c>
      <c r="G107" s="139">
        <f>IFERROR(VLOOKUP(D107,노선정리!$C$4:$S$31,9,0),)</f>
        <v>0</v>
      </c>
      <c r="H107" s="139">
        <f>IFERROR(VLOOKUP(D107,노선정리!$C$4:$S$31,10,0),)</f>
        <v>0</v>
      </c>
      <c r="I107" s="139">
        <f t="shared" si="41"/>
        <v>0</v>
      </c>
      <c r="J107" s="221">
        <f>CTRL!J98</f>
        <v>0</v>
      </c>
      <c r="K107" s="139">
        <f t="shared" si="42"/>
        <v>0</v>
      </c>
      <c r="L107" s="139">
        <f t="shared" si="43"/>
        <v>0</v>
      </c>
      <c r="M107" s="139">
        <f t="shared" si="44"/>
        <v>0</v>
      </c>
      <c r="N107" s="139">
        <f t="shared" si="45"/>
        <v>0</v>
      </c>
      <c r="O107" s="346">
        <f t="shared" si="46"/>
        <v>0</v>
      </c>
      <c r="P107" s="238">
        <f>IFERROR(HLOOKUP(C107,'2.기초자료_정리'!$F$4:$I$6,3,0), )</f>
        <v>56653.7</v>
      </c>
      <c r="Q107" s="342">
        <f t="shared" si="47"/>
        <v>0.72500000000000009</v>
      </c>
      <c r="R107" s="347">
        <f t="shared" si="48"/>
        <v>0</v>
      </c>
      <c r="S107" s="347">
        <f>IFERROR(VLOOKUP($D107,노선정리!$C$4:$S$31,15,0),)</f>
        <v>0</v>
      </c>
      <c r="T107" s="347">
        <f>IFERROR(VLOOKUP($D107,노선정리!$C$4:$S$31,16,0),)</f>
        <v>0</v>
      </c>
      <c r="U107" s="347">
        <f>IFERROR(VLOOKUP($D107,노선정리!$C$4:$S$31,17,0),)</f>
        <v>0</v>
      </c>
    </row>
    <row r="108" spans="2:21" outlineLevel="1">
      <c r="B108" s="270"/>
      <c r="C108" s="270"/>
      <c r="D108" s="348"/>
      <c r="E108" s="270"/>
      <c r="F108" s="270"/>
      <c r="G108" s="270"/>
      <c r="H108" s="270"/>
      <c r="I108" s="270"/>
      <c r="J108" s="348"/>
      <c r="K108" s="270"/>
      <c r="L108" s="270"/>
      <c r="M108" s="270"/>
      <c r="N108" s="270"/>
      <c r="O108" s="351"/>
      <c r="P108" s="352"/>
      <c r="Q108" s="353"/>
      <c r="R108" s="354"/>
      <c r="S108" s="354"/>
      <c r="T108" s="354"/>
      <c r="U108" s="354"/>
    </row>
    <row r="109" spans="2:21">
      <c r="B109" s="343">
        <v>7</v>
      </c>
      <c r="C109" s="343">
        <f>CTRL!E100</f>
        <v>737</v>
      </c>
      <c r="D109" s="343"/>
      <c r="E109" s="343"/>
      <c r="F109" s="343"/>
      <c r="G109" s="343"/>
      <c r="H109" s="343"/>
      <c r="I109" s="343"/>
      <c r="J109" s="343">
        <f>SUM(J110:J114)</f>
        <v>9</v>
      </c>
      <c r="K109" s="343">
        <f>SUM(K110:K114)</f>
        <v>81</v>
      </c>
      <c r="L109" s="343">
        <f>SUM(L110:L114)</f>
        <v>18</v>
      </c>
      <c r="M109" s="343">
        <f>IF(SUM(M110:M114)&gt;144,"운항시간초과",SUM(M110:M114))</f>
        <v>99</v>
      </c>
      <c r="N109" s="343">
        <f>SUM(N110:N114)</f>
        <v>18</v>
      </c>
      <c r="O109" s="349">
        <f>IF(M109="운항시간초과","Error",SUMPRODUCT(N110:N114,O110:O114))</f>
        <v>969.29872941176495</v>
      </c>
      <c r="P109" s="345"/>
      <c r="Q109" s="345"/>
      <c r="R109" s="345"/>
      <c r="S109" s="345"/>
      <c r="T109" s="345"/>
      <c r="U109" s="345"/>
    </row>
    <row r="110" spans="2:21" outlineLevel="1">
      <c r="C110" s="139">
        <f t="shared" ref="C110:C113" si="49">C109</f>
        <v>737</v>
      </c>
      <c r="D110" s="221" t="str">
        <f>CTRL!I101</f>
        <v>I5</v>
      </c>
      <c r="E110" s="139" t="str">
        <f>IFERROR(VLOOKUP(D110,노선정리!$C$4:$S$31,3,0),)</f>
        <v>마닐라</v>
      </c>
      <c r="F110" s="139" t="str">
        <f>IFERROR(IF(D110="C1","국내","국제"), )</f>
        <v>국제</v>
      </c>
      <c r="G110" s="139">
        <f>IFERROR(VLOOKUP(D110,노선정리!$C$4:$S$31,9,0),)</f>
        <v>9</v>
      </c>
      <c r="H110" s="139">
        <f>IFERROR(VLOOKUP(D110,노선정리!$C$4:$S$31,10,0),)</f>
        <v>2</v>
      </c>
      <c r="I110" s="139">
        <f>IFERROR(G110+H110, )</f>
        <v>11</v>
      </c>
      <c r="J110" s="221">
        <f>CTRL!J101</f>
        <v>9</v>
      </c>
      <c r="K110" s="139">
        <f t="shared" ref="K110:L113" si="50">IFERROR(G110*$J110, )</f>
        <v>81</v>
      </c>
      <c r="L110" s="139">
        <f t="shared" si="50"/>
        <v>18</v>
      </c>
      <c r="M110" s="139">
        <f>IFERROR(I110*J110, )</f>
        <v>99</v>
      </c>
      <c r="N110" s="139">
        <f>IFERROR(J110*2, )</f>
        <v>18</v>
      </c>
      <c r="O110" s="346">
        <f>IFERROR(P110*Q110*R110, )</f>
        <v>53.84992941176472</v>
      </c>
      <c r="P110" s="238">
        <f>IFERROR(HLOOKUP(C110,'2.기초자료_정리'!$F$4:$I$6,3,0), )</f>
        <v>21000</v>
      </c>
      <c r="Q110" s="342">
        <f>IFERROR(IF(F110="국내",C$69,D$69), )</f>
        <v>0.72500000000000009</v>
      </c>
      <c r="R110" s="347">
        <f>IFERROR(IF(F110="국내",S110,S110*S$69+T110*T$69+U110*U$69), )</f>
        <v>3.5369411764705886E-3</v>
      </c>
      <c r="S110" s="347">
        <f>IFERROR(VLOOKUP($D110,노선정리!$C$4:$S$31,15,0),)</f>
        <v>3.2000000000000002E-3</v>
      </c>
      <c r="T110" s="347">
        <f>IFERROR(VLOOKUP($D110,노선정리!$C$4:$S$31,16,0),)</f>
        <v>4.1411764705882358E-3</v>
      </c>
      <c r="U110" s="347">
        <f>IFERROR(VLOOKUP($D110,노선정리!$C$4:$S$31,17,0),)</f>
        <v>3.9529411764705888E-3</v>
      </c>
    </row>
    <row r="111" spans="2:21" outlineLevel="1">
      <c r="C111" s="139">
        <f t="shared" si="49"/>
        <v>737</v>
      </c>
      <c r="D111" s="221">
        <f>CTRL!I102</f>
        <v>0</v>
      </c>
      <c r="E111" s="139">
        <f>IFERROR(VLOOKUP(D111,노선정리!$C$4:$S$31,3,0),)</f>
        <v>0</v>
      </c>
      <c r="F111" s="139" t="str">
        <f>IFERROR(IF(D111="C1","국내","국제"), )</f>
        <v>국제</v>
      </c>
      <c r="G111" s="139">
        <f>IFERROR(VLOOKUP(D111,노선정리!$C$4:$S$31,9,0),)</f>
        <v>0</v>
      </c>
      <c r="H111" s="139">
        <f>IFERROR(VLOOKUP(D111,노선정리!$C$4:$S$31,10,0),)</f>
        <v>0</v>
      </c>
      <c r="I111" s="139">
        <f>IFERROR(G111+H111, )</f>
        <v>0</v>
      </c>
      <c r="J111" s="221">
        <f>CTRL!J102</f>
        <v>0</v>
      </c>
      <c r="K111" s="139">
        <f t="shared" si="50"/>
        <v>0</v>
      </c>
      <c r="L111" s="139">
        <f t="shared" si="50"/>
        <v>0</v>
      </c>
      <c r="M111" s="139">
        <f>IFERROR(I111*J111, )</f>
        <v>0</v>
      </c>
      <c r="N111" s="139">
        <f>IFERROR(J111*2, )</f>
        <v>0</v>
      </c>
      <c r="O111" s="346">
        <f>IFERROR(P111*Q111*R111, )</f>
        <v>0</v>
      </c>
      <c r="P111" s="238">
        <f>IFERROR(HLOOKUP(C111,'2.기초자료_정리'!$F$4:$I$6,3,0), )</f>
        <v>21000</v>
      </c>
      <c r="Q111" s="342">
        <f>IFERROR(IF(F111="국내",C$69,D$69), )</f>
        <v>0.72500000000000009</v>
      </c>
      <c r="R111" s="347">
        <f>IFERROR(IF(F111="국내",S111,S111*S$69+T111*T$69+U111*U$69), )</f>
        <v>0</v>
      </c>
      <c r="S111" s="347">
        <f>IFERROR(VLOOKUP($D111,노선정리!$C$4:$S$31,15,0),)</f>
        <v>0</v>
      </c>
      <c r="T111" s="347">
        <f>IFERROR(VLOOKUP($D111,노선정리!$C$4:$S$31,16,0),)</f>
        <v>0</v>
      </c>
      <c r="U111" s="347">
        <f>IFERROR(VLOOKUP($D111,노선정리!$C$4:$S$31,17,0),)</f>
        <v>0</v>
      </c>
    </row>
    <row r="112" spans="2:21" outlineLevel="1">
      <c r="C112" s="139">
        <f t="shared" si="49"/>
        <v>737</v>
      </c>
      <c r="D112" s="221">
        <f>CTRL!I103</f>
        <v>0</v>
      </c>
      <c r="E112" s="139">
        <f>IFERROR(VLOOKUP(D112,노선정리!$C$4:$S$31,3,0),)</f>
        <v>0</v>
      </c>
      <c r="F112" s="139" t="str">
        <f>IFERROR(IF(D112="C1","국내","국제"), )</f>
        <v>국제</v>
      </c>
      <c r="G112" s="139">
        <f>IFERROR(VLOOKUP(D112,노선정리!$C$4:$S$31,9,0),)</f>
        <v>0</v>
      </c>
      <c r="H112" s="139">
        <f>IFERROR(VLOOKUP(D112,노선정리!$C$4:$S$31,10,0),)</f>
        <v>0</v>
      </c>
      <c r="I112" s="139">
        <f>IFERROR(G112+H112, )</f>
        <v>0</v>
      </c>
      <c r="J112" s="221">
        <f>CTRL!J103</f>
        <v>0</v>
      </c>
      <c r="K112" s="139">
        <f t="shared" si="50"/>
        <v>0</v>
      </c>
      <c r="L112" s="139">
        <f t="shared" si="50"/>
        <v>0</v>
      </c>
      <c r="M112" s="139">
        <f>IFERROR(I112*J112, )</f>
        <v>0</v>
      </c>
      <c r="N112" s="139">
        <f>IFERROR(J112*2, )</f>
        <v>0</v>
      </c>
      <c r="O112" s="346">
        <f>IFERROR(P112*Q112*R112, )</f>
        <v>0</v>
      </c>
      <c r="P112" s="238">
        <f>IFERROR(HLOOKUP(C112,'2.기초자료_정리'!$F$4:$I$6,3,0), )</f>
        <v>21000</v>
      </c>
      <c r="Q112" s="342">
        <f>IFERROR(IF(F112="국내",C$69,D$69), )</f>
        <v>0.72500000000000009</v>
      </c>
      <c r="R112" s="347">
        <f>IFERROR(IF(F112="국내",S112,S112*S$69+T112*T$69+U112*U$69), )</f>
        <v>0</v>
      </c>
      <c r="S112" s="347">
        <f>IFERROR(VLOOKUP($D112,노선정리!$C$4:$S$31,15,0),)</f>
        <v>0</v>
      </c>
      <c r="T112" s="347">
        <f>IFERROR(VLOOKUP($D112,노선정리!$C$4:$S$31,16,0),)</f>
        <v>0</v>
      </c>
      <c r="U112" s="347">
        <f>IFERROR(VLOOKUP($D112,노선정리!$C$4:$S$31,17,0),)</f>
        <v>0</v>
      </c>
    </row>
    <row r="113" spans="2:21" outlineLevel="1">
      <c r="C113" s="139">
        <f t="shared" si="49"/>
        <v>737</v>
      </c>
      <c r="D113" s="221">
        <f>CTRL!I104</f>
        <v>0</v>
      </c>
      <c r="E113" s="139">
        <f>IFERROR(VLOOKUP(D113,노선정리!$C$4:$S$31,3,0),)</f>
        <v>0</v>
      </c>
      <c r="F113" s="139" t="str">
        <f>IFERROR(IF(D113="C1","국내","국제"), )</f>
        <v>국제</v>
      </c>
      <c r="G113" s="139">
        <f>IFERROR(VLOOKUP(D113,노선정리!$C$4:$S$31,9,0),)</f>
        <v>0</v>
      </c>
      <c r="H113" s="139">
        <f>IFERROR(VLOOKUP(D113,노선정리!$C$4:$S$31,10,0),)</f>
        <v>0</v>
      </c>
      <c r="I113" s="139">
        <f>IFERROR(G113+H113, )</f>
        <v>0</v>
      </c>
      <c r="J113" s="221">
        <f>CTRL!J104</f>
        <v>0</v>
      </c>
      <c r="K113" s="139">
        <f t="shared" si="50"/>
        <v>0</v>
      </c>
      <c r="L113" s="139">
        <f t="shared" si="50"/>
        <v>0</v>
      </c>
      <c r="M113" s="139">
        <f>IFERROR(I113*J113, )</f>
        <v>0</v>
      </c>
      <c r="N113" s="139">
        <f>IFERROR(J113*2, )</f>
        <v>0</v>
      </c>
      <c r="O113" s="346">
        <f>IFERROR(P113*Q113*R113, )</f>
        <v>0</v>
      </c>
      <c r="P113" s="238">
        <f>IFERROR(HLOOKUP(C113,'2.기초자료_정리'!$F$4:$I$6,3,0), )</f>
        <v>21000</v>
      </c>
      <c r="Q113" s="342">
        <f>IFERROR(IF(F113="국내",C$69,D$69), )</f>
        <v>0.72500000000000009</v>
      </c>
      <c r="R113" s="347">
        <f>IFERROR(IF(F113="국내",S113,S113*S$69+T113*T$69+U113*U$69), )</f>
        <v>0</v>
      </c>
      <c r="S113" s="347">
        <f>IFERROR(VLOOKUP($D113,노선정리!$C$4:$S$31,15,0),)</f>
        <v>0</v>
      </c>
      <c r="T113" s="347">
        <f>IFERROR(VLOOKUP($D113,노선정리!$C$4:$S$31,16,0),)</f>
        <v>0</v>
      </c>
      <c r="U113" s="347">
        <f>IFERROR(VLOOKUP($D113,노선정리!$C$4:$S$31,17,0),)</f>
        <v>0</v>
      </c>
    </row>
    <row r="114" spans="2:21" outlineLevel="1">
      <c r="B114" s="270"/>
      <c r="C114" s="270"/>
      <c r="D114" s="348"/>
      <c r="E114" s="270"/>
      <c r="F114" s="270"/>
      <c r="G114" s="270"/>
      <c r="H114" s="270"/>
      <c r="I114" s="270"/>
      <c r="J114" s="348"/>
      <c r="K114" s="270"/>
      <c r="L114" s="270"/>
      <c r="M114" s="270"/>
      <c r="N114" s="270"/>
      <c r="O114" s="270"/>
      <c r="P114" s="270"/>
      <c r="Q114" s="270"/>
      <c r="R114" s="270"/>
      <c r="S114" s="270"/>
      <c r="T114" s="270"/>
      <c r="U114" s="270"/>
    </row>
    <row r="115" spans="2:21">
      <c r="B115" s="343">
        <v>8</v>
      </c>
      <c r="C115" s="343">
        <f>CTRL!E106</f>
        <v>767</v>
      </c>
      <c r="D115" s="343"/>
      <c r="E115" s="343"/>
      <c r="F115" s="343"/>
      <c r="G115" s="343"/>
      <c r="H115" s="343"/>
      <c r="I115" s="343"/>
      <c r="J115" s="343">
        <f>SUM(J116:J120)</f>
        <v>10</v>
      </c>
      <c r="K115" s="343">
        <f>SUM(K116:K120)</f>
        <v>75</v>
      </c>
      <c r="L115" s="343">
        <f>SUM(L116:L120)</f>
        <v>20</v>
      </c>
      <c r="M115" s="343">
        <f>IF(SUM(M116:M120)&gt;144,"운항시간초과",SUM(M116:M120))</f>
        <v>95</v>
      </c>
      <c r="N115" s="343">
        <f>SUM(N116:N120)</f>
        <v>20</v>
      </c>
      <c r="O115" s="350">
        <f>IF(M115="운항시간초과","Error",SUMPRODUCT(N116:N120,O116:O120))</f>
        <v>2533.4401566000001</v>
      </c>
      <c r="P115" s="345"/>
      <c r="Q115" s="345"/>
      <c r="R115" s="345"/>
      <c r="S115" s="345"/>
      <c r="T115" s="345"/>
      <c r="U115" s="345"/>
    </row>
    <row r="116" spans="2:21" outlineLevel="1">
      <c r="C116" s="139">
        <f>C115</f>
        <v>767</v>
      </c>
      <c r="D116" s="221" t="str">
        <f>CTRL!I107</f>
        <v>I8</v>
      </c>
      <c r="E116" s="139" t="str">
        <f>IFERROR(VLOOKUP(D116,노선정리!$C$4:$S$31,3,0),)</f>
        <v>울란바토르</v>
      </c>
      <c r="F116" s="139" t="str">
        <f>IFERROR(IF(D116="C1","국내","국제"), )</f>
        <v>국제</v>
      </c>
      <c r="G116" s="139">
        <f>IFERROR(VLOOKUP(D116,노선정리!$C$4:$S$31,9,0),)</f>
        <v>8</v>
      </c>
      <c r="H116" s="139">
        <f>IFERROR(VLOOKUP(D116,노선정리!$C$4:$S$31,10,0),)</f>
        <v>2</v>
      </c>
      <c r="I116" s="139">
        <f>IFERROR(G116+H116, )</f>
        <v>10</v>
      </c>
      <c r="J116" s="221">
        <f>CTRL!J107</f>
        <v>5</v>
      </c>
      <c r="K116" s="139">
        <f t="shared" ref="K116:L119" si="51">IFERROR(G116*$J116, )</f>
        <v>40</v>
      </c>
      <c r="L116" s="139">
        <f t="shared" si="51"/>
        <v>10</v>
      </c>
      <c r="M116" s="139">
        <f>IFERROR(I116*J116, )</f>
        <v>50</v>
      </c>
      <c r="N116" s="139">
        <f>IFERROR(J116*2, )</f>
        <v>10</v>
      </c>
      <c r="O116" s="346">
        <f>IFERROR(P116*Q116*R116, )</f>
        <v>212.27008316000001</v>
      </c>
      <c r="P116" s="238">
        <f>IFERROR(HLOOKUP(C116,'2.기초자료_정리'!$F$4:$I$6,3,0), )</f>
        <v>56653.7</v>
      </c>
      <c r="Q116" s="342">
        <f>IFERROR(IF(F116="국내",C$69,D$69), )</f>
        <v>0.72500000000000009</v>
      </c>
      <c r="R116" s="347">
        <f>IFERROR(IF(F116="국내",S116,S116*S$69+T116*T$69+U116*U$69), )</f>
        <v>5.1679999999999999E-3</v>
      </c>
      <c r="S116" s="347">
        <f>IFERROR(VLOOKUP($D116,노선정리!$C$4:$S$31,15,0),)</f>
        <v>5.0000000000000001E-3</v>
      </c>
      <c r="T116" s="347">
        <f>IFERROR(VLOOKUP($D116,노선정리!$C$4:$S$31,16,0),)</f>
        <v>5.4999999999999997E-3</v>
      </c>
      <c r="U116" s="347">
        <f>IFERROR(VLOOKUP($D116,노선정리!$C$4:$S$31,17,0),)</f>
        <v>5.3E-3</v>
      </c>
    </row>
    <row r="117" spans="2:21" outlineLevel="1">
      <c r="C117" s="139">
        <f>C116</f>
        <v>767</v>
      </c>
      <c r="D117" s="221" t="str">
        <f>CTRL!I108</f>
        <v>I15</v>
      </c>
      <c r="E117" s="139" t="str">
        <f>IFERROR(VLOOKUP(D117,노선정리!$C$4:$S$31,3,0),)</f>
        <v>광저우</v>
      </c>
      <c r="F117" s="139" t="str">
        <f>IFERROR(IF(D117="C1","국내","국제"), )</f>
        <v>국제</v>
      </c>
      <c r="G117" s="139">
        <f>IFERROR(VLOOKUP(D117,노선정리!$C$4:$S$31,9,0),)</f>
        <v>7</v>
      </c>
      <c r="H117" s="139">
        <f>IFERROR(VLOOKUP(D117,노선정리!$C$4:$S$31,10,0),)</f>
        <v>2</v>
      </c>
      <c r="I117" s="139">
        <f>IFERROR(G117+H117, )</f>
        <v>9</v>
      </c>
      <c r="J117" s="221">
        <f>CTRL!J108</f>
        <v>5</v>
      </c>
      <c r="K117" s="139">
        <f t="shared" si="51"/>
        <v>35</v>
      </c>
      <c r="L117" s="139">
        <f t="shared" si="51"/>
        <v>10</v>
      </c>
      <c r="M117" s="139">
        <f>IFERROR(I117*J117, )</f>
        <v>45</v>
      </c>
      <c r="N117" s="139">
        <f>IFERROR(J117*2, )</f>
        <v>10</v>
      </c>
      <c r="O117" s="346">
        <f>IFERROR(P117*Q117*R117, )</f>
        <v>41.073932500000005</v>
      </c>
      <c r="P117" s="238">
        <f>IFERROR(HLOOKUP(C117,'2.기초자료_정리'!$F$4:$I$6,3,0), )</f>
        <v>56653.7</v>
      </c>
      <c r="Q117" s="342">
        <f>IFERROR(IF(F117="국내",C$69,D$69), )</f>
        <v>0.72500000000000009</v>
      </c>
      <c r="R117" s="347">
        <f>IFERROR(IF(F117="국내",S117,S117*S$69+T117*T$69+U117*U$69), )</f>
        <v>1E-3</v>
      </c>
      <c r="S117" s="347">
        <f>IFERROR(VLOOKUP($D117,노선정리!$C$4:$S$31,15,0),)</f>
        <v>1E-3</v>
      </c>
      <c r="T117" s="347">
        <f>IFERROR(VLOOKUP($D117,노선정리!$C$4:$S$31,16,0),)</f>
        <v>1E-3</v>
      </c>
      <c r="U117" s="347">
        <f>IFERROR(VLOOKUP($D117,노선정리!$C$4:$S$31,17,0),)</f>
        <v>1E-3</v>
      </c>
    </row>
    <row r="118" spans="2:21" outlineLevel="1">
      <c r="C118" s="139">
        <f>C117</f>
        <v>767</v>
      </c>
      <c r="D118" s="221">
        <f>CTRL!I109</f>
        <v>0</v>
      </c>
      <c r="E118" s="139">
        <f>IFERROR(VLOOKUP(D118,노선정리!$C$4:$S$31,3,0),)</f>
        <v>0</v>
      </c>
      <c r="F118" s="139" t="str">
        <f>IFERROR(IF(D118="C1","국내","국제"), )</f>
        <v>국제</v>
      </c>
      <c r="G118" s="139">
        <f>IFERROR(VLOOKUP(D118,노선정리!$C$4:$S$31,9,0),)</f>
        <v>0</v>
      </c>
      <c r="H118" s="139">
        <f>IFERROR(VLOOKUP(D118,노선정리!$C$4:$S$31,10,0),)</f>
        <v>0</v>
      </c>
      <c r="I118" s="139">
        <f>IFERROR(G118+H118, )</f>
        <v>0</v>
      </c>
      <c r="J118" s="221">
        <f>CTRL!J109</f>
        <v>0</v>
      </c>
      <c r="K118" s="139">
        <f t="shared" si="51"/>
        <v>0</v>
      </c>
      <c r="L118" s="139">
        <f t="shared" si="51"/>
        <v>0</v>
      </c>
      <c r="M118" s="139">
        <f>IFERROR(I118*J118, )</f>
        <v>0</v>
      </c>
      <c r="N118" s="139">
        <f>IFERROR(J118*2, )</f>
        <v>0</v>
      </c>
      <c r="O118" s="346">
        <f>IFERROR(P118*Q118*R118, )</f>
        <v>0</v>
      </c>
      <c r="P118" s="238">
        <f>IFERROR(HLOOKUP(C118,'2.기초자료_정리'!$F$4:$I$6,3,0), )</f>
        <v>56653.7</v>
      </c>
      <c r="Q118" s="342">
        <f>IFERROR(IF(F118="국내",C$69,D$69), )</f>
        <v>0.72500000000000009</v>
      </c>
      <c r="R118" s="347">
        <f>IFERROR(IF(F118="국내",S118,S118*S$69+T118*T$69+U118*U$69), )</f>
        <v>0</v>
      </c>
      <c r="S118" s="347">
        <f>IFERROR(VLOOKUP($D118,노선정리!$C$4:$S$31,15,0),)</f>
        <v>0</v>
      </c>
      <c r="T118" s="347">
        <f>IFERROR(VLOOKUP($D118,노선정리!$C$4:$S$31,16,0),)</f>
        <v>0</v>
      </c>
      <c r="U118" s="347">
        <f>IFERROR(VLOOKUP($D118,노선정리!$C$4:$S$31,17,0),)</f>
        <v>0</v>
      </c>
    </row>
    <row r="119" spans="2:21" outlineLevel="1">
      <c r="C119" s="139">
        <f>C118</f>
        <v>767</v>
      </c>
      <c r="D119" s="221">
        <f>CTRL!I110</f>
        <v>0</v>
      </c>
      <c r="E119" s="139">
        <f>IFERROR(VLOOKUP(D119,노선정리!$C$4:$S$31,3,0),)</f>
        <v>0</v>
      </c>
      <c r="F119" s="139" t="str">
        <f>IFERROR(IF(D119="C1","국내","국제"), )</f>
        <v>국제</v>
      </c>
      <c r="G119" s="139">
        <f>IFERROR(VLOOKUP(D119,노선정리!$C$4:$S$31,9,0),)</f>
        <v>0</v>
      </c>
      <c r="H119" s="139">
        <f>IFERROR(VLOOKUP(D119,노선정리!$C$4:$S$31,10,0),)</f>
        <v>0</v>
      </c>
      <c r="I119" s="139">
        <f>IFERROR(G119+H119, )</f>
        <v>0</v>
      </c>
      <c r="J119" s="221">
        <f>CTRL!J110</f>
        <v>0</v>
      </c>
      <c r="K119" s="139">
        <f t="shared" si="51"/>
        <v>0</v>
      </c>
      <c r="L119" s="139">
        <f t="shared" si="51"/>
        <v>0</v>
      </c>
      <c r="M119" s="139">
        <f>IFERROR(I119*J119, )</f>
        <v>0</v>
      </c>
      <c r="N119" s="139">
        <f>IFERROR(J119*2, )</f>
        <v>0</v>
      </c>
      <c r="O119" s="346">
        <f>IFERROR(P119*Q119*R119, )</f>
        <v>0</v>
      </c>
      <c r="P119" s="238">
        <f>IFERROR(HLOOKUP(C119,'2.기초자료_정리'!$F$4:$I$6,3,0), )</f>
        <v>56653.7</v>
      </c>
      <c r="Q119" s="342">
        <f>IFERROR(IF(F119="국내",C$69,D$69), )</f>
        <v>0.72500000000000009</v>
      </c>
      <c r="R119" s="347">
        <f>IFERROR(IF(F119="국내",S119,S119*S$69+T119*T$69+U119*U$69), )</f>
        <v>0</v>
      </c>
      <c r="S119" s="347">
        <f>IFERROR(VLOOKUP($D119,노선정리!$C$4:$S$31,15,0),)</f>
        <v>0</v>
      </c>
      <c r="T119" s="347">
        <f>IFERROR(VLOOKUP($D119,노선정리!$C$4:$S$31,16,0),)</f>
        <v>0</v>
      </c>
      <c r="U119" s="347">
        <f>IFERROR(VLOOKUP($D119,노선정리!$C$4:$S$31,17,0),)</f>
        <v>0</v>
      </c>
    </row>
    <row r="120" spans="2:21" outlineLevel="1">
      <c r="B120" s="270"/>
      <c r="C120" s="270"/>
      <c r="D120" s="348"/>
      <c r="E120" s="270"/>
      <c r="F120" s="270"/>
      <c r="G120" s="270"/>
      <c r="H120" s="270"/>
      <c r="I120" s="270"/>
      <c r="J120" s="348"/>
      <c r="K120" s="270"/>
      <c r="L120" s="270"/>
      <c r="M120" s="270"/>
      <c r="N120" s="270"/>
      <c r="O120" s="270"/>
      <c r="P120" s="270"/>
      <c r="Q120" s="270"/>
      <c r="R120" s="270"/>
      <c r="S120" s="270"/>
      <c r="T120" s="270"/>
      <c r="U120" s="270"/>
    </row>
    <row r="121" spans="2:21">
      <c r="B121" s="343">
        <v>9</v>
      </c>
      <c r="C121" s="343">
        <f>CTRL!E112</f>
        <v>767</v>
      </c>
      <c r="D121" s="343"/>
      <c r="E121" s="343"/>
      <c r="F121" s="343"/>
      <c r="G121" s="343"/>
      <c r="H121" s="343"/>
      <c r="I121" s="343"/>
      <c r="J121" s="343">
        <f>SUM(J122:J126)</f>
        <v>4</v>
      </c>
      <c r="K121" s="343">
        <f>SUM(K122:K126)</f>
        <v>80</v>
      </c>
      <c r="L121" s="343">
        <f>SUM(L122:L126)</f>
        <v>8</v>
      </c>
      <c r="M121" s="343">
        <f>IF(SUM(M122:M126)&gt;144,"운항시간초과",SUM(M122:M126))</f>
        <v>88</v>
      </c>
      <c r="N121" s="343">
        <f>SUM(N122:N126)</f>
        <v>8</v>
      </c>
      <c r="O121" s="350">
        <f>IF(M121="운항시간초과","Error",SUMPRODUCT(N122:N126,O122:O126))</f>
        <v>1532.8791609</v>
      </c>
      <c r="P121" s="345"/>
      <c r="Q121" s="345"/>
      <c r="R121" s="345"/>
      <c r="S121" s="345"/>
      <c r="T121" s="345"/>
      <c r="U121" s="345"/>
    </row>
    <row r="122" spans="2:21" outlineLevel="1">
      <c r="C122" s="139">
        <f>C121</f>
        <v>767</v>
      </c>
      <c r="D122" s="221" t="str">
        <f>CTRL!I113</f>
        <v>I18</v>
      </c>
      <c r="E122" s="139" t="str">
        <f>IFERROR(VLOOKUP(D122,노선정리!$C$4:$S$31,3,0),)</f>
        <v>도하</v>
      </c>
      <c r="F122" s="139" t="str">
        <f>IFERROR(IF(D122="C1","국내","국제"), )</f>
        <v>국제</v>
      </c>
      <c r="G122" s="139">
        <f>IFERROR(VLOOKUP(D122,노선정리!$C$4:$S$31,9,0),)</f>
        <v>20</v>
      </c>
      <c r="H122" s="139">
        <f>IFERROR(VLOOKUP(D122,노선정리!$C$4:$S$31,10,0),)</f>
        <v>2</v>
      </c>
      <c r="I122" s="139">
        <f>IFERROR(G122+H122, )</f>
        <v>22</v>
      </c>
      <c r="J122" s="221">
        <f>CTRL!J113</f>
        <v>4</v>
      </c>
      <c r="K122" s="139">
        <f t="shared" ref="K122:L125" si="52">IFERROR(G122*$J122, )</f>
        <v>80</v>
      </c>
      <c r="L122" s="139">
        <f t="shared" si="52"/>
        <v>8</v>
      </c>
      <c r="M122" s="139">
        <f>IFERROR(I122*J122, )</f>
        <v>88</v>
      </c>
      <c r="N122" s="139">
        <f>IFERROR(J122*2, )</f>
        <v>8</v>
      </c>
      <c r="O122" s="346">
        <f>IFERROR(P122*Q122*R122, )</f>
        <v>191.6098951125</v>
      </c>
      <c r="P122" s="238">
        <f>IFERROR(HLOOKUP(C122,'2.기초자료_정리'!$F$4:$I$6,3,0), )</f>
        <v>56653.7</v>
      </c>
      <c r="Q122" s="342">
        <f>IFERROR(IF(F122="국내",C$69,D$69), )</f>
        <v>0.72500000000000009</v>
      </c>
      <c r="R122" s="347">
        <f>IFERROR(IF(F122="국내",S122,S122*S$69+T122*T$69+U122*U$69), )</f>
        <v>4.6649999999999999E-3</v>
      </c>
      <c r="S122" s="347">
        <f>IFERROR(VLOOKUP($D122,노선정리!$C$4:$S$31,15,0),)</f>
        <v>4.5999999999999999E-3</v>
      </c>
      <c r="T122" s="347">
        <f>IFERROR(VLOOKUP($D122,노선정리!$C$4:$S$31,16,0),)</f>
        <v>4.7999999999999996E-3</v>
      </c>
      <c r="U122" s="347">
        <f>IFERROR(VLOOKUP($D122,노선정리!$C$4:$S$31,17,0),)</f>
        <v>4.7000000000000002E-3</v>
      </c>
    </row>
    <row r="123" spans="2:21" outlineLevel="1">
      <c r="C123" s="139">
        <f>C122</f>
        <v>767</v>
      </c>
      <c r="D123" s="221">
        <f>CTRL!I114</f>
        <v>0</v>
      </c>
      <c r="E123" s="139">
        <f>IFERROR(VLOOKUP(D123,노선정리!$C$4:$S$31,3,0),)</f>
        <v>0</v>
      </c>
      <c r="F123" s="139" t="str">
        <f>IFERROR(IF(D123="C1","국내","국제"), )</f>
        <v>국제</v>
      </c>
      <c r="G123" s="139">
        <f>IFERROR(VLOOKUP(D123,노선정리!$C$4:$S$31,9,0),)</f>
        <v>0</v>
      </c>
      <c r="H123" s="139">
        <f>IFERROR(VLOOKUP(D123,노선정리!$C$4:$S$31,10,0),)</f>
        <v>0</v>
      </c>
      <c r="I123" s="139">
        <f>IFERROR(G123+H123, )</f>
        <v>0</v>
      </c>
      <c r="J123" s="221">
        <f>CTRL!J114</f>
        <v>0</v>
      </c>
      <c r="K123" s="139">
        <f t="shared" si="52"/>
        <v>0</v>
      </c>
      <c r="L123" s="139">
        <f t="shared" si="52"/>
        <v>0</v>
      </c>
      <c r="M123" s="139">
        <f>IFERROR(I123*J123, )</f>
        <v>0</v>
      </c>
      <c r="N123" s="139">
        <f>IFERROR(J123*2, )</f>
        <v>0</v>
      </c>
      <c r="O123" s="346">
        <f>IFERROR(P123*Q123*R123, )</f>
        <v>0</v>
      </c>
      <c r="P123" s="238">
        <f>IFERROR(HLOOKUP(C123,'2.기초자료_정리'!$F$4:$I$6,3,0), )</f>
        <v>56653.7</v>
      </c>
      <c r="Q123" s="342">
        <f>IFERROR(IF(F123="국내",C$69,D$69), )</f>
        <v>0.72500000000000009</v>
      </c>
      <c r="R123" s="347">
        <f>IFERROR(IF(F123="국내",S123,S123*S$69+T123*T$69+U123*U$69), )</f>
        <v>0</v>
      </c>
      <c r="S123" s="347">
        <f>IFERROR(VLOOKUP($D123,노선정리!$C$4:$S$31,15,0),)</f>
        <v>0</v>
      </c>
      <c r="T123" s="347">
        <f>IFERROR(VLOOKUP($D123,노선정리!$C$4:$S$31,16,0),)</f>
        <v>0</v>
      </c>
      <c r="U123" s="347">
        <f>IFERROR(VLOOKUP($D123,노선정리!$C$4:$S$31,17,0),)</f>
        <v>0</v>
      </c>
    </row>
    <row r="124" spans="2:21" outlineLevel="1">
      <c r="C124" s="139">
        <f>C123</f>
        <v>767</v>
      </c>
      <c r="D124" s="221">
        <f>CTRL!I115</f>
        <v>0</v>
      </c>
      <c r="E124" s="139">
        <f>IFERROR(VLOOKUP(D124,노선정리!$C$4:$S$31,3,0),)</f>
        <v>0</v>
      </c>
      <c r="F124" s="139" t="str">
        <f>IFERROR(IF(D124="C1","국내","국제"), )</f>
        <v>국제</v>
      </c>
      <c r="G124" s="139">
        <f>IFERROR(VLOOKUP(D124,노선정리!$C$4:$S$31,9,0),)</f>
        <v>0</v>
      </c>
      <c r="H124" s="139">
        <f>IFERROR(VLOOKUP(D124,노선정리!$C$4:$S$31,10,0),)</f>
        <v>0</v>
      </c>
      <c r="I124" s="139">
        <f>IFERROR(G124+H124, )</f>
        <v>0</v>
      </c>
      <c r="J124" s="221">
        <f>CTRL!J115</f>
        <v>0</v>
      </c>
      <c r="K124" s="139">
        <f t="shared" si="52"/>
        <v>0</v>
      </c>
      <c r="L124" s="139">
        <f t="shared" si="52"/>
        <v>0</v>
      </c>
      <c r="M124" s="139">
        <f>IFERROR(I124*J124, )</f>
        <v>0</v>
      </c>
      <c r="N124" s="139">
        <f>IFERROR(J124*2, )</f>
        <v>0</v>
      </c>
      <c r="O124" s="346">
        <f>IFERROR(P124*Q124*R124, )</f>
        <v>0</v>
      </c>
      <c r="P124" s="238">
        <f>IFERROR(HLOOKUP(C124,'2.기초자료_정리'!$F$4:$I$6,3,0), )</f>
        <v>56653.7</v>
      </c>
      <c r="Q124" s="342">
        <f>IFERROR(IF(F124="국내",C$69,D$69), )</f>
        <v>0.72500000000000009</v>
      </c>
      <c r="R124" s="347">
        <f>IFERROR(IF(F124="국내",S124,S124*S$69+T124*T$69+U124*U$69), )</f>
        <v>0</v>
      </c>
      <c r="S124" s="347">
        <f>IFERROR(VLOOKUP($D124,노선정리!$C$4:$S$31,15,0),)</f>
        <v>0</v>
      </c>
      <c r="T124" s="347">
        <f>IFERROR(VLOOKUP($D124,노선정리!$C$4:$S$31,16,0),)</f>
        <v>0</v>
      </c>
      <c r="U124" s="347">
        <f>IFERROR(VLOOKUP($D124,노선정리!$C$4:$S$31,17,0),)</f>
        <v>0</v>
      </c>
    </row>
    <row r="125" spans="2:21" outlineLevel="1">
      <c r="C125" s="139">
        <f>C124</f>
        <v>767</v>
      </c>
      <c r="D125" s="221">
        <f>CTRL!I116</f>
        <v>0</v>
      </c>
      <c r="E125" s="139">
        <f>IFERROR(VLOOKUP(D125,노선정리!$C$4:$S$31,3,0),)</f>
        <v>0</v>
      </c>
      <c r="F125" s="139" t="str">
        <f>IFERROR(IF(D125="C1","국내","국제"), )</f>
        <v>국제</v>
      </c>
      <c r="G125" s="139">
        <f>IFERROR(VLOOKUP(D125,노선정리!$C$4:$S$31,9,0),)</f>
        <v>0</v>
      </c>
      <c r="H125" s="139">
        <f>IFERROR(VLOOKUP(D125,노선정리!$C$4:$S$31,10,0),)</f>
        <v>0</v>
      </c>
      <c r="I125" s="139">
        <f>IFERROR(G125+H125, )</f>
        <v>0</v>
      </c>
      <c r="J125" s="221">
        <f>CTRL!J116</f>
        <v>0</v>
      </c>
      <c r="K125" s="139">
        <f t="shared" si="52"/>
        <v>0</v>
      </c>
      <c r="L125" s="139">
        <f t="shared" si="52"/>
        <v>0</v>
      </c>
      <c r="M125" s="139">
        <f>IFERROR(I125*J125, )</f>
        <v>0</v>
      </c>
      <c r="N125" s="139">
        <f>IFERROR(J125*2, )</f>
        <v>0</v>
      </c>
      <c r="O125" s="346">
        <f>IFERROR(P125*Q125*R125, )</f>
        <v>0</v>
      </c>
      <c r="P125" s="238">
        <f>IFERROR(HLOOKUP(C125,'2.기초자료_정리'!$F$4:$I$6,3,0), )</f>
        <v>56653.7</v>
      </c>
      <c r="Q125" s="342">
        <f>IFERROR(IF(F125="국내",C$69,D$69), )</f>
        <v>0.72500000000000009</v>
      </c>
      <c r="R125" s="347">
        <f>IFERROR(IF(F125="국내",S125,S125*S$69+T125*T$69+U125*U$69), )</f>
        <v>0</v>
      </c>
      <c r="S125" s="347">
        <f>IFERROR(VLOOKUP($D125,노선정리!$C$4:$S$31,15,0),)</f>
        <v>0</v>
      </c>
      <c r="T125" s="347">
        <f>IFERROR(VLOOKUP($D125,노선정리!$C$4:$S$31,16,0),)</f>
        <v>0</v>
      </c>
      <c r="U125" s="347">
        <f>IFERROR(VLOOKUP($D125,노선정리!$C$4:$S$31,17,0),)</f>
        <v>0</v>
      </c>
    </row>
    <row r="126" spans="2:21" outlineLevel="1">
      <c r="B126" s="270"/>
      <c r="C126" s="270"/>
      <c r="D126" s="348"/>
      <c r="E126" s="270"/>
      <c r="F126" s="270"/>
      <c r="G126" s="270"/>
      <c r="H126" s="270"/>
      <c r="I126" s="270"/>
      <c r="J126" s="348"/>
      <c r="K126" s="270"/>
      <c r="L126" s="270"/>
      <c r="M126" s="270"/>
      <c r="N126" s="270"/>
      <c r="O126" s="270"/>
      <c r="P126" s="270"/>
      <c r="Q126" s="270"/>
      <c r="R126" s="270"/>
      <c r="S126" s="270"/>
      <c r="T126" s="270"/>
      <c r="U126" s="270"/>
    </row>
    <row r="127" spans="2:21">
      <c r="B127" s="343">
        <v>10</v>
      </c>
      <c r="C127" s="343">
        <f>CTRL!E118</f>
        <v>767</v>
      </c>
      <c r="D127" s="343"/>
      <c r="E127" s="343"/>
      <c r="F127" s="343"/>
      <c r="G127" s="343"/>
      <c r="H127" s="343"/>
      <c r="I127" s="343"/>
      <c r="J127" s="343">
        <f>SUM(J128:J132)</f>
        <v>8</v>
      </c>
      <c r="K127" s="343">
        <f>SUM(K128:K132)</f>
        <v>84.8</v>
      </c>
      <c r="L127" s="343">
        <f>SUM(L128:L132)</f>
        <v>16</v>
      </c>
      <c r="M127" s="343">
        <f>IF(SUM(M128:M132)&gt;144,"운항시간초과",SUM(M128:M132))</f>
        <v>100.8</v>
      </c>
      <c r="N127" s="343">
        <f>SUM(N128:N132)</f>
        <v>16</v>
      </c>
      <c r="O127" s="350">
        <f>IF(M127="운항시간초과","Error",SUMPRODUCT(N128:N132,O128:O132))</f>
        <v>1315.6802058400001</v>
      </c>
      <c r="P127" s="345"/>
      <c r="Q127" s="345"/>
      <c r="R127" s="345"/>
      <c r="S127" s="345"/>
      <c r="T127" s="345"/>
      <c r="U127" s="345"/>
    </row>
    <row r="128" spans="2:21">
      <c r="C128" s="139">
        <f>C127</f>
        <v>767</v>
      </c>
      <c r="D128" s="221" t="str">
        <f>CTRL!I119</f>
        <v>I16</v>
      </c>
      <c r="E128" s="139" t="str">
        <f>IFERROR(VLOOKUP(D128,노선정리!$C$4:$S$31,3,0),)</f>
        <v>쿠알라룸푸르</v>
      </c>
      <c r="F128" s="139" t="str">
        <f>IFERROR(IF(D128="C1","국내","국제"), )</f>
        <v>국제</v>
      </c>
      <c r="G128" s="139">
        <f>IFERROR(VLOOKUP(D128,노선정리!$C$4:$S$31,9,0),)</f>
        <v>12.6</v>
      </c>
      <c r="H128" s="139">
        <f>IFERROR(VLOOKUP(D128,노선정리!$C$4:$S$31,10,0),)</f>
        <v>2</v>
      </c>
      <c r="I128" s="139">
        <f>IFERROR(G128+H128, )</f>
        <v>14.6</v>
      </c>
      <c r="J128" s="221">
        <f>CTRL!J119</f>
        <v>4</v>
      </c>
      <c r="K128" s="139">
        <f t="shared" ref="K128:L131" si="53">IFERROR(G128*$J128, )</f>
        <v>50.4</v>
      </c>
      <c r="L128" s="139">
        <f t="shared" si="53"/>
        <v>8</v>
      </c>
      <c r="M128" s="139">
        <f>IFERROR(I128*J128, )</f>
        <v>58.4</v>
      </c>
      <c r="N128" s="139">
        <f>IFERROR(J128*2, )</f>
        <v>8</v>
      </c>
      <c r="O128" s="346">
        <f>IFERROR(P128*Q128*R128, )</f>
        <v>63.664595375000012</v>
      </c>
      <c r="P128" s="238">
        <f>IFERROR(HLOOKUP(C128,'2.기초자료_정리'!$F$4:$I$6,3,0), )</f>
        <v>56653.7</v>
      </c>
      <c r="Q128" s="342">
        <f>IFERROR(IF(F128="국내",C$69,D$69), )</f>
        <v>0.72500000000000009</v>
      </c>
      <c r="R128" s="347">
        <f>IFERROR(IF(F128="국내",S128,S128*S$69+T128*T$69+U128*U$69), )</f>
        <v>1.5500000000000002E-3</v>
      </c>
      <c r="S128" s="347">
        <f>IFERROR(VLOOKUP($D128,노선정리!$C$4:$S$31,15,0),)</f>
        <v>1.5499999999999999E-3</v>
      </c>
      <c r="T128" s="347">
        <f>IFERROR(VLOOKUP($D128,노선정리!$C$4:$S$31,16,0),)</f>
        <v>1.5499999999999999E-3</v>
      </c>
      <c r="U128" s="347">
        <f>IFERROR(VLOOKUP($D128,노선정리!$C$4:$S$31,17,0),)</f>
        <v>1.5499999999999999E-3</v>
      </c>
    </row>
    <row r="129" spans="2:21">
      <c r="C129" s="139">
        <f>C128</f>
        <v>767</v>
      </c>
      <c r="D129" s="221" t="str">
        <f>CTRL!I120</f>
        <v>I17</v>
      </c>
      <c r="E129" s="139" t="str">
        <f>IFERROR(VLOOKUP(D129,노선정리!$C$4:$S$31,3,0),)</f>
        <v>뭄바이</v>
      </c>
      <c r="F129" s="139" t="str">
        <f>IFERROR(IF(D129="C1","국내","국제"), )</f>
        <v>국제</v>
      </c>
      <c r="G129" s="139">
        <f>IFERROR(VLOOKUP(D129,노선정리!$C$4:$S$31,9,0),)</f>
        <v>8.6</v>
      </c>
      <c r="H129" s="139">
        <f>IFERROR(VLOOKUP(D129,노선정리!$C$4:$S$31,10,0),)</f>
        <v>2</v>
      </c>
      <c r="I129" s="139">
        <f>IFERROR(G129+H129, )</f>
        <v>10.6</v>
      </c>
      <c r="J129" s="221">
        <f>CTRL!J120</f>
        <v>4</v>
      </c>
      <c r="K129" s="139">
        <f t="shared" si="53"/>
        <v>34.4</v>
      </c>
      <c r="L129" s="139">
        <f t="shared" si="53"/>
        <v>8</v>
      </c>
      <c r="M129" s="139">
        <f>IFERROR(I129*J129, )</f>
        <v>42.4</v>
      </c>
      <c r="N129" s="139">
        <f>IFERROR(J129*2, )</f>
        <v>8</v>
      </c>
      <c r="O129" s="346">
        <f>IFERROR(P129*Q129*R129, )</f>
        <v>100.79543035500001</v>
      </c>
      <c r="P129" s="238">
        <f>IFERROR(HLOOKUP(C129,'2.기초자료_정리'!$F$4:$I$6,3,0), )</f>
        <v>56653.7</v>
      </c>
      <c r="Q129" s="342">
        <f>IFERROR(IF(F129="국내",C$69,D$69), )</f>
        <v>0.72500000000000009</v>
      </c>
      <c r="R129" s="347">
        <f>IFERROR(IF(F129="국내",S129,S129*S$69+T129*T$69+U129*U$69), )</f>
        <v>2.454E-3</v>
      </c>
      <c r="S129" s="347">
        <f>IFERROR(VLOOKUP($D129,노선정리!$C$4:$S$31,15,0),)</f>
        <v>2.3999999999999998E-3</v>
      </c>
      <c r="T129" s="347">
        <f>IFERROR(VLOOKUP($D129,노선정리!$C$4:$S$31,16,0),)</f>
        <v>2.5999999999999999E-3</v>
      </c>
      <c r="U129" s="347">
        <f>IFERROR(VLOOKUP($D129,노선정리!$C$4:$S$31,17,0),)</f>
        <v>2.3999999999999998E-3</v>
      </c>
    </row>
    <row r="130" spans="2:21">
      <c r="C130" s="139">
        <f>C129</f>
        <v>767</v>
      </c>
      <c r="D130" s="221">
        <f>CTRL!I121</f>
        <v>0</v>
      </c>
      <c r="E130" s="139">
        <f>IFERROR(VLOOKUP(D130,노선정리!$C$4:$S$31,3,0),)</f>
        <v>0</v>
      </c>
      <c r="F130" s="139" t="str">
        <f>IFERROR(IF(D130="C1","국내","국제"), )</f>
        <v>국제</v>
      </c>
      <c r="G130" s="139">
        <f>IFERROR(VLOOKUP(D130,노선정리!$C$4:$S$31,9,0),)</f>
        <v>0</v>
      </c>
      <c r="H130" s="139">
        <f>IFERROR(VLOOKUP(D130,노선정리!$C$4:$S$31,10,0),)</f>
        <v>0</v>
      </c>
      <c r="I130" s="139">
        <f>IFERROR(G130+H130, )</f>
        <v>0</v>
      </c>
      <c r="J130" s="221">
        <f>CTRL!J121</f>
        <v>0</v>
      </c>
      <c r="K130" s="139">
        <f t="shared" si="53"/>
        <v>0</v>
      </c>
      <c r="L130" s="139">
        <f t="shared" si="53"/>
        <v>0</v>
      </c>
      <c r="M130" s="139">
        <f>IFERROR(I130*J130, )</f>
        <v>0</v>
      </c>
      <c r="N130" s="139">
        <f>IFERROR(J130*2, )</f>
        <v>0</v>
      </c>
      <c r="O130" s="346">
        <f>IFERROR(P130*Q130*R130, )</f>
        <v>0</v>
      </c>
      <c r="P130" s="238">
        <f>IFERROR(HLOOKUP(C130,'2.기초자료_정리'!$F$4:$I$6,3,0), )</f>
        <v>56653.7</v>
      </c>
      <c r="Q130" s="342">
        <f>IFERROR(IF(F130="국내",C$69,D$69), )</f>
        <v>0.72500000000000009</v>
      </c>
      <c r="R130" s="347">
        <f>IFERROR(IF(F130="국내",S130,S130*S$69+T130*T$69+U130*U$69), )</f>
        <v>0</v>
      </c>
      <c r="S130" s="347">
        <f>IFERROR(VLOOKUP($D130,노선정리!$C$4:$S$31,15,0),)</f>
        <v>0</v>
      </c>
      <c r="T130" s="347">
        <f>IFERROR(VLOOKUP($D130,노선정리!$C$4:$S$31,16,0),)</f>
        <v>0</v>
      </c>
      <c r="U130" s="347">
        <f>IFERROR(VLOOKUP($D130,노선정리!$C$4:$S$31,17,0),)</f>
        <v>0</v>
      </c>
    </row>
    <row r="131" spans="2:21">
      <c r="C131" s="139">
        <f>C130</f>
        <v>767</v>
      </c>
      <c r="D131" s="221">
        <f>CTRL!I122</f>
        <v>0</v>
      </c>
      <c r="E131" s="139">
        <f>IFERROR(VLOOKUP(D131,노선정리!$C$4:$S$31,3,0),)</f>
        <v>0</v>
      </c>
      <c r="F131" s="139" t="str">
        <f>IFERROR(IF(D131="C1","국내","국제"), )</f>
        <v>국제</v>
      </c>
      <c r="G131" s="139">
        <f>IFERROR(VLOOKUP(D131,노선정리!$C$4:$S$31,9,0),)</f>
        <v>0</v>
      </c>
      <c r="H131" s="139">
        <f>IFERROR(VLOOKUP(D131,노선정리!$C$4:$S$31,10,0),)</f>
        <v>0</v>
      </c>
      <c r="I131" s="139">
        <f>IFERROR(G131+H131, )</f>
        <v>0</v>
      </c>
      <c r="J131" s="221">
        <f>CTRL!J122</f>
        <v>0</v>
      </c>
      <c r="K131" s="139">
        <f t="shared" si="53"/>
        <v>0</v>
      </c>
      <c r="L131" s="139">
        <f t="shared" si="53"/>
        <v>0</v>
      </c>
      <c r="M131" s="139">
        <f>IFERROR(I131*J131, )</f>
        <v>0</v>
      </c>
      <c r="N131" s="139">
        <f>IFERROR(J131*2, )</f>
        <v>0</v>
      </c>
      <c r="O131" s="346">
        <f>IFERROR(P131*Q131*R131, )</f>
        <v>0</v>
      </c>
      <c r="P131" s="238">
        <f>IFERROR(HLOOKUP(C131,'2.기초자료_정리'!$F$4:$I$6,3,0), )</f>
        <v>56653.7</v>
      </c>
      <c r="Q131" s="342">
        <f>IFERROR(IF(F131="국내",C$69,D$69), )</f>
        <v>0.72500000000000009</v>
      </c>
      <c r="R131" s="347">
        <f>IFERROR(IF(F131="국내",S131,S131*S$69+T131*T$69+U131*U$69), )</f>
        <v>0</v>
      </c>
      <c r="S131" s="347">
        <f>IFERROR(VLOOKUP($D131,노선정리!$C$4:$S$31,15,0),)</f>
        <v>0</v>
      </c>
      <c r="T131" s="347">
        <f>IFERROR(VLOOKUP($D131,노선정리!$C$4:$S$31,16,0),)</f>
        <v>0</v>
      </c>
      <c r="U131" s="347">
        <f>IFERROR(VLOOKUP($D131,노선정리!$C$4:$S$31,17,0),)</f>
        <v>0</v>
      </c>
    </row>
    <row r="132" spans="2:21" ht="13.8" thickBot="1">
      <c r="B132" s="224"/>
      <c r="C132" s="224"/>
      <c r="D132" s="340"/>
      <c r="E132" s="224"/>
      <c r="F132" s="224"/>
      <c r="G132" s="224"/>
      <c r="H132" s="224"/>
      <c r="I132" s="224"/>
      <c r="J132" s="340"/>
      <c r="K132" s="224"/>
      <c r="L132" s="224"/>
      <c r="M132" s="224"/>
      <c r="N132" s="224"/>
      <c r="O132" s="224"/>
      <c r="P132" s="224"/>
      <c r="Q132" s="224"/>
      <c r="R132" s="224"/>
      <c r="S132" s="224"/>
      <c r="T132" s="224"/>
      <c r="U132" s="224"/>
    </row>
  </sheetData>
  <phoneticPr fontId="24" type="noConversion"/>
  <pageMargins left="0.6" right="0.6" top="1" bottom="1" header="0.5" footer="0.5"/>
  <pageSetup scale="66" orientation="landscape" r:id="rId1"/>
  <headerFooter>
    <oddHeader>&amp;RDraft - Work in Progress</oddHeader>
    <oddFooter>&amp;L&amp;F
&amp;D, &amp;T&amp;CPage &amp;P of &amp;N&amp;R&amp;A</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pageSetUpPr fitToPage="1"/>
  </sheetPr>
  <dimension ref="B1:CA131"/>
  <sheetViews>
    <sheetView tabSelected="1" workbookViewId="0">
      <selection activeCell="R17" sqref="R17"/>
    </sheetView>
  </sheetViews>
  <sheetFormatPr defaultColWidth="9.125" defaultRowHeight="13.2" outlineLevelRow="1" outlineLevelCol="1"/>
  <cols>
    <col min="1" max="1" width="2" style="139" customWidth="1"/>
    <col min="2" max="2" width="2.25" style="139" customWidth="1"/>
    <col min="3" max="3" width="3.875" style="139" customWidth="1"/>
    <col min="4" max="4" width="5.875" style="139" customWidth="1"/>
    <col min="5" max="5" width="9.25" style="139" customWidth="1"/>
    <col min="6" max="6" width="2.25" style="139" customWidth="1"/>
    <col min="7" max="7" width="9.125" style="139"/>
    <col min="8" max="8" width="7.25" style="139" customWidth="1"/>
    <col min="9" max="19" width="7.25" style="139" customWidth="1" outlineLevel="1"/>
    <col min="20" max="20" width="7.25" style="139" customWidth="1"/>
    <col min="21" max="31" width="7.25" style="139" customWidth="1" outlineLevel="1"/>
    <col min="32" max="32" width="7.25" style="139" customWidth="1"/>
    <col min="33" max="43" width="7.25" style="139" customWidth="1" outlineLevel="1"/>
    <col min="44" max="44" width="7.25" style="139" customWidth="1"/>
    <col min="45" max="55" width="7.25" style="139" customWidth="1" outlineLevel="1"/>
    <col min="56" max="56" width="7.25" style="139" customWidth="1"/>
    <col min="57" max="67" width="7.25" style="139" customWidth="1" outlineLevel="1"/>
    <col min="68" max="68" width="3.25" style="139" customWidth="1"/>
    <col min="69" max="73" width="9.125" style="139"/>
    <col min="74" max="74" width="1.75" style="139" customWidth="1"/>
    <col min="75" max="16384" width="9.125" style="139"/>
  </cols>
  <sheetData>
    <row r="1" spans="2:79" ht="17.399999999999999">
      <c r="B1" s="153" t="s">
        <v>366</v>
      </c>
    </row>
    <row r="3" spans="2:79" s="155" customFormat="1">
      <c r="H3" s="298" t="s">
        <v>379</v>
      </c>
      <c r="I3" s="298"/>
      <c r="J3" s="298"/>
      <c r="K3" s="298"/>
      <c r="L3" s="298"/>
      <c r="M3" s="298"/>
      <c r="N3" s="298"/>
      <c r="O3" s="298"/>
      <c r="P3" s="298"/>
      <c r="Q3" s="298"/>
      <c r="R3" s="298"/>
      <c r="S3" s="298"/>
      <c r="T3" s="192" t="s">
        <v>380</v>
      </c>
      <c r="U3" s="192"/>
      <c r="V3" s="192"/>
      <c r="W3" s="192"/>
      <c r="X3" s="192"/>
      <c r="Y3" s="192"/>
      <c r="Z3" s="192"/>
      <c r="AA3" s="192"/>
      <c r="AB3" s="192"/>
      <c r="AC3" s="192"/>
      <c r="AD3" s="192"/>
      <c r="AE3" s="192"/>
      <c r="AF3" s="299" t="s">
        <v>381</v>
      </c>
      <c r="AG3" s="299"/>
      <c r="AH3" s="299"/>
      <c r="AI3" s="299"/>
      <c r="AJ3" s="299"/>
      <c r="AK3" s="299"/>
      <c r="AL3" s="299"/>
      <c r="AM3" s="299"/>
      <c r="AN3" s="299"/>
      <c r="AO3" s="299"/>
      <c r="AP3" s="299"/>
      <c r="AQ3" s="299"/>
      <c r="AR3" s="300" t="s">
        <v>382</v>
      </c>
      <c r="AS3" s="300"/>
      <c r="AT3" s="300"/>
      <c r="AU3" s="300"/>
      <c r="AV3" s="300"/>
      <c r="AW3" s="300"/>
      <c r="AX3" s="300"/>
      <c r="AY3" s="300"/>
      <c r="AZ3" s="300"/>
      <c r="BA3" s="300"/>
      <c r="BB3" s="300"/>
      <c r="BC3" s="300"/>
      <c r="BD3" s="301" t="s">
        <v>383</v>
      </c>
      <c r="BE3" s="302"/>
      <c r="BF3" s="302"/>
      <c r="BG3" s="302"/>
      <c r="BH3" s="302"/>
      <c r="BI3" s="302"/>
      <c r="BJ3" s="302"/>
      <c r="BK3" s="302"/>
      <c r="BL3" s="302"/>
      <c r="BM3" s="302"/>
      <c r="BN3" s="302"/>
      <c r="BO3" s="302"/>
      <c r="BW3" s="155" t="s">
        <v>1304</v>
      </c>
    </row>
    <row r="4" spans="2:79" ht="13.8" thickBot="1">
      <c r="B4" s="157" t="s">
        <v>384</v>
      </c>
      <c r="C4" s="304"/>
      <c r="D4" s="304"/>
      <c r="E4" s="304"/>
      <c r="F4" s="304"/>
      <c r="G4" s="304"/>
      <c r="H4" s="304" t="s">
        <v>367</v>
      </c>
      <c r="I4" s="304" t="s">
        <v>368</v>
      </c>
      <c r="J4" s="304" t="s">
        <v>369</v>
      </c>
      <c r="K4" s="304" t="s">
        <v>370</v>
      </c>
      <c r="L4" s="304" t="s">
        <v>371</v>
      </c>
      <c r="M4" s="304" t="s">
        <v>372</v>
      </c>
      <c r="N4" s="304" t="s">
        <v>373</v>
      </c>
      <c r="O4" s="304" t="s">
        <v>374</v>
      </c>
      <c r="P4" s="304" t="s">
        <v>375</v>
      </c>
      <c r="Q4" s="304" t="s">
        <v>376</v>
      </c>
      <c r="R4" s="304" t="s">
        <v>377</v>
      </c>
      <c r="S4" s="304" t="s">
        <v>378</v>
      </c>
      <c r="T4" s="304" t="s">
        <v>385</v>
      </c>
      <c r="U4" s="304" t="s">
        <v>386</v>
      </c>
      <c r="V4" s="304" t="s">
        <v>387</v>
      </c>
      <c r="W4" s="304" t="s">
        <v>388</v>
      </c>
      <c r="X4" s="304" t="s">
        <v>389</v>
      </c>
      <c r="Y4" s="304" t="s">
        <v>390</v>
      </c>
      <c r="Z4" s="304" t="s">
        <v>391</v>
      </c>
      <c r="AA4" s="304" t="s">
        <v>392</v>
      </c>
      <c r="AB4" s="304" t="s">
        <v>393</v>
      </c>
      <c r="AC4" s="304" t="s">
        <v>394</v>
      </c>
      <c r="AD4" s="304" t="s">
        <v>395</v>
      </c>
      <c r="AE4" s="304" t="s">
        <v>396</v>
      </c>
      <c r="AF4" s="304" t="s">
        <v>397</v>
      </c>
      <c r="AG4" s="304" t="s">
        <v>398</v>
      </c>
      <c r="AH4" s="304" t="s">
        <v>399</v>
      </c>
      <c r="AI4" s="304" t="s">
        <v>400</v>
      </c>
      <c r="AJ4" s="304" t="s">
        <v>401</v>
      </c>
      <c r="AK4" s="304" t="s">
        <v>402</v>
      </c>
      <c r="AL4" s="304" t="s">
        <v>403</v>
      </c>
      <c r="AM4" s="304" t="s">
        <v>404</v>
      </c>
      <c r="AN4" s="304" t="s">
        <v>405</v>
      </c>
      <c r="AO4" s="304" t="s">
        <v>406</v>
      </c>
      <c r="AP4" s="304" t="s">
        <v>407</v>
      </c>
      <c r="AQ4" s="304" t="s">
        <v>408</v>
      </c>
      <c r="AR4" s="304" t="s">
        <v>409</v>
      </c>
      <c r="AS4" s="304" t="s">
        <v>410</v>
      </c>
      <c r="AT4" s="304" t="s">
        <v>411</v>
      </c>
      <c r="AU4" s="304" t="s">
        <v>412</v>
      </c>
      <c r="AV4" s="304" t="s">
        <v>413</v>
      </c>
      <c r="AW4" s="304" t="s">
        <v>414</v>
      </c>
      <c r="AX4" s="304" t="s">
        <v>415</v>
      </c>
      <c r="AY4" s="304" t="s">
        <v>416</v>
      </c>
      <c r="AZ4" s="304" t="s">
        <v>417</v>
      </c>
      <c r="BA4" s="304" t="s">
        <v>418</v>
      </c>
      <c r="BB4" s="304" t="s">
        <v>419</v>
      </c>
      <c r="BC4" s="304" t="s">
        <v>420</v>
      </c>
      <c r="BD4" s="304" t="s">
        <v>421</v>
      </c>
      <c r="BE4" s="304" t="s">
        <v>422</v>
      </c>
      <c r="BF4" s="304" t="s">
        <v>423</v>
      </c>
      <c r="BG4" s="304" t="s">
        <v>424</v>
      </c>
      <c r="BH4" s="304" t="s">
        <v>425</v>
      </c>
      <c r="BI4" s="304" t="s">
        <v>426</v>
      </c>
      <c r="BJ4" s="304" t="s">
        <v>427</v>
      </c>
      <c r="BK4" s="304" t="s">
        <v>428</v>
      </c>
      <c r="BL4" s="304" t="s">
        <v>429</v>
      </c>
      <c r="BM4" s="304" t="s">
        <v>430</v>
      </c>
      <c r="BN4" s="304" t="s">
        <v>431</v>
      </c>
      <c r="BO4" s="304" t="s">
        <v>432</v>
      </c>
      <c r="BQ4" s="304" t="s">
        <v>623</v>
      </c>
      <c r="BR4" s="304" t="s">
        <v>624</v>
      </c>
      <c r="BS4" s="304" t="s">
        <v>625</v>
      </c>
      <c r="BT4" s="304" t="s">
        <v>626</v>
      </c>
      <c r="BU4" s="304" t="s">
        <v>627</v>
      </c>
      <c r="BW4" s="304" t="s">
        <v>379</v>
      </c>
      <c r="BX4" s="304" t="s">
        <v>380</v>
      </c>
      <c r="BY4" s="304" t="s">
        <v>381</v>
      </c>
      <c r="BZ4" s="304" t="s">
        <v>382</v>
      </c>
      <c r="CA4" s="304" t="s">
        <v>383</v>
      </c>
    </row>
    <row r="5" spans="2:79" s="155" customFormat="1">
      <c r="B5" s="450"/>
      <c r="C5" s="451"/>
      <c r="D5" s="451"/>
      <c r="E5" s="451"/>
      <c r="F5" s="451"/>
      <c r="G5" s="452" t="s">
        <v>436</v>
      </c>
      <c r="H5" s="452">
        <v>5</v>
      </c>
      <c r="I5" s="452">
        <v>4</v>
      </c>
      <c r="J5" s="452">
        <v>4</v>
      </c>
      <c r="K5" s="452">
        <v>4</v>
      </c>
      <c r="L5" s="452">
        <v>5</v>
      </c>
      <c r="M5" s="452">
        <v>4</v>
      </c>
      <c r="N5" s="452">
        <v>4</v>
      </c>
      <c r="O5" s="452">
        <v>5</v>
      </c>
      <c r="P5" s="452">
        <v>4</v>
      </c>
      <c r="Q5" s="452">
        <v>5</v>
      </c>
      <c r="R5" s="452">
        <v>4</v>
      </c>
      <c r="S5" s="452">
        <v>4</v>
      </c>
      <c r="T5" s="452">
        <v>5</v>
      </c>
      <c r="U5" s="452">
        <v>4</v>
      </c>
      <c r="V5" s="452">
        <v>4</v>
      </c>
      <c r="W5" s="452">
        <v>4</v>
      </c>
      <c r="X5" s="452">
        <v>5</v>
      </c>
      <c r="Y5" s="452">
        <v>4</v>
      </c>
      <c r="Z5" s="452">
        <v>4</v>
      </c>
      <c r="AA5" s="452">
        <v>5</v>
      </c>
      <c r="AB5" s="452">
        <v>4</v>
      </c>
      <c r="AC5" s="452">
        <v>5</v>
      </c>
      <c r="AD5" s="452">
        <v>4</v>
      </c>
      <c r="AE5" s="452">
        <v>4</v>
      </c>
      <c r="AF5" s="452">
        <v>5</v>
      </c>
      <c r="AG5" s="452">
        <v>4</v>
      </c>
      <c r="AH5" s="452">
        <v>4</v>
      </c>
      <c r="AI5" s="452">
        <v>4</v>
      </c>
      <c r="AJ5" s="452">
        <v>5</v>
      </c>
      <c r="AK5" s="452">
        <v>4</v>
      </c>
      <c r="AL5" s="452">
        <v>4</v>
      </c>
      <c r="AM5" s="452">
        <v>5</v>
      </c>
      <c r="AN5" s="452">
        <v>4</v>
      </c>
      <c r="AO5" s="452">
        <v>5</v>
      </c>
      <c r="AP5" s="452">
        <v>4</v>
      </c>
      <c r="AQ5" s="452">
        <v>4</v>
      </c>
      <c r="AR5" s="452">
        <v>5</v>
      </c>
      <c r="AS5" s="452">
        <v>4</v>
      </c>
      <c r="AT5" s="452">
        <v>4</v>
      </c>
      <c r="AU5" s="452">
        <v>4</v>
      </c>
      <c r="AV5" s="452">
        <v>5</v>
      </c>
      <c r="AW5" s="452">
        <v>4</v>
      </c>
      <c r="AX5" s="452">
        <v>4</v>
      </c>
      <c r="AY5" s="452">
        <v>5</v>
      </c>
      <c r="AZ5" s="452">
        <v>4</v>
      </c>
      <c r="BA5" s="452">
        <v>5</v>
      </c>
      <c r="BB5" s="452">
        <v>4</v>
      </c>
      <c r="BC5" s="452">
        <v>4</v>
      </c>
      <c r="BD5" s="452">
        <v>5</v>
      </c>
      <c r="BE5" s="452">
        <v>4</v>
      </c>
      <c r="BF5" s="452">
        <v>4</v>
      </c>
      <c r="BG5" s="452">
        <v>4</v>
      </c>
      <c r="BH5" s="452">
        <v>5</v>
      </c>
      <c r="BI5" s="452">
        <v>4</v>
      </c>
      <c r="BJ5" s="452">
        <v>4</v>
      </c>
      <c r="BK5" s="452">
        <v>5</v>
      </c>
      <c r="BL5" s="452">
        <v>4</v>
      </c>
      <c r="BM5" s="452">
        <v>5</v>
      </c>
      <c r="BN5" s="452">
        <v>4</v>
      </c>
      <c r="BO5" s="452">
        <v>4</v>
      </c>
      <c r="BQ5" s="155">
        <f>SUM(H5:S5)</f>
        <v>52</v>
      </c>
      <c r="BR5" s="155">
        <f>SUM(T5:AE5)</f>
        <v>52</v>
      </c>
      <c r="BS5" s="155">
        <f>SUM(AF5:AQ5)</f>
        <v>52</v>
      </c>
      <c r="BT5" s="155">
        <f>SUM(AR5:BC5)</f>
        <v>52</v>
      </c>
      <c r="BU5" s="155">
        <f>SUM(BD5:BO5)</f>
        <v>52</v>
      </c>
    </row>
    <row r="6" spans="2:79" ht="6" customHeight="1">
      <c r="B6" s="332"/>
      <c r="C6" s="408"/>
      <c r="D6" s="408"/>
      <c r="E6" s="408"/>
      <c r="F6" s="408"/>
      <c r="G6" s="453"/>
      <c r="H6" s="453"/>
      <c r="I6" s="453"/>
      <c r="J6" s="453"/>
      <c r="K6" s="453"/>
      <c r="L6" s="453"/>
      <c r="M6" s="453"/>
      <c r="N6" s="453"/>
      <c r="O6" s="453"/>
      <c r="P6" s="453"/>
      <c r="Q6" s="453"/>
      <c r="R6" s="453"/>
      <c r="S6" s="453"/>
      <c r="T6" s="453"/>
      <c r="U6" s="453"/>
      <c r="V6" s="453"/>
      <c r="W6" s="453"/>
      <c r="X6" s="453"/>
      <c r="Y6" s="453"/>
      <c r="Z6" s="453"/>
      <c r="AA6" s="453"/>
      <c r="AB6" s="453"/>
      <c r="AC6" s="453"/>
      <c r="AD6" s="453"/>
      <c r="AE6" s="453"/>
      <c r="AF6" s="453"/>
      <c r="AG6" s="453"/>
      <c r="AH6" s="453"/>
      <c r="AI6" s="453"/>
      <c r="AJ6" s="453"/>
      <c r="AK6" s="453"/>
      <c r="AL6" s="453"/>
      <c r="AM6" s="453"/>
      <c r="AN6" s="453"/>
      <c r="AO6" s="453"/>
      <c r="AP6" s="453"/>
      <c r="AQ6" s="453"/>
      <c r="AR6" s="453"/>
      <c r="AS6" s="453"/>
      <c r="AT6" s="453"/>
      <c r="AU6" s="453"/>
      <c r="AV6" s="453"/>
      <c r="AW6" s="453"/>
      <c r="AX6" s="453"/>
      <c r="AY6" s="453"/>
      <c r="AZ6" s="453"/>
      <c r="BA6" s="453"/>
      <c r="BB6" s="453"/>
      <c r="BC6" s="453"/>
      <c r="BD6" s="453"/>
      <c r="BE6" s="453"/>
      <c r="BF6" s="453"/>
      <c r="BG6" s="453"/>
      <c r="BH6" s="453"/>
      <c r="BI6" s="453"/>
      <c r="BJ6" s="453"/>
      <c r="BK6" s="453"/>
      <c r="BL6" s="453"/>
      <c r="BM6" s="453"/>
      <c r="BN6" s="453"/>
      <c r="BO6" s="453"/>
    </row>
    <row r="7" spans="2:79" s="155" customFormat="1">
      <c r="B7" s="155" t="s">
        <v>440</v>
      </c>
      <c r="H7" s="155">
        <f>SUM(H10:H20)*H$5</f>
        <v>0</v>
      </c>
      <c r="I7" s="155">
        <f t="shared" ref="I7:BO7" si="0">SUM(I10:I20)*I$5</f>
        <v>0</v>
      </c>
      <c r="J7" s="155">
        <f t="shared" si="0"/>
        <v>0</v>
      </c>
      <c r="K7" s="155">
        <f t="shared" si="0"/>
        <v>0</v>
      </c>
      <c r="L7" s="155">
        <f t="shared" si="0"/>
        <v>0</v>
      </c>
      <c r="M7" s="155">
        <f t="shared" si="0"/>
        <v>0</v>
      </c>
      <c r="N7" s="155">
        <f t="shared" si="0"/>
        <v>11793.846257298826</v>
      </c>
      <c r="O7" s="155">
        <f t="shared" si="0"/>
        <v>14742.307821623534</v>
      </c>
      <c r="P7" s="155">
        <f t="shared" si="0"/>
        <v>11793.846257298826</v>
      </c>
      <c r="Q7" s="155">
        <f t="shared" si="0"/>
        <v>14742.307821623534</v>
      </c>
      <c r="R7" s="155">
        <f t="shared" si="0"/>
        <v>11793.846257298826</v>
      </c>
      <c r="S7" s="155">
        <f t="shared" si="0"/>
        <v>11793.846257298826</v>
      </c>
      <c r="T7" s="155">
        <f t="shared" si="0"/>
        <v>16761.68017456471</v>
      </c>
      <c r="U7" s="155">
        <f t="shared" si="0"/>
        <v>13409.344139651768</v>
      </c>
      <c r="V7" s="155">
        <f t="shared" si="0"/>
        <v>13409.344139651768</v>
      </c>
      <c r="W7" s="155">
        <f t="shared" si="0"/>
        <v>13409.344139651768</v>
      </c>
      <c r="X7" s="155">
        <f t="shared" si="0"/>
        <v>16761.68017456471</v>
      </c>
      <c r="Y7" s="155">
        <f t="shared" si="0"/>
        <v>13409.344139651768</v>
      </c>
      <c r="Z7" s="155">
        <f t="shared" si="0"/>
        <v>18094.497820878831</v>
      </c>
      <c r="AA7" s="155">
        <f t="shared" si="0"/>
        <v>22618.12227609854</v>
      </c>
      <c r="AB7" s="155">
        <f t="shared" si="0"/>
        <v>18094.497820878831</v>
      </c>
      <c r="AC7" s="155">
        <f t="shared" si="0"/>
        <v>22618.12227609854</v>
      </c>
      <c r="AD7" s="155">
        <f t="shared" si="0"/>
        <v>18094.497820878831</v>
      </c>
      <c r="AE7" s="155">
        <f t="shared" si="0"/>
        <v>18094.497820878831</v>
      </c>
      <c r="AF7" s="155">
        <f t="shared" si="0"/>
        <v>27464.615923157362</v>
      </c>
      <c r="AG7" s="155">
        <f t="shared" si="0"/>
        <v>21971.69273852589</v>
      </c>
      <c r="AH7" s="155">
        <f t="shared" si="0"/>
        <v>21971.69273852589</v>
      </c>
      <c r="AI7" s="155">
        <f t="shared" si="0"/>
        <v>21971.69273852589</v>
      </c>
      <c r="AJ7" s="155">
        <f t="shared" si="0"/>
        <v>27464.615923157362</v>
      </c>
      <c r="AK7" s="155">
        <f t="shared" si="0"/>
        <v>21971.69273852589</v>
      </c>
      <c r="AL7" s="155">
        <f t="shared" si="0"/>
        <v>32105.453364925888</v>
      </c>
      <c r="AM7" s="155">
        <f t="shared" si="0"/>
        <v>40131.816706157362</v>
      </c>
      <c r="AN7" s="155">
        <f t="shared" si="0"/>
        <v>32105.453364925888</v>
      </c>
      <c r="AO7" s="155">
        <f t="shared" si="0"/>
        <v>40131.816706157362</v>
      </c>
      <c r="AP7" s="155">
        <f t="shared" si="0"/>
        <v>32105.453364925888</v>
      </c>
      <c r="AQ7" s="155">
        <f t="shared" si="0"/>
        <v>32105.453364925888</v>
      </c>
      <c r="AR7" s="155">
        <f t="shared" si="0"/>
        <v>47796.212510657359</v>
      </c>
      <c r="AS7" s="155">
        <f t="shared" si="0"/>
        <v>38236.970008525888</v>
      </c>
      <c r="AT7" s="155">
        <f t="shared" si="0"/>
        <v>38236.970008525888</v>
      </c>
      <c r="AU7" s="155">
        <f t="shared" si="0"/>
        <v>38236.970008525888</v>
      </c>
      <c r="AV7" s="155">
        <f t="shared" si="0"/>
        <v>47796.212510657359</v>
      </c>
      <c r="AW7" s="155">
        <f t="shared" si="0"/>
        <v>38236.970008525888</v>
      </c>
      <c r="AX7" s="155">
        <f t="shared" si="0"/>
        <v>43499.690831885891</v>
      </c>
      <c r="AY7" s="155">
        <f t="shared" si="0"/>
        <v>54374.613539857368</v>
      </c>
      <c r="AZ7" s="155">
        <f t="shared" si="0"/>
        <v>43499.690831885891</v>
      </c>
      <c r="BA7" s="155">
        <f t="shared" si="0"/>
        <v>54374.613539857368</v>
      </c>
      <c r="BB7" s="155">
        <f t="shared" si="0"/>
        <v>43499.690831885891</v>
      </c>
      <c r="BC7" s="155">
        <f t="shared" si="0"/>
        <v>43499.690831885891</v>
      </c>
      <c r="BD7" s="155">
        <f t="shared" si="0"/>
        <v>54374.613539857368</v>
      </c>
      <c r="BE7" s="155">
        <f t="shared" si="0"/>
        <v>43499.690831885891</v>
      </c>
      <c r="BF7" s="155">
        <f t="shared" si="0"/>
        <v>43499.690831885891</v>
      </c>
      <c r="BG7" s="155">
        <f t="shared" si="0"/>
        <v>43499.690831885891</v>
      </c>
      <c r="BH7" s="155">
        <f t="shared" si="0"/>
        <v>54374.613539857368</v>
      </c>
      <c r="BI7" s="155">
        <f t="shared" si="0"/>
        <v>43499.690831885891</v>
      </c>
      <c r="BJ7" s="155">
        <f t="shared" si="0"/>
        <v>43499.690831885891</v>
      </c>
      <c r="BK7" s="155">
        <f t="shared" si="0"/>
        <v>54374.613539857368</v>
      </c>
      <c r="BL7" s="155">
        <f t="shared" si="0"/>
        <v>43499.690831885891</v>
      </c>
      <c r="BM7" s="155">
        <f t="shared" si="0"/>
        <v>54374.613539857368</v>
      </c>
      <c r="BN7" s="155">
        <f t="shared" si="0"/>
        <v>43499.690831885891</v>
      </c>
      <c r="BO7" s="155">
        <f t="shared" si="0"/>
        <v>43499.690831885891</v>
      </c>
      <c r="BQ7" s="155">
        <f>SUM(H7:S7)</f>
        <v>76660.000672442373</v>
      </c>
      <c r="BR7" s="155">
        <f>SUM(T7:AE7)</f>
        <v>204774.97274344892</v>
      </c>
      <c r="BS7" s="155">
        <f>SUM(AF7:AQ7)</f>
        <v>351501.44967243657</v>
      </c>
      <c r="BT7" s="155">
        <f>SUM(AR7:BC7)</f>
        <v>531288.29546267656</v>
      </c>
      <c r="BU7" s="155">
        <f>SUM(BD7:BO7)</f>
        <v>565495.98081451666</v>
      </c>
      <c r="BX7" s="454">
        <f>BR7/BQ7-1</f>
        <v>1.6712101610646233</v>
      </c>
      <c r="BY7" s="454">
        <f>BS7/BR7-1</f>
        <v>0.71652543747527697</v>
      </c>
      <c r="BZ7" s="454">
        <f>BT7/BS7-1</f>
        <v>0.5114825158126175</v>
      </c>
      <c r="CA7" s="454">
        <f>BU7/BT7-1</f>
        <v>6.4386295809603755E-2</v>
      </c>
    </row>
    <row r="8" spans="2:79" outlineLevel="1">
      <c r="C8" s="286" t="s">
        <v>435</v>
      </c>
    </row>
    <row r="9" spans="2:79" outlineLevel="1">
      <c r="C9" s="165" t="s">
        <v>0</v>
      </c>
      <c r="D9" s="139" t="s">
        <v>434</v>
      </c>
      <c r="E9" s="139" t="s">
        <v>433</v>
      </c>
    </row>
    <row r="10" spans="2:79" outlineLevel="1">
      <c r="C10" s="139">
        <f>노선구성!B48</f>
        <v>1</v>
      </c>
      <c r="D10" s="139">
        <f>노선구성!C$48</f>
        <v>737</v>
      </c>
      <c r="E10" s="139" t="str">
        <f>노선구성!D$48</f>
        <v>M7</v>
      </c>
      <c r="H10" s="139">
        <f>IF($E10=H$4,VLOOKUP($C10,노선구성!$B$47:$Y$60,14,0),0)</f>
        <v>0</v>
      </c>
      <c r="I10" s="139">
        <f>IF(H10&gt;0,H10,IF($E10=I$4,VLOOKUP($C10,노선구성!$B$47:$Y$60,14,0),0))</f>
        <v>0</v>
      </c>
      <c r="J10" s="139">
        <f>IF(I10&gt;0,I10,IF($E10=J$4,VLOOKUP($C10,노선구성!$B$47:$Y$60,14,0),0))</f>
        <v>0</v>
      </c>
      <c r="K10" s="139">
        <f>IF(J10&gt;0,J10,IF($E10=K$4,VLOOKUP($C10,노선구성!$B$47:$Y$60,14,0),0))</f>
        <v>0</v>
      </c>
      <c r="L10" s="139">
        <f>IF(K10&gt;0,K10,IF($E10=L$4,VLOOKUP($C10,노선구성!$B$47:$Y$60,14,0),0))</f>
        <v>0</v>
      </c>
      <c r="M10" s="139">
        <f>IF(L10&gt;0,L10,IF($E10=M$4,VLOOKUP($C10,노선구성!$B$47:$Y$60,14,0),0))</f>
        <v>0</v>
      </c>
      <c r="N10" s="139">
        <f>IF(M10&gt;0,M10,IF($E10=N$4,VLOOKUP($C10,노선구성!$B$47:$Y$60,14,0),0))</f>
        <v>487.67775</v>
      </c>
      <c r="O10" s="139">
        <f>IF(N10&gt;0,N10,IF($E10=O$4,VLOOKUP($C10,노선구성!$B$47:$Y$60,14,0),0))</f>
        <v>487.67775</v>
      </c>
      <c r="P10" s="139">
        <f>IF(O10&gt;0,O10,IF($E10=P$4,VLOOKUP($C10,노선구성!$B$47:$Y$60,14,0),0))</f>
        <v>487.67775</v>
      </c>
      <c r="Q10" s="139">
        <f>IF(P10&gt;0,P10,IF($E10=Q$4,VLOOKUP($C10,노선구성!$B$47:$Y$60,14,0),0))</f>
        <v>487.67775</v>
      </c>
      <c r="R10" s="139">
        <f>IF(Q10&gt;0,Q10,IF($E10=R$4,VLOOKUP($C10,노선구성!$B$47:$Y$60,14,0),0))</f>
        <v>487.67775</v>
      </c>
      <c r="S10" s="139">
        <f>IF(R10&gt;0,R10,IF($E10=S$4,VLOOKUP($C10,노선구성!$B$47:$Y$60,14,0),0))</f>
        <v>487.67775</v>
      </c>
      <c r="T10" s="139">
        <f>IF(S10&gt;0,S10,IF($E10=T$4,VLOOKUP($C10,노선구성!$B$47:$Y$60,14,0),0))</f>
        <v>487.67775</v>
      </c>
      <c r="U10" s="139">
        <f>IF(T10&gt;0,T10,IF($E10=U$4,VLOOKUP($C10,노선구성!$B$47:$Y$60,14,0),0))</f>
        <v>487.67775</v>
      </c>
      <c r="V10" s="139">
        <f>IF(U10&gt;0,U10,IF($E10=V$4,VLOOKUP($C10,노선구성!$B$47:$Y$60,14,0),0))</f>
        <v>487.67775</v>
      </c>
      <c r="W10" s="139">
        <f>IF(V10&gt;0,V10,IF($E10=W$4,VLOOKUP($C10,노선구성!$B$47:$Y$60,14,0),0))</f>
        <v>487.67775</v>
      </c>
      <c r="X10" s="139">
        <f>IF(W10&gt;0,W10,IF($E10=X$4,VLOOKUP($C10,노선구성!$B$47:$Y$60,14,0),0))</f>
        <v>487.67775</v>
      </c>
      <c r="Y10" s="139">
        <f>IF(X10&gt;0,X10,IF($E10=Y$4,VLOOKUP($C10,노선구성!$B$47:$Y$60,14,0),0))</f>
        <v>487.67775</v>
      </c>
      <c r="Z10" s="139">
        <f>IF(Y10&gt;0,Y10,IF($E10=Z$4,VLOOKUP($C10,노선구성!$B$47:$Y$60,14,0),0))</f>
        <v>487.67775</v>
      </c>
      <c r="AA10" s="139">
        <f>IF(Z10&gt;0,Z10,IF($E10=AA$4,VLOOKUP($C10,노선구성!$B$47:$Y$60,14,0),0))</f>
        <v>487.67775</v>
      </c>
      <c r="AB10" s="139">
        <f>IF(AA10&gt;0,AA10,IF($E10=AB$4,VLOOKUP($C10,노선구성!$B$47:$Y$60,14,0),0))</f>
        <v>487.67775</v>
      </c>
      <c r="AC10" s="139">
        <f>IF(AB10&gt;0,AB10,IF($E10=AC$4,VLOOKUP($C10,노선구성!$B$47:$Y$60,14,0),0))</f>
        <v>487.67775</v>
      </c>
      <c r="AD10" s="139">
        <f>IF(AC10&gt;0,AC10,IF($E10=AD$4,VLOOKUP($C10,노선구성!$B$47:$Y$60,14,0),0))</f>
        <v>487.67775</v>
      </c>
      <c r="AE10" s="139">
        <f>IF(AD10&gt;0,AD10,IF($E10=AE$4,VLOOKUP($C10,노선구성!$B$47:$Y$60,14,0),0))</f>
        <v>487.67775</v>
      </c>
      <c r="AF10" s="139">
        <f>IF(AE10&gt;0,AE10,IF($E10=AF$4,VLOOKUP($C10,노선구성!$B$47:$Y$60,14,0),0))</f>
        <v>487.67775</v>
      </c>
      <c r="AG10" s="139">
        <f>IF(AF10&gt;0,AF10,IF($E10=AG$4,VLOOKUP($C10,노선구성!$B$47:$Y$60,14,0),0))</f>
        <v>487.67775</v>
      </c>
      <c r="AH10" s="139">
        <f>IF(AG10&gt;0,AG10,IF($E10=AH$4,VLOOKUP($C10,노선구성!$B$47:$Y$60,14,0),0))</f>
        <v>487.67775</v>
      </c>
      <c r="AI10" s="139">
        <f>IF(AH10&gt;0,AH10,IF($E10=AI$4,VLOOKUP($C10,노선구성!$B$47:$Y$60,14,0),0))</f>
        <v>487.67775</v>
      </c>
      <c r="AJ10" s="139">
        <f>IF(AI10&gt;0,AI10,IF($E10=AJ$4,VLOOKUP($C10,노선구성!$B$47:$Y$60,14,0),0))</f>
        <v>487.67775</v>
      </c>
      <c r="AK10" s="139">
        <f>IF(AJ10&gt;0,AJ10,IF($E10=AK$4,VLOOKUP($C10,노선구성!$B$47:$Y$60,14,0),0))</f>
        <v>487.67775</v>
      </c>
      <c r="AL10" s="139">
        <f>IF(AK10&gt;0,AK10,IF($E10=AL$4,VLOOKUP($C10,노선구성!$B$47:$Y$60,14,0),0))</f>
        <v>487.67775</v>
      </c>
      <c r="AM10" s="139">
        <f>IF(AL10&gt;0,AL10,IF($E10=AM$4,VLOOKUP($C10,노선구성!$B$47:$Y$60,14,0),0))</f>
        <v>487.67775</v>
      </c>
      <c r="AN10" s="139">
        <f>IF(AM10&gt;0,AM10,IF($E10=AN$4,VLOOKUP($C10,노선구성!$B$47:$Y$60,14,0),0))</f>
        <v>487.67775</v>
      </c>
      <c r="AO10" s="139">
        <f>IF(AN10&gt;0,AN10,IF($E10=AO$4,VLOOKUP($C10,노선구성!$B$47:$Y$60,14,0),0))</f>
        <v>487.67775</v>
      </c>
      <c r="AP10" s="139">
        <f>IF(AO10&gt;0,AO10,IF($E10=AP$4,VLOOKUP($C10,노선구성!$B$47:$Y$60,14,0),0))</f>
        <v>487.67775</v>
      </c>
      <c r="AQ10" s="139">
        <f>IF(AP10&gt;0,AP10,IF($E10=AQ$4,VLOOKUP($C10,노선구성!$B$47:$Y$60,14,0),0))</f>
        <v>487.67775</v>
      </c>
      <c r="AR10" s="139">
        <f>IF(AQ10&gt;0,AQ10,IF($E10=AR$4,VLOOKUP($C10,노선구성!$B$47:$Y$60,14,0),0))</f>
        <v>487.67775</v>
      </c>
      <c r="AS10" s="139">
        <f>IF(AR10&gt;0,AR10,IF($E10=AS$4,VLOOKUP($C10,노선구성!$B$47:$Y$60,14,0),0))</f>
        <v>487.67775</v>
      </c>
      <c r="AT10" s="139">
        <f>IF(AS10&gt;0,AS10,IF($E10=AT$4,VLOOKUP($C10,노선구성!$B$47:$Y$60,14,0),0))</f>
        <v>487.67775</v>
      </c>
      <c r="AU10" s="139">
        <f>IF(AT10&gt;0,AT10,IF($E10=AU$4,VLOOKUP($C10,노선구성!$B$47:$Y$60,14,0),0))</f>
        <v>487.67775</v>
      </c>
      <c r="AV10" s="139">
        <f>IF(AU10&gt;0,AU10,IF($E10=AV$4,VLOOKUP($C10,노선구성!$B$47:$Y$60,14,0),0))</f>
        <v>487.67775</v>
      </c>
      <c r="AW10" s="139">
        <f>IF(AV10&gt;0,AV10,IF($E10=AW$4,VLOOKUP($C10,노선구성!$B$47:$Y$60,14,0),0))</f>
        <v>487.67775</v>
      </c>
      <c r="AX10" s="139">
        <f>IF(AW10&gt;0,AW10,IF($E10=AX$4,VLOOKUP($C10,노선구성!$B$47:$Y$60,14,0),0))</f>
        <v>487.67775</v>
      </c>
      <c r="AY10" s="139">
        <f>IF(AX10&gt;0,AX10,IF($E10=AY$4,VLOOKUP($C10,노선구성!$B$47:$Y$60,14,0),0))</f>
        <v>487.67775</v>
      </c>
      <c r="AZ10" s="139">
        <f>IF(AY10&gt;0,AY10,IF($E10=AZ$4,VLOOKUP($C10,노선구성!$B$47:$Y$60,14,0),0))</f>
        <v>487.67775</v>
      </c>
      <c r="BA10" s="139">
        <f>IF(AZ10&gt;0,AZ10,IF($E10=BA$4,VLOOKUP($C10,노선구성!$B$47:$Y$60,14,0),0))</f>
        <v>487.67775</v>
      </c>
      <c r="BB10" s="139">
        <f>IF(BA10&gt;0,BA10,IF($E10=BB$4,VLOOKUP($C10,노선구성!$B$47:$Y$60,14,0),0))</f>
        <v>487.67775</v>
      </c>
      <c r="BC10" s="139">
        <f>IF(BB10&gt;0,BB10,IF($E10=BC$4,VLOOKUP($C10,노선구성!$B$47:$Y$60,14,0),0))</f>
        <v>487.67775</v>
      </c>
      <c r="BD10" s="139">
        <f>IF(BC10&gt;0,BC10,IF($E10=BD$4,VLOOKUP($C10,노선구성!$B$47:$Y$60,14,0),0))</f>
        <v>487.67775</v>
      </c>
      <c r="BE10" s="139">
        <f>IF(BD10&gt;0,BD10,IF($E10=BE$4,VLOOKUP($C10,노선구성!$B$47:$Y$60,14,0),0))</f>
        <v>487.67775</v>
      </c>
      <c r="BF10" s="139">
        <f>IF(BE10&gt;0,BE10,IF($E10=BF$4,VLOOKUP($C10,노선구성!$B$47:$Y$60,14,0),0))</f>
        <v>487.67775</v>
      </c>
      <c r="BG10" s="139">
        <f>IF(BF10&gt;0,BF10,IF($E10=BG$4,VLOOKUP($C10,노선구성!$B$47:$Y$60,14,0),0))</f>
        <v>487.67775</v>
      </c>
      <c r="BH10" s="139">
        <f>IF(BG10&gt;0,BG10,IF($E10=BH$4,VLOOKUP($C10,노선구성!$B$47:$Y$60,14,0),0))</f>
        <v>487.67775</v>
      </c>
      <c r="BI10" s="139">
        <f>IF(BH10&gt;0,BH10,IF($E10=BI$4,VLOOKUP($C10,노선구성!$B$47:$Y$60,14,0),0))</f>
        <v>487.67775</v>
      </c>
      <c r="BJ10" s="139">
        <f>IF(BI10&gt;0,BI10,IF($E10=BJ$4,VLOOKUP($C10,노선구성!$B$47:$Y$60,14,0),0))</f>
        <v>487.67775</v>
      </c>
      <c r="BK10" s="139">
        <f>IF(BJ10&gt;0,BJ10,IF($E10=BK$4,VLOOKUP($C10,노선구성!$B$47:$Y$60,14,0),0))</f>
        <v>487.67775</v>
      </c>
      <c r="BL10" s="139">
        <f>IF(BK10&gt;0,BK10,IF($E10=BL$4,VLOOKUP($C10,노선구성!$B$47:$Y$60,14,0),0))</f>
        <v>487.67775</v>
      </c>
      <c r="BM10" s="139">
        <f>IF(BL10&gt;0,BL10,IF($E10=BM$4,VLOOKUP($C10,노선구성!$B$47:$Y$60,14,0),0))</f>
        <v>487.67775</v>
      </c>
      <c r="BN10" s="139">
        <f>IF(BM10&gt;0,BM10,IF($E10=BN$4,VLOOKUP($C10,노선구성!$B$47:$Y$60,14,0),0))</f>
        <v>487.67775</v>
      </c>
      <c r="BO10" s="139">
        <f>IF(BN10&gt;0,BN10,IF($E10=BO$4,VLOOKUP($C10,노선구성!$B$47:$Y$60,14,0),0))</f>
        <v>487.67775</v>
      </c>
      <c r="BQ10" s="155"/>
      <c r="BR10" s="155"/>
      <c r="BS10" s="155"/>
      <c r="BT10" s="155"/>
      <c r="BU10" s="155"/>
    </row>
    <row r="11" spans="2:79" outlineLevel="1">
      <c r="C11" s="139">
        <f>노선구성!B49</f>
        <v>2</v>
      </c>
      <c r="D11" s="139">
        <f>노선구성!C49</f>
        <v>737</v>
      </c>
      <c r="E11" s="139" t="str">
        <f>노선구성!D49</f>
        <v>M7</v>
      </c>
      <c r="H11" s="139">
        <f>IF($E11=H$4,VLOOKUP($C11,노선구성!$B$47:$Y$60,14,0),0)</f>
        <v>0</v>
      </c>
      <c r="I11" s="139">
        <f>IF(H11&gt;0,H11,IF($E11=I$4,VLOOKUP($C11,노선구성!$B$47:$Y$60,14,0),0))</f>
        <v>0</v>
      </c>
      <c r="J11" s="139">
        <f>IF(I11&gt;0,I11,IF($E11=J$4,VLOOKUP($C11,노선구성!$B$47:$Y$60,14,0),0))</f>
        <v>0</v>
      </c>
      <c r="K11" s="139">
        <f>IF(J11&gt;0,J11,IF($E11=K$4,VLOOKUP($C11,노선구성!$B$47:$Y$60,14,0),0))</f>
        <v>0</v>
      </c>
      <c r="L11" s="139">
        <f>IF(K11&gt;0,K11,IF($E11=L$4,VLOOKUP($C11,노선구성!$B$47:$Y$60,14,0),0))</f>
        <v>0</v>
      </c>
      <c r="M11" s="139">
        <f>IF(L11&gt;0,L11,IF($E11=M$4,VLOOKUP($C11,노선구성!$B$47:$Y$60,14,0),0))</f>
        <v>0</v>
      </c>
      <c r="N11" s="139">
        <f>IF(M11&gt;0,M11,IF($E11=N$4,VLOOKUP($C11,노선구성!$B$47:$Y$60,14,0),0))</f>
        <v>689.95222058823538</v>
      </c>
      <c r="O11" s="139">
        <f>IF(N11&gt;0,N11,IF($E11=O$4,VLOOKUP($C11,노선구성!$B$47:$Y$60,14,0),0))</f>
        <v>689.95222058823538</v>
      </c>
      <c r="P11" s="139">
        <f>IF(O11&gt;0,O11,IF($E11=P$4,VLOOKUP($C11,노선구성!$B$47:$Y$60,14,0),0))</f>
        <v>689.95222058823538</v>
      </c>
      <c r="Q11" s="139">
        <f>IF(P11&gt;0,P11,IF($E11=Q$4,VLOOKUP($C11,노선구성!$B$47:$Y$60,14,0),0))</f>
        <v>689.95222058823538</v>
      </c>
      <c r="R11" s="139">
        <f>IF(Q11&gt;0,Q11,IF($E11=R$4,VLOOKUP($C11,노선구성!$B$47:$Y$60,14,0),0))</f>
        <v>689.95222058823538</v>
      </c>
      <c r="S11" s="139">
        <f>IF(R11&gt;0,R11,IF($E11=S$4,VLOOKUP($C11,노선구성!$B$47:$Y$60,14,0),0))</f>
        <v>689.95222058823538</v>
      </c>
      <c r="T11" s="139">
        <f>IF(S11&gt;0,S11,IF($E11=T$4,VLOOKUP($C11,노선구성!$B$47:$Y$60,14,0),0))</f>
        <v>689.95222058823538</v>
      </c>
      <c r="U11" s="139">
        <f>IF(T11&gt;0,T11,IF($E11=U$4,VLOOKUP($C11,노선구성!$B$47:$Y$60,14,0),0))</f>
        <v>689.95222058823538</v>
      </c>
      <c r="V11" s="139">
        <f>IF(U11&gt;0,U11,IF($E11=V$4,VLOOKUP($C11,노선구성!$B$47:$Y$60,14,0),0))</f>
        <v>689.95222058823538</v>
      </c>
      <c r="W11" s="139">
        <f>IF(V11&gt;0,V11,IF($E11=W$4,VLOOKUP($C11,노선구성!$B$47:$Y$60,14,0),0))</f>
        <v>689.95222058823538</v>
      </c>
      <c r="X11" s="139">
        <f>IF(W11&gt;0,W11,IF($E11=X$4,VLOOKUP($C11,노선구성!$B$47:$Y$60,14,0),0))</f>
        <v>689.95222058823538</v>
      </c>
      <c r="Y11" s="139">
        <f>IF(X11&gt;0,X11,IF($E11=Y$4,VLOOKUP($C11,노선구성!$B$47:$Y$60,14,0),0))</f>
        <v>689.95222058823538</v>
      </c>
      <c r="Z11" s="139">
        <f>IF(Y11&gt;0,Y11,IF($E11=Z$4,VLOOKUP($C11,노선구성!$B$47:$Y$60,14,0),0))</f>
        <v>689.95222058823538</v>
      </c>
      <c r="AA11" s="139">
        <f>IF(Z11&gt;0,Z11,IF($E11=AA$4,VLOOKUP($C11,노선구성!$B$47:$Y$60,14,0),0))</f>
        <v>689.95222058823538</v>
      </c>
      <c r="AB11" s="139">
        <f>IF(AA11&gt;0,AA11,IF($E11=AB$4,VLOOKUP($C11,노선구성!$B$47:$Y$60,14,0),0))</f>
        <v>689.95222058823538</v>
      </c>
      <c r="AC11" s="139">
        <f>IF(AB11&gt;0,AB11,IF($E11=AC$4,VLOOKUP($C11,노선구성!$B$47:$Y$60,14,0),0))</f>
        <v>689.95222058823538</v>
      </c>
      <c r="AD11" s="139">
        <f>IF(AC11&gt;0,AC11,IF($E11=AD$4,VLOOKUP($C11,노선구성!$B$47:$Y$60,14,0),0))</f>
        <v>689.95222058823538</v>
      </c>
      <c r="AE11" s="139">
        <f>IF(AD11&gt;0,AD11,IF($E11=AE$4,VLOOKUP($C11,노선구성!$B$47:$Y$60,14,0),0))</f>
        <v>689.95222058823538</v>
      </c>
      <c r="AF11" s="139">
        <f>IF(AE11&gt;0,AE11,IF($E11=AF$4,VLOOKUP($C11,노선구성!$B$47:$Y$60,14,0),0))</f>
        <v>689.95222058823538</v>
      </c>
      <c r="AG11" s="139">
        <f>IF(AF11&gt;0,AF11,IF($E11=AG$4,VLOOKUP($C11,노선구성!$B$47:$Y$60,14,0),0))</f>
        <v>689.95222058823538</v>
      </c>
      <c r="AH11" s="139">
        <f>IF(AG11&gt;0,AG11,IF($E11=AH$4,VLOOKUP($C11,노선구성!$B$47:$Y$60,14,0),0))</f>
        <v>689.95222058823538</v>
      </c>
      <c r="AI11" s="139">
        <f>IF(AH11&gt;0,AH11,IF($E11=AI$4,VLOOKUP($C11,노선구성!$B$47:$Y$60,14,0),0))</f>
        <v>689.95222058823538</v>
      </c>
      <c r="AJ11" s="139">
        <f>IF(AI11&gt;0,AI11,IF($E11=AJ$4,VLOOKUP($C11,노선구성!$B$47:$Y$60,14,0),0))</f>
        <v>689.95222058823538</v>
      </c>
      <c r="AK11" s="139">
        <f>IF(AJ11&gt;0,AJ11,IF($E11=AK$4,VLOOKUP($C11,노선구성!$B$47:$Y$60,14,0),0))</f>
        <v>689.95222058823538</v>
      </c>
      <c r="AL11" s="139">
        <f>IF(AK11&gt;0,AK11,IF($E11=AL$4,VLOOKUP($C11,노선구성!$B$47:$Y$60,14,0),0))</f>
        <v>689.95222058823538</v>
      </c>
      <c r="AM11" s="139">
        <f>IF(AL11&gt;0,AL11,IF($E11=AM$4,VLOOKUP($C11,노선구성!$B$47:$Y$60,14,0),0))</f>
        <v>689.95222058823538</v>
      </c>
      <c r="AN11" s="139">
        <f>IF(AM11&gt;0,AM11,IF($E11=AN$4,VLOOKUP($C11,노선구성!$B$47:$Y$60,14,0),0))</f>
        <v>689.95222058823538</v>
      </c>
      <c r="AO11" s="139">
        <f>IF(AN11&gt;0,AN11,IF($E11=AO$4,VLOOKUP($C11,노선구성!$B$47:$Y$60,14,0),0))</f>
        <v>689.95222058823538</v>
      </c>
      <c r="AP11" s="139">
        <f>IF(AO11&gt;0,AO11,IF($E11=AP$4,VLOOKUP($C11,노선구성!$B$47:$Y$60,14,0),0))</f>
        <v>689.95222058823538</v>
      </c>
      <c r="AQ11" s="139">
        <f>IF(AP11&gt;0,AP11,IF($E11=AQ$4,VLOOKUP($C11,노선구성!$B$47:$Y$60,14,0),0))</f>
        <v>689.95222058823538</v>
      </c>
      <c r="AR11" s="139">
        <f>IF(AQ11&gt;0,AQ11,IF($E11=AR$4,VLOOKUP($C11,노선구성!$B$47:$Y$60,14,0),0))</f>
        <v>689.95222058823538</v>
      </c>
      <c r="AS11" s="139">
        <f>IF(AR11&gt;0,AR11,IF($E11=AS$4,VLOOKUP($C11,노선구성!$B$47:$Y$60,14,0),0))</f>
        <v>689.95222058823538</v>
      </c>
      <c r="AT11" s="139">
        <f>IF(AS11&gt;0,AS11,IF($E11=AT$4,VLOOKUP($C11,노선구성!$B$47:$Y$60,14,0),0))</f>
        <v>689.95222058823538</v>
      </c>
      <c r="AU11" s="139">
        <f>IF(AT11&gt;0,AT11,IF($E11=AU$4,VLOOKUP($C11,노선구성!$B$47:$Y$60,14,0),0))</f>
        <v>689.95222058823538</v>
      </c>
      <c r="AV11" s="139">
        <f>IF(AU11&gt;0,AU11,IF($E11=AV$4,VLOOKUP($C11,노선구성!$B$47:$Y$60,14,0),0))</f>
        <v>689.95222058823538</v>
      </c>
      <c r="AW11" s="139">
        <f>IF(AV11&gt;0,AV11,IF($E11=AW$4,VLOOKUP($C11,노선구성!$B$47:$Y$60,14,0),0))</f>
        <v>689.95222058823538</v>
      </c>
      <c r="AX11" s="139">
        <f>IF(AW11&gt;0,AW11,IF($E11=AX$4,VLOOKUP($C11,노선구성!$B$47:$Y$60,14,0),0))</f>
        <v>689.95222058823538</v>
      </c>
      <c r="AY11" s="139">
        <f>IF(AX11&gt;0,AX11,IF($E11=AY$4,VLOOKUP($C11,노선구성!$B$47:$Y$60,14,0),0))</f>
        <v>689.95222058823538</v>
      </c>
      <c r="AZ11" s="139">
        <f>IF(AY11&gt;0,AY11,IF($E11=AZ$4,VLOOKUP($C11,노선구성!$B$47:$Y$60,14,0),0))</f>
        <v>689.95222058823538</v>
      </c>
      <c r="BA11" s="139">
        <f>IF(AZ11&gt;0,AZ11,IF($E11=BA$4,VLOOKUP($C11,노선구성!$B$47:$Y$60,14,0),0))</f>
        <v>689.95222058823538</v>
      </c>
      <c r="BB11" s="139">
        <f>IF(BA11&gt;0,BA11,IF($E11=BB$4,VLOOKUP($C11,노선구성!$B$47:$Y$60,14,0),0))</f>
        <v>689.95222058823538</v>
      </c>
      <c r="BC11" s="139">
        <f>IF(BB11&gt;0,BB11,IF($E11=BC$4,VLOOKUP($C11,노선구성!$B$47:$Y$60,14,0),0))</f>
        <v>689.95222058823538</v>
      </c>
      <c r="BD11" s="139">
        <f>IF(BC11&gt;0,BC11,IF($E11=BD$4,VLOOKUP($C11,노선구성!$B$47:$Y$60,14,0),0))</f>
        <v>689.95222058823538</v>
      </c>
      <c r="BE11" s="139">
        <f>IF(BD11&gt;0,BD11,IF($E11=BE$4,VLOOKUP($C11,노선구성!$B$47:$Y$60,14,0),0))</f>
        <v>689.95222058823538</v>
      </c>
      <c r="BF11" s="139">
        <f>IF(BE11&gt;0,BE11,IF($E11=BF$4,VLOOKUP($C11,노선구성!$B$47:$Y$60,14,0),0))</f>
        <v>689.95222058823538</v>
      </c>
      <c r="BG11" s="139">
        <f>IF(BF11&gt;0,BF11,IF($E11=BG$4,VLOOKUP($C11,노선구성!$B$47:$Y$60,14,0),0))</f>
        <v>689.95222058823538</v>
      </c>
      <c r="BH11" s="139">
        <f>IF(BG11&gt;0,BG11,IF($E11=BH$4,VLOOKUP($C11,노선구성!$B$47:$Y$60,14,0),0))</f>
        <v>689.95222058823538</v>
      </c>
      <c r="BI11" s="139">
        <f>IF(BH11&gt;0,BH11,IF($E11=BI$4,VLOOKUP($C11,노선구성!$B$47:$Y$60,14,0),0))</f>
        <v>689.95222058823538</v>
      </c>
      <c r="BJ11" s="139">
        <f>IF(BI11&gt;0,BI11,IF($E11=BJ$4,VLOOKUP($C11,노선구성!$B$47:$Y$60,14,0),0))</f>
        <v>689.95222058823538</v>
      </c>
      <c r="BK11" s="139">
        <f>IF(BJ11&gt;0,BJ11,IF($E11=BK$4,VLOOKUP($C11,노선구성!$B$47:$Y$60,14,0),0))</f>
        <v>689.95222058823538</v>
      </c>
      <c r="BL11" s="139">
        <f>IF(BK11&gt;0,BK11,IF($E11=BL$4,VLOOKUP($C11,노선구성!$B$47:$Y$60,14,0),0))</f>
        <v>689.95222058823538</v>
      </c>
      <c r="BM11" s="139">
        <f>IF(BL11&gt;0,BL11,IF($E11=BM$4,VLOOKUP($C11,노선구성!$B$47:$Y$60,14,0),0))</f>
        <v>689.95222058823538</v>
      </c>
      <c r="BN11" s="139">
        <f>IF(BM11&gt;0,BM11,IF($E11=BN$4,VLOOKUP($C11,노선구성!$B$47:$Y$60,14,0),0))</f>
        <v>689.95222058823538</v>
      </c>
      <c r="BO11" s="139">
        <f>IF(BN11&gt;0,BN11,IF($E11=BO$4,VLOOKUP($C11,노선구성!$B$47:$Y$60,14,0),0))</f>
        <v>689.95222058823538</v>
      </c>
      <c r="BQ11" s="155"/>
      <c r="BR11" s="155"/>
      <c r="BS11" s="155"/>
      <c r="BT11" s="155"/>
      <c r="BU11" s="155"/>
    </row>
    <row r="12" spans="2:79" outlineLevel="1">
      <c r="C12" s="139">
        <f>노선구성!B50</f>
        <v>3</v>
      </c>
      <c r="D12" s="139">
        <f>노선구성!C50</f>
        <v>737</v>
      </c>
      <c r="E12" s="139" t="str">
        <f>노선구성!D50</f>
        <v>M7</v>
      </c>
      <c r="H12" s="139">
        <f>IF($E12=H$4,VLOOKUP($C12,노선구성!$B$47:$Y$60,14,0),0)</f>
        <v>0</v>
      </c>
      <c r="I12" s="139">
        <f>IF(H12&gt;0,H12,IF($E12=I$4,VLOOKUP($C12,노선구성!$B$47:$Y$60,14,0),0))</f>
        <v>0</v>
      </c>
      <c r="J12" s="139">
        <f>IF(I12&gt;0,I12,IF($E12=J$4,VLOOKUP($C12,노선구성!$B$47:$Y$60,14,0),0))</f>
        <v>0</v>
      </c>
      <c r="K12" s="139">
        <f>IF(J12&gt;0,J12,IF($E12=K$4,VLOOKUP($C12,노선구성!$B$47:$Y$60,14,0),0))</f>
        <v>0</v>
      </c>
      <c r="L12" s="139">
        <f>IF(K12&gt;0,K12,IF($E12=L$4,VLOOKUP($C12,노선구성!$B$47:$Y$60,14,0),0))</f>
        <v>0</v>
      </c>
      <c r="M12" s="139">
        <f>IF(L12&gt;0,L12,IF($E12=M$4,VLOOKUP($C12,노선구성!$B$47:$Y$60,14,0),0))</f>
        <v>0</v>
      </c>
      <c r="N12" s="139">
        <f>IF(M12&gt;0,M12,IF($E12=N$4,VLOOKUP($C12,노선구성!$B$47:$Y$60,14,0),0))</f>
        <v>753.89901176470596</v>
      </c>
      <c r="O12" s="139">
        <f>IF(N12&gt;0,N12,IF($E12=O$4,VLOOKUP($C12,노선구성!$B$47:$Y$60,14,0),0))</f>
        <v>753.89901176470596</v>
      </c>
      <c r="P12" s="139">
        <f>IF(O12&gt;0,O12,IF($E12=P$4,VLOOKUP($C12,노선구성!$B$47:$Y$60,14,0),0))</f>
        <v>753.89901176470596</v>
      </c>
      <c r="Q12" s="139">
        <f>IF(P12&gt;0,P12,IF($E12=Q$4,VLOOKUP($C12,노선구성!$B$47:$Y$60,14,0),0))</f>
        <v>753.89901176470596</v>
      </c>
      <c r="R12" s="139">
        <f>IF(Q12&gt;0,Q12,IF($E12=R$4,VLOOKUP($C12,노선구성!$B$47:$Y$60,14,0),0))</f>
        <v>753.89901176470596</v>
      </c>
      <c r="S12" s="139">
        <f>IF(R12&gt;0,R12,IF($E12=S$4,VLOOKUP($C12,노선구성!$B$47:$Y$60,14,0),0))</f>
        <v>753.89901176470596</v>
      </c>
      <c r="T12" s="139">
        <f>IF(S12&gt;0,S12,IF($E12=T$4,VLOOKUP($C12,노선구성!$B$47:$Y$60,14,0),0))</f>
        <v>753.89901176470596</v>
      </c>
      <c r="U12" s="139">
        <f>IF(T12&gt;0,T12,IF($E12=U$4,VLOOKUP($C12,노선구성!$B$47:$Y$60,14,0),0))</f>
        <v>753.89901176470596</v>
      </c>
      <c r="V12" s="139">
        <f>IF(U12&gt;0,U12,IF($E12=V$4,VLOOKUP($C12,노선구성!$B$47:$Y$60,14,0),0))</f>
        <v>753.89901176470596</v>
      </c>
      <c r="W12" s="139">
        <f>IF(V12&gt;0,V12,IF($E12=W$4,VLOOKUP($C12,노선구성!$B$47:$Y$60,14,0),0))</f>
        <v>753.89901176470596</v>
      </c>
      <c r="X12" s="139">
        <f>IF(W12&gt;0,W12,IF($E12=X$4,VLOOKUP($C12,노선구성!$B$47:$Y$60,14,0),0))</f>
        <v>753.89901176470596</v>
      </c>
      <c r="Y12" s="139">
        <f>IF(X12&gt;0,X12,IF($E12=Y$4,VLOOKUP($C12,노선구성!$B$47:$Y$60,14,0),0))</f>
        <v>753.89901176470596</v>
      </c>
      <c r="Z12" s="139">
        <f>IF(Y12&gt;0,Y12,IF($E12=Z$4,VLOOKUP($C12,노선구성!$B$47:$Y$60,14,0),0))</f>
        <v>753.89901176470596</v>
      </c>
      <c r="AA12" s="139">
        <f>IF(Z12&gt;0,Z12,IF($E12=AA$4,VLOOKUP($C12,노선구성!$B$47:$Y$60,14,0),0))</f>
        <v>753.89901176470596</v>
      </c>
      <c r="AB12" s="139">
        <f>IF(AA12&gt;0,AA12,IF($E12=AB$4,VLOOKUP($C12,노선구성!$B$47:$Y$60,14,0),0))</f>
        <v>753.89901176470596</v>
      </c>
      <c r="AC12" s="139">
        <f>IF(AB12&gt;0,AB12,IF($E12=AC$4,VLOOKUP($C12,노선구성!$B$47:$Y$60,14,0),0))</f>
        <v>753.89901176470596</v>
      </c>
      <c r="AD12" s="139">
        <f>IF(AC12&gt;0,AC12,IF($E12=AD$4,VLOOKUP($C12,노선구성!$B$47:$Y$60,14,0),0))</f>
        <v>753.89901176470596</v>
      </c>
      <c r="AE12" s="139">
        <f>IF(AD12&gt;0,AD12,IF($E12=AE$4,VLOOKUP($C12,노선구성!$B$47:$Y$60,14,0),0))</f>
        <v>753.89901176470596</v>
      </c>
      <c r="AF12" s="139">
        <f>IF(AE12&gt;0,AE12,IF($E12=AF$4,VLOOKUP($C12,노선구성!$B$47:$Y$60,14,0),0))</f>
        <v>753.89901176470596</v>
      </c>
      <c r="AG12" s="139">
        <f>IF(AF12&gt;0,AF12,IF($E12=AG$4,VLOOKUP($C12,노선구성!$B$47:$Y$60,14,0),0))</f>
        <v>753.89901176470596</v>
      </c>
      <c r="AH12" s="139">
        <f>IF(AG12&gt;0,AG12,IF($E12=AH$4,VLOOKUP($C12,노선구성!$B$47:$Y$60,14,0),0))</f>
        <v>753.89901176470596</v>
      </c>
      <c r="AI12" s="139">
        <f>IF(AH12&gt;0,AH12,IF($E12=AI$4,VLOOKUP($C12,노선구성!$B$47:$Y$60,14,0),0))</f>
        <v>753.89901176470596</v>
      </c>
      <c r="AJ12" s="139">
        <f>IF(AI12&gt;0,AI12,IF($E12=AJ$4,VLOOKUP($C12,노선구성!$B$47:$Y$60,14,0),0))</f>
        <v>753.89901176470596</v>
      </c>
      <c r="AK12" s="139">
        <f>IF(AJ12&gt;0,AJ12,IF($E12=AK$4,VLOOKUP($C12,노선구성!$B$47:$Y$60,14,0),0))</f>
        <v>753.89901176470596</v>
      </c>
      <c r="AL12" s="139">
        <f>IF(AK12&gt;0,AK12,IF($E12=AL$4,VLOOKUP($C12,노선구성!$B$47:$Y$60,14,0),0))</f>
        <v>753.89901176470596</v>
      </c>
      <c r="AM12" s="139">
        <f>IF(AL12&gt;0,AL12,IF($E12=AM$4,VLOOKUP($C12,노선구성!$B$47:$Y$60,14,0),0))</f>
        <v>753.89901176470596</v>
      </c>
      <c r="AN12" s="139">
        <f>IF(AM12&gt;0,AM12,IF($E12=AN$4,VLOOKUP($C12,노선구성!$B$47:$Y$60,14,0),0))</f>
        <v>753.89901176470596</v>
      </c>
      <c r="AO12" s="139">
        <f>IF(AN12&gt;0,AN12,IF($E12=AO$4,VLOOKUP($C12,노선구성!$B$47:$Y$60,14,0),0))</f>
        <v>753.89901176470596</v>
      </c>
      <c r="AP12" s="139">
        <f>IF(AO12&gt;0,AO12,IF($E12=AP$4,VLOOKUP($C12,노선구성!$B$47:$Y$60,14,0),0))</f>
        <v>753.89901176470596</v>
      </c>
      <c r="AQ12" s="139">
        <f>IF(AP12&gt;0,AP12,IF($E12=AQ$4,VLOOKUP($C12,노선구성!$B$47:$Y$60,14,0),0))</f>
        <v>753.89901176470596</v>
      </c>
      <c r="AR12" s="139">
        <f>IF(AQ12&gt;0,AQ12,IF($E12=AR$4,VLOOKUP($C12,노선구성!$B$47:$Y$60,14,0),0))</f>
        <v>753.89901176470596</v>
      </c>
      <c r="AS12" s="139">
        <f>IF(AR12&gt;0,AR12,IF($E12=AS$4,VLOOKUP($C12,노선구성!$B$47:$Y$60,14,0),0))</f>
        <v>753.89901176470596</v>
      </c>
      <c r="AT12" s="139">
        <f>IF(AS12&gt;0,AS12,IF($E12=AT$4,VLOOKUP($C12,노선구성!$B$47:$Y$60,14,0),0))</f>
        <v>753.89901176470596</v>
      </c>
      <c r="AU12" s="139">
        <f>IF(AT12&gt;0,AT12,IF($E12=AU$4,VLOOKUP($C12,노선구성!$B$47:$Y$60,14,0),0))</f>
        <v>753.89901176470596</v>
      </c>
      <c r="AV12" s="139">
        <f>IF(AU12&gt;0,AU12,IF($E12=AV$4,VLOOKUP($C12,노선구성!$B$47:$Y$60,14,0),0))</f>
        <v>753.89901176470596</v>
      </c>
      <c r="AW12" s="139">
        <f>IF(AV12&gt;0,AV12,IF($E12=AW$4,VLOOKUP($C12,노선구성!$B$47:$Y$60,14,0),0))</f>
        <v>753.89901176470596</v>
      </c>
      <c r="AX12" s="139">
        <f>IF(AW12&gt;0,AW12,IF($E12=AX$4,VLOOKUP($C12,노선구성!$B$47:$Y$60,14,0),0))</f>
        <v>753.89901176470596</v>
      </c>
      <c r="AY12" s="139">
        <f>IF(AX12&gt;0,AX12,IF($E12=AY$4,VLOOKUP($C12,노선구성!$B$47:$Y$60,14,0),0))</f>
        <v>753.89901176470596</v>
      </c>
      <c r="AZ12" s="139">
        <f>IF(AY12&gt;0,AY12,IF($E12=AZ$4,VLOOKUP($C12,노선구성!$B$47:$Y$60,14,0),0))</f>
        <v>753.89901176470596</v>
      </c>
      <c r="BA12" s="139">
        <f>IF(AZ12&gt;0,AZ12,IF($E12=BA$4,VLOOKUP($C12,노선구성!$B$47:$Y$60,14,0),0))</f>
        <v>753.89901176470596</v>
      </c>
      <c r="BB12" s="139">
        <f>IF(BA12&gt;0,BA12,IF($E12=BB$4,VLOOKUP($C12,노선구성!$B$47:$Y$60,14,0),0))</f>
        <v>753.89901176470596</v>
      </c>
      <c r="BC12" s="139">
        <f>IF(BB12&gt;0,BB12,IF($E12=BC$4,VLOOKUP($C12,노선구성!$B$47:$Y$60,14,0),0))</f>
        <v>753.89901176470596</v>
      </c>
      <c r="BD12" s="139">
        <f>IF(BC12&gt;0,BC12,IF($E12=BD$4,VLOOKUP($C12,노선구성!$B$47:$Y$60,14,0),0))</f>
        <v>753.89901176470596</v>
      </c>
      <c r="BE12" s="139">
        <f>IF(BD12&gt;0,BD12,IF($E12=BE$4,VLOOKUP($C12,노선구성!$B$47:$Y$60,14,0),0))</f>
        <v>753.89901176470596</v>
      </c>
      <c r="BF12" s="139">
        <f>IF(BE12&gt;0,BE12,IF($E12=BF$4,VLOOKUP($C12,노선구성!$B$47:$Y$60,14,0),0))</f>
        <v>753.89901176470596</v>
      </c>
      <c r="BG12" s="139">
        <f>IF(BF12&gt;0,BF12,IF($E12=BG$4,VLOOKUP($C12,노선구성!$B$47:$Y$60,14,0),0))</f>
        <v>753.89901176470596</v>
      </c>
      <c r="BH12" s="139">
        <f>IF(BG12&gt;0,BG12,IF($E12=BH$4,VLOOKUP($C12,노선구성!$B$47:$Y$60,14,0),0))</f>
        <v>753.89901176470596</v>
      </c>
      <c r="BI12" s="139">
        <f>IF(BH12&gt;0,BH12,IF($E12=BI$4,VLOOKUP($C12,노선구성!$B$47:$Y$60,14,0),0))</f>
        <v>753.89901176470596</v>
      </c>
      <c r="BJ12" s="139">
        <f>IF(BI12&gt;0,BI12,IF($E12=BJ$4,VLOOKUP($C12,노선구성!$B$47:$Y$60,14,0),0))</f>
        <v>753.89901176470596</v>
      </c>
      <c r="BK12" s="139">
        <f>IF(BJ12&gt;0,BJ12,IF($E12=BK$4,VLOOKUP($C12,노선구성!$B$47:$Y$60,14,0),0))</f>
        <v>753.89901176470596</v>
      </c>
      <c r="BL12" s="139">
        <f>IF(BK12&gt;0,BK12,IF($E12=BL$4,VLOOKUP($C12,노선구성!$B$47:$Y$60,14,0),0))</f>
        <v>753.89901176470596</v>
      </c>
      <c r="BM12" s="139">
        <f>IF(BL12&gt;0,BL12,IF($E12=BM$4,VLOOKUP($C12,노선구성!$B$47:$Y$60,14,0),0))</f>
        <v>753.89901176470596</v>
      </c>
      <c r="BN12" s="139">
        <f>IF(BM12&gt;0,BM12,IF($E12=BN$4,VLOOKUP($C12,노선구성!$B$47:$Y$60,14,0),0))</f>
        <v>753.89901176470596</v>
      </c>
      <c r="BO12" s="139">
        <f>IF(BN12&gt;0,BN12,IF($E12=BO$4,VLOOKUP($C12,노선구성!$B$47:$Y$60,14,0),0))</f>
        <v>753.89901176470596</v>
      </c>
      <c r="BQ12" s="155"/>
      <c r="BR12" s="155"/>
      <c r="BS12" s="155"/>
      <c r="BT12" s="155"/>
      <c r="BU12" s="155"/>
    </row>
    <row r="13" spans="2:79" outlineLevel="1">
      <c r="C13" s="139">
        <f>노선구성!B51</f>
        <v>4</v>
      </c>
      <c r="D13" s="139">
        <f>노선구성!C51</f>
        <v>767</v>
      </c>
      <c r="E13" s="139" t="str">
        <f>노선구성!D51</f>
        <v>M7</v>
      </c>
      <c r="H13" s="139">
        <f>IF($E13=H$4,VLOOKUP($C13,노선구성!$B$47:$Y$60,14,0),0)</f>
        <v>0</v>
      </c>
      <c r="I13" s="139">
        <f>IF(H13&gt;0,H13,IF($E13=I$4,VLOOKUP($C13,노선구성!$B$47:$Y$60,14,0),0))</f>
        <v>0</v>
      </c>
      <c r="J13" s="139">
        <f>IF(I13&gt;0,I13,IF($E13=J$4,VLOOKUP($C13,노선구성!$B$47:$Y$60,14,0),0))</f>
        <v>0</v>
      </c>
      <c r="K13" s="139">
        <f>IF(J13&gt;0,J13,IF($E13=K$4,VLOOKUP($C13,노선구성!$B$47:$Y$60,14,0),0))</f>
        <v>0</v>
      </c>
      <c r="L13" s="139">
        <f>IF(K13&gt;0,K13,IF($E13=L$4,VLOOKUP($C13,노선구성!$B$47:$Y$60,14,0),0))</f>
        <v>0</v>
      </c>
      <c r="M13" s="139">
        <f>IF(L13&gt;0,L13,IF($E13=M$4,VLOOKUP($C13,노선구성!$B$47:$Y$60,14,0),0))</f>
        <v>0</v>
      </c>
      <c r="N13" s="139">
        <f>IF(M13&gt;0,M13,IF($E13=N$4,VLOOKUP($C13,노선구성!$B$47:$Y$60,14,0),0))</f>
        <v>1016.932581971765</v>
      </c>
      <c r="O13" s="139">
        <f>IF(N13&gt;0,N13,IF($E13=O$4,VLOOKUP($C13,노선구성!$B$47:$Y$60,14,0),0))</f>
        <v>1016.932581971765</v>
      </c>
      <c r="P13" s="139">
        <f>IF(O13&gt;0,O13,IF($E13=P$4,VLOOKUP($C13,노선구성!$B$47:$Y$60,14,0),0))</f>
        <v>1016.932581971765</v>
      </c>
      <c r="Q13" s="139">
        <f>IF(P13&gt;0,P13,IF($E13=Q$4,VLOOKUP($C13,노선구성!$B$47:$Y$60,14,0),0))</f>
        <v>1016.932581971765</v>
      </c>
      <c r="R13" s="139">
        <f>IF(Q13&gt;0,Q13,IF($E13=R$4,VLOOKUP($C13,노선구성!$B$47:$Y$60,14,0),0))</f>
        <v>1016.932581971765</v>
      </c>
      <c r="S13" s="139">
        <f>IF(R13&gt;0,R13,IF($E13=S$4,VLOOKUP($C13,노선구성!$B$47:$Y$60,14,0),0))</f>
        <v>1016.932581971765</v>
      </c>
      <c r="T13" s="139">
        <f>IF(S13&gt;0,S13,IF($E13=T$4,VLOOKUP($C13,노선구성!$B$47:$Y$60,14,0),0))</f>
        <v>1016.932581971765</v>
      </c>
      <c r="U13" s="139">
        <f>IF(T13&gt;0,T13,IF($E13=U$4,VLOOKUP($C13,노선구성!$B$47:$Y$60,14,0),0))</f>
        <v>1016.932581971765</v>
      </c>
      <c r="V13" s="139">
        <f>IF(U13&gt;0,U13,IF($E13=V$4,VLOOKUP($C13,노선구성!$B$47:$Y$60,14,0),0))</f>
        <v>1016.932581971765</v>
      </c>
      <c r="W13" s="139">
        <f>IF(V13&gt;0,V13,IF($E13=W$4,VLOOKUP($C13,노선구성!$B$47:$Y$60,14,0),0))</f>
        <v>1016.932581971765</v>
      </c>
      <c r="X13" s="139">
        <f>IF(W13&gt;0,W13,IF($E13=X$4,VLOOKUP($C13,노선구성!$B$47:$Y$60,14,0),0))</f>
        <v>1016.932581971765</v>
      </c>
      <c r="Y13" s="139">
        <f>IF(X13&gt;0,X13,IF($E13=Y$4,VLOOKUP($C13,노선구성!$B$47:$Y$60,14,0),0))</f>
        <v>1016.932581971765</v>
      </c>
      <c r="Z13" s="139">
        <f>IF(Y13&gt;0,Y13,IF($E13=Z$4,VLOOKUP($C13,노선구성!$B$47:$Y$60,14,0),0))</f>
        <v>1016.932581971765</v>
      </c>
      <c r="AA13" s="139">
        <f>IF(Z13&gt;0,Z13,IF($E13=AA$4,VLOOKUP($C13,노선구성!$B$47:$Y$60,14,0),0))</f>
        <v>1016.932581971765</v>
      </c>
      <c r="AB13" s="139">
        <f>IF(AA13&gt;0,AA13,IF($E13=AB$4,VLOOKUP($C13,노선구성!$B$47:$Y$60,14,0),0))</f>
        <v>1016.932581971765</v>
      </c>
      <c r="AC13" s="139">
        <f>IF(AB13&gt;0,AB13,IF($E13=AC$4,VLOOKUP($C13,노선구성!$B$47:$Y$60,14,0),0))</f>
        <v>1016.932581971765</v>
      </c>
      <c r="AD13" s="139">
        <f>IF(AC13&gt;0,AC13,IF($E13=AD$4,VLOOKUP($C13,노선구성!$B$47:$Y$60,14,0),0))</f>
        <v>1016.932581971765</v>
      </c>
      <c r="AE13" s="139">
        <f>IF(AD13&gt;0,AD13,IF($E13=AE$4,VLOOKUP($C13,노선구성!$B$47:$Y$60,14,0),0))</f>
        <v>1016.932581971765</v>
      </c>
      <c r="AF13" s="139">
        <f>IF(AE13&gt;0,AE13,IF($E13=AF$4,VLOOKUP($C13,노선구성!$B$47:$Y$60,14,0),0))</f>
        <v>1016.932581971765</v>
      </c>
      <c r="AG13" s="139">
        <f>IF(AF13&gt;0,AF13,IF($E13=AG$4,VLOOKUP($C13,노선구성!$B$47:$Y$60,14,0),0))</f>
        <v>1016.932581971765</v>
      </c>
      <c r="AH13" s="139">
        <f>IF(AG13&gt;0,AG13,IF($E13=AH$4,VLOOKUP($C13,노선구성!$B$47:$Y$60,14,0),0))</f>
        <v>1016.932581971765</v>
      </c>
      <c r="AI13" s="139">
        <f>IF(AH13&gt;0,AH13,IF($E13=AI$4,VLOOKUP($C13,노선구성!$B$47:$Y$60,14,0),0))</f>
        <v>1016.932581971765</v>
      </c>
      <c r="AJ13" s="139">
        <f>IF(AI13&gt;0,AI13,IF($E13=AJ$4,VLOOKUP($C13,노선구성!$B$47:$Y$60,14,0),0))</f>
        <v>1016.932581971765</v>
      </c>
      <c r="AK13" s="139">
        <f>IF(AJ13&gt;0,AJ13,IF($E13=AK$4,VLOOKUP($C13,노선구성!$B$47:$Y$60,14,0),0))</f>
        <v>1016.932581971765</v>
      </c>
      <c r="AL13" s="139">
        <f>IF(AK13&gt;0,AK13,IF($E13=AL$4,VLOOKUP($C13,노선구성!$B$47:$Y$60,14,0),0))</f>
        <v>1016.932581971765</v>
      </c>
      <c r="AM13" s="139">
        <f>IF(AL13&gt;0,AL13,IF($E13=AM$4,VLOOKUP($C13,노선구성!$B$47:$Y$60,14,0),0))</f>
        <v>1016.932581971765</v>
      </c>
      <c r="AN13" s="139">
        <f>IF(AM13&gt;0,AM13,IF($E13=AN$4,VLOOKUP($C13,노선구성!$B$47:$Y$60,14,0),0))</f>
        <v>1016.932581971765</v>
      </c>
      <c r="AO13" s="139">
        <f>IF(AN13&gt;0,AN13,IF($E13=AO$4,VLOOKUP($C13,노선구성!$B$47:$Y$60,14,0),0))</f>
        <v>1016.932581971765</v>
      </c>
      <c r="AP13" s="139">
        <f>IF(AO13&gt;0,AO13,IF($E13=AP$4,VLOOKUP($C13,노선구성!$B$47:$Y$60,14,0),0))</f>
        <v>1016.932581971765</v>
      </c>
      <c r="AQ13" s="139">
        <f>IF(AP13&gt;0,AP13,IF($E13=AQ$4,VLOOKUP($C13,노선구성!$B$47:$Y$60,14,0),0))</f>
        <v>1016.932581971765</v>
      </c>
      <c r="AR13" s="139">
        <f>IF(AQ13&gt;0,AQ13,IF($E13=AR$4,VLOOKUP($C13,노선구성!$B$47:$Y$60,14,0),0))</f>
        <v>1016.932581971765</v>
      </c>
      <c r="AS13" s="139">
        <f>IF(AR13&gt;0,AR13,IF($E13=AS$4,VLOOKUP($C13,노선구성!$B$47:$Y$60,14,0),0))</f>
        <v>1016.932581971765</v>
      </c>
      <c r="AT13" s="139">
        <f>IF(AS13&gt;0,AS13,IF($E13=AT$4,VLOOKUP($C13,노선구성!$B$47:$Y$60,14,0),0))</f>
        <v>1016.932581971765</v>
      </c>
      <c r="AU13" s="139">
        <f>IF(AT13&gt;0,AT13,IF($E13=AU$4,VLOOKUP($C13,노선구성!$B$47:$Y$60,14,0),0))</f>
        <v>1016.932581971765</v>
      </c>
      <c r="AV13" s="139">
        <f>IF(AU13&gt;0,AU13,IF($E13=AV$4,VLOOKUP($C13,노선구성!$B$47:$Y$60,14,0),0))</f>
        <v>1016.932581971765</v>
      </c>
      <c r="AW13" s="139">
        <f>IF(AV13&gt;0,AV13,IF($E13=AW$4,VLOOKUP($C13,노선구성!$B$47:$Y$60,14,0),0))</f>
        <v>1016.932581971765</v>
      </c>
      <c r="AX13" s="139">
        <f>IF(AW13&gt;0,AW13,IF($E13=AX$4,VLOOKUP($C13,노선구성!$B$47:$Y$60,14,0),0))</f>
        <v>1016.932581971765</v>
      </c>
      <c r="AY13" s="139">
        <f>IF(AX13&gt;0,AX13,IF($E13=AY$4,VLOOKUP($C13,노선구성!$B$47:$Y$60,14,0),0))</f>
        <v>1016.932581971765</v>
      </c>
      <c r="AZ13" s="139">
        <f>IF(AY13&gt;0,AY13,IF($E13=AZ$4,VLOOKUP($C13,노선구성!$B$47:$Y$60,14,0),0))</f>
        <v>1016.932581971765</v>
      </c>
      <c r="BA13" s="139">
        <f>IF(AZ13&gt;0,AZ13,IF($E13=BA$4,VLOOKUP($C13,노선구성!$B$47:$Y$60,14,0),0))</f>
        <v>1016.932581971765</v>
      </c>
      <c r="BB13" s="139">
        <f>IF(BA13&gt;0,BA13,IF($E13=BB$4,VLOOKUP($C13,노선구성!$B$47:$Y$60,14,0),0))</f>
        <v>1016.932581971765</v>
      </c>
      <c r="BC13" s="139">
        <f>IF(BB13&gt;0,BB13,IF($E13=BC$4,VLOOKUP($C13,노선구성!$B$47:$Y$60,14,0),0))</f>
        <v>1016.932581971765</v>
      </c>
      <c r="BD13" s="139">
        <f>IF(BC13&gt;0,BC13,IF($E13=BD$4,VLOOKUP($C13,노선구성!$B$47:$Y$60,14,0),0))</f>
        <v>1016.932581971765</v>
      </c>
      <c r="BE13" s="139">
        <f>IF(BD13&gt;0,BD13,IF($E13=BE$4,VLOOKUP($C13,노선구성!$B$47:$Y$60,14,0),0))</f>
        <v>1016.932581971765</v>
      </c>
      <c r="BF13" s="139">
        <f>IF(BE13&gt;0,BE13,IF($E13=BF$4,VLOOKUP($C13,노선구성!$B$47:$Y$60,14,0),0))</f>
        <v>1016.932581971765</v>
      </c>
      <c r="BG13" s="139">
        <f>IF(BF13&gt;0,BF13,IF($E13=BG$4,VLOOKUP($C13,노선구성!$B$47:$Y$60,14,0),0))</f>
        <v>1016.932581971765</v>
      </c>
      <c r="BH13" s="139">
        <f>IF(BG13&gt;0,BG13,IF($E13=BH$4,VLOOKUP($C13,노선구성!$B$47:$Y$60,14,0),0))</f>
        <v>1016.932581971765</v>
      </c>
      <c r="BI13" s="139">
        <f>IF(BH13&gt;0,BH13,IF($E13=BI$4,VLOOKUP($C13,노선구성!$B$47:$Y$60,14,0),0))</f>
        <v>1016.932581971765</v>
      </c>
      <c r="BJ13" s="139">
        <f>IF(BI13&gt;0,BI13,IF($E13=BJ$4,VLOOKUP($C13,노선구성!$B$47:$Y$60,14,0),0))</f>
        <v>1016.932581971765</v>
      </c>
      <c r="BK13" s="139">
        <f>IF(BJ13&gt;0,BJ13,IF($E13=BK$4,VLOOKUP($C13,노선구성!$B$47:$Y$60,14,0),0))</f>
        <v>1016.932581971765</v>
      </c>
      <c r="BL13" s="139">
        <f>IF(BK13&gt;0,BK13,IF($E13=BL$4,VLOOKUP($C13,노선구성!$B$47:$Y$60,14,0),0))</f>
        <v>1016.932581971765</v>
      </c>
      <c r="BM13" s="139">
        <f>IF(BL13&gt;0,BL13,IF($E13=BM$4,VLOOKUP($C13,노선구성!$B$47:$Y$60,14,0),0))</f>
        <v>1016.932581971765</v>
      </c>
      <c r="BN13" s="139">
        <f>IF(BM13&gt;0,BM13,IF($E13=BN$4,VLOOKUP($C13,노선구성!$B$47:$Y$60,14,0),0))</f>
        <v>1016.932581971765</v>
      </c>
      <c r="BO13" s="139">
        <f>IF(BN13&gt;0,BN13,IF($E13=BO$4,VLOOKUP($C13,노선구성!$B$47:$Y$60,14,0),0))</f>
        <v>1016.932581971765</v>
      </c>
      <c r="BQ13" s="155"/>
      <c r="BR13" s="155"/>
      <c r="BS13" s="155"/>
      <c r="BT13" s="155"/>
      <c r="BU13" s="155"/>
    </row>
    <row r="14" spans="2:79" outlineLevel="1">
      <c r="C14" s="139">
        <f>노선구성!B52</f>
        <v>5</v>
      </c>
      <c r="D14" s="139">
        <f>노선구성!C52</f>
        <v>737</v>
      </c>
      <c r="E14" s="139" t="str">
        <f>노선구성!D52</f>
        <v>M13</v>
      </c>
      <c r="H14" s="139">
        <f>IF($E14=H$4,VLOOKUP($C14,노선구성!$B$47:$Y$60,14,0),0)</f>
        <v>0</v>
      </c>
      <c r="I14" s="139">
        <f>IF(H14&gt;0,H14,IF($E14=I$4,VLOOKUP($C14,노선구성!$B$47:$Y$60,14,0),0))</f>
        <v>0</v>
      </c>
      <c r="J14" s="139">
        <f>IF(I14&gt;0,I14,IF($E14=J$4,VLOOKUP($C14,노선구성!$B$47:$Y$60,14,0),0))</f>
        <v>0</v>
      </c>
      <c r="K14" s="139">
        <f>IF(J14&gt;0,J14,IF($E14=K$4,VLOOKUP($C14,노선구성!$B$47:$Y$60,14,0),0))</f>
        <v>0</v>
      </c>
      <c r="L14" s="139">
        <f>IF(K14&gt;0,K14,IF($E14=L$4,VLOOKUP($C14,노선구성!$B$47:$Y$60,14,0),0))</f>
        <v>0</v>
      </c>
      <c r="M14" s="139">
        <f>IF(L14&gt;0,L14,IF($E14=M$4,VLOOKUP($C14,노선구성!$B$47:$Y$60,14,0),0))</f>
        <v>0</v>
      </c>
      <c r="N14" s="139">
        <f>IF(M14&gt;0,M14,IF($E14=N$4,VLOOKUP($C14,노선구성!$B$47:$Y$60,14,0),0))</f>
        <v>0</v>
      </c>
      <c r="O14" s="139">
        <f>IF(N14&gt;0,N14,IF($E14=O$4,VLOOKUP($C14,노선구성!$B$47:$Y$60,14,0),0))</f>
        <v>0</v>
      </c>
      <c r="P14" s="139">
        <f>IF(O14&gt;0,O14,IF($E14=P$4,VLOOKUP($C14,노선구성!$B$47:$Y$60,14,0),0))</f>
        <v>0</v>
      </c>
      <c r="Q14" s="139">
        <f>IF(P14&gt;0,P14,IF($E14=Q$4,VLOOKUP($C14,노선구성!$B$47:$Y$60,14,0),0))</f>
        <v>0</v>
      </c>
      <c r="R14" s="139">
        <f>IF(Q14&gt;0,Q14,IF($E14=R$4,VLOOKUP($C14,노선구성!$B$47:$Y$60,14,0),0))</f>
        <v>0</v>
      </c>
      <c r="S14" s="139">
        <f>IF(R14&gt;0,R14,IF($E14=S$4,VLOOKUP($C14,노선구성!$B$47:$Y$60,14,0),0))</f>
        <v>0</v>
      </c>
      <c r="T14" s="139">
        <f>IF(S14&gt;0,S14,IF($E14=T$4,VLOOKUP($C14,노선구성!$B$47:$Y$60,14,0),0))</f>
        <v>403.87447058823534</v>
      </c>
      <c r="U14" s="139">
        <f>IF(T14&gt;0,T14,IF($E14=U$4,VLOOKUP($C14,노선구성!$B$47:$Y$60,14,0),0))</f>
        <v>403.87447058823534</v>
      </c>
      <c r="V14" s="139">
        <f>IF(U14&gt;0,U14,IF($E14=V$4,VLOOKUP($C14,노선구성!$B$47:$Y$60,14,0),0))</f>
        <v>403.87447058823534</v>
      </c>
      <c r="W14" s="139">
        <f>IF(V14&gt;0,V14,IF($E14=W$4,VLOOKUP($C14,노선구성!$B$47:$Y$60,14,0),0))</f>
        <v>403.87447058823534</v>
      </c>
      <c r="X14" s="139">
        <f>IF(W14&gt;0,W14,IF($E14=X$4,VLOOKUP($C14,노선구성!$B$47:$Y$60,14,0),0))</f>
        <v>403.87447058823534</v>
      </c>
      <c r="Y14" s="139">
        <f>IF(X14&gt;0,X14,IF($E14=Y$4,VLOOKUP($C14,노선구성!$B$47:$Y$60,14,0),0))</f>
        <v>403.87447058823534</v>
      </c>
      <c r="Z14" s="139">
        <f>IF(Y14&gt;0,Y14,IF($E14=Z$4,VLOOKUP($C14,노선구성!$B$47:$Y$60,14,0),0))</f>
        <v>403.87447058823534</v>
      </c>
      <c r="AA14" s="139">
        <f>IF(Z14&gt;0,Z14,IF($E14=AA$4,VLOOKUP($C14,노선구성!$B$47:$Y$60,14,0),0))</f>
        <v>403.87447058823534</v>
      </c>
      <c r="AB14" s="139">
        <f>IF(AA14&gt;0,AA14,IF($E14=AB$4,VLOOKUP($C14,노선구성!$B$47:$Y$60,14,0),0))</f>
        <v>403.87447058823534</v>
      </c>
      <c r="AC14" s="139">
        <f>IF(AB14&gt;0,AB14,IF($E14=AC$4,VLOOKUP($C14,노선구성!$B$47:$Y$60,14,0),0))</f>
        <v>403.87447058823534</v>
      </c>
      <c r="AD14" s="139">
        <f>IF(AC14&gt;0,AC14,IF($E14=AD$4,VLOOKUP($C14,노선구성!$B$47:$Y$60,14,0),0))</f>
        <v>403.87447058823534</v>
      </c>
      <c r="AE14" s="139">
        <f>IF(AD14&gt;0,AD14,IF($E14=AE$4,VLOOKUP($C14,노선구성!$B$47:$Y$60,14,0),0))</f>
        <v>403.87447058823534</v>
      </c>
      <c r="AF14" s="139">
        <f>IF(AE14&gt;0,AE14,IF($E14=AF$4,VLOOKUP($C14,노선구성!$B$47:$Y$60,14,0),0))</f>
        <v>403.87447058823534</v>
      </c>
      <c r="AG14" s="139">
        <f>IF(AF14&gt;0,AF14,IF($E14=AG$4,VLOOKUP($C14,노선구성!$B$47:$Y$60,14,0),0))</f>
        <v>403.87447058823534</v>
      </c>
      <c r="AH14" s="139">
        <f>IF(AG14&gt;0,AG14,IF($E14=AH$4,VLOOKUP($C14,노선구성!$B$47:$Y$60,14,0),0))</f>
        <v>403.87447058823534</v>
      </c>
      <c r="AI14" s="139">
        <f>IF(AH14&gt;0,AH14,IF($E14=AI$4,VLOOKUP($C14,노선구성!$B$47:$Y$60,14,0),0))</f>
        <v>403.87447058823534</v>
      </c>
      <c r="AJ14" s="139">
        <f>IF(AI14&gt;0,AI14,IF($E14=AJ$4,VLOOKUP($C14,노선구성!$B$47:$Y$60,14,0),0))</f>
        <v>403.87447058823534</v>
      </c>
      <c r="AK14" s="139">
        <f>IF(AJ14&gt;0,AJ14,IF($E14=AK$4,VLOOKUP($C14,노선구성!$B$47:$Y$60,14,0),0))</f>
        <v>403.87447058823534</v>
      </c>
      <c r="AL14" s="139">
        <f>IF(AK14&gt;0,AK14,IF($E14=AL$4,VLOOKUP($C14,노선구성!$B$47:$Y$60,14,0),0))</f>
        <v>403.87447058823534</v>
      </c>
      <c r="AM14" s="139">
        <f>IF(AL14&gt;0,AL14,IF($E14=AM$4,VLOOKUP($C14,노선구성!$B$47:$Y$60,14,0),0))</f>
        <v>403.87447058823534</v>
      </c>
      <c r="AN14" s="139">
        <f>IF(AM14&gt;0,AM14,IF($E14=AN$4,VLOOKUP($C14,노선구성!$B$47:$Y$60,14,0),0))</f>
        <v>403.87447058823534</v>
      </c>
      <c r="AO14" s="139">
        <f>IF(AN14&gt;0,AN14,IF($E14=AO$4,VLOOKUP($C14,노선구성!$B$47:$Y$60,14,0),0))</f>
        <v>403.87447058823534</v>
      </c>
      <c r="AP14" s="139">
        <f>IF(AO14&gt;0,AO14,IF($E14=AP$4,VLOOKUP($C14,노선구성!$B$47:$Y$60,14,0),0))</f>
        <v>403.87447058823534</v>
      </c>
      <c r="AQ14" s="139">
        <f>IF(AP14&gt;0,AP14,IF($E14=AQ$4,VLOOKUP($C14,노선구성!$B$47:$Y$60,14,0),0))</f>
        <v>403.87447058823534</v>
      </c>
      <c r="AR14" s="139">
        <f>IF(AQ14&gt;0,AQ14,IF($E14=AR$4,VLOOKUP($C14,노선구성!$B$47:$Y$60,14,0),0))</f>
        <v>403.87447058823534</v>
      </c>
      <c r="AS14" s="139">
        <f>IF(AR14&gt;0,AR14,IF($E14=AS$4,VLOOKUP($C14,노선구성!$B$47:$Y$60,14,0),0))</f>
        <v>403.87447058823534</v>
      </c>
      <c r="AT14" s="139">
        <f>IF(AS14&gt;0,AS14,IF($E14=AT$4,VLOOKUP($C14,노선구성!$B$47:$Y$60,14,0),0))</f>
        <v>403.87447058823534</v>
      </c>
      <c r="AU14" s="139">
        <f>IF(AT14&gt;0,AT14,IF($E14=AU$4,VLOOKUP($C14,노선구성!$B$47:$Y$60,14,0),0))</f>
        <v>403.87447058823534</v>
      </c>
      <c r="AV14" s="139">
        <f>IF(AU14&gt;0,AU14,IF($E14=AV$4,VLOOKUP($C14,노선구성!$B$47:$Y$60,14,0),0))</f>
        <v>403.87447058823534</v>
      </c>
      <c r="AW14" s="139">
        <f>IF(AV14&gt;0,AV14,IF($E14=AW$4,VLOOKUP($C14,노선구성!$B$47:$Y$60,14,0),0))</f>
        <v>403.87447058823534</v>
      </c>
      <c r="AX14" s="139">
        <f>IF(AW14&gt;0,AW14,IF($E14=AX$4,VLOOKUP($C14,노선구성!$B$47:$Y$60,14,0),0))</f>
        <v>403.87447058823534</v>
      </c>
      <c r="AY14" s="139">
        <f>IF(AX14&gt;0,AX14,IF($E14=AY$4,VLOOKUP($C14,노선구성!$B$47:$Y$60,14,0),0))</f>
        <v>403.87447058823534</v>
      </c>
      <c r="AZ14" s="139">
        <f>IF(AY14&gt;0,AY14,IF($E14=AZ$4,VLOOKUP($C14,노선구성!$B$47:$Y$60,14,0),0))</f>
        <v>403.87447058823534</v>
      </c>
      <c r="BA14" s="139">
        <f>IF(AZ14&gt;0,AZ14,IF($E14=BA$4,VLOOKUP($C14,노선구성!$B$47:$Y$60,14,0),0))</f>
        <v>403.87447058823534</v>
      </c>
      <c r="BB14" s="139">
        <f>IF(BA14&gt;0,BA14,IF($E14=BB$4,VLOOKUP($C14,노선구성!$B$47:$Y$60,14,0),0))</f>
        <v>403.87447058823534</v>
      </c>
      <c r="BC14" s="139">
        <f>IF(BB14&gt;0,BB14,IF($E14=BC$4,VLOOKUP($C14,노선구성!$B$47:$Y$60,14,0),0))</f>
        <v>403.87447058823534</v>
      </c>
      <c r="BD14" s="139">
        <f>IF(BC14&gt;0,BC14,IF($E14=BD$4,VLOOKUP($C14,노선구성!$B$47:$Y$60,14,0),0))</f>
        <v>403.87447058823534</v>
      </c>
      <c r="BE14" s="139">
        <f>IF(BD14&gt;0,BD14,IF($E14=BE$4,VLOOKUP($C14,노선구성!$B$47:$Y$60,14,0),0))</f>
        <v>403.87447058823534</v>
      </c>
      <c r="BF14" s="139">
        <f>IF(BE14&gt;0,BE14,IF($E14=BF$4,VLOOKUP($C14,노선구성!$B$47:$Y$60,14,0),0))</f>
        <v>403.87447058823534</v>
      </c>
      <c r="BG14" s="139">
        <f>IF(BF14&gt;0,BF14,IF($E14=BG$4,VLOOKUP($C14,노선구성!$B$47:$Y$60,14,0),0))</f>
        <v>403.87447058823534</v>
      </c>
      <c r="BH14" s="139">
        <f>IF(BG14&gt;0,BG14,IF($E14=BH$4,VLOOKUP($C14,노선구성!$B$47:$Y$60,14,0),0))</f>
        <v>403.87447058823534</v>
      </c>
      <c r="BI14" s="139">
        <f>IF(BH14&gt;0,BH14,IF($E14=BI$4,VLOOKUP($C14,노선구성!$B$47:$Y$60,14,0),0))</f>
        <v>403.87447058823534</v>
      </c>
      <c r="BJ14" s="139">
        <f>IF(BI14&gt;0,BI14,IF($E14=BJ$4,VLOOKUP($C14,노선구성!$B$47:$Y$60,14,0),0))</f>
        <v>403.87447058823534</v>
      </c>
      <c r="BK14" s="139">
        <f>IF(BJ14&gt;0,BJ14,IF($E14=BK$4,VLOOKUP($C14,노선구성!$B$47:$Y$60,14,0),0))</f>
        <v>403.87447058823534</v>
      </c>
      <c r="BL14" s="139">
        <f>IF(BK14&gt;0,BK14,IF($E14=BL$4,VLOOKUP($C14,노선구성!$B$47:$Y$60,14,0),0))</f>
        <v>403.87447058823534</v>
      </c>
      <c r="BM14" s="139">
        <f>IF(BL14&gt;0,BL14,IF($E14=BM$4,VLOOKUP($C14,노선구성!$B$47:$Y$60,14,0),0))</f>
        <v>403.87447058823534</v>
      </c>
      <c r="BN14" s="139">
        <f>IF(BM14&gt;0,BM14,IF($E14=BN$4,VLOOKUP($C14,노선구성!$B$47:$Y$60,14,0),0))</f>
        <v>403.87447058823534</v>
      </c>
      <c r="BO14" s="139">
        <f>IF(BN14&gt;0,BN14,IF($E14=BO$4,VLOOKUP($C14,노선구성!$B$47:$Y$60,14,0),0))</f>
        <v>403.87447058823534</v>
      </c>
      <c r="BQ14" s="155"/>
      <c r="BR14" s="155"/>
      <c r="BS14" s="155"/>
      <c r="BT14" s="155"/>
      <c r="BU14" s="155"/>
    </row>
    <row r="15" spans="2:79" outlineLevel="1">
      <c r="C15" s="139">
        <f>노선구성!B53</f>
        <v>6</v>
      </c>
      <c r="D15" s="139">
        <f>노선구성!C53</f>
        <v>767</v>
      </c>
      <c r="E15" s="139" t="str">
        <f>노선구성!D53</f>
        <v>M19</v>
      </c>
      <c r="H15" s="139">
        <f>IF($E15=H$4,VLOOKUP($C15,노선구성!$B$47:$Y$60,14,0),0)</f>
        <v>0</v>
      </c>
      <c r="I15" s="139">
        <f>IF(H15&gt;0,H15,IF($E15=I$4,VLOOKUP($C15,노선구성!$B$47:$Y$60,14,0),0))</f>
        <v>0</v>
      </c>
      <c r="J15" s="139">
        <f>IF(I15&gt;0,I15,IF($E15=J$4,VLOOKUP($C15,노선구성!$B$47:$Y$60,14,0),0))</f>
        <v>0</v>
      </c>
      <c r="K15" s="139">
        <f>IF(J15&gt;0,J15,IF($E15=K$4,VLOOKUP($C15,노선구성!$B$47:$Y$60,14,0),0))</f>
        <v>0</v>
      </c>
      <c r="L15" s="139">
        <f>IF(K15&gt;0,K15,IF($E15=L$4,VLOOKUP($C15,노선구성!$B$47:$Y$60,14,0),0))</f>
        <v>0</v>
      </c>
      <c r="M15" s="139">
        <f>IF(L15&gt;0,L15,IF($E15=M$4,VLOOKUP($C15,노선구성!$B$47:$Y$60,14,0),0))</f>
        <v>0</v>
      </c>
      <c r="N15" s="139">
        <f>IF(M15&gt;0,M15,IF($E15=N$4,VLOOKUP($C15,노선구성!$B$47:$Y$60,14,0),0))</f>
        <v>0</v>
      </c>
      <c r="O15" s="139">
        <f>IF(N15&gt;0,N15,IF($E15=O$4,VLOOKUP($C15,노선구성!$B$47:$Y$60,14,0),0))</f>
        <v>0</v>
      </c>
      <c r="P15" s="139">
        <f>IF(O15&gt;0,O15,IF($E15=P$4,VLOOKUP($C15,노선구성!$B$47:$Y$60,14,0),0))</f>
        <v>0</v>
      </c>
      <c r="Q15" s="139">
        <f>IF(P15&gt;0,P15,IF($E15=Q$4,VLOOKUP($C15,노선구성!$B$47:$Y$60,14,0),0))</f>
        <v>0</v>
      </c>
      <c r="R15" s="139">
        <f>IF(Q15&gt;0,Q15,IF($E15=R$4,VLOOKUP($C15,노선구성!$B$47:$Y$60,14,0),0))</f>
        <v>0</v>
      </c>
      <c r="S15" s="139">
        <f>IF(R15&gt;0,R15,IF($E15=S$4,VLOOKUP($C15,노선구성!$B$47:$Y$60,14,0),0))</f>
        <v>0</v>
      </c>
      <c r="T15" s="139">
        <f>IF(S15&gt;0,S15,IF($E15=T$4,VLOOKUP($C15,노선구성!$B$47:$Y$60,14,0),0))</f>
        <v>0</v>
      </c>
      <c r="U15" s="139">
        <f>IF(T15&gt;0,T15,IF($E15=U$4,VLOOKUP($C15,노선구성!$B$47:$Y$60,14,0),0))</f>
        <v>0</v>
      </c>
      <c r="V15" s="139">
        <f>IF(U15&gt;0,U15,IF($E15=V$4,VLOOKUP($C15,노선구성!$B$47:$Y$60,14,0),0))</f>
        <v>0</v>
      </c>
      <c r="W15" s="139">
        <f>IF(V15&gt;0,V15,IF($E15=W$4,VLOOKUP($C15,노선구성!$B$47:$Y$60,14,0),0))</f>
        <v>0</v>
      </c>
      <c r="X15" s="139">
        <f>IF(W15&gt;0,W15,IF($E15=X$4,VLOOKUP($C15,노선구성!$B$47:$Y$60,14,0),0))</f>
        <v>0</v>
      </c>
      <c r="Y15" s="139">
        <f>IF(X15&gt;0,X15,IF($E15=Y$4,VLOOKUP($C15,노선구성!$B$47:$Y$60,14,0),0))</f>
        <v>0</v>
      </c>
      <c r="Z15" s="139">
        <f>IF(Y15&gt;0,Y15,IF($E15=Z$4,VLOOKUP($C15,노선구성!$B$47:$Y$60,14,0),0))</f>
        <v>1171.2884203067651</v>
      </c>
      <c r="AA15" s="139">
        <f>IF(Z15&gt;0,Z15,IF($E15=AA$4,VLOOKUP($C15,노선구성!$B$47:$Y$60,14,0),0))</f>
        <v>1171.2884203067651</v>
      </c>
      <c r="AB15" s="139">
        <f>IF(AA15&gt;0,AA15,IF($E15=AB$4,VLOOKUP($C15,노선구성!$B$47:$Y$60,14,0),0))</f>
        <v>1171.2884203067651</v>
      </c>
      <c r="AC15" s="139">
        <f>IF(AB15&gt;0,AB15,IF($E15=AC$4,VLOOKUP($C15,노선구성!$B$47:$Y$60,14,0),0))</f>
        <v>1171.2884203067651</v>
      </c>
      <c r="AD15" s="139">
        <f>IF(AC15&gt;0,AC15,IF($E15=AD$4,VLOOKUP($C15,노선구성!$B$47:$Y$60,14,0),0))</f>
        <v>1171.2884203067651</v>
      </c>
      <c r="AE15" s="139">
        <f>IF(AD15&gt;0,AD15,IF($E15=AE$4,VLOOKUP($C15,노선구성!$B$47:$Y$60,14,0),0))</f>
        <v>1171.2884203067651</v>
      </c>
      <c r="AF15" s="139">
        <f>IF(AE15&gt;0,AE15,IF($E15=AF$4,VLOOKUP($C15,노선구성!$B$47:$Y$60,14,0),0))</f>
        <v>1171.2884203067651</v>
      </c>
      <c r="AG15" s="139">
        <f>IF(AF15&gt;0,AF15,IF($E15=AG$4,VLOOKUP($C15,노선구성!$B$47:$Y$60,14,0),0))</f>
        <v>1171.2884203067651</v>
      </c>
      <c r="AH15" s="139">
        <f>IF(AG15&gt;0,AG15,IF($E15=AH$4,VLOOKUP($C15,노선구성!$B$47:$Y$60,14,0),0))</f>
        <v>1171.2884203067651</v>
      </c>
      <c r="AI15" s="139">
        <f>IF(AH15&gt;0,AH15,IF($E15=AI$4,VLOOKUP($C15,노선구성!$B$47:$Y$60,14,0),0))</f>
        <v>1171.2884203067651</v>
      </c>
      <c r="AJ15" s="139">
        <f>IF(AI15&gt;0,AI15,IF($E15=AJ$4,VLOOKUP($C15,노선구성!$B$47:$Y$60,14,0),0))</f>
        <v>1171.2884203067651</v>
      </c>
      <c r="AK15" s="139">
        <f>IF(AJ15&gt;0,AJ15,IF($E15=AK$4,VLOOKUP($C15,노선구성!$B$47:$Y$60,14,0),0))</f>
        <v>1171.2884203067651</v>
      </c>
      <c r="AL15" s="139">
        <f>IF(AK15&gt;0,AK15,IF($E15=AL$4,VLOOKUP($C15,노선구성!$B$47:$Y$60,14,0),0))</f>
        <v>1171.2884203067651</v>
      </c>
      <c r="AM15" s="139">
        <f>IF(AL15&gt;0,AL15,IF($E15=AM$4,VLOOKUP($C15,노선구성!$B$47:$Y$60,14,0),0))</f>
        <v>1171.2884203067651</v>
      </c>
      <c r="AN15" s="139">
        <f>IF(AM15&gt;0,AM15,IF($E15=AN$4,VLOOKUP($C15,노선구성!$B$47:$Y$60,14,0),0))</f>
        <v>1171.2884203067651</v>
      </c>
      <c r="AO15" s="139">
        <f>IF(AN15&gt;0,AN15,IF($E15=AO$4,VLOOKUP($C15,노선구성!$B$47:$Y$60,14,0),0))</f>
        <v>1171.2884203067651</v>
      </c>
      <c r="AP15" s="139">
        <f>IF(AO15&gt;0,AO15,IF($E15=AP$4,VLOOKUP($C15,노선구성!$B$47:$Y$60,14,0),0))</f>
        <v>1171.2884203067651</v>
      </c>
      <c r="AQ15" s="139">
        <f>IF(AP15&gt;0,AP15,IF($E15=AQ$4,VLOOKUP($C15,노선구성!$B$47:$Y$60,14,0),0))</f>
        <v>1171.2884203067651</v>
      </c>
      <c r="AR15" s="139">
        <f>IF(AQ15&gt;0,AQ15,IF($E15=AR$4,VLOOKUP($C15,노선구성!$B$47:$Y$60,14,0),0))</f>
        <v>1171.2884203067651</v>
      </c>
      <c r="AS15" s="139">
        <f>IF(AR15&gt;0,AR15,IF($E15=AS$4,VLOOKUP($C15,노선구성!$B$47:$Y$60,14,0),0))</f>
        <v>1171.2884203067651</v>
      </c>
      <c r="AT15" s="139">
        <f>IF(AS15&gt;0,AS15,IF($E15=AT$4,VLOOKUP($C15,노선구성!$B$47:$Y$60,14,0),0))</f>
        <v>1171.2884203067651</v>
      </c>
      <c r="AU15" s="139">
        <f>IF(AT15&gt;0,AT15,IF($E15=AU$4,VLOOKUP($C15,노선구성!$B$47:$Y$60,14,0),0))</f>
        <v>1171.2884203067651</v>
      </c>
      <c r="AV15" s="139">
        <f>IF(AU15&gt;0,AU15,IF($E15=AV$4,VLOOKUP($C15,노선구성!$B$47:$Y$60,14,0),0))</f>
        <v>1171.2884203067651</v>
      </c>
      <c r="AW15" s="139">
        <f>IF(AV15&gt;0,AV15,IF($E15=AW$4,VLOOKUP($C15,노선구성!$B$47:$Y$60,14,0),0))</f>
        <v>1171.2884203067651</v>
      </c>
      <c r="AX15" s="139">
        <f>IF(AW15&gt;0,AW15,IF($E15=AX$4,VLOOKUP($C15,노선구성!$B$47:$Y$60,14,0),0))</f>
        <v>1171.2884203067651</v>
      </c>
      <c r="AY15" s="139">
        <f>IF(AX15&gt;0,AX15,IF($E15=AY$4,VLOOKUP($C15,노선구성!$B$47:$Y$60,14,0),0))</f>
        <v>1171.2884203067651</v>
      </c>
      <c r="AZ15" s="139">
        <f>IF(AY15&gt;0,AY15,IF($E15=AZ$4,VLOOKUP($C15,노선구성!$B$47:$Y$60,14,0),0))</f>
        <v>1171.2884203067651</v>
      </c>
      <c r="BA15" s="139">
        <f>IF(AZ15&gt;0,AZ15,IF($E15=BA$4,VLOOKUP($C15,노선구성!$B$47:$Y$60,14,0),0))</f>
        <v>1171.2884203067651</v>
      </c>
      <c r="BB15" s="139">
        <f>IF(BA15&gt;0,BA15,IF($E15=BB$4,VLOOKUP($C15,노선구성!$B$47:$Y$60,14,0),0))</f>
        <v>1171.2884203067651</v>
      </c>
      <c r="BC15" s="139">
        <f>IF(BB15&gt;0,BB15,IF($E15=BC$4,VLOOKUP($C15,노선구성!$B$47:$Y$60,14,0),0))</f>
        <v>1171.2884203067651</v>
      </c>
      <c r="BD15" s="139">
        <f>IF(BC15&gt;0,BC15,IF($E15=BD$4,VLOOKUP($C15,노선구성!$B$47:$Y$60,14,0),0))</f>
        <v>1171.2884203067651</v>
      </c>
      <c r="BE15" s="139">
        <f>IF(BD15&gt;0,BD15,IF($E15=BE$4,VLOOKUP($C15,노선구성!$B$47:$Y$60,14,0),0))</f>
        <v>1171.2884203067651</v>
      </c>
      <c r="BF15" s="139">
        <f>IF(BE15&gt;0,BE15,IF($E15=BF$4,VLOOKUP($C15,노선구성!$B$47:$Y$60,14,0),0))</f>
        <v>1171.2884203067651</v>
      </c>
      <c r="BG15" s="139">
        <f>IF(BF15&gt;0,BF15,IF($E15=BG$4,VLOOKUP($C15,노선구성!$B$47:$Y$60,14,0),0))</f>
        <v>1171.2884203067651</v>
      </c>
      <c r="BH15" s="139">
        <f>IF(BG15&gt;0,BG15,IF($E15=BH$4,VLOOKUP($C15,노선구성!$B$47:$Y$60,14,0),0))</f>
        <v>1171.2884203067651</v>
      </c>
      <c r="BI15" s="139">
        <f>IF(BH15&gt;0,BH15,IF($E15=BI$4,VLOOKUP($C15,노선구성!$B$47:$Y$60,14,0),0))</f>
        <v>1171.2884203067651</v>
      </c>
      <c r="BJ15" s="139">
        <f>IF(BI15&gt;0,BI15,IF($E15=BJ$4,VLOOKUP($C15,노선구성!$B$47:$Y$60,14,0),0))</f>
        <v>1171.2884203067651</v>
      </c>
      <c r="BK15" s="139">
        <f>IF(BJ15&gt;0,BJ15,IF($E15=BK$4,VLOOKUP($C15,노선구성!$B$47:$Y$60,14,0),0))</f>
        <v>1171.2884203067651</v>
      </c>
      <c r="BL15" s="139">
        <f>IF(BK15&gt;0,BK15,IF($E15=BL$4,VLOOKUP($C15,노선구성!$B$47:$Y$60,14,0),0))</f>
        <v>1171.2884203067651</v>
      </c>
      <c r="BM15" s="139">
        <f>IF(BL15&gt;0,BL15,IF($E15=BM$4,VLOOKUP($C15,노선구성!$B$47:$Y$60,14,0),0))</f>
        <v>1171.2884203067651</v>
      </c>
      <c r="BN15" s="139">
        <f>IF(BM15&gt;0,BM15,IF($E15=BN$4,VLOOKUP($C15,노선구성!$B$47:$Y$60,14,0),0))</f>
        <v>1171.2884203067651</v>
      </c>
      <c r="BO15" s="139">
        <f>IF(BN15&gt;0,BN15,IF($E15=BO$4,VLOOKUP($C15,노선구성!$B$47:$Y$60,14,0),0))</f>
        <v>1171.2884203067651</v>
      </c>
      <c r="BQ15" s="155"/>
      <c r="BR15" s="155"/>
      <c r="BS15" s="155"/>
      <c r="BT15" s="155"/>
      <c r="BU15" s="155"/>
    </row>
    <row r="16" spans="2:79" outlineLevel="1">
      <c r="C16" s="139">
        <f>노선구성!B54</f>
        <v>7</v>
      </c>
      <c r="D16" s="139">
        <f>노선구성!C54</f>
        <v>737</v>
      </c>
      <c r="E16" s="139" t="str">
        <f>노선구성!D54</f>
        <v>M25</v>
      </c>
      <c r="H16" s="139">
        <f>IF($E16=H$4,VLOOKUP($C16,노선구성!$B$47:$Y$60,14,0),0)</f>
        <v>0</v>
      </c>
      <c r="I16" s="139">
        <f>IF(H16&gt;0,H16,IF($E16=I$4,VLOOKUP($C16,노선구성!$B$47:$Y$60,14,0),0))</f>
        <v>0</v>
      </c>
      <c r="J16" s="139">
        <f>IF(I16&gt;0,I16,IF($E16=J$4,VLOOKUP($C16,노선구성!$B$47:$Y$60,14,0),0))</f>
        <v>0</v>
      </c>
      <c r="K16" s="139">
        <f>IF(J16&gt;0,J16,IF($E16=K$4,VLOOKUP($C16,노선구성!$B$47:$Y$60,14,0),0))</f>
        <v>0</v>
      </c>
      <c r="L16" s="139">
        <f>IF(K16&gt;0,K16,IF($E16=L$4,VLOOKUP($C16,노선구성!$B$47:$Y$60,14,0),0))</f>
        <v>0</v>
      </c>
      <c r="M16" s="139">
        <f>IF(L16&gt;0,L16,IF($E16=M$4,VLOOKUP($C16,노선구성!$B$47:$Y$60,14,0),0))</f>
        <v>0</v>
      </c>
      <c r="N16" s="139">
        <f>IF(M16&gt;0,M16,IF($E16=N$4,VLOOKUP($C16,노선구성!$B$47:$Y$60,14,0),0))</f>
        <v>0</v>
      </c>
      <c r="O16" s="139">
        <f>IF(N16&gt;0,N16,IF($E16=O$4,VLOOKUP($C16,노선구성!$B$47:$Y$60,14,0),0))</f>
        <v>0</v>
      </c>
      <c r="P16" s="139">
        <f>IF(O16&gt;0,O16,IF($E16=P$4,VLOOKUP($C16,노선구성!$B$47:$Y$60,14,0),0))</f>
        <v>0</v>
      </c>
      <c r="Q16" s="139">
        <f>IF(P16&gt;0,P16,IF($E16=Q$4,VLOOKUP($C16,노선구성!$B$47:$Y$60,14,0),0))</f>
        <v>0</v>
      </c>
      <c r="R16" s="139">
        <f>IF(Q16&gt;0,Q16,IF($E16=R$4,VLOOKUP($C16,노선구성!$B$47:$Y$60,14,0),0))</f>
        <v>0</v>
      </c>
      <c r="S16" s="139">
        <f>IF(R16&gt;0,R16,IF($E16=S$4,VLOOKUP($C16,노선구성!$B$47:$Y$60,14,0),0))</f>
        <v>0</v>
      </c>
      <c r="T16" s="139">
        <f>IF(S16&gt;0,S16,IF($E16=T$4,VLOOKUP($C16,노선구성!$B$47:$Y$60,14,0),0))</f>
        <v>0</v>
      </c>
      <c r="U16" s="139">
        <f>IF(T16&gt;0,T16,IF($E16=U$4,VLOOKUP($C16,노선구성!$B$47:$Y$60,14,0),0))</f>
        <v>0</v>
      </c>
      <c r="V16" s="139">
        <f>IF(U16&gt;0,U16,IF($E16=V$4,VLOOKUP($C16,노선구성!$B$47:$Y$60,14,0),0))</f>
        <v>0</v>
      </c>
      <c r="W16" s="139">
        <f>IF(V16&gt;0,V16,IF($E16=W$4,VLOOKUP($C16,노선구성!$B$47:$Y$60,14,0),0))</f>
        <v>0</v>
      </c>
      <c r="X16" s="139">
        <f>IF(W16&gt;0,W16,IF($E16=X$4,VLOOKUP($C16,노선구성!$B$47:$Y$60,14,0),0))</f>
        <v>0</v>
      </c>
      <c r="Y16" s="139">
        <f>IF(X16&gt;0,X16,IF($E16=Y$4,VLOOKUP($C16,노선구성!$B$47:$Y$60,14,0),0))</f>
        <v>0</v>
      </c>
      <c r="Z16" s="139">
        <f>IF(Y16&gt;0,Y16,IF($E16=Z$4,VLOOKUP($C16,노선구성!$B$47:$Y$60,14,0),0))</f>
        <v>0</v>
      </c>
      <c r="AA16" s="139">
        <f>IF(Z16&gt;0,Z16,IF($E16=AA$4,VLOOKUP($C16,노선구성!$B$47:$Y$60,14,0),0))</f>
        <v>0</v>
      </c>
      <c r="AB16" s="139">
        <f>IF(AA16&gt;0,AA16,IF($E16=AB$4,VLOOKUP($C16,노선구성!$B$47:$Y$60,14,0),0))</f>
        <v>0</v>
      </c>
      <c r="AC16" s="139">
        <f>IF(AB16&gt;0,AB16,IF($E16=AC$4,VLOOKUP($C16,노선구성!$B$47:$Y$60,14,0),0))</f>
        <v>0</v>
      </c>
      <c r="AD16" s="139">
        <f>IF(AC16&gt;0,AC16,IF($E16=AD$4,VLOOKUP($C16,노선구성!$B$47:$Y$60,14,0),0))</f>
        <v>0</v>
      </c>
      <c r="AE16" s="139">
        <f>IF(AD16&gt;0,AD16,IF($E16=AE$4,VLOOKUP($C16,노선구성!$B$47:$Y$60,14,0),0))</f>
        <v>0</v>
      </c>
      <c r="AF16" s="139">
        <f>IF(AE16&gt;0,AE16,IF($E16=AF$4,VLOOKUP($C16,노선구성!$B$47:$Y$60,14,0),0))</f>
        <v>969.29872941176495</v>
      </c>
      <c r="AG16" s="139">
        <f>IF(AF16&gt;0,AF16,IF($E16=AG$4,VLOOKUP($C16,노선구성!$B$47:$Y$60,14,0),0))</f>
        <v>969.29872941176495</v>
      </c>
      <c r="AH16" s="139">
        <f>IF(AG16&gt;0,AG16,IF($E16=AH$4,VLOOKUP($C16,노선구성!$B$47:$Y$60,14,0),0))</f>
        <v>969.29872941176495</v>
      </c>
      <c r="AI16" s="139">
        <f>IF(AH16&gt;0,AH16,IF($E16=AI$4,VLOOKUP($C16,노선구성!$B$47:$Y$60,14,0),0))</f>
        <v>969.29872941176495</v>
      </c>
      <c r="AJ16" s="139">
        <f>IF(AI16&gt;0,AI16,IF($E16=AJ$4,VLOOKUP($C16,노선구성!$B$47:$Y$60,14,0),0))</f>
        <v>969.29872941176495</v>
      </c>
      <c r="AK16" s="139">
        <f>IF(AJ16&gt;0,AJ16,IF($E16=AK$4,VLOOKUP($C16,노선구성!$B$47:$Y$60,14,0),0))</f>
        <v>969.29872941176495</v>
      </c>
      <c r="AL16" s="139">
        <f>IF(AK16&gt;0,AK16,IF($E16=AL$4,VLOOKUP($C16,노선구성!$B$47:$Y$60,14,0),0))</f>
        <v>969.29872941176495</v>
      </c>
      <c r="AM16" s="139">
        <f>IF(AL16&gt;0,AL16,IF($E16=AM$4,VLOOKUP($C16,노선구성!$B$47:$Y$60,14,0),0))</f>
        <v>969.29872941176495</v>
      </c>
      <c r="AN16" s="139">
        <f>IF(AM16&gt;0,AM16,IF($E16=AN$4,VLOOKUP($C16,노선구성!$B$47:$Y$60,14,0),0))</f>
        <v>969.29872941176495</v>
      </c>
      <c r="AO16" s="139">
        <f>IF(AN16&gt;0,AN16,IF($E16=AO$4,VLOOKUP($C16,노선구성!$B$47:$Y$60,14,0),0))</f>
        <v>969.29872941176495</v>
      </c>
      <c r="AP16" s="139">
        <f>IF(AO16&gt;0,AO16,IF($E16=AP$4,VLOOKUP($C16,노선구성!$B$47:$Y$60,14,0),0))</f>
        <v>969.29872941176495</v>
      </c>
      <c r="AQ16" s="139">
        <f>IF(AP16&gt;0,AP16,IF($E16=AQ$4,VLOOKUP($C16,노선구성!$B$47:$Y$60,14,0),0))</f>
        <v>969.29872941176495</v>
      </c>
      <c r="AR16" s="139">
        <f>IF(AQ16&gt;0,AQ16,IF($E16=AR$4,VLOOKUP($C16,노선구성!$B$47:$Y$60,14,0),0))</f>
        <v>969.29872941176495</v>
      </c>
      <c r="AS16" s="139">
        <f>IF(AR16&gt;0,AR16,IF($E16=AS$4,VLOOKUP($C16,노선구성!$B$47:$Y$60,14,0),0))</f>
        <v>969.29872941176495</v>
      </c>
      <c r="AT16" s="139">
        <f>IF(AS16&gt;0,AS16,IF($E16=AT$4,VLOOKUP($C16,노선구성!$B$47:$Y$60,14,0),0))</f>
        <v>969.29872941176495</v>
      </c>
      <c r="AU16" s="139">
        <f>IF(AT16&gt;0,AT16,IF($E16=AU$4,VLOOKUP($C16,노선구성!$B$47:$Y$60,14,0),0))</f>
        <v>969.29872941176495</v>
      </c>
      <c r="AV16" s="139">
        <f>IF(AU16&gt;0,AU16,IF($E16=AV$4,VLOOKUP($C16,노선구성!$B$47:$Y$60,14,0),0))</f>
        <v>969.29872941176495</v>
      </c>
      <c r="AW16" s="139">
        <f>IF(AV16&gt;0,AV16,IF($E16=AW$4,VLOOKUP($C16,노선구성!$B$47:$Y$60,14,0),0))</f>
        <v>969.29872941176495</v>
      </c>
      <c r="AX16" s="139">
        <f>IF(AW16&gt;0,AW16,IF($E16=AX$4,VLOOKUP($C16,노선구성!$B$47:$Y$60,14,0),0))</f>
        <v>969.29872941176495</v>
      </c>
      <c r="AY16" s="139">
        <f>IF(AX16&gt;0,AX16,IF($E16=AY$4,VLOOKUP($C16,노선구성!$B$47:$Y$60,14,0),0))</f>
        <v>969.29872941176495</v>
      </c>
      <c r="AZ16" s="139">
        <f>IF(AY16&gt;0,AY16,IF($E16=AZ$4,VLOOKUP($C16,노선구성!$B$47:$Y$60,14,0),0))</f>
        <v>969.29872941176495</v>
      </c>
      <c r="BA16" s="139">
        <f>IF(AZ16&gt;0,AZ16,IF($E16=BA$4,VLOOKUP($C16,노선구성!$B$47:$Y$60,14,0),0))</f>
        <v>969.29872941176495</v>
      </c>
      <c r="BB16" s="139">
        <f>IF(BA16&gt;0,BA16,IF($E16=BB$4,VLOOKUP($C16,노선구성!$B$47:$Y$60,14,0),0))</f>
        <v>969.29872941176495</v>
      </c>
      <c r="BC16" s="139">
        <f>IF(BB16&gt;0,BB16,IF($E16=BC$4,VLOOKUP($C16,노선구성!$B$47:$Y$60,14,0),0))</f>
        <v>969.29872941176495</v>
      </c>
      <c r="BD16" s="139">
        <f>IF(BC16&gt;0,BC16,IF($E16=BD$4,VLOOKUP($C16,노선구성!$B$47:$Y$60,14,0),0))</f>
        <v>969.29872941176495</v>
      </c>
      <c r="BE16" s="139">
        <f>IF(BD16&gt;0,BD16,IF($E16=BE$4,VLOOKUP($C16,노선구성!$B$47:$Y$60,14,0),0))</f>
        <v>969.29872941176495</v>
      </c>
      <c r="BF16" s="139">
        <f>IF(BE16&gt;0,BE16,IF($E16=BF$4,VLOOKUP($C16,노선구성!$B$47:$Y$60,14,0),0))</f>
        <v>969.29872941176495</v>
      </c>
      <c r="BG16" s="139">
        <f>IF(BF16&gt;0,BF16,IF($E16=BG$4,VLOOKUP($C16,노선구성!$B$47:$Y$60,14,0),0))</f>
        <v>969.29872941176495</v>
      </c>
      <c r="BH16" s="139">
        <f>IF(BG16&gt;0,BG16,IF($E16=BH$4,VLOOKUP($C16,노선구성!$B$47:$Y$60,14,0),0))</f>
        <v>969.29872941176495</v>
      </c>
      <c r="BI16" s="139">
        <f>IF(BH16&gt;0,BH16,IF($E16=BI$4,VLOOKUP($C16,노선구성!$B$47:$Y$60,14,0),0))</f>
        <v>969.29872941176495</v>
      </c>
      <c r="BJ16" s="139">
        <f>IF(BI16&gt;0,BI16,IF($E16=BJ$4,VLOOKUP($C16,노선구성!$B$47:$Y$60,14,0),0))</f>
        <v>969.29872941176495</v>
      </c>
      <c r="BK16" s="139">
        <f>IF(BJ16&gt;0,BJ16,IF($E16=BK$4,VLOOKUP($C16,노선구성!$B$47:$Y$60,14,0),0))</f>
        <v>969.29872941176495</v>
      </c>
      <c r="BL16" s="139">
        <f>IF(BK16&gt;0,BK16,IF($E16=BL$4,VLOOKUP($C16,노선구성!$B$47:$Y$60,14,0),0))</f>
        <v>969.29872941176495</v>
      </c>
      <c r="BM16" s="139">
        <f>IF(BL16&gt;0,BL16,IF($E16=BM$4,VLOOKUP($C16,노선구성!$B$47:$Y$60,14,0),0))</f>
        <v>969.29872941176495</v>
      </c>
      <c r="BN16" s="139">
        <f>IF(BM16&gt;0,BM16,IF($E16=BN$4,VLOOKUP($C16,노선구성!$B$47:$Y$60,14,0),0))</f>
        <v>969.29872941176495</v>
      </c>
      <c r="BO16" s="139">
        <f>IF(BN16&gt;0,BN16,IF($E16=BO$4,VLOOKUP($C16,노선구성!$B$47:$Y$60,14,0),0))</f>
        <v>969.29872941176495</v>
      </c>
      <c r="BQ16" s="155"/>
      <c r="BR16" s="155"/>
      <c r="BS16" s="155"/>
      <c r="BT16" s="155"/>
      <c r="BU16" s="155"/>
    </row>
    <row r="17" spans="2:79" outlineLevel="1">
      <c r="C17" s="139">
        <f>노선구성!B55</f>
        <v>8</v>
      </c>
      <c r="D17" s="139">
        <f>노선구성!C55</f>
        <v>767</v>
      </c>
      <c r="E17" s="139" t="str">
        <f>노선구성!D55</f>
        <v>M31</v>
      </c>
      <c r="H17" s="139">
        <f>IF($E17=H$4,VLOOKUP($C17,노선구성!$B$47:$Y$60,14,0),0)</f>
        <v>0</v>
      </c>
      <c r="I17" s="139">
        <f>IF(H17&gt;0,H17,IF($E17=I$4,VLOOKUP($C17,노선구성!$B$47:$Y$60,14,0),0))</f>
        <v>0</v>
      </c>
      <c r="J17" s="139">
        <f>IF(I17&gt;0,I17,IF($E17=J$4,VLOOKUP($C17,노선구성!$B$47:$Y$60,14,0),0))</f>
        <v>0</v>
      </c>
      <c r="K17" s="139">
        <f>IF(J17&gt;0,J17,IF($E17=K$4,VLOOKUP($C17,노선구성!$B$47:$Y$60,14,0),0))</f>
        <v>0</v>
      </c>
      <c r="L17" s="139">
        <f>IF(K17&gt;0,K17,IF($E17=L$4,VLOOKUP($C17,노선구성!$B$47:$Y$60,14,0),0))</f>
        <v>0</v>
      </c>
      <c r="M17" s="139">
        <f>IF(L17&gt;0,L17,IF($E17=M$4,VLOOKUP($C17,노선구성!$B$47:$Y$60,14,0),0))</f>
        <v>0</v>
      </c>
      <c r="N17" s="139">
        <f>IF(M17&gt;0,M17,IF($E17=N$4,VLOOKUP($C17,노선구성!$B$47:$Y$60,14,0),0))</f>
        <v>0</v>
      </c>
      <c r="O17" s="139">
        <f>IF(N17&gt;0,N17,IF($E17=O$4,VLOOKUP($C17,노선구성!$B$47:$Y$60,14,0),0))</f>
        <v>0</v>
      </c>
      <c r="P17" s="139">
        <f>IF(O17&gt;0,O17,IF($E17=P$4,VLOOKUP($C17,노선구성!$B$47:$Y$60,14,0),0))</f>
        <v>0</v>
      </c>
      <c r="Q17" s="139">
        <f>IF(P17&gt;0,P17,IF($E17=Q$4,VLOOKUP($C17,노선구성!$B$47:$Y$60,14,0),0))</f>
        <v>0</v>
      </c>
      <c r="R17" s="139">
        <f>IF(Q17&gt;0,Q17,IF($E17=R$4,VLOOKUP($C17,노선구성!$B$47:$Y$60,14,0),0))</f>
        <v>0</v>
      </c>
      <c r="S17" s="139">
        <f>IF(R17&gt;0,R17,IF($E17=S$4,VLOOKUP($C17,노선구성!$B$47:$Y$60,14,0),0))</f>
        <v>0</v>
      </c>
      <c r="T17" s="139">
        <f>IF(S17&gt;0,S17,IF($E17=T$4,VLOOKUP($C17,노선구성!$B$47:$Y$60,14,0),0))</f>
        <v>0</v>
      </c>
      <c r="U17" s="139">
        <f>IF(T17&gt;0,T17,IF($E17=U$4,VLOOKUP($C17,노선구성!$B$47:$Y$60,14,0),0))</f>
        <v>0</v>
      </c>
      <c r="V17" s="139">
        <f>IF(U17&gt;0,U17,IF($E17=V$4,VLOOKUP($C17,노선구성!$B$47:$Y$60,14,0),0))</f>
        <v>0</v>
      </c>
      <c r="W17" s="139">
        <f>IF(V17&gt;0,V17,IF($E17=W$4,VLOOKUP($C17,노선구성!$B$47:$Y$60,14,0),0))</f>
        <v>0</v>
      </c>
      <c r="X17" s="139">
        <f>IF(W17&gt;0,W17,IF($E17=X$4,VLOOKUP($C17,노선구성!$B$47:$Y$60,14,0),0))</f>
        <v>0</v>
      </c>
      <c r="Y17" s="139">
        <f>IF(X17&gt;0,X17,IF($E17=Y$4,VLOOKUP($C17,노선구성!$B$47:$Y$60,14,0),0))</f>
        <v>0</v>
      </c>
      <c r="Z17" s="139">
        <f>IF(Y17&gt;0,Y17,IF($E17=Z$4,VLOOKUP($C17,노선구성!$B$47:$Y$60,14,0),0))</f>
        <v>0</v>
      </c>
      <c r="AA17" s="139">
        <f>IF(Z17&gt;0,Z17,IF($E17=AA$4,VLOOKUP($C17,노선구성!$B$47:$Y$60,14,0),0))</f>
        <v>0</v>
      </c>
      <c r="AB17" s="139">
        <f>IF(AA17&gt;0,AA17,IF($E17=AB$4,VLOOKUP($C17,노선구성!$B$47:$Y$60,14,0),0))</f>
        <v>0</v>
      </c>
      <c r="AC17" s="139">
        <f>IF(AB17&gt;0,AB17,IF($E17=AC$4,VLOOKUP($C17,노선구성!$B$47:$Y$60,14,0),0))</f>
        <v>0</v>
      </c>
      <c r="AD17" s="139">
        <f>IF(AC17&gt;0,AC17,IF($E17=AD$4,VLOOKUP($C17,노선구성!$B$47:$Y$60,14,0),0))</f>
        <v>0</v>
      </c>
      <c r="AE17" s="139">
        <f>IF(AD17&gt;0,AD17,IF($E17=AE$4,VLOOKUP($C17,노선구성!$B$47:$Y$60,14,0),0))</f>
        <v>0</v>
      </c>
      <c r="AF17" s="139">
        <f>IF(AE17&gt;0,AE17,IF($E17=AF$4,VLOOKUP($C17,노선구성!$B$47:$Y$60,14,0),0))</f>
        <v>0</v>
      </c>
      <c r="AG17" s="139">
        <f>IF(AF17&gt;0,AF17,IF($E17=AG$4,VLOOKUP($C17,노선구성!$B$47:$Y$60,14,0),0))</f>
        <v>0</v>
      </c>
      <c r="AH17" s="139">
        <f>IF(AG17&gt;0,AG17,IF($E17=AH$4,VLOOKUP($C17,노선구성!$B$47:$Y$60,14,0),0))</f>
        <v>0</v>
      </c>
      <c r="AI17" s="139">
        <f>IF(AH17&gt;0,AH17,IF($E17=AI$4,VLOOKUP($C17,노선구성!$B$47:$Y$60,14,0),0))</f>
        <v>0</v>
      </c>
      <c r="AJ17" s="139">
        <f>IF(AI17&gt;0,AI17,IF($E17=AJ$4,VLOOKUP($C17,노선구성!$B$47:$Y$60,14,0),0))</f>
        <v>0</v>
      </c>
      <c r="AK17" s="139">
        <f>IF(AJ17&gt;0,AJ17,IF($E17=AK$4,VLOOKUP($C17,노선구성!$B$47:$Y$60,14,0),0))</f>
        <v>0</v>
      </c>
      <c r="AL17" s="139">
        <f>IF(AK17&gt;0,AK17,IF($E17=AL$4,VLOOKUP($C17,노선구성!$B$47:$Y$60,14,0),0))</f>
        <v>2533.4401566000001</v>
      </c>
      <c r="AM17" s="139">
        <f>IF(AL17&gt;0,AL17,IF($E17=AM$4,VLOOKUP($C17,노선구성!$B$47:$Y$60,14,0),0))</f>
        <v>2533.4401566000001</v>
      </c>
      <c r="AN17" s="139">
        <f>IF(AM17&gt;0,AM17,IF($E17=AN$4,VLOOKUP($C17,노선구성!$B$47:$Y$60,14,0),0))</f>
        <v>2533.4401566000001</v>
      </c>
      <c r="AO17" s="139">
        <f>IF(AN17&gt;0,AN17,IF($E17=AO$4,VLOOKUP($C17,노선구성!$B$47:$Y$60,14,0),0))</f>
        <v>2533.4401566000001</v>
      </c>
      <c r="AP17" s="139">
        <f>IF(AO17&gt;0,AO17,IF($E17=AP$4,VLOOKUP($C17,노선구성!$B$47:$Y$60,14,0),0))</f>
        <v>2533.4401566000001</v>
      </c>
      <c r="AQ17" s="139">
        <f>IF(AP17&gt;0,AP17,IF($E17=AQ$4,VLOOKUP($C17,노선구성!$B$47:$Y$60,14,0),0))</f>
        <v>2533.4401566000001</v>
      </c>
      <c r="AR17" s="139">
        <f>IF(AQ17&gt;0,AQ17,IF($E17=AR$4,VLOOKUP($C17,노선구성!$B$47:$Y$60,14,0),0))</f>
        <v>2533.4401566000001</v>
      </c>
      <c r="AS17" s="139">
        <f>IF(AR17&gt;0,AR17,IF($E17=AS$4,VLOOKUP($C17,노선구성!$B$47:$Y$60,14,0),0))</f>
        <v>2533.4401566000001</v>
      </c>
      <c r="AT17" s="139">
        <f>IF(AS17&gt;0,AS17,IF($E17=AT$4,VLOOKUP($C17,노선구성!$B$47:$Y$60,14,0),0))</f>
        <v>2533.4401566000001</v>
      </c>
      <c r="AU17" s="139">
        <f>IF(AT17&gt;0,AT17,IF($E17=AU$4,VLOOKUP($C17,노선구성!$B$47:$Y$60,14,0),0))</f>
        <v>2533.4401566000001</v>
      </c>
      <c r="AV17" s="139">
        <f>IF(AU17&gt;0,AU17,IF($E17=AV$4,VLOOKUP($C17,노선구성!$B$47:$Y$60,14,0),0))</f>
        <v>2533.4401566000001</v>
      </c>
      <c r="AW17" s="139">
        <f>IF(AV17&gt;0,AV17,IF($E17=AW$4,VLOOKUP($C17,노선구성!$B$47:$Y$60,14,0),0))</f>
        <v>2533.4401566000001</v>
      </c>
      <c r="AX17" s="139">
        <f>IF(AW17&gt;0,AW17,IF($E17=AX$4,VLOOKUP($C17,노선구성!$B$47:$Y$60,14,0),0))</f>
        <v>2533.4401566000001</v>
      </c>
      <c r="AY17" s="139">
        <f>IF(AX17&gt;0,AX17,IF($E17=AY$4,VLOOKUP($C17,노선구성!$B$47:$Y$60,14,0),0))</f>
        <v>2533.4401566000001</v>
      </c>
      <c r="AZ17" s="139">
        <f>IF(AY17&gt;0,AY17,IF($E17=AZ$4,VLOOKUP($C17,노선구성!$B$47:$Y$60,14,0),0))</f>
        <v>2533.4401566000001</v>
      </c>
      <c r="BA17" s="139">
        <f>IF(AZ17&gt;0,AZ17,IF($E17=BA$4,VLOOKUP($C17,노선구성!$B$47:$Y$60,14,0),0))</f>
        <v>2533.4401566000001</v>
      </c>
      <c r="BB17" s="139">
        <f>IF(BA17&gt;0,BA17,IF($E17=BB$4,VLOOKUP($C17,노선구성!$B$47:$Y$60,14,0),0))</f>
        <v>2533.4401566000001</v>
      </c>
      <c r="BC17" s="139">
        <f>IF(BB17&gt;0,BB17,IF($E17=BC$4,VLOOKUP($C17,노선구성!$B$47:$Y$60,14,0),0))</f>
        <v>2533.4401566000001</v>
      </c>
      <c r="BD17" s="139">
        <f>IF(BC17&gt;0,BC17,IF($E17=BD$4,VLOOKUP($C17,노선구성!$B$47:$Y$60,14,0),0))</f>
        <v>2533.4401566000001</v>
      </c>
      <c r="BE17" s="139">
        <f>IF(BD17&gt;0,BD17,IF($E17=BE$4,VLOOKUP($C17,노선구성!$B$47:$Y$60,14,0),0))</f>
        <v>2533.4401566000001</v>
      </c>
      <c r="BF17" s="139">
        <f>IF(BE17&gt;0,BE17,IF($E17=BF$4,VLOOKUP($C17,노선구성!$B$47:$Y$60,14,0),0))</f>
        <v>2533.4401566000001</v>
      </c>
      <c r="BG17" s="139">
        <f>IF(BF17&gt;0,BF17,IF($E17=BG$4,VLOOKUP($C17,노선구성!$B$47:$Y$60,14,0),0))</f>
        <v>2533.4401566000001</v>
      </c>
      <c r="BH17" s="139">
        <f>IF(BG17&gt;0,BG17,IF($E17=BH$4,VLOOKUP($C17,노선구성!$B$47:$Y$60,14,0),0))</f>
        <v>2533.4401566000001</v>
      </c>
      <c r="BI17" s="139">
        <f>IF(BH17&gt;0,BH17,IF($E17=BI$4,VLOOKUP($C17,노선구성!$B$47:$Y$60,14,0),0))</f>
        <v>2533.4401566000001</v>
      </c>
      <c r="BJ17" s="139">
        <f>IF(BI17&gt;0,BI17,IF($E17=BJ$4,VLOOKUP($C17,노선구성!$B$47:$Y$60,14,0),0))</f>
        <v>2533.4401566000001</v>
      </c>
      <c r="BK17" s="139">
        <f>IF(BJ17&gt;0,BJ17,IF($E17=BK$4,VLOOKUP($C17,노선구성!$B$47:$Y$60,14,0),0))</f>
        <v>2533.4401566000001</v>
      </c>
      <c r="BL17" s="139">
        <f>IF(BK17&gt;0,BK17,IF($E17=BL$4,VLOOKUP($C17,노선구성!$B$47:$Y$60,14,0),0))</f>
        <v>2533.4401566000001</v>
      </c>
      <c r="BM17" s="139">
        <f>IF(BL17&gt;0,BL17,IF($E17=BM$4,VLOOKUP($C17,노선구성!$B$47:$Y$60,14,0),0))</f>
        <v>2533.4401566000001</v>
      </c>
      <c r="BN17" s="139">
        <f>IF(BM17&gt;0,BM17,IF($E17=BN$4,VLOOKUP($C17,노선구성!$B$47:$Y$60,14,0),0))</f>
        <v>2533.4401566000001</v>
      </c>
      <c r="BO17" s="139">
        <f>IF(BN17&gt;0,BN17,IF($E17=BO$4,VLOOKUP($C17,노선구성!$B$47:$Y$60,14,0),0))</f>
        <v>2533.4401566000001</v>
      </c>
      <c r="BQ17" s="155"/>
      <c r="BR17" s="155"/>
      <c r="BS17" s="155"/>
      <c r="BT17" s="155"/>
      <c r="BU17" s="155"/>
    </row>
    <row r="18" spans="2:79" outlineLevel="1">
      <c r="C18" s="139">
        <f>노선구성!B56</f>
        <v>9</v>
      </c>
      <c r="D18" s="139">
        <f>노선구성!C56</f>
        <v>767</v>
      </c>
      <c r="E18" s="139" t="str">
        <f>노선구성!D56</f>
        <v>M37</v>
      </c>
      <c r="H18" s="139">
        <f>IF($E18=H$4,VLOOKUP($C18,노선구성!$B$47:$Y$60,14,0),0)</f>
        <v>0</v>
      </c>
      <c r="I18" s="139">
        <f>IF(H18&gt;0,H18,IF($E18=I$4,VLOOKUP($C18,노선구성!$B$47:$Y$60,14,0),0))</f>
        <v>0</v>
      </c>
      <c r="J18" s="139">
        <f>IF(I18&gt;0,I18,IF($E18=J$4,VLOOKUP($C18,노선구성!$B$47:$Y$60,14,0),0))</f>
        <v>0</v>
      </c>
      <c r="K18" s="139">
        <f>IF(J18&gt;0,J18,IF($E18=K$4,VLOOKUP($C18,노선구성!$B$47:$Y$60,14,0),0))</f>
        <v>0</v>
      </c>
      <c r="L18" s="139">
        <f>IF(K18&gt;0,K18,IF($E18=L$4,VLOOKUP($C18,노선구성!$B$47:$Y$60,14,0),0))</f>
        <v>0</v>
      </c>
      <c r="M18" s="139">
        <f>IF(L18&gt;0,L18,IF($E18=M$4,VLOOKUP($C18,노선구성!$B$47:$Y$60,14,0),0))</f>
        <v>0</v>
      </c>
      <c r="N18" s="139">
        <f>IF(M18&gt;0,M18,IF($E18=N$4,VLOOKUP($C18,노선구성!$B$47:$Y$60,14,0),0))</f>
        <v>0</v>
      </c>
      <c r="O18" s="139">
        <f>IF(N18&gt;0,N18,IF($E18=O$4,VLOOKUP($C18,노선구성!$B$47:$Y$60,14,0),0))</f>
        <v>0</v>
      </c>
      <c r="P18" s="139">
        <f>IF(O18&gt;0,O18,IF($E18=P$4,VLOOKUP($C18,노선구성!$B$47:$Y$60,14,0),0))</f>
        <v>0</v>
      </c>
      <c r="Q18" s="139">
        <f>IF(P18&gt;0,P18,IF($E18=Q$4,VLOOKUP($C18,노선구성!$B$47:$Y$60,14,0),0))</f>
        <v>0</v>
      </c>
      <c r="R18" s="139">
        <f>IF(Q18&gt;0,Q18,IF($E18=R$4,VLOOKUP($C18,노선구성!$B$47:$Y$60,14,0),0))</f>
        <v>0</v>
      </c>
      <c r="S18" s="139">
        <f>IF(R18&gt;0,R18,IF($E18=S$4,VLOOKUP($C18,노선구성!$B$47:$Y$60,14,0),0))</f>
        <v>0</v>
      </c>
      <c r="T18" s="139">
        <f>IF(S18&gt;0,S18,IF($E18=T$4,VLOOKUP($C18,노선구성!$B$47:$Y$60,14,0),0))</f>
        <v>0</v>
      </c>
      <c r="U18" s="139">
        <f>IF(T18&gt;0,T18,IF($E18=U$4,VLOOKUP($C18,노선구성!$B$47:$Y$60,14,0),0))</f>
        <v>0</v>
      </c>
      <c r="V18" s="139">
        <f>IF(U18&gt;0,U18,IF($E18=V$4,VLOOKUP($C18,노선구성!$B$47:$Y$60,14,0),0))</f>
        <v>0</v>
      </c>
      <c r="W18" s="139">
        <f>IF(V18&gt;0,V18,IF($E18=W$4,VLOOKUP($C18,노선구성!$B$47:$Y$60,14,0),0))</f>
        <v>0</v>
      </c>
      <c r="X18" s="139">
        <f>IF(W18&gt;0,W18,IF($E18=X$4,VLOOKUP($C18,노선구성!$B$47:$Y$60,14,0),0))</f>
        <v>0</v>
      </c>
      <c r="Y18" s="139">
        <f>IF(X18&gt;0,X18,IF($E18=Y$4,VLOOKUP($C18,노선구성!$B$47:$Y$60,14,0),0))</f>
        <v>0</v>
      </c>
      <c r="Z18" s="139">
        <f>IF(Y18&gt;0,Y18,IF($E18=Z$4,VLOOKUP($C18,노선구성!$B$47:$Y$60,14,0),0))</f>
        <v>0</v>
      </c>
      <c r="AA18" s="139">
        <f>IF(Z18&gt;0,Z18,IF($E18=AA$4,VLOOKUP($C18,노선구성!$B$47:$Y$60,14,0),0))</f>
        <v>0</v>
      </c>
      <c r="AB18" s="139">
        <f>IF(AA18&gt;0,AA18,IF($E18=AB$4,VLOOKUP($C18,노선구성!$B$47:$Y$60,14,0),0))</f>
        <v>0</v>
      </c>
      <c r="AC18" s="139">
        <f>IF(AB18&gt;0,AB18,IF($E18=AC$4,VLOOKUP($C18,노선구성!$B$47:$Y$60,14,0),0))</f>
        <v>0</v>
      </c>
      <c r="AD18" s="139">
        <f>IF(AC18&gt;0,AC18,IF($E18=AD$4,VLOOKUP($C18,노선구성!$B$47:$Y$60,14,0),0))</f>
        <v>0</v>
      </c>
      <c r="AE18" s="139">
        <f>IF(AD18&gt;0,AD18,IF($E18=AE$4,VLOOKUP($C18,노선구성!$B$47:$Y$60,14,0),0))</f>
        <v>0</v>
      </c>
      <c r="AF18" s="139">
        <f>IF(AE18&gt;0,AE18,IF($E18=AF$4,VLOOKUP($C18,노선구성!$B$47:$Y$60,14,0),0))</f>
        <v>0</v>
      </c>
      <c r="AG18" s="139">
        <f>IF(AF18&gt;0,AF18,IF($E18=AG$4,VLOOKUP($C18,노선구성!$B$47:$Y$60,14,0),0))</f>
        <v>0</v>
      </c>
      <c r="AH18" s="139">
        <f>IF(AG18&gt;0,AG18,IF($E18=AH$4,VLOOKUP($C18,노선구성!$B$47:$Y$60,14,0),0))</f>
        <v>0</v>
      </c>
      <c r="AI18" s="139">
        <f>IF(AH18&gt;0,AH18,IF($E18=AI$4,VLOOKUP($C18,노선구성!$B$47:$Y$60,14,0),0))</f>
        <v>0</v>
      </c>
      <c r="AJ18" s="139">
        <f>IF(AI18&gt;0,AI18,IF($E18=AJ$4,VLOOKUP($C18,노선구성!$B$47:$Y$60,14,0),0))</f>
        <v>0</v>
      </c>
      <c r="AK18" s="139">
        <f>IF(AJ18&gt;0,AJ18,IF($E18=AK$4,VLOOKUP($C18,노선구성!$B$47:$Y$60,14,0),0))</f>
        <v>0</v>
      </c>
      <c r="AL18" s="139">
        <f>IF(AK18&gt;0,AK18,IF($E18=AL$4,VLOOKUP($C18,노선구성!$B$47:$Y$60,14,0),0))</f>
        <v>0</v>
      </c>
      <c r="AM18" s="139">
        <f>IF(AL18&gt;0,AL18,IF($E18=AM$4,VLOOKUP($C18,노선구성!$B$47:$Y$60,14,0),0))</f>
        <v>0</v>
      </c>
      <c r="AN18" s="139">
        <f>IF(AM18&gt;0,AM18,IF($E18=AN$4,VLOOKUP($C18,노선구성!$B$47:$Y$60,14,0),0))</f>
        <v>0</v>
      </c>
      <c r="AO18" s="139">
        <f>IF(AN18&gt;0,AN18,IF($E18=AO$4,VLOOKUP($C18,노선구성!$B$47:$Y$60,14,0),0))</f>
        <v>0</v>
      </c>
      <c r="AP18" s="139">
        <f>IF(AO18&gt;0,AO18,IF($E18=AP$4,VLOOKUP($C18,노선구성!$B$47:$Y$60,14,0),0))</f>
        <v>0</v>
      </c>
      <c r="AQ18" s="139">
        <f>IF(AP18&gt;0,AP18,IF($E18=AQ$4,VLOOKUP($C18,노선구성!$B$47:$Y$60,14,0),0))</f>
        <v>0</v>
      </c>
      <c r="AR18" s="139">
        <f>IF(AQ18&gt;0,AQ18,IF($E18=AR$4,VLOOKUP($C18,노선구성!$B$47:$Y$60,14,0),0))</f>
        <v>1532.8791609</v>
      </c>
      <c r="AS18" s="139">
        <f>IF(AR18&gt;0,AR18,IF($E18=AS$4,VLOOKUP($C18,노선구성!$B$47:$Y$60,14,0),0))</f>
        <v>1532.8791609</v>
      </c>
      <c r="AT18" s="139">
        <f>IF(AS18&gt;0,AS18,IF($E18=AT$4,VLOOKUP($C18,노선구성!$B$47:$Y$60,14,0),0))</f>
        <v>1532.8791609</v>
      </c>
      <c r="AU18" s="139">
        <f>IF(AT18&gt;0,AT18,IF($E18=AU$4,VLOOKUP($C18,노선구성!$B$47:$Y$60,14,0),0))</f>
        <v>1532.8791609</v>
      </c>
      <c r="AV18" s="139">
        <f>IF(AU18&gt;0,AU18,IF($E18=AV$4,VLOOKUP($C18,노선구성!$B$47:$Y$60,14,0),0))</f>
        <v>1532.8791609</v>
      </c>
      <c r="AW18" s="139">
        <f>IF(AV18&gt;0,AV18,IF($E18=AW$4,VLOOKUP($C18,노선구성!$B$47:$Y$60,14,0),0))</f>
        <v>1532.8791609</v>
      </c>
      <c r="AX18" s="139">
        <f>IF(AW18&gt;0,AW18,IF($E18=AX$4,VLOOKUP($C18,노선구성!$B$47:$Y$60,14,0),0))</f>
        <v>1532.8791609</v>
      </c>
      <c r="AY18" s="139">
        <f>IF(AX18&gt;0,AX18,IF($E18=AY$4,VLOOKUP($C18,노선구성!$B$47:$Y$60,14,0),0))</f>
        <v>1532.8791609</v>
      </c>
      <c r="AZ18" s="139">
        <f>IF(AY18&gt;0,AY18,IF($E18=AZ$4,VLOOKUP($C18,노선구성!$B$47:$Y$60,14,0),0))</f>
        <v>1532.8791609</v>
      </c>
      <c r="BA18" s="139">
        <f>IF(AZ18&gt;0,AZ18,IF($E18=BA$4,VLOOKUP($C18,노선구성!$B$47:$Y$60,14,0),0))</f>
        <v>1532.8791609</v>
      </c>
      <c r="BB18" s="139">
        <f>IF(BA18&gt;0,BA18,IF($E18=BB$4,VLOOKUP($C18,노선구성!$B$47:$Y$60,14,0),0))</f>
        <v>1532.8791609</v>
      </c>
      <c r="BC18" s="139">
        <f>IF(BB18&gt;0,BB18,IF($E18=BC$4,VLOOKUP($C18,노선구성!$B$47:$Y$60,14,0),0))</f>
        <v>1532.8791609</v>
      </c>
      <c r="BD18" s="139">
        <f>IF(BC18&gt;0,BC18,IF($E18=BD$4,VLOOKUP($C18,노선구성!$B$47:$Y$60,14,0),0))</f>
        <v>1532.8791609</v>
      </c>
      <c r="BE18" s="139">
        <f>IF(BD18&gt;0,BD18,IF($E18=BE$4,VLOOKUP($C18,노선구성!$B$47:$Y$60,14,0),0))</f>
        <v>1532.8791609</v>
      </c>
      <c r="BF18" s="139">
        <f>IF(BE18&gt;0,BE18,IF($E18=BF$4,VLOOKUP($C18,노선구성!$B$47:$Y$60,14,0),0))</f>
        <v>1532.8791609</v>
      </c>
      <c r="BG18" s="139">
        <f>IF(BF18&gt;0,BF18,IF($E18=BG$4,VLOOKUP($C18,노선구성!$B$47:$Y$60,14,0),0))</f>
        <v>1532.8791609</v>
      </c>
      <c r="BH18" s="139">
        <f>IF(BG18&gt;0,BG18,IF($E18=BH$4,VLOOKUP($C18,노선구성!$B$47:$Y$60,14,0),0))</f>
        <v>1532.8791609</v>
      </c>
      <c r="BI18" s="139">
        <f>IF(BH18&gt;0,BH18,IF($E18=BI$4,VLOOKUP($C18,노선구성!$B$47:$Y$60,14,0),0))</f>
        <v>1532.8791609</v>
      </c>
      <c r="BJ18" s="139">
        <f>IF(BI18&gt;0,BI18,IF($E18=BJ$4,VLOOKUP($C18,노선구성!$B$47:$Y$60,14,0),0))</f>
        <v>1532.8791609</v>
      </c>
      <c r="BK18" s="139">
        <f>IF(BJ18&gt;0,BJ18,IF($E18=BK$4,VLOOKUP($C18,노선구성!$B$47:$Y$60,14,0),0))</f>
        <v>1532.8791609</v>
      </c>
      <c r="BL18" s="139">
        <f>IF(BK18&gt;0,BK18,IF($E18=BL$4,VLOOKUP($C18,노선구성!$B$47:$Y$60,14,0),0))</f>
        <v>1532.8791609</v>
      </c>
      <c r="BM18" s="139">
        <f>IF(BL18&gt;0,BL18,IF($E18=BM$4,VLOOKUP($C18,노선구성!$B$47:$Y$60,14,0),0))</f>
        <v>1532.8791609</v>
      </c>
      <c r="BN18" s="139">
        <f>IF(BM18&gt;0,BM18,IF($E18=BN$4,VLOOKUP($C18,노선구성!$B$47:$Y$60,14,0),0))</f>
        <v>1532.8791609</v>
      </c>
      <c r="BO18" s="139">
        <f>IF(BN18&gt;0,BN18,IF($E18=BO$4,VLOOKUP($C18,노선구성!$B$47:$Y$60,14,0),0))</f>
        <v>1532.8791609</v>
      </c>
      <c r="BQ18" s="155"/>
      <c r="BR18" s="155"/>
      <c r="BS18" s="155"/>
      <c r="BT18" s="155"/>
      <c r="BU18" s="155"/>
    </row>
    <row r="19" spans="2:79" outlineLevel="1">
      <c r="C19" s="139">
        <f>노선구성!B57</f>
        <v>10</v>
      </c>
      <c r="D19" s="139">
        <f>노선구성!C57</f>
        <v>767</v>
      </c>
      <c r="E19" s="139" t="str">
        <f>노선구성!D57</f>
        <v>M43</v>
      </c>
      <c r="H19" s="139">
        <f>IF($E19=H$4,VLOOKUP($C19,노선구성!$B$47:$Y$60,14,0),0)</f>
        <v>0</v>
      </c>
      <c r="I19" s="139">
        <f>IF(H19&gt;0,H19,IF($E19=I$4,VLOOKUP($C19,노선구성!$B$47:$Y$60,14,0),0))</f>
        <v>0</v>
      </c>
      <c r="J19" s="139">
        <f>IF(I19&gt;0,I19,IF($E19=J$4,VLOOKUP($C19,노선구성!$B$47:$Y$60,14,0),0))</f>
        <v>0</v>
      </c>
      <c r="K19" s="139">
        <f>IF(J19&gt;0,J19,IF($E19=K$4,VLOOKUP($C19,노선구성!$B$47:$Y$60,14,0),0))</f>
        <v>0</v>
      </c>
      <c r="L19" s="139">
        <f>IF(K19&gt;0,K19,IF($E19=L$4,VLOOKUP($C19,노선구성!$B$47:$Y$60,14,0),0))</f>
        <v>0</v>
      </c>
      <c r="M19" s="139">
        <f>IF(L19&gt;0,L19,IF($E19=M$4,VLOOKUP($C19,노선구성!$B$47:$Y$60,14,0),0))</f>
        <v>0</v>
      </c>
      <c r="N19" s="139">
        <f>IF(M19&gt;0,M19,IF($E19=N$4,VLOOKUP($C19,노선구성!$B$47:$Y$60,14,0),0))</f>
        <v>0</v>
      </c>
      <c r="O19" s="139">
        <f>IF(N19&gt;0,N19,IF($E19=O$4,VLOOKUP($C19,노선구성!$B$47:$Y$60,14,0),0))</f>
        <v>0</v>
      </c>
      <c r="P19" s="139">
        <f>IF(O19&gt;0,O19,IF($E19=P$4,VLOOKUP($C19,노선구성!$B$47:$Y$60,14,0),0))</f>
        <v>0</v>
      </c>
      <c r="Q19" s="139">
        <f>IF(P19&gt;0,P19,IF($E19=Q$4,VLOOKUP($C19,노선구성!$B$47:$Y$60,14,0),0))</f>
        <v>0</v>
      </c>
      <c r="R19" s="139">
        <f>IF(Q19&gt;0,Q19,IF($E19=R$4,VLOOKUP($C19,노선구성!$B$47:$Y$60,14,0),0))</f>
        <v>0</v>
      </c>
      <c r="S19" s="139">
        <f>IF(R19&gt;0,R19,IF($E19=S$4,VLOOKUP($C19,노선구성!$B$47:$Y$60,14,0),0))</f>
        <v>0</v>
      </c>
      <c r="T19" s="139">
        <f>IF(S19&gt;0,S19,IF($E19=T$4,VLOOKUP($C19,노선구성!$B$47:$Y$60,14,0),0))</f>
        <v>0</v>
      </c>
      <c r="U19" s="139">
        <f>IF(T19&gt;0,T19,IF($E19=U$4,VLOOKUP($C19,노선구성!$B$47:$Y$60,14,0),0))</f>
        <v>0</v>
      </c>
      <c r="V19" s="139">
        <f>IF(U19&gt;0,U19,IF($E19=V$4,VLOOKUP($C19,노선구성!$B$47:$Y$60,14,0),0))</f>
        <v>0</v>
      </c>
      <c r="W19" s="139">
        <f>IF(V19&gt;0,V19,IF($E19=W$4,VLOOKUP($C19,노선구성!$B$47:$Y$60,14,0),0))</f>
        <v>0</v>
      </c>
      <c r="X19" s="139">
        <f>IF(W19&gt;0,W19,IF($E19=X$4,VLOOKUP($C19,노선구성!$B$47:$Y$60,14,0),0))</f>
        <v>0</v>
      </c>
      <c r="Y19" s="139">
        <f>IF(X19&gt;0,X19,IF($E19=Y$4,VLOOKUP($C19,노선구성!$B$47:$Y$60,14,0),0))</f>
        <v>0</v>
      </c>
      <c r="Z19" s="139">
        <f>IF(Y19&gt;0,Y19,IF($E19=Z$4,VLOOKUP($C19,노선구성!$B$47:$Y$60,14,0),0))</f>
        <v>0</v>
      </c>
      <c r="AA19" s="139">
        <f>IF(Z19&gt;0,Z19,IF($E19=AA$4,VLOOKUP($C19,노선구성!$B$47:$Y$60,14,0),0))</f>
        <v>0</v>
      </c>
      <c r="AB19" s="139">
        <f>IF(AA19&gt;0,AA19,IF($E19=AB$4,VLOOKUP($C19,노선구성!$B$47:$Y$60,14,0),0))</f>
        <v>0</v>
      </c>
      <c r="AC19" s="139">
        <f>IF(AB19&gt;0,AB19,IF($E19=AC$4,VLOOKUP($C19,노선구성!$B$47:$Y$60,14,0),0))</f>
        <v>0</v>
      </c>
      <c r="AD19" s="139">
        <f>IF(AC19&gt;0,AC19,IF($E19=AD$4,VLOOKUP($C19,노선구성!$B$47:$Y$60,14,0),0))</f>
        <v>0</v>
      </c>
      <c r="AE19" s="139">
        <f>IF(AD19&gt;0,AD19,IF($E19=AE$4,VLOOKUP($C19,노선구성!$B$47:$Y$60,14,0),0))</f>
        <v>0</v>
      </c>
      <c r="AF19" s="139">
        <f>IF(AE19&gt;0,AE19,IF($E19=AF$4,VLOOKUP($C19,노선구성!$B$47:$Y$60,14,0),0))</f>
        <v>0</v>
      </c>
      <c r="AG19" s="139">
        <f>IF(AF19&gt;0,AF19,IF($E19=AG$4,VLOOKUP($C19,노선구성!$B$47:$Y$60,14,0),0))</f>
        <v>0</v>
      </c>
      <c r="AH19" s="139">
        <f>IF(AG19&gt;0,AG19,IF($E19=AH$4,VLOOKUP($C19,노선구성!$B$47:$Y$60,14,0),0))</f>
        <v>0</v>
      </c>
      <c r="AI19" s="139">
        <f>IF(AH19&gt;0,AH19,IF($E19=AI$4,VLOOKUP($C19,노선구성!$B$47:$Y$60,14,0),0))</f>
        <v>0</v>
      </c>
      <c r="AJ19" s="139">
        <f>IF(AI19&gt;0,AI19,IF($E19=AJ$4,VLOOKUP($C19,노선구성!$B$47:$Y$60,14,0),0))</f>
        <v>0</v>
      </c>
      <c r="AK19" s="139">
        <f>IF(AJ19&gt;0,AJ19,IF($E19=AK$4,VLOOKUP($C19,노선구성!$B$47:$Y$60,14,0),0))</f>
        <v>0</v>
      </c>
      <c r="AL19" s="139">
        <f>IF(AK19&gt;0,AK19,IF($E19=AL$4,VLOOKUP($C19,노선구성!$B$47:$Y$60,14,0),0))</f>
        <v>0</v>
      </c>
      <c r="AM19" s="139">
        <f>IF(AL19&gt;0,AL19,IF($E19=AM$4,VLOOKUP($C19,노선구성!$B$47:$Y$60,14,0),0))</f>
        <v>0</v>
      </c>
      <c r="AN19" s="139">
        <f>IF(AM19&gt;0,AM19,IF($E19=AN$4,VLOOKUP($C19,노선구성!$B$47:$Y$60,14,0),0))</f>
        <v>0</v>
      </c>
      <c r="AO19" s="139">
        <f>IF(AN19&gt;0,AN19,IF($E19=AO$4,VLOOKUP($C19,노선구성!$B$47:$Y$60,14,0),0))</f>
        <v>0</v>
      </c>
      <c r="AP19" s="139">
        <f>IF(AO19&gt;0,AO19,IF($E19=AP$4,VLOOKUP($C19,노선구성!$B$47:$Y$60,14,0),0))</f>
        <v>0</v>
      </c>
      <c r="AQ19" s="139">
        <f>IF(AP19&gt;0,AP19,IF($E19=AQ$4,VLOOKUP($C19,노선구성!$B$47:$Y$60,14,0),0))</f>
        <v>0</v>
      </c>
      <c r="AR19" s="139">
        <f>IF(AQ19&gt;0,AQ19,IF($E19=AR$4,VLOOKUP($C19,노선구성!$B$47:$Y$60,14,0),0))</f>
        <v>0</v>
      </c>
      <c r="AS19" s="139">
        <f>IF(AR19&gt;0,AR19,IF($E19=AS$4,VLOOKUP($C19,노선구성!$B$47:$Y$60,14,0),0))</f>
        <v>0</v>
      </c>
      <c r="AT19" s="139">
        <f>IF(AS19&gt;0,AS19,IF($E19=AT$4,VLOOKUP($C19,노선구성!$B$47:$Y$60,14,0),0))</f>
        <v>0</v>
      </c>
      <c r="AU19" s="139">
        <f>IF(AT19&gt;0,AT19,IF($E19=AU$4,VLOOKUP($C19,노선구성!$B$47:$Y$60,14,0),0))</f>
        <v>0</v>
      </c>
      <c r="AV19" s="139">
        <f>IF(AU19&gt;0,AU19,IF($E19=AV$4,VLOOKUP($C19,노선구성!$B$47:$Y$60,14,0),0))</f>
        <v>0</v>
      </c>
      <c r="AW19" s="139">
        <f>IF(AV19&gt;0,AV19,IF($E19=AW$4,VLOOKUP($C19,노선구성!$B$47:$Y$60,14,0),0))</f>
        <v>0</v>
      </c>
      <c r="AX19" s="139">
        <f>IF(AW19&gt;0,AW19,IF($E19=AX$4,VLOOKUP($C19,노선구성!$B$47:$Y$60,14,0),0))</f>
        <v>1315.6802058400001</v>
      </c>
      <c r="AY19" s="139">
        <f>IF(AX19&gt;0,AX19,IF($E19=AY$4,VLOOKUP($C19,노선구성!$B$47:$Y$60,14,0),0))</f>
        <v>1315.6802058400001</v>
      </c>
      <c r="AZ19" s="139">
        <f>IF(AY19&gt;0,AY19,IF($E19=AZ$4,VLOOKUP($C19,노선구성!$B$47:$Y$60,14,0),0))</f>
        <v>1315.6802058400001</v>
      </c>
      <c r="BA19" s="139">
        <f>IF(AZ19&gt;0,AZ19,IF($E19=BA$4,VLOOKUP($C19,노선구성!$B$47:$Y$60,14,0),0))</f>
        <v>1315.6802058400001</v>
      </c>
      <c r="BB19" s="139">
        <f>IF(BA19&gt;0,BA19,IF($E19=BB$4,VLOOKUP($C19,노선구성!$B$47:$Y$60,14,0),0))</f>
        <v>1315.6802058400001</v>
      </c>
      <c r="BC19" s="139">
        <f>IF(BB19&gt;0,BB19,IF($E19=BC$4,VLOOKUP($C19,노선구성!$B$47:$Y$60,14,0),0))</f>
        <v>1315.6802058400001</v>
      </c>
      <c r="BD19" s="139">
        <f>IF(BC19&gt;0,BC19,IF($E19=BD$4,VLOOKUP($C19,노선구성!$B$47:$Y$60,14,0),0))</f>
        <v>1315.6802058400001</v>
      </c>
      <c r="BE19" s="139">
        <f>IF(BD19&gt;0,BD19,IF($E19=BE$4,VLOOKUP($C19,노선구성!$B$47:$Y$60,14,0),0))</f>
        <v>1315.6802058400001</v>
      </c>
      <c r="BF19" s="139">
        <f>IF(BE19&gt;0,BE19,IF($E19=BF$4,VLOOKUP($C19,노선구성!$B$47:$Y$60,14,0),0))</f>
        <v>1315.6802058400001</v>
      </c>
      <c r="BG19" s="139">
        <f>IF(BF19&gt;0,BF19,IF($E19=BG$4,VLOOKUP($C19,노선구성!$B$47:$Y$60,14,0),0))</f>
        <v>1315.6802058400001</v>
      </c>
      <c r="BH19" s="139">
        <f>IF(BG19&gt;0,BG19,IF($E19=BH$4,VLOOKUP($C19,노선구성!$B$47:$Y$60,14,0),0))</f>
        <v>1315.6802058400001</v>
      </c>
      <c r="BI19" s="139">
        <f>IF(BH19&gt;0,BH19,IF($E19=BI$4,VLOOKUP($C19,노선구성!$B$47:$Y$60,14,0),0))</f>
        <v>1315.6802058400001</v>
      </c>
      <c r="BJ19" s="139">
        <f>IF(BI19&gt;0,BI19,IF($E19=BJ$4,VLOOKUP($C19,노선구성!$B$47:$Y$60,14,0),0))</f>
        <v>1315.6802058400001</v>
      </c>
      <c r="BK19" s="139">
        <f>IF(BJ19&gt;0,BJ19,IF($E19=BK$4,VLOOKUP($C19,노선구성!$B$47:$Y$60,14,0),0))</f>
        <v>1315.6802058400001</v>
      </c>
      <c r="BL19" s="139">
        <f>IF(BK19&gt;0,BK19,IF($E19=BL$4,VLOOKUP($C19,노선구성!$B$47:$Y$60,14,0),0))</f>
        <v>1315.6802058400001</v>
      </c>
      <c r="BM19" s="139">
        <f>IF(BL19&gt;0,BL19,IF($E19=BM$4,VLOOKUP($C19,노선구성!$B$47:$Y$60,14,0),0))</f>
        <v>1315.6802058400001</v>
      </c>
      <c r="BN19" s="139">
        <f>IF(BM19&gt;0,BM19,IF($E19=BN$4,VLOOKUP($C19,노선구성!$B$47:$Y$60,14,0),0))</f>
        <v>1315.6802058400001</v>
      </c>
      <c r="BO19" s="139">
        <f>IF(BN19&gt;0,BN19,IF($E19=BO$4,VLOOKUP($C19,노선구성!$B$47:$Y$60,14,0),0))</f>
        <v>1315.6802058400001</v>
      </c>
      <c r="BQ19" s="155"/>
      <c r="BR19" s="155"/>
      <c r="BS19" s="155"/>
      <c r="BT19" s="155"/>
      <c r="BU19" s="155"/>
    </row>
    <row r="20" spans="2:79" outlineLevel="1"/>
    <row r="21" spans="2:79" s="155" customFormat="1">
      <c r="B21" s="455" t="s">
        <v>439</v>
      </c>
      <c r="C21" s="455"/>
      <c r="D21" s="455"/>
      <c r="E21" s="455"/>
      <c r="F21" s="455"/>
      <c r="G21" s="455"/>
      <c r="H21" s="455">
        <f>SUM(H24:H34)*H$5</f>
        <v>0</v>
      </c>
      <c r="I21" s="455">
        <f t="shared" ref="I21:BO21" si="1">SUM(I24:I34)*I$5</f>
        <v>0</v>
      </c>
      <c r="J21" s="455">
        <f t="shared" si="1"/>
        <v>0</v>
      </c>
      <c r="K21" s="455">
        <f t="shared" si="1"/>
        <v>0</v>
      </c>
      <c r="L21" s="455">
        <f t="shared" si="1"/>
        <v>0</v>
      </c>
      <c r="M21" s="455">
        <f t="shared" si="1"/>
        <v>0</v>
      </c>
      <c r="N21" s="455">
        <f t="shared" si="1"/>
        <v>6845.1226891428569</v>
      </c>
      <c r="O21" s="455">
        <f t="shared" si="1"/>
        <v>8556.4033614285709</v>
      </c>
      <c r="P21" s="455">
        <f t="shared" si="1"/>
        <v>6845.1226891428569</v>
      </c>
      <c r="Q21" s="455">
        <f t="shared" si="1"/>
        <v>8556.4033614285709</v>
      </c>
      <c r="R21" s="455">
        <f t="shared" si="1"/>
        <v>6845.1226891428569</v>
      </c>
      <c r="S21" s="455">
        <f t="shared" si="1"/>
        <v>6845.1226891428569</v>
      </c>
      <c r="T21" s="455">
        <f t="shared" si="1"/>
        <v>10180.902204285714</v>
      </c>
      <c r="U21" s="455">
        <f t="shared" si="1"/>
        <v>8144.7217634285716</v>
      </c>
      <c r="V21" s="455">
        <f t="shared" si="1"/>
        <v>8144.7217634285716</v>
      </c>
      <c r="W21" s="455">
        <f t="shared" si="1"/>
        <v>8144.7217634285716</v>
      </c>
      <c r="X21" s="455">
        <f t="shared" si="1"/>
        <v>10180.902204285714</v>
      </c>
      <c r="Y21" s="455">
        <f t="shared" si="1"/>
        <v>8144.7217634285716</v>
      </c>
      <c r="Z21" s="455">
        <f t="shared" si="1"/>
        <v>11027.770654857142</v>
      </c>
      <c r="AA21" s="455">
        <f t="shared" si="1"/>
        <v>13784.713318571428</v>
      </c>
      <c r="AB21" s="455">
        <f t="shared" si="1"/>
        <v>11027.770654857142</v>
      </c>
      <c r="AC21" s="455">
        <f t="shared" si="1"/>
        <v>13784.713318571428</v>
      </c>
      <c r="AD21" s="455">
        <f t="shared" si="1"/>
        <v>11027.770654857142</v>
      </c>
      <c r="AE21" s="455">
        <f t="shared" si="1"/>
        <v>11027.770654857142</v>
      </c>
      <c r="AF21" s="455">
        <f t="shared" si="1"/>
        <v>15395.583705714285</v>
      </c>
      <c r="AG21" s="455">
        <f t="shared" si="1"/>
        <v>12316.466964571428</v>
      </c>
      <c r="AH21" s="455">
        <f t="shared" si="1"/>
        <v>12316.466964571428</v>
      </c>
      <c r="AI21" s="455">
        <f t="shared" si="1"/>
        <v>12316.466964571428</v>
      </c>
      <c r="AJ21" s="455">
        <f t="shared" si="1"/>
        <v>15395.583705714285</v>
      </c>
      <c r="AK21" s="455">
        <f t="shared" si="1"/>
        <v>12316.466964571428</v>
      </c>
      <c r="AL21" s="455">
        <f t="shared" si="1"/>
        <v>14643.977021714285</v>
      </c>
      <c r="AM21" s="455">
        <f t="shared" si="1"/>
        <v>18304.971277142857</v>
      </c>
      <c r="AN21" s="455">
        <f t="shared" si="1"/>
        <v>14643.977021714285</v>
      </c>
      <c r="AO21" s="455">
        <f t="shared" si="1"/>
        <v>18304.971277142857</v>
      </c>
      <c r="AP21" s="455">
        <f t="shared" si="1"/>
        <v>14643.977021714285</v>
      </c>
      <c r="AQ21" s="455">
        <f t="shared" si="1"/>
        <v>14643.977021714285</v>
      </c>
      <c r="AR21" s="455">
        <f t="shared" si="1"/>
        <v>21189.262019999995</v>
      </c>
      <c r="AS21" s="455">
        <f t="shared" si="1"/>
        <v>16951.409615999997</v>
      </c>
      <c r="AT21" s="455">
        <f t="shared" si="1"/>
        <v>16951.409615999997</v>
      </c>
      <c r="AU21" s="455">
        <f t="shared" si="1"/>
        <v>16951.409615999997</v>
      </c>
      <c r="AV21" s="455">
        <f t="shared" si="1"/>
        <v>21189.262019999995</v>
      </c>
      <c r="AW21" s="455">
        <f t="shared" si="1"/>
        <v>16951.409615999997</v>
      </c>
      <c r="AX21" s="455">
        <f t="shared" si="1"/>
        <v>19496.126233142855</v>
      </c>
      <c r="AY21" s="455">
        <f t="shared" si="1"/>
        <v>24370.15779142857</v>
      </c>
      <c r="AZ21" s="455">
        <f t="shared" si="1"/>
        <v>19496.126233142855</v>
      </c>
      <c r="BA21" s="455">
        <f t="shared" si="1"/>
        <v>24370.15779142857</v>
      </c>
      <c r="BB21" s="455">
        <f t="shared" si="1"/>
        <v>19496.126233142855</v>
      </c>
      <c r="BC21" s="455">
        <f t="shared" si="1"/>
        <v>19496.126233142855</v>
      </c>
      <c r="BD21" s="455">
        <f t="shared" si="1"/>
        <v>24370.15779142857</v>
      </c>
      <c r="BE21" s="455">
        <f t="shared" si="1"/>
        <v>19496.126233142855</v>
      </c>
      <c r="BF21" s="455">
        <f t="shared" si="1"/>
        <v>19496.126233142855</v>
      </c>
      <c r="BG21" s="455">
        <f t="shared" si="1"/>
        <v>19496.126233142855</v>
      </c>
      <c r="BH21" s="455">
        <f t="shared" si="1"/>
        <v>24370.15779142857</v>
      </c>
      <c r="BI21" s="455">
        <f t="shared" si="1"/>
        <v>19496.126233142855</v>
      </c>
      <c r="BJ21" s="455">
        <f t="shared" si="1"/>
        <v>19496.126233142855</v>
      </c>
      <c r="BK21" s="455">
        <f t="shared" si="1"/>
        <v>24370.15779142857</v>
      </c>
      <c r="BL21" s="455">
        <f t="shared" si="1"/>
        <v>19496.126233142855</v>
      </c>
      <c r="BM21" s="455">
        <f t="shared" si="1"/>
        <v>24370.15779142857</v>
      </c>
      <c r="BN21" s="455">
        <f t="shared" si="1"/>
        <v>19496.126233142855</v>
      </c>
      <c r="BO21" s="455">
        <f t="shared" si="1"/>
        <v>19496.126233142855</v>
      </c>
      <c r="BQ21" s="155">
        <f>SUM(H21:S21)</f>
        <v>44493.297479428576</v>
      </c>
      <c r="BR21" s="155">
        <f>SUM(T21:AE21)</f>
        <v>124621.20071885714</v>
      </c>
      <c r="BS21" s="155">
        <f>SUM(AF21:AQ21)</f>
        <v>175242.88591085715</v>
      </c>
      <c r="BT21" s="155">
        <f>SUM(AR21:BC21)</f>
        <v>236908.98301942853</v>
      </c>
      <c r="BU21" s="155">
        <f>SUM(BD21:BO21)</f>
        <v>253449.64103085711</v>
      </c>
      <c r="BX21" s="454">
        <f>BR21/BQ21-1</f>
        <v>1.800898287578609</v>
      </c>
      <c r="BY21" s="454">
        <f>BS21/BR21-1</f>
        <v>0.40620444113840204</v>
      </c>
      <c r="BZ21" s="454">
        <f>BT21/BS21-1</f>
        <v>0.35188930374006633</v>
      </c>
      <c r="CA21" s="454">
        <f>BU21/BT21-1</f>
        <v>6.9818618950688416E-2</v>
      </c>
    </row>
    <row r="22" spans="2:79" outlineLevel="1">
      <c r="C22" s="286" t="s">
        <v>435</v>
      </c>
    </row>
    <row r="23" spans="2:79" outlineLevel="1">
      <c r="C23" s="165" t="s">
        <v>0</v>
      </c>
      <c r="D23" s="139" t="s">
        <v>434</v>
      </c>
      <c r="E23" s="139" t="s">
        <v>433</v>
      </c>
    </row>
    <row r="24" spans="2:79" outlineLevel="1">
      <c r="C24" s="139">
        <f t="shared" ref="C24:E26" si="2">C10</f>
        <v>1</v>
      </c>
      <c r="D24" s="139">
        <f t="shared" si="2"/>
        <v>737</v>
      </c>
      <c r="E24" s="139" t="str">
        <f t="shared" si="2"/>
        <v>M7</v>
      </c>
      <c r="H24" s="139">
        <f>IF($E24=H$4,VLOOKUP($C24,노선구성!$B$47:$Y$60,21,0),0)</f>
        <v>0</v>
      </c>
      <c r="I24" s="139">
        <f>IF(H24&gt;0,H24,IF($E24=I$4,VLOOKUP($C24,노선구성!$B$47:$Y$60,21,0),0))</f>
        <v>0</v>
      </c>
      <c r="J24" s="139">
        <f>IF(I24&gt;0,I24,IF($E24=J$4,VLOOKUP($C24,노선구성!$B$47:$Y$60,21,0),0))</f>
        <v>0</v>
      </c>
      <c r="K24" s="139">
        <f>IF(J24&gt;0,J24,IF($E24=K$4,VLOOKUP($C24,노선구성!$B$47:$Y$60,21,0),0))</f>
        <v>0</v>
      </c>
      <c r="L24" s="139">
        <f>IF(K24&gt;0,K24,IF($E24=L$4,VLOOKUP($C24,노선구성!$B$47:$Y$60,21,0),0))</f>
        <v>0</v>
      </c>
      <c r="M24" s="139">
        <f>IF(L24&gt;0,L24,IF($E24=M$4,VLOOKUP($C24,노선구성!$B$47:$Y$60,21,0),0))</f>
        <v>0</v>
      </c>
      <c r="N24" s="139">
        <f>IF(M24&gt;0,M24,IF($E24=N$4,VLOOKUP($C24,노선구성!$B$47:$Y$60,21,0),0))</f>
        <v>321.99250999999998</v>
      </c>
      <c r="O24" s="139">
        <f>IF(N24&gt;0,N24,IF($E24=O$4,VLOOKUP($C24,노선구성!$B$47:$Y$60,21,0),0))</f>
        <v>321.99250999999998</v>
      </c>
      <c r="P24" s="139">
        <f>IF(O24&gt;0,O24,IF($E24=P$4,VLOOKUP($C24,노선구성!$B$47:$Y$60,21,0),0))</f>
        <v>321.99250999999998</v>
      </c>
      <c r="Q24" s="139">
        <f>IF(P24&gt;0,P24,IF($E24=Q$4,VLOOKUP($C24,노선구성!$B$47:$Y$60,21,0),0))</f>
        <v>321.99250999999998</v>
      </c>
      <c r="R24" s="139">
        <f>IF(Q24&gt;0,Q24,IF($E24=R$4,VLOOKUP($C24,노선구성!$B$47:$Y$60,21,0),0))</f>
        <v>321.99250999999998</v>
      </c>
      <c r="S24" s="139">
        <f>IF(R24&gt;0,R24,IF($E24=S$4,VLOOKUP($C24,노선구성!$B$47:$Y$60,21,0),0))</f>
        <v>321.99250999999998</v>
      </c>
      <c r="T24" s="139">
        <f>IF(S24&gt;0,S24,IF($E24=T$4,VLOOKUP($C24,노선구성!$B$47:$Y$60,21,0),0))</f>
        <v>321.99250999999998</v>
      </c>
      <c r="U24" s="139">
        <f>IF(T24&gt;0,T24,IF($E24=U$4,VLOOKUP($C24,노선구성!$B$47:$Y$60,21,0),0))</f>
        <v>321.99250999999998</v>
      </c>
      <c r="V24" s="139">
        <f>IF(U24&gt;0,U24,IF($E24=V$4,VLOOKUP($C24,노선구성!$B$47:$Y$60,21,0),0))</f>
        <v>321.99250999999998</v>
      </c>
      <c r="W24" s="139">
        <f>IF(V24&gt;0,V24,IF($E24=W$4,VLOOKUP($C24,노선구성!$B$47:$Y$60,21,0),0))</f>
        <v>321.99250999999998</v>
      </c>
      <c r="X24" s="139">
        <f>IF(W24&gt;0,W24,IF($E24=X$4,VLOOKUP($C24,노선구성!$B$47:$Y$60,21,0),0))</f>
        <v>321.99250999999998</v>
      </c>
      <c r="Y24" s="139">
        <f>IF(X24&gt;0,X24,IF($E24=Y$4,VLOOKUP($C24,노선구성!$B$47:$Y$60,21,0),0))</f>
        <v>321.99250999999998</v>
      </c>
      <c r="Z24" s="139">
        <f>IF(Y24&gt;0,Y24,IF($E24=Z$4,VLOOKUP($C24,노선구성!$B$47:$Y$60,21,0),0))</f>
        <v>321.99250999999998</v>
      </c>
      <c r="AA24" s="139">
        <f>IF(Z24&gt;0,Z24,IF($E24=AA$4,VLOOKUP($C24,노선구성!$B$47:$Y$60,21,0),0))</f>
        <v>321.99250999999998</v>
      </c>
      <c r="AB24" s="139">
        <f>IF(AA24&gt;0,AA24,IF($E24=AB$4,VLOOKUP($C24,노선구성!$B$47:$Y$60,21,0),0))</f>
        <v>321.99250999999998</v>
      </c>
      <c r="AC24" s="139">
        <f>IF(AB24&gt;0,AB24,IF($E24=AC$4,VLOOKUP($C24,노선구성!$B$47:$Y$60,21,0),0))</f>
        <v>321.99250999999998</v>
      </c>
      <c r="AD24" s="139">
        <f>IF(AC24&gt;0,AC24,IF($E24=AD$4,VLOOKUP($C24,노선구성!$B$47:$Y$60,21,0),0))</f>
        <v>321.99250999999998</v>
      </c>
      <c r="AE24" s="139">
        <f>IF(AD24&gt;0,AD24,IF($E24=AE$4,VLOOKUP($C24,노선구성!$B$47:$Y$60,21,0),0))</f>
        <v>321.99250999999998</v>
      </c>
      <c r="AF24" s="139">
        <f>IF(AE24&gt;0,AE24,IF($E24=AF$4,VLOOKUP($C24,노선구성!$B$47:$Y$60,21,0),0))</f>
        <v>321.99250999999998</v>
      </c>
      <c r="AG24" s="139">
        <f>IF(AF24&gt;0,AF24,IF($E24=AG$4,VLOOKUP($C24,노선구성!$B$47:$Y$60,21,0),0))</f>
        <v>321.99250999999998</v>
      </c>
      <c r="AH24" s="139">
        <f>IF(AG24&gt;0,AG24,IF($E24=AH$4,VLOOKUP($C24,노선구성!$B$47:$Y$60,21,0),0))</f>
        <v>321.99250999999998</v>
      </c>
      <c r="AI24" s="139">
        <f>IF(AH24&gt;0,AH24,IF($E24=AI$4,VLOOKUP($C24,노선구성!$B$47:$Y$60,21,0),0))</f>
        <v>321.99250999999998</v>
      </c>
      <c r="AJ24" s="139">
        <f>IF(AI24&gt;0,AI24,IF($E24=AJ$4,VLOOKUP($C24,노선구성!$B$47:$Y$60,21,0),0))</f>
        <v>321.99250999999998</v>
      </c>
      <c r="AK24" s="139">
        <f>IF(AJ24&gt;0,AJ24,IF($E24=AK$4,VLOOKUP($C24,노선구성!$B$47:$Y$60,21,0),0))</f>
        <v>321.99250999999998</v>
      </c>
      <c r="AL24" s="139">
        <f>IF(AK24&gt;0,AK24,IF($E24=AL$4,VLOOKUP($C24,노선구성!$B$47:$Y$60,21,0),0))</f>
        <v>321.99250999999998</v>
      </c>
      <c r="AM24" s="139">
        <f>IF(AL24&gt;0,AL24,IF($E24=AM$4,VLOOKUP($C24,노선구성!$B$47:$Y$60,21,0),0))</f>
        <v>321.99250999999998</v>
      </c>
      <c r="AN24" s="139">
        <f>IF(AM24&gt;0,AM24,IF($E24=AN$4,VLOOKUP($C24,노선구성!$B$47:$Y$60,21,0),0))</f>
        <v>321.99250999999998</v>
      </c>
      <c r="AO24" s="139">
        <f>IF(AN24&gt;0,AN24,IF($E24=AO$4,VLOOKUP($C24,노선구성!$B$47:$Y$60,21,0),0))</f>
        <v>321.99250999999998</v>
      </c>
      <c r="AP24" s="139">
        <f>IF(AO24&gt;0,AO24,IF($E24=AP$4,VLOOKUP($C24,노선구성!$B$47:$Y$60,21,0),0))</f>
        <v>321.99250999999998</v>
      </c>
      <c r="AQ24" s="139">
        <f>IF(AP24&gt;0,AP24,IF($E24=AQ$4,VLOOKUP($C24,노선구성!$B$47:$Y$60,21,0),0))</f>
        <v>321.99250999999998</v>
      </c>
      <c r="AR24" s="139">
        <f>IF(AQ24&gt;0,AQ24,IF($E24=AR$4,VLOOKUP($C24,노선구성!$B$47:$Y$60,21,0),0))</f>
        <v>321.99250999999998</v>
      </c>
      <c r="AS24" s="139">
        <f>IF(AR24&gt;0,AR24,IF($E24=AS$4,VLOOKUP($C24,노선구성!$B$47:$Y$60,21,0),0))</f>
        <v>321.99250999999998</v>
      </c>
      <c r="AT24" s="139">
        <f>IF(AS24&gt;0,AS24,IF($E24=AT$4,VLOOKUP($C24,노선구성!$B$47:$Y$60,21,0),0))</f>
        <v>321.99250999999998</v>
      </c>
      <c r="AU24" s="139">
        <f>IF(AT24&gt;0,AT24,IF($E24=AU$4,VLOOKUP($C24,노선구성!$B$47:$Y$60,21,0),0))</f>
        <v>321.99250999999998</v>
      </c>
      <c r="AV24" s="139">
        <f>IF(AU24&gt;0,AU24,IF($E24=AV$4,VLOOKUP($C24,노선구성!$B$47:$Y$60,21,0),0))</f>
        <v>321.99250999999998</v>
      </c>
      <c r="AW24" s="139">
        <f>IF(AV24&gt;0,AV24,IF($E24=AW$4,VLOOKUP($C24,노선구성!$B$47:$Y$60,21,0),0))</f>
        <v>321.99250999999998</v>
      </c>
      <c r="AX24" s="139">
        <f>IF(AW24&gt;0,AW24,IF($E24=AX$4,VLOOKUP($C24,노선구성!$B$47:$Y$60,21,0),0))</f>
        <v>321.99250999999998</v>
      </c>
      <c r="AY24" s="139">
        <f>IF(AX24&gt;0,AX24,IF($E24=AY$4,VLOOKUP($C24,노선구성!$B$47:$Y$60,21,0),0))</f>
        <v>321.99250999999998</v>
      </c>
      <c r="AZ24" s="139">
        <f>IF(AY24&gt;0,AY24,IF($E24=AZ$4,VLOOKUP($C24,노선구성!$B$47:$Y$60,21,0),0))</f>
        <v>321.99250999999998</v>
      </c>
      <c r="BA24" s="139">
        <f>IF(AZ24&gt;0,AZ24,IF($E24=BA$4,VLOOKUP($C24,노선구성!$B$47:$Y$60,21,0),0))</f>
        <v>321.99250999999998</v>
      </c>
      <c r="BB24" s="139">
        <f>IF(BA24&gt;0,BA24,IF($E24=BB$4,VLOOKUP($C24,노선구성!$B$47:$Y$60,21,0),0))</f>
        <v>321.99250999999998</v>
      </c>
      <c r="BC24" s="139">
        <f>IF(BB24&gt;0,BB24,IF($E24=BC$4,VLOOKUP($C24,노선구성!$B$47:$Y$60,21,0),0))</f>
        <v>321.99250999999998</v>
      </c>
      <c r="BD24" s="139">
        <f>IF(BC24&gt;0,BC24,IF($E24=BD$4,VLOOKUP($C24,노선구성!$B$47:$Y$60,21,0),0))</f>
        <v>321.99250999999998</v>
      </c>
      <c r="BE24" s="139">
        <f>IF(BD24&gt;0,BD24,IF($E24=BE$4,VLOOKUP($C24,노선구성!$B$47:$Y$60,21,0),0))</f>
        <v>321.99250999999998</v>
      </c>
      <c r="BF24" s="139">
        <f>IF(BE24&gt;0,BE24,IF($E24=BF$4,VLOOKUP($C24,노선구성!$B$47:$Y$60,21,0),0))</f>
        <v>321.99250999999998</v>
      </c>
      <c r="BG24" s="139">
        <f>IF(BF24&gt;0,BF24,IF($E24=BG$4,VLOOKUP($C24,노선구성!$B$47:$Y$60,21,0),0))</f>
        <v>321.99250999999998</v>
      </c>
      <c r="BH24" s="139">
        <f>IF(BG24&gt;0,BG24,IF($E24=BH$4,VLOOKUP($C24,노선구성!$B$47:$Y$60,21,0),0))</f>
        <v>321.99250999999998</v>
      </c>
      <c r="BI24" s="139">
        <f>IF(BH24&gt;0,BH24,IF($E24=BI$4,VLOOKUP($C24,노선구성!$B$47:$Y$60,21,0),0))</f>
        <v>321.99250999999998</v>
      </c>
      <c r="BJ24" s="139">
        <f>IF(BI24&gt;0,BI24,IF($E24=BJ$4,VLOOKUP($C24,노선구성!$B$47:$Y$60,21,0),0))</f>
        <v>321.99250999999998</v>
      </c>
      <c r="BK24" s="139">
        <f>IF(BJ24&gt;0,BJ24,IF($E24=BK$4,VLOOKUP($C24,노선구성!$B$47:$Y$60,21,0),0))</f>
        <v>321.99250999999998</v>
      </c>
      <c r="BL24" s="139">
        <f>IF(BK24&gt;0,BK24,IF($E24=BL$4,VLOOKUP($C24,노선구성!$B$47:$Y$60,21,0),0))</f>
        <v>321.99250999999998</v>
      </c>
      <c r="BM24" s="139">
        <f>IF(BL24&gt;0,BL24,IF($E24=BM$4,VLOOKUP($C24,노선구성!$B$47:$Y$60,21,0),0))</f>
        <v>321.99250999999998</v>
      </c>
      <c r="BN24" s="139">
        <f>IF(BM24&gt;0,BM24,IF($E24=BN$4,VLOOKUP($C24,노선구성!$B$47:$Y$60,21,0),0))</f>
        <v>321.99250999999998</v>
      </c>
      <c r="BO24" s="139">
        <f>IF(BN24&gt;0,BN24,IF($E24=BO$4,VLOOKUP($C24,노선구성!$B$47:$Y$60,21,0),0))</f>
        <v>321.99250999999998</v>
      </c>
      <c r="BQ24" s="155"/>
      <c r="BR24" s="155"/>
      <c r="BS24" s="155"/>
      <c r="BT24" s="155"/>
      <c r="BU24" s="155"/>
    </row>
    <row r="25" spans="2:79" outlineLevel="1">
      <c r="C25" s="139">
        <f t="shared" si="2"/>
        <v>2</v>
      </c>
      <c r="D25" s="139">
        <f t="shared" si="2"/>
        <v>737</v>
      </c>
      <c r="E25" s="139" t="str">
        <f t="shared" si="2"/>
        <v>M7</v>
      </c>
      <c r="H25" s="139">
        <f>IF($E25=H$4,VLOOKUP($C25,노선구성!$B$47:$Y$60,21,0),0)</f>
        <v>0</v>
      </c>
      <c r="I25" s="139">
        <f>IF(H25&gt;0,H25,IF($E25=I$4,VLOOKUP($C25,노선구성!$B$47:$Y$60,21,0),0))</f>
        <v>0</v>
      </c>
      <c r="J25" s="139">
        <f>IF(I25&gt;0,I25,IF($E25=J$4,VLOOKUP($C25,노선구성!$B$47:$Y$60,21,0),0))</f>
        <v>0</v>
      </c>
      <c r="K25" s="139">
        <f>IF(J25&gt;0,J25,IF($E25=K$4,VLOOKUP($C25,노선구성!$B$47:$Y$60,21,0),0))</f>
        <v>0</v>
      </c>
      <c r="L25" s="139">
        <f>IF(K25&gt;0,K25,IF($E25=L$4,VLOOKUP($C25,노선구성!$B$47:$Y$60,21,0),0))</f>
        <v>0</v>
      </c>
      <c r="M25" s="139">
        <f>IF(L25&gt;0,L25,IF($E25=M$4,VLOOKUP($C25,노선구성!$B$47:$Y$60,21,0),0))</f>
        <v>0</v>
      </c>
      <c r="N25" s="139">
        <f>IF(M25&gt;0,M25,IF($E25=N$4,VLOOKUP($C25,노선구성!$B$47:$Y$60,21,0),0))</f>
        <v>388.13536714285709</v>
      </c>
      <c r="O25" s="139">
        <f>IF(N25&gt;0,N25,IF($E25=O$4,VLOOKUP($C25,노선구성!$B$47:$Y$60,21,0),0))</f>
        <v>388.13536714285709</v>
      </c>
      <c r="P25" s="139">
        <f>IF(O25&gt;0,O25,IF($E25=P$4,VLOOKUP($C25,노선구성!$B$47:$Y$60,21,0),0))</f>
        <v>388.13536714285709</v>
      </c>
      <c r="Q25" s="139">
        <f>IF(P25&gt;0,P25,IF($E25=Q$4,VLOOKUP($C25,노선구성!$B$47:$Y$60,21,0),0))</f>
        <v>388.13536714285709</v>
      </c>
      <c r="R25" s="139">
        <f>IF(Q25&gt;0,Q25,IF($E25=R$4,VLOOKUP($C25,노선구성!$B$47:$Y$60,21,0),0))</f>
        <v>388.13536714285709</v>
      </c>
      <c r="S25" s="139">
        <f>IF(R25&gt;0,R25,IF($E25=S$4,VLOOKUP($C25,노선구성!$B$47:$Y$60,21,0),0))</f>
        <v>388.13536714285709</v>
      </c>
      <c r="T25" s="139">
        <f>IF(S25&gt;0,S25,IF($E25=T$4,VLOOKUP($C25,노선구성!$B$47:$Y$60,21,0),0))</f>
        <v>388.13536714285709</v>
      </c>
      <c r="U25" s="139">
        <f>IF(T25&gt;0,T25,IF($E25=U$4,VLOOKUP($C25,노선구성!$B$47:$Y$60,21,0),0))</f>
        <v>388.13536714285709</v>
      </c>
      <c r="V25" s="139">
        <f>IF(U25&gt;0,U25,IF($E25=V$4,VLOOKUP($C25,노선구성!$B$47:$Y$60,21,0),0))</f>
        <v>388.13536714285709</v>
      </c>
      <c r="W25" s="139">
        <f>IF(V25&gt;0,V25,IF($E25=W$4,VLOOKUP($C25,노선구성!$B$47:$Y$60,21,0),0))</f>
        <v>388.13536714285709</v>
      </c>
      <c r="X25" s="139">
        <f>IF(W25&gt;0,W25,IF($E25=X$4,VLOOKUP($C25,노선구성!$B$47:$Y$60,21,0),0))</f>
        <v>388.13536714285709</v>
      </c>
      <c r="Y25" s="139">
        <f>IF(X25&gt;0,X25,IF($E25=Y$4,VLOOKUP($C25,노선구성!$B$47:$Y$60,21,0),0))</f>
        <v>388.13536714285709</v>
      </c>
      <c r="Z25" s="139">
        <f>IF(Y25&gt;0,Y25,IF($E25=Z$4,VLOOKUP($C25,노선구성!$B$47:$Y$60,21,0),0))</f>
        <v>388.13536714285709</v>
      </c>
      <c r="AA25" s="139">
        <f>IF(Z25&gt;0,Z25,IF($E25=AA$4,VLOOKUP($C25,노선구성!$B$47:$Y$60,21,0),0))</f>
        <v>388.13536714285709</v>
      </c>
      <c r="AB25" s="139">
        <f>IF(AA25&gt;0,AA25,IF($E25=AB$4,VLOOKUP($C25,노선구성!$B$47:$Y$60,21,0),0))</f>
        <v>388.13536714285709</v>
      </c>
      <c r="AC25" s="139">
        <f>IF(AB25&gt;0,AB25,IF($E25=AC$4,VLOOKUP($C25,노선구성!$B$47:$Y$60,21,0),0))</f>
        <v>388.13536714285709</v>
      </c>
      <c r="AD25" s="139">
        <f>IF(AC25&gt;0,AC25,IF($E25=AD$4,VLOOKUP($C25,노선구성!$B$47:$Y$60,21,0),0))</f>
        <v>388.13536714285709</v>
      </c>
      <c r="AE25" s="139">
        <f>IF(AD25&gt;0,AD25,IF($E25=AE$4,VLOOKUP($C25,노선구성!$B$47:$Y$60,21,0),0))</f>
        <v>388.13536714285709</v>
      </c>
      <c r="AF25" s="139">
        <f>IF(AE25&gt;0,AE25,IF($E25=AF$4,VLOOKUP($C25,노선구성!$B$47:$Y$60,21,0),0))</f>
        <v>388.13536714285709</v>
      </c>
      <c r="AG25" s="139">
        <f>IF(AF25&gt;0,AF25,IF($E25=AG$4,VLOOKUP($C25,노선구성!$B$47:$Y$60,21,0),0))</f>
        <v>388.13536714285709</v>
      </c>
      <c r="AH25" s="139">
        <f>IF(AG25&gt;0,AG25,IF($E25=AH$4,VLOOKUP($C25,노선구성!$B$47:$Y$60,21,0),0))</f>
        <v>388.13536714285709</v>
      </c>
      <c r="AI25" s="139">
        <f>IF(AH25&gt;0,AH25,IF($E25=AI$4,VLOOKUP($C25,노선구성!$B$47:$Y$60,21,0),0))</f>
        <v>388.13536714285709</v>
      </c>
      <c r="AJ25" s="139">
        <f>IF(AI25&gt;0,AI25,IF($E25=AJ$4,VLOOKUP($C25,노선구성!$B$47:$Y$60,21,0),0))</f>
        <v>388.13536714285709</v>
      </c>
      <c r="AK25" s="139">
        <f>IF(AJ25&gt;0,AJ25,IF($E25=AK$4,VLOOKUP($C25,노선구성!$B$47:$Y$60,21,0),0))</f>
        <v>388.13536714285709</v>
      </c>
      <c r="AL25" s="139">
        <f>IF(AK25&gt;0,AK25,IF($E25=AL$4,VLOOKUP($C25,노선구성!$B$47:$Y$60,21,0),0))</f>
        <v>388.13536714285709</v>
      </c>
      <c r="AM25" s="139">
        <f>IF(AL25&gt;0,AL25,IF($E25=AM$4,VLOOKUP($C25,노선구성!$B$47:$Y$60,21,0),0))</f>
        <v>388.13536714285709</v>
      </c>
      <c r="AN25" s="139">
        <f>IF(AM25&gt;0,AM25,IF($E25=AN$4,VLOOKUP($C25,노선구성!$B$47:$Y$60,21,0),0))</f>
        <v>388.13536714285709</v>
      </c>
      <c r="AO25" s="139">
        <f>IF(AN25&gt;0,AN25,IF($E25=AO$4,VLOOKUP($C25,노선구성!$B$47:$Y$60,21,0),0))</f>
        <v>388.13536714285709</v>
      </c>
      <c r="AP25" s="139">
        <f>IF(AO25&gt;0,AO25,IF($E25=AP$4,VLOOKUP($C25,노선구성!$B$47:$Y$60,21,0),0))</f>
        <v>388.13536714285709</v>
      </c>
      <c r="AQ25" s="139">
        <f>IF(AP25&gt;0,AP25,IF($E25=AQ$4,VLOOKUP($C25,노선구성!$B$47:$Y$60,21,0),0))</f>
        <v>388.13536714285709</v>
      </c>
      <c r="AR25" s="139">
        <f>IF(AQ25&gt;0,AQ25,IF($E25=AR$4,VLOOKUP($C25,노선구성!$B$47:$Y$60,21,0),0))</f>
        <v>388.13536714285709</v>
      </c>
      <c r="AS25" s="139">
        <f>IF(AR25&gt;0,AR25,IF($E25=AS$4,VLOOKUP($C25,노선구성!$B$47:$Y$60,21,0),0))</f>
        <v>388.13536714285709</v>
      </c>
      <c r="AT25" s="139">
        <f>IF(AS25&gt;0,AS25,IF($E25=AT$4,VLOOKUP($C25,노선구성!$B$47:$Y$60,21,0),0))</f>
        <v>388.13536714285709</v>
      </c>
      <c r="AU25" s="139">
        <f>IF(AT25&gt;0,AT25,IF($E25=AU$4,VLOOKUP($C25,노선구성!$B$47:$Y$60,21,0),0))</f>
        <v>388.13536714285709</v>
      </c>
      <c r="AV25" s="139">
        <f>IF(AU25&gt;0,AU25,IF($E25=AV$4,VLOOKUP($C25,노선구성!$B$47:$Y$60,21,0),0))</f>
        <v>388.13536714285709</v>
      </c>
      <c r="AW25" s="139">
        <f>IF(AV25&gt;0,AV25,IF($E25=AW$4,VLOOKUP($C25,노선구성!$B$47:$Y$60,21,0),0))</f>
        <v>388.13536714285709</v>
      </c>
      <c r="AX25" s="139">
        <f>IF(AW25&gt;0,AW25,IF($E25=AX$4,VLOOKUP($C25,노선구성!$B$47:$Y$60,21,0),0))</f>
        <v>388.13536714285709</v>
      </c>
      <c r="AY25" s="139">
        <f>IF(AX25&gt;0,AX25,IF($E25=AY$4,VLOOKUP($C25,노선구성!$B$47:$Y$60,21,0),0))</f>
        <v>388.13536714285709</v>
      </c>
      <c r="AZ25" s="139">
        <f>IF(AY25&gt;0,AY25,IF($E25=AZ$4,VLOOKUP($C25,노선구성!$B$47:$Y$60,21,0),0))</f>
        <v>388.13536714285709</v>
      </c>
      <c r="BA25" s="139">
        <f>IF(AZ25&gt;0,AZ25,IF($E25=BA$4,VLOOKUP($C25,노선구성!$B$47:$Y$60,21,0),0))</f>
        <v>388.13536714285709</v>
      </c>
      <c r="BB25" s="139">
        <f>IF(BA25&gt;0,BA25,IF($E25=BB$4,VLOOKUP($C25,노선구성!$B$47:$Y$60,21,0),0))</f>
        <v>388.13536714285709</v>
      </c>
      <c r="BC25" s="139">
        <f>IF(BB25&gt;0,BB25,IF($E25=BC$4,VLOOKUP($C25,노선구성!$B$47:$Y$60,21,0),0))</f>
        <v>388.13536714285709</v>
      </c>
      <c r="BD25" s="139">
        <f>IF(BC25&gt;0,BC25,IF($E25=BD$4,VLOOKUP($C25,노선구성!$B$47:$Y$60,21,0),0))</f>
        <v>388.13536714285709</v>
      </c>
      <c r="BE25" s="139">
        <f>IF(BD25&gt;0,BD25,IF($E25=BE$4,VLOOKUP($C25,노선구성!$B$47:$Y$60,21,0),0))</f>
        <v>388.13536714285709</v>
      </c>
      <c r="BF25" s="139">
        <f>IF(BE25&gt;0,BE25,IF($E25=BF$4,VLOOKUP($C25,노선구성!$B$47:$Y$60,21,0),0))</f>
        <v>388.13536714285709</v>
      </c>
      <c r="BG25" s="139">
        <f>IF(BF25&gt;0,BF25,IF($E25=BG$4,VLOOKUP($C25,노선구성!$B$47:$Y$60,21,0),0))</f>
        <v>388.13536714285709</v>
      </c>
      <c r="BH25" s="139">
        <f>IF(BG25&gt;0,BG25,IF($E25=BH$4,VLOOKUP($C25,노선구성!$B$47:$Y$60,21,0),0))</f>
        <v>388.13536714285709</v>
      </c>
      <c r="BI25" s="139">
        <f>IF(BH25&gt;0,BH25,IF($E25=BI$4,VLOOKUP($C25,노선구성!$B$47:$Y$60,21,0),0))</f>
        <v>388.13536714285709</v>
      </c>
      <c r="BJ25" s="139">
        <f>IF(BI25&gt;0,BI25,IF($E25=BJ$4,VLOOKUP($C25,노선구성!$B$47:$Y$60,21,0),0))</f>
        <v>388.13536714285709</v>
      </c>
      <c r="BK25" s="139">
        <f>IF(BJ25&gt;0,BJ25,IF($E25=BK$4,VLOOKUP($C25,노선구성!$B$47:$Y$60,21,0),0))</f>
        <v>388.13536714285709</v>
      </c>
      <c r="BL25" s="139">
        <f>IF(BK25&gt;0,BK25,IF($E25=BL$4,VLOOKUP($C25,노선구성!$B$47:$Y$60,21,0),0))</f>
        <v>388.13536714285709</v>
      </c>
      <c r="BM25" s="139">
        <f>IF(BL25&gt;0,BL25,IF($E25=BM$4,VLOOKUP($C25,노선구성!$B$47:$Y$60,21,0),0))</f>
        <v>388.13536714285709</v>
      </c>
      <c r="BN25" s="139">
        <f>IF(BM25&gt;0,BM25,IF($E25=BN$4,VLOOKUP($C25,노선구성!$B$47:$Y$60,21,0),0))</f>
        <v>388.13536714285709</v>
      </c>
      <c r="BO25" s="139">
        <f>IF(BN25&gt;0,BN25,IF($E25=BO$4,VLOOKUP($C25,노선구성!$B$47:$Y$60,21,0),0))</f>
        <v>388.13536714285709</v>
      </c>
      <c r="BQ25" s="155"/>
      <c r="BR25" s="155"/>
      <c r="BS25" s="155"/>
      <c r="BT25" s="155"/>
      <c r="BU25" s="155"/>
    </row>
    <row r="26" spans="2:79" outlineLevel="1">
      <c r="C26" s="139">
        <f t="shared" si="2"/>
        <v>3</v>
      </c>
      <c r="D26" s="139">
        <f t="shared" si="2"/>
        <v>737</v>
      </c>
      <c r="E26" s="139" t="str">
        <f t="shared" si="2"/>
        <v>M7</v>
      </c>
      <c r="H26" s="139">
        <f>IF($E26=H$4,VLOOKUP($C26,노선구성!$B$47:$Y$60,21,0),0)</f>
        <v>0</v>
      </c>
      <c r="I26" s="139">
        <f>IF(H26&gt;0,H26,IF($E26=I$4,VLOOKUP($C26,노선구성!$B$47:$Y$60,21,0),0))</f>
        <v>0</v>
      </c>
      <c r="J26" s="139">
        <f>IF(I26&gt;0,I26,IF($E26=J$4,VLOOKUP($C26,노선구성!$B$47:$Y$60,21,0),0))</f>
        <v>0</v>
      </c>
      <c r="K26" s="139">
        <f>IF(J26&gt;0,J26,IF($E26=K$4,VLOOKUP($C26,노선구성!$B$47:$Y$60,21,0),0))</f>
        <v>0</v>
      </c>
      <c r="L26" s="139">
        <f>IF(K26&gt;0,K26,IF($E26=L$4,VLOOKUP($C26,노선구성!$B$47:$Y$60,21,0),0))</f>
        <v>0</v>
      </c>
      <c r="M26" s="139">
        <f>IF(L26&gt;0,L26,IF($E26=M$4,VLOOKUP($C26,노선구성!$B$47:$Y$60,21,0),0))</f>
        <v>0</v>
      </c>
      <c r="N26" s="139">
        <f>IF(M26&gt;0,M26,IF($E26=N$4,VLOOKUP($C26,노선구성!$B$47:$Y$60,21,0),0))</f>
        <v>377.05103514285713</v>
      </c>
      <c r="O26" s="139">
        <f>IF(N26&gt;0,N26,IF($E26=O$4,VLOOKUP($C26,노선구성!$B$47:$Y$60,21,0),0))</f>
        <v>377.05103514285713</v>
      </c>
      <c r="P26" s="139">
        <f>IF(O26&gt;0,O26,IF($E26=P$4,VLOOKUP($C26,노선구성!$B$47:$Y$60,21,0),0))</f>
        <v>377.05103514285713</v>
      </c>
      <c r="Q26" s="139">
        <f>IF(P26&gt;0,P26,IF($E26=Q$4,VLOOKUP($C26,노선구성!$B$47:$Y$60,21,0),0))</f>
        <v>377.05103514285713</v>
      </c>
      <c r="R26" s="139">
        <f>IF(Q26&gt;0,Q26,IF($E26=R$4,VLOOKUP($C26,노선구성!$B$47:$Y$60,21,0),0))</f>
        <v>377.05103514285713</v>
      </c>
      <c r="S26" s="139">
        <f>IF(R26&gt;0,R26,IF($E26=S$4,VLOOKUP($C26,노선구성!$B$47:$Y$60,21,0),0))</f>
        <v>377.05103514285713</v>
      </c>
      <c r="T26" s="139">
        <f>IF(S26&gt;0,S26,IF($E26=T$4,VLOOKUP($C26,노선구성!$B$47:$Y$60,21,0),0))</f>
        <v>377.05103514285713</v>
      </c>
      <c r="U26" s="139">
        <f>IF(T26&gt;0,T26,IF($E26=U$4,VLOOKUP($C26,노선구성!$B$47:$Y$60,21,0),0))</f>
        <v>377.05103514285713</v>
      </c>
      <c r="V26" s="139">
        <f>IF(U26&gt;0,U26,IF($E26=V$4,VLOOKUP($C26,노선구성!$B$47:$Y$60,21,0),0))</f>
        <v>377.05103514285713</v>
      </c>
      <c r="W26" s="139">
        <f>IF(V26&gt;0,V26,IF($E26=W$4,VLOOKUP($C26,노선구성!$B$47:$Y$60,21,0),0))</f>
        <v>377.05103514285713</v>
      </c>
      <c r="X26" s="139">
        <f>IF(W26&gt;0,W26,IF($E26=X$4,VLOOKUP($C26,노선구성!$B$47:$Y$60,21,0),0))</f>
        <v>377.05103514285713</v>
      </c>
      <c r="Y26" s="139">
        <f>IF(X26&gt;0,X26,IF($E26=Y$4,VLOOKUP($C26,노선구성!$B$47:$Y$60,21,0),0))</f>
        <v>377.05103514285713</v>
      </c>
      <c r="Z26" s="139">
        <f>IF(Y26&gt;0,Y26,IF($E26=Z$4,VLOOKUP($C26,노선구성!$B$47:$Y$60,21,0),0))</f>
        <v>377.05103514285713</v>
      </c>
      <c r="AA26" s="139">
        <f>IF(Z26&gt;0,Z26,IF($E26=AA$4,VLOOKUP($C26,노선구성!$B$47:$Y$60,21,0),0))</f>
        <v>377.05103514285713</v>
      </c>
      <c r="AB26" s="139">
        <f>IF(AA26&gt;0,AA26,IF($E26=AB$4,VLOOKUP($C26,노선구성!$B$47:$Y$60,21,0),0))</f>
        <v>377.05103514285713</v>
      </c>
      <c r="AC26" s="139">
        <f>IF(AB26&gt;0,AB26,IF($E26=AC$4,VLOOKUP($C26,노선구성!$B$47:$Y$60,21,0),0))</f>
        <v>377.05103514285713</v>
      </c>
      <c r="AD26" s="139">
        <f>IF(AC26&gt;0,AC26,IF($E26=AD$4,VLOOKUP($C26,노선구성!$B$47:$Y$60,21,0),0))</f>
        <v>377.05103514285713</v>
      </c>
      <c r="AE26" s="139">
        <f>IF(AD26&gt;0,AD26,IF($E26=AE$4,VLOOKUP($C26,노선구성!$B$47:$Y$60,21,0),0))</f>
        <v>377.05103514285713</v>
      </c>
      <c r="AF26" s="139">
        <f>IF(AE26&gt;0,AE26,IF($E26=AF$4,VLOOKUP($C26,노선구성!$B$47:$Y$60,21,0),0))</f>
        <v>377.05103514285713</v>
      </c>
      <c r="AG26" s="139">
        <f>IF(AF26&gt;0,AF26,IF($E26=AG$4,VLOOKUP($C26,노선구성!$B$47:$Y$60,21,0),0))</f>
        <v>377.05103514285713</v>
      </c>
      <c r="AH26" s="139">
        <f>IF(AG26&gt;0,AG26,IF($E26=AH$4,VLOOKUP($C26,노선구성!$B$47:$Y$60,21,0),0))</f>
        <v>377.05103514285713</v>
      </c>
      <c r="AI26" s="139">
        <f>IF(AH26&gt;0,AH26,IF($E26=AI$4,VLOOKUP($C26,노선구성!$B$47:$Y$60,21,0),0))</f>
        <v>377.05103514285713</v>
      </c>
      <c r="AJ26" s="139">
        <f>IF(AI26&gt;0,AI26,IF($E26=AJ$4,VLOOKUP($C26,노선구성!$B$47:$Y$60,21,0),0))</f>
        <v>377.05103514285713</v>
      </c>
      <c r="AK26" s="139">
        <f>IF(AJ26&gt;0,AJ26,IF($E26=AK$4,VLOOKUP($C26,노선구성!$B$47:$Y$60,21,0),0))</f>
        <v>377.05103514285713</v>
      </c>
      <c r="AL26" s="139">
        <f>IF(AK26&gt;0,AK26,IF($E26=AL$4,VLOOKUP($C26,노선구성!$B$47:$Y$60,21,0),0))</f>
        <v>377.05103514285713</v>
      </c>
      <c r="AM26" s="139">
        <f>IF(AL26&gt;0,AL26,IF($E26=AM$4,VLOOKUP($C26,노선구성!$B$47:$Y$60,21,0),0))</f>
        <v>377.05103514285713</v>
      </c>
      <c r="AN26" s="139">
        <f>IF(AM26&gt;0,AM26,IF($E26=AN$4,VLOOKUP($C26,노선구성!$B$47:$Y$60,21,0),0))</f>
        <v>377.05103514285713</v>
      </c>
      <c r="AO26" s="139">
        <f>IF(AN26&gt;0,AN26,IF($E26=AO$4,VLOOKUP($C26,노선구성!$B$47:$Y$60,21,0),0))</f>
        <v>377.05103514285713</v>
      </c>
      <c r="AP26" s="139">
        <f>IF(AO26&gt;0,AO26,IF($E26=AP$4,VLOOKUP($C26,노선구성!$B$47:$Y$60,21,0),0))</f>
        <v>377.05103514285713</v>
      </c>
      <c r="AQ26" s="139">
        <f>IF(AP26&gt;0,AP26,IF($E26=AQ$4,VLOOKUP($C26,노선구성!$B$47:$Y$60,21,0),0))</f>
        <v>377.05103514285713</v>
      </c>
      <c r="AR26" s="139">
        <f>IF(AQ26&gt;0,AQ26,IF($E26=AR$4,VLOOKUP($C26,노선구성!$B$47:$Y$60,21,0),0))</f>
        <v>377.05103514285713</v>
      </c>
      <c r="AS26" s="139">
        <f>IF(AR26&gt;0,AR26,IF($E26=AS$4,VLOOKUP($C26,노선구성!$B$47:$Y$60,21,0),0))</f>
        <v>377.05103514285713</v>
      </c>
      <c r="AT26" s="139">
        <f>IF(AS26&gt;0,AS26,IF($E26=AT$4,VLOOKUP($C26,노선구성!$B$47:$Y$60,21,0),0))</f>
        <v>377.05103514285713</v>
      </c>
      <c r="AU26" s="139">
        <f>IF(AT26&gt;0,AT26,IF($E26=AU$4,VLOOKUP($C26,노선구성!$B$47:$Y$60,21,0),0))</f>
        <v>377.05103514285713</v>
      </c>
      <c r="AV26" s="139">
        <f>IF(AU26&gt;0,AU26,IF($E26=AV$4,VLOOKUP($C26,노선구성!$B$47:$Y$60,21,0),0))</f>
        <v>377.05103514285713</v>
      </c>
      <c r="AW26" s="139">
        <f>IF(AV26&gt;0,AV26,IF($E26=AW$4,VLOOKUP($C26,노선구성!$B$47:$Y$60,21,0),0))</f>
        <v>377.05103514285713</v>
      </c>
      <c r="AX26" s="139">
        <f>IF(AW26&gt;0,AW26,IF($E26=AX$4,VLOOKUP($C26,노선구성!$B$47:$Y$60,21,0),0))</f>
        <v>377.05103514285713</v>
      </c>
      <c r="AY26" s="139">
        <f>IF(AX26&gt;0,AX26,IF($E26=AY$4,VLOOKUP($C26,노선구성!$B$47:$Y$60,21,0),0))</f>
        <v>377.05103514285713</v>
      </c>
      <c r="AZ26" s="139">
        <f>IF(AY26&gt;0,AY26,IF($E26=AZ$4,VLOOKUP($C26,노선구성!$B$47:$Y$60,21,0),0))</f>
        <v>377.05103514285713</v>
      </c>
      <c r="BA26" s="139">
        <f>IF(AZ26&gt;0,AZ26,IF($E26=BA$4,VLOOKUP($C26,노선구성!$B$47:$Y$60,21,0),0))</f>
        <v>377.05103514285713</v>
      </c>
      <c r="BB26" s="139">
        <f>IF(BA26&gt;0,BA26,IF($E26=BB$4,VLOOKUP($C26,노선구성!$B$47:$Y$60,21,0),0))</f>
        <v>377.05103514285713</v>
      </c>
      <c r="BC26" s="139">
        <f>IF(BB26&gt;0,BB26,IF($E26=BC$4,VLOOKUP($C26,노선구성!$B$47:$Y$60,21,0),0))</f>
        <v>377.05103514285713</v>
      </c>
      <c r="BD26" s="139">
        <f>IF(BC26&gt;0,BC26,IF($E26=BD$4,VLOOKUP($C26,노선구성!$B$47:$Y$60,21,0),0))</f>
        <v>377.05103514285713</v>
      </c>
      <c r="BE26" s="139">
        <f>IF(BD26&gt;0,BD26,IF($E26=BE$4,VLOOKUP($C26,노선구성!$B$47:$Y$60,21,0),0))</f>
        <v>377.05103514285713</v>
      </c>
      <c r="BF26" s="139">
        <f>IF(BE26&gt;0,BE26,IF($E26=BF$4,VLOOKUP($C26,노선구성!$B$47:$Y$60,21,0),0))</f>
        <v>377.05103514285713</v>
      </c>
      <c r="BG26" s="139">
        <f>IF(BF26&gt;0,BF26,IF($E26=BG$4,VLOOKUP($C26,노선구성!$B$47:$Y$60,21,0),0))</f>
        <v>377.05103514285713</v>
      </c>
      <c r="BH26" s="139">
        <f>IF(BG26&gt;0,BG26,IF($E26=BH$4,VLOOKUP($C26,노선구성!$B$47:$Y$60,21,0),0))</f>
        <v>377.05103514285713</v>
      </c>
      <c r="BI26" s="139">
        <f>IF(BH26&gt;0,BH26,IF($E26=BI$4,VLOOKUP($C26,노선구성!$B$47:$Y$60,21,0),0))</f>
        <v>377.05103514285713</v>
      </c>
      <c r="BJ26" s="139">
        <f>IF(BI26&gt;0,BI26,IF($E26=BJ$4,VLOOKUP($C26,노선구성!$B$47:$Y$60,21,0),0))</f>
        <v>377.05103514285713</v>
      </c>
      <c r="BK26" s="139">
        <f>IF(BJ26&gt;0,BJ26,IF($E26=BK$4,VLOOKUP($C26,노선구성!$B$47:$Y$60,21,0),0))</f>
        <v>377.05103514285713</v>
      </c>
      <c r="BL26" s="139">
        <f>IF(BK26&gt;0,BK26,IF($E26=BL$4,VLOOKUP($C26,노선구성!$B$47:$Y$60,21,0),0))</f>
        <v>377.05103514285713</v>
      </c>
      <c r="BM26" s="139">
        <f>IF(BL26&gt;0,BL26,IF($E26=BM$4,VLOOKUP($C26,노선구성!$B$47:$Y$60,21,0),0))</f>
        <v>377.05103514285713</v>
      </c>
      <c r="BN26" s="139">
        <f>IF(BM26&gt;0,BM26,IF($E26=BN$4,VLOOKUP($C26,노선구성!$B$47:$Y$60,21,0),0))</f>
        <v>377.05103514285713</v>
      </c>
      <c r="BO26" s="139">
        <f>IF(BN26&gt;0,BN26,IF($E26=BO$4,VLOOKUP($C26,노선구성!$B$47:$Y$60,21,0),0))</f>
        <v>377.05103514285713</v>
      </c>
      <c r="BQ26" s="155"/>
      <c r="BR26" s="155"/>
      <c r="BS26" s="155"/>
      <c r="BT26" s="155"/>
      <c r="BU26" s="155"/>
    </row>
    <row r="27" spans="2:79" outlineLevel="1">
      <c r="C27" s="139">
        <f t="shared" ref="C27:E27" si="3">C13</f>
        <v>4</v>
      </c>
      <c r="D27" s="139">
        <f t="shared" si="3"/>
        <v>767</v>
      </c>
      <c r="E27" s="139" t="str">
        <f t="shared" si="3"/>
        <v>M7</v>
      </c>
      <c r="H27" s="139">
        <f>IF($E27=H$4,VLOOKUP($C27,노선구성!$B$47:$Y$60,21,0),0)</f>
        <v>0</v>
      </c>
      <c r="I27" s="139">
        <f>IF(H27&gt;0,H27,IF($E27=I$4,VLOOKUP($C27,노선구성!$B$47:$Y$60,21,0),0))</f>
        <v>0</v>
      </c>
      <c r="J27" s="139">
        <f>IF(I27&gt;0,I27,IF($E27=J$4,VLOOKUP($C27,노선구성!$B$47:$Y$60,21,0),0))</f>
        <v>0</v>
      </c>
      <c r="K27" s="139">
        <f>IF(J27&gt;0,J27,IF($E27=K$4,VLOOKUP($C27,노선구성!$B$47:$Y$60,21,0),0))</f>
        <v>0</v>
      </c>
      <c r="L27" s="139">
        <f>IF(K27&gt;0,K27,IF($E27=L$4,VLOOKUP($C27,노선구성!$B$47:$Y$60,21,0),0))</f>
        <v>0</v>
      </c>
      <c r="M27" s="139">
        <f>IF(L27&gt;0,L27,IF($E27=M$4,VLOOKUP($C27,노선구성!$B$47:$Y$60,21,0),0))</f>
        <v>0</v>
      </c>
      <c r="N27" s="139">
        <f>IF(M27&gt;0,M27,IF($E27=N$4,VLOOKUP($C27,노선구성!$B$47:$Y$60,21,0),0))</f>
        <v>624.10176000000001</v>
      </c>
      <c r="O27" s="139">
        <f>IF(N27&gt;0,N27,IF($E27=O$4,VLOOKUP($C27,노선구성!$B$47:$Y$60,21,0),0))</f>
        <v>624.10176000000001</v>
      </c>
      <c r="P27" s="139">
        <f>IF(O27&gt;0,O27,IF($E27=P$4,VLOOKUP($C27,노선구성!$B$47:$Y$60,21,0),0))</f>
        <v>624.10176000000001</v>
      </c>
      <c r="Q27" s="139">
        <f>IF(P27&gt;0,P27,IF($E27=Q$4,VLOOKUP($C27,노선구성!$B$47:$Y$60,21,0),0))</f>
        <v>624.10176000000001</v>
      </c>
      <c r="R27" s="139">
        <f>IF(Q27&gt;0,Q27,IF($E27=R$4,VLOOKUP($C27,노선구성!$B$47:$Y$60,21,0),0))</f>
        <v>624.10176000000001</v>
      </c>
      <c r="S27" s="139">
        <f>IF(R27&gt;0,R27,IF($E27=S$4,VLOOKUP($C27,노선구성!$B$47:$Y$60,21,0),0))</f>
        <v>624.10176000000001</v>
      </c>
      <c r="T27" s="139">
        <f>IF(S27&gt;0,S27,IF($E27=T$4,VLOOKUP($C27,노선구성!$B$47:$Y$60,21,0),0))</f>
        <v>624.10176000000001</v>
      </c>
      <c r="U27" s="139">
        <f>IF(T27&gt;0,T27,IF($E27=U$4,VLOOKUP($C27,노선구성!$B$47:$Y$60,21,0),0))</f>
        <v>624.10176000000001</v>
      </c>
      <c r="V27" s="139">
        <f>IF(U27&gt;0,U27,IF($E27=V$4,VLOOKUP($C27,노선구성!$B$47:$Y$60,21,0),0))</f>
        <v>624.10176000000001</v>
      </c>
      <c r="W27" s="139">
        <f>IF(V27&gt;0,V27,IF($E27=W$4,VLOOKUP($C27,노선구성!$B$47:$Y$60,21,0),0))</f>
        <v>624.10176000000001</v>
      </c>
      <c r="X27" s="139">
        <f>IF(W27&gt;0,W27,IF($E27=X$4,VLOOKUP($C27,노선구성!$B$47:$Y$60,21,0),0))</f>
        <v>624.10176000000001</v>
      </c>
      <c r="Y27" s="139">
        <f>IF(X27&gt;0,X27,IF($E27=Y$4,VLOOKUP($C27,노선구성!$B$47:$Y$60,21,0),0))</f>
        <v>624.10176000000001</v>
      </c>
      <c r="Z27" s="139">
        <f>IF(Y27&gt;0,Y27,IF($E27=Z$4,VLOOKUP($C27,노선구성!$B$47:$Y$60,21,0),0))</f>
        <v>624.10176000000001</v>
      </c>
      <c r="AA27" s="139">
        <f>IF(Z27&gt;0,Z27,IF($E27=AA$4,VLOOKUP($C27,노선구성!$B$47:$Y$60,21,0),0))</f>
        <v>624.10176000000001</v>
      </c>
      <c r="AB27" s="139">
        <f>IF(AA27&gt;0,AA27,IF($E27=AB$4,VLOOKUP($C27,노선구성!$B$47:$Y$60,21,0),0))</f>
        <v>624.10176000000001</v>
      </c>
      <c r="AC27" s="139">
        <f>IF(AB27&gt;0,AB27,IF($E27=AC$4,VLOOKUP($C27,노선구성!$B$47:$Y$60,21,0),0))</f>
        <v>624.10176000000001</v>
      </c>
      <c r="AD27" s="139">
        <f>IF(AC27&gt;0,AC27,IF($E27=AD$4,VLOOKUP($C27,노선구성!$B$47:$Y$60,21,0),0))</f>
        <v>624.10176000000001</v>
      </c>
      <c r="AE27" s="139">
        <f>IF(AD27&gt;0,AD27,IF($E27=AE$4,VLOOKUP($C27,노선구성!$B$47:$Y$60,21,0),0))</f>
        <v>624.10176000000001</v>
      </c>
      <c r="AF27" s="139">
        <f>IF(AE27&gt;0,AE27,IF($E27=AF$4,VLOOKUP($C27,노선구성!$B$47:$Y$60,21,0),0))</f>
        <v>624.10176000000001</v>
      </c>
      <c r="AG27" s="139">
        <f>IF(AF27&gt;0,AF27,IF($E27=AG$4,VLOOKUP($C27,노선구성!$B$47:$Y$60,21,0),0))</f>
        <v>624.10176000000001</v>
      </c>
      <c r="AH27" s="139">
        <f>IF(AG27&gt;0,AG27,IF($E27=AH$4,VLOOKUP($C27,노선구성!$B$47:$Y$60,21,0),0))</f>
        <v>624.10176000000001</v>
      </c>
      <c r="AI27" s="139">
        <f>IF(AH27&gt;0,AH27,IF($E27=AI$4,VLOOKUP($C27,노선구성!$B$47:$Y$60,21,0),0))</f>
        <v>624.10176000000001</v>
      </c>
      <c r="AJ27" s="139">
        <f>IF(AI27&gt;0,AI27,IF($E27=AJ$4,VLOOKUP($C27,노선구성!$B$47:$Y$60,21,0),0))</f>
        <v>624.10176000000001</v>
      </c>
      <c r="AK27" s="139">
        <f>IF(AJ27&gt;0,AJ27,IF($E27=AK$4,VLOOKUP($C27,노선구성!$B$47:$Y$60,21,0),0))</f>
        <v>624.10176000000001</v>
      </c>
      <c r="AL27" s="139">
        <f>IF(AK27&gt;0,AK27,IF($E27=AL$4,VLOOKUP($C27,노선구성!$B$47:$Y$60,21,0),0))</f>
        <v>624.10176000000001</v>
      </c>
      <c r="AM27" s="139">
        <f>IF(AL27&gt;0,AL27,IF($E27=AM$4,VLOOKUP($C27,노선구성!$B$47:$Y$60,21,0),0))</f>
        <v>624.10176000000001</v>
      </c>
      <c r="AN27" s="139">
        <f>IF(AM27&gt;0,AM27,IF($E27=AN$4,VLOOKUP($C27,노선구성!$B$47:$Y$60,21,0),0))</f>
        <v>624.10176000000001</v>
      </c>
      <c r="AO27" s="139">
        <f>IF(AN27&gt;0,AN27,IF($E27=AO$4,VLOOKUP($C27,노선구성!$B$47:$Y$60,21,0),0))</f>
        <v>624.10176000000001</v>
      </c>
      <c r="AP27" s="139">
        <f>IF(AO27&gt;0,AO27,IF($E27=AP$4,VLOOKUP($C27,노선구성!$B$47:$Y$60,21,0),0))</f>
        <v>624.10176000000001</v>
      </c>
      <c r="AQ27" s="139">
        <f>IF(AP27&gt;0,AP27,IF($E27=AQ$4,VLOOKUP($C27,노선구성!$B$47:$Y$60,21,0),0))</f>
        <v>624.10176000000001</v>
      </c>
      <c r="AR27" s="139">
        <f>IF(AQ27&gt;0,AQ27,IF($E27=AR$4,VLOOKUP($C27,노선구성!$B$47:$Y$60,21,0),0))</f>
        <v>624.10176000000001</v>
      </c>
      <c r="AS27" s="139">
        <f>IF(AR27&gt;0,AR27,IF($E27=AS$4,VLOOKUP($C27,노선구성!$B$47:$Y$60,21,0),0))</f>
        <v>624.10176000000001</v>
      </c>
      <c r="AT27" s="139">
        <f>IF(AS27&gt;0,AS27,IF($E27=AT$4,VLOOKUP($C27,노선구성!$B$47:$Y$60,21,0),0))</f>
        <v>624.10176000000001</v>
      </c>
      <c r="AU27" s="139">
        <f>IF(AT27&gt;0,AT27,IF($E27=AU$4,VLOOKUP($C27,노선구성!$B$47:$Y$60,21,0),0))</f>
        <v>624.10176000000001</v>
      </c>
      <c r="AV27" s="139">
        <f>IF(AU27&gt;0,AU27,IF($E27=AV$4,VLOOKUP($C27,노선구성!$B$47:$Y$60,21,0),0))</f>
        <v>624.10176000000001</v>
      </c>
      <c r="AW27" s="139">
        <f>IF(AV27&gt;0,AV27,IF($E27=AW$4,VLOOKUP($C27,노선구성!$B$47:$Y$60,21,0),0))</f>
        <v>624.10176000000001</v>
      </c>
      <c r="AX27" s="139">
        <f>IF(AW27&gt;0,AW27,IF($E27=AX$4,VLOOKUP($C27,노선구성!$B$47:$Y$60,21,0),0))</f>
        <v>624.10176000000001</v>
      </c>
      <c r="AY27" s="139">
        <f>IF(AX27&gt;0,AX27,IF($E27=AY$4,VLOOKUP($C27,노선구성!$B$47:$Y$60,21,0),0))</f>
        <v>624.10176000000001</v>
      </c>
      <c r="AZ27" s="139">
        <f>IF(AY27&gt;0,AY27,IF($E27=AZ$4,VLOOKUP($C27,노선구성!$B$47:$Y$60,21,0),0))</f>
        <v>624.10176000000001</v>
      </c>
      <c r="BA27" s="139">
        <f>IF(AZ27&gt;0,AZ27,IF($E27=BA$4,VLOOKUP($C27,노선구성!$B$47:$Y$60,21,0),0))</f>
        <v>624.10176000000001</v>
      </c>
      <c r="BB27" s="139">
        <f>IF(BA27&gt;0,BA27,IF($E27=BB$4,VLOOKUP($C27,노선구성!$B$47:$Y$60,21,0),0))</f>
        <v>624.10176000000001</v>
      </c>
      <c r="BC27" s="139">
        <f>IF(BB27&gt;0,BB27,IF($E27=BC$4,VLOOKUP($C27,노선구성!$B$47:$Y$60,21,0),0))</f>
        <v>624.10176000000001</v>
      </c>
      <c r="BD27" s="139">
        <f>IF(BC27&gt;0,BC27,IF($E27=BD$4,VLOOKUP($C27,노선구성!$B$47:$Y$60,21,0),0))</f>
        <v>624.10176000000001</v>
      </c>
      <c r="BE27" s="139">
        <f>IF(BD27&gt;0,BD27,IF($E27=BE$4,VLOOKUP($C27,노선구성!$B$47:$Y$60,21,0),0))</f>
        <v>624.10176000000001</v>
      </c>
      <c r="BF27" s="139">
        <f>IF(BE27&gt;0,BE27,IF($E27=BF$4,VLOOKUP($C27,노선구성!$B$47:$Y$60,21,0),0))</f>
        <v>624.10176000000001</v>
      </c>
      <c r="BG27" s="139">
        <f>IF(BF27&gt;0,BF27,IF($E27=BG$4,VLOOKUP($C27,노선구성!$B$47:$Y$60,21,0),0))</f>
        <v>624.10176000000001</v>
      </c>
      <c r="BH27" s="139">
        <f>IF(BG27&gt;0,BG27,IF($E27=BH$4,VLOOKUP($C27,노선구성!$B$47:$Y$60,21,0),0))</f>
        <v>624.10176000000001</v>
      </c>
      <c r="BI27" s="139">
        <f>IF(BH27&gt;0,BH27,IF($E27=BI$4,VLOOKUP($C27,노선구성!$B$47:$Y$60,21,0),0))</f>
        <v>624.10176000000001</v>
      </c>
      <c r="BJ27" s="139">
        <f>IF(BI27&gt;0,BI27,IF($E27=BJ$4,VLOOKUP($C27,노선구성!$B$47:$Y$60,21,0),0))</f>
        <v>624.10176000000001</v>
      </c>
      <c r="BK27" s="139">
        <f>IF(BJ27&gt;0,BJ27,IF($E27=BK$4,VLOOKUP($C27,노선구성!$B$47:$Y$60,21,0),0))</f>
        <v>624.10176000000001</v>
      </c>
      <c r="BL27" s="139">
        <f>IF(BK27&gt;0,BK27,IF($E27=BL$4,VLOOKUP($C27,노선구성!$B$47:$Y$60,21,0),0))</f>
        <v>624.10176000000001</v>
      </c>
      <c r="BM27" s="139">
        <f>IF(BL27&gt;0,BL27,IF($E27=BM$4,VLOOKUP($C27,노선구성!$B$47:$Y$60,21,0),0))</f>
        <v>624.10176000000001</v>
      </c>
      <c r="BN27" s="139">
        <f>IF(BM27&gt;0,BM27,IF($E27=BN$4,VLOOKUP($C27,노선구성!$B$47:$Y$60,21,0),0))</f>
        <v>624.10176000000001</v>
      </c>
      <c r="BO27" s="139">
        <f>IF(BN27&gt;0,BN27,IF($E27=BO$4,VLOOKUP($C27,노선구성!$B$47:$Y$60,21,0),0))</f>
        <v>624.10176000000001</v>
      </c>
      <c r="BQ27" s="155"/>
      <c r="BR27" s="155"/>
      <c r="BS27" s="155"/>
      <c r="BT27" s="155"/>
      <c r="BU27" s="155"/>
    </row>
    <row r="28" spans="2:79" outlineLevel="1">
      <c r="C28" s="139">
        <f t="shared" ref="C28:E28" si="4">C14</f>
        <v>5</v>
      </c>
      <c r="D28" s="139">
        <f t="shared" si="4"/>
        <v>737</v>
      </c>
      <c r="E28" s="139" t="str">
        <f t="shared" si="4"/>
        <v>M13</v>
      </c>
      <c r="H28" s="139">
        <f>IF($E28=H$4,VLOOKUP($C28,노선구성!$B$47:$Y$60,21,0),0)</f>
        <v>0</v>
      </c>
      <c r="I28" s="139">
        <f>IF(H28&gt;0,H28,IF($E28=I$4,VLOOKUP($C28,노선구성!$B$47:$Y$60,21,0),0))</f>
        <v>0</v>
      </c>
      <c r="J28" s="139">
        <f>IF(I28&gt;0,I28,IF($E28=J$4,VLOOKUP($C28,노선구성!$B$47:$Y$60,21,0),0))</f>
        <v>0</v>
      </c>
      <c r="K28" s="139">
        <f>IF(J28&gt;0,J28,IF($E28=K$4,VLOOKUP($C28,노선구성!$B$47:$Y$60,21,0),0))</f>
        <v>0</v>
      </c>
      <c r="L28" s="139">
        <f>IF(K28&gt;0,K28,IF($E28=L$4,VLOOKUP($C28,노선구성!$B$47:$Y$60,21,0),0))</f>
        <v>0</v>
      </c>
      <c r="M28" s="139">
        <f>IF(L28&gt;0,L28,IF($E28=M$4,VLOOKUP($C28,노선구성!$B$47:$Y$60,21,0),0))</f>
        <v>0</v>
      </c>
      <c r="N28" s="139">
        <f>IF(M28&gt;0,M28,IF($E28=N$4,VLOOKUP($C28,노선구성!$B$47:$Y$60,21,0),0))</f>
        <v>0</v>
      </c>
      <c r="O28" s="139">
        <f>IF(N28&gt;0,N28,IF($E28=O$4,VLOOKUP($C28,노선구성!$B$47:$Y$60,21,0),0))</f>
        <v>0</v>
      </c>
      <c r="P28" s="139">
        <f>IF(O28&gt;0,O28,IF($E28=P$4,VLOOKUP($C28,노선구성!$B$47:$Y$60,21,0),0))</f>
        <v>0</v>
      </c>
      <c r="Q28" s="139">
        <f>IF(P28&gt;0,P28,IF($E28=Q$4,VLOOKUP($C28,노선구성!$B$47:$Y$60,21,0),0))</f>
        <v>0</v>
      </c>
      <c r="R28" s="139">
        <f>IF(Q28&gt;0,Q28,IF($E28=R$4,VLOOKUP($C28,노선구성!$B$47:$Y$60,21,0),0))</f>
        <v>0</v>
      </c>
      <c r="S28" s="139">
        <f>IF(R28&gt;0,R28,IF($E28=S$4,VLOOKUP($C28,노선구성!$B$47:$Y$60,21,0),0))</f>
        <v>0</v>
      </c>
      <c r="T28" s="139">
        <f>IF(S28&gt;0,S28,IF($E28=T$4,VLOOKUP($C28,노선구성!$B$47:$Y$60,21,0),0))</f>
        <v>324.89976857142858</v>
      </c>
      <c r="U28" s="139">
        <f>IF(T28&gt;0,T28,IF($E28=U$4,VLOOKUP($C28,노선구성!$B$47:$Y$60,21,0),0))</f>
        <v>324.89976857142858</v>
      </c>
      <c r="V28" s="139">
        <f>IF(U28&gt;0,U28,IF($E28=V$4,VLOOKUP($C28,노선구성!$B$47:$Y$60,21,0),0))</f>
        <v>324.89976857142858</v>
      </c>
      <c r="W28" s="139">
        <f>IF(V28&gt;0,V28,IF($E28=W$4,VLOOKUP($C28,노선구성!$B$47:$Y$60,21,0),0))</f>
        <v>324.89976857142858</v>
      </c>
      <c r="X28" s="139">
        <f>IF(W28&gt;0,W28,IF($E28=X$4,VLOOKUP($C28,노선구성!$B$47:$Y$60,21,0),0))</f>
        <v>324.89976857142858</v>
      </c>
      <c r="Y28" s="139">
        <f>IF(X28&gt;0,X28,IF($E28=Y$4,VLOOKUP($C28,노선구성!$B$47:$Y$60,21,0),0))</f>
        <v>324.89976857142858</v>
      </c>
      <c r="Z28" s="139">
        <f>IF(Y28&gt;0,Y28,IF($E28=Z$4,VLOOKUP($C28,노선구성!$B$47:$Y$60,21,0),0))</f>
        <v>324.89976857142858</v>
      </c>
      <c r="AA28" s="139">
        <f>IF(Z28&gt;0,Z28,IF($E28=AA$4,VLOOKUP($C28,노선구성!$B$47:$Y$60,21,0),0))</f>
        <v>324.89976857142858</v>
      </c>
      <c r="AB28" s="139">
        <f>IF(AA28&gt;0,AA28,IF($E28=AB$4,VLOOKUP($C28,노선구성!$B$47:$Y$60,21,0),0))</f>
        <v>324.89976857142858</v>
      </c>
      <c r="AC28" s="139">
        <f>IF(AB28&gt;0,AB28,IF($E28=AC$4,VLOOKUP($C28,노선구성!$B$47:$Y$60,21,0),0))</f>
        <v>324.89976857142858</v>
      </c>
      <c r="AD28" s="139">
        <f>IF(AC28&gt;0,AC28,IF($E28=AD$4,VLOOKUP($C28,노선구성!$B$47:$Y$60,21,0),0))</f>
        <v>324.89976857142858</v>
      </c>
      <c r="AE28" s="139">
        <f>IF(AD28&gt;0,AD28,IF($E28=AE$4,VLOOKUP($C28,노선구성!$B$47:$Y$60,21,0),0))</f>
        <v>324.89976857142858</v>
      </c>
      <c r="AF28" s="139">
        <f>IF(AE28&gt;0,AE28,IF($E28=AF$4,VLOOKUP($C28,노선구성!$B$47:$Y$60,21,0),0))</f>
        <v>324.89976857142858</v>
      </c>
      <c r="AG28" s="139">
        <f>IF(AF28&gt;0,AF28,IF($E28=AG$4,VLOOKUP($C28,노선구성!$B$47:$Y$60,21,0),0))</f>
        <v>324.89976857142858</v>
      </c>
      <c r="AH28" s="139">
        <f>IF(AG28&gt;0,AG28,IF($E28=AH$4,VLOOKUP($C28,노선구성!$B$47:$Y$60,21,0),0))</f>
        <v>324.89976857142858</v>
      </c>
      <c r="AI28" s="139">
        <f>IF(AH28&gt;0,AH28,IF($E28=AI$4,VLOOKUP($C28,노선구성!$B$47:$Y$60,21,0),0))</f>
        <v>324.89976857142858</v>
      </c>
      <c r="AJ28" s="139">
        <f>IF(AI28&gt;0,AI28,IF($E28=AJ$4,VLOOKUP($C28,노선구성!$B$47:$Y$60,21,0),0))</f>
        <v>324.89976857142858</v>
      </c>
      <c r="AK28" s="139">
        <f>IF(AJ28&gt;0,AJ28,IF($E28=AK$4,VLOOKUP($C28,노선구성!$B$47:$Y$60,21,0),0))</f>
        <v>324.89976857142858</v>
      </c>
      <c r="AL28" s="139">
        <f>IF(AK28&gt;0,AK28,IF($E28=AL$4,VLOOKUP($C28,노선구성!$B$47:$Y$60,21,0),0))</f>
        <v>324.89976857142858</v>
      </c>
      <c r="AM28" s="139">
        <f>IF(AL28&gt;0,AL28,IF($E28=AM$4,VLOOKUP($C28,노선구성!$B$47:$Y$60,21,0),0))</f>
        <v>324.89976857142858</v>
      </c>
      <c r="AN28" s="139">
        <f>IF(AM28&gt;0,AM28,IF($E28=AN$4,VLOOKUP($C28,노선구성!$B$47:$Y$60,21,0),0))</f>
        <v>324.89976857142858</v>
      </c>
      <c r="AO28" s="139">
        <f>IF(AN28&gt;0,AN28,IF($E28=AO$4,VLOOKUP($C28,노선구성!$B$47:$Y$60,21,0),0))</f>
        <v>324.89976857142858</v>
      </c>
      <c r="AP28" s="139">
        <f>IF(AO28&gt;0,AO28,IF($E28=AP$4,VLOOKUP($C28,노선구성!$B$47:$Y$60,21,0),0))</f>
        <v>324.89976857142858</v>
      </c>
      <c r="AQ28" s="139">
        <f>IF(AP28&gt;0,AP28,IF($E28=AQ$4,VLOOKUP($C28,노선구성!$B$47:$Y$60,21,0),0))</f>
        <v>324.89976857142858</v>
      </c>
      <c r="AR28" s="139">
        <f>IF(AQ28&gt;0,AQ28,IF($E28=AR$4,VLOOKUP($C28,노선구성!$B$47:$Y$60,21,0),0))</f>
        <v>324.89976857142858</v>
      </c>
      <c r="AS28" s="139">
        <f>IF(AR28&gt;0,AR28,IF($E28=AS$4,VLOOKUP($C28,노선구성!$B$47:$Y$60,21,0),0))</f>
        <v>324.89976857142858</v>
      </c>
      <c r="AT28" s="139">
        <f>IF(AS28&gt;0,AS28,IF($E28=AT$4,VLOOKUP($C28,노선구성!$B$47:$Y$60,21,0),0))</f>
        <v>324.89976857142858</v>
      </c>
      <c r="AU28" s="139">
        <f>IF(AT28&gt;0,AT28,IF($E28=AU$4,VLOOKUP($C28,노선구성!$B$47:$Y$60,21,0),0))</f>
        <v>324.89976857142858</v>
      </c>
      <c r="AV28" s="139">
        <f>IF(AU28&gt;0,AU28,IF($E28=AV$4,VLOOKUP($C28,노선구성!$B$47:$Y$60,21,0),0))</f>
        <v>324.89976857142858</v>
      </c>
      <c r="AW28" s="139">
        <f>IF(AV28&gt;0,AV28,IF($E28=AW$4,VLOOKUP($C28,노선구성!$B$47:$Y$60,21,0),0))</f>
        <v>324.89976857142858</v>
      </c>
      <c r="AX28" s="139">
        <f>IF(AW28&gt;0,AW28,IF($E28=AX$4,VLOOKUP($C28,노선구성!$B$47:$Y$60,21,0),0))</f>
        <v>324.89976857142858</v>
      </c>
      <c r="AY28" s="139">
        <f>IF(AX28&gt;0,AX28,IF($E28=AY$4,VLOOKUP($C28,노선구성!$B$47:$Y$60,21,0),0))</f>
        <v>324.89976857142858</v>
      </c>
      <c r="AZ28" s="139">
        <f>IF(AY28&gt;0,AY28,IF($E28=AZ$4,VLOOKUP($C28,노선구성!$B$47:$Y$60,21,0),0))</f>
        <v>324.89976857142858</v>
      </c>
      <c r="BA28" s="139">
        <f>IF(AZ28&gt;0,AZ28,IF($E28=BA$4,VLOOKUP($C28,노선구성!$B$47:$Y$60,21,0),0))</f>
        <v>324.89976857142858</v>
      </c>
      <c r="BB28" s="139">
        <f>IF(BA28&gt;0,BA28,IF($E28=BB$4,VLOOKUP($C28,노선구성!$B$47:$Y$60,21,0),0))</f>
        <v>324.89976857142858</v>
      </c>
      <c r="BC28" s="139">
        <f>IF(BB28&gt;0,BB28,IF($E28=BC$4,VLOOKUP($C28,노선구성!$B$47:$Y$60,21,0),0))</f>
        <v>324.89976857142858</v>
      </c>
      <c r="BD28" s="139">
        <f>IF(BC28&gt;0,BC28,IF($E28=BD$4,VLOOKUP($C28,노선구성!$B$47:$Y$60,21,0),0))</f>
        <v>324.89976857142858</v>
      </c>
      <c r="BE28" s="139">
        <f>IF(BD28&gt;0,BD28,IF($E28=BE$4,VLOOKUP($C28,노선구성!$B$47:$Y$60,21,0),0))</f>
        <v>324.89976857142858</v>
      </c>
      <c r="BF28" s="139">
        <f>IF(BE28&gt;0,BE28,IF($E28=BF$4,VLOOKUP($C28,노선구성!$B$47:$Y$60,21,0),0))</f>
        <v>324.89976857142858</v>
      </c>
      <c r="BG28" s="139">
        <f>IF(BF28&gt;0,BF28,IF($E28=BG$4,VLOOKUP($C28,노선구성!$B$47:$Y$60,21,0),0))</f>
        <v>324.89976857142858</v>
      </c>
      <c r="BH28" s="139">
        <f>IF(BG28&gt;0,BG28,IF($E28=BH$4,VLOOKUP($C28,노선구성!$B$47:$Y$60,21,0),0))</f>
        <v>324.89976857142858</v>
      </c>
      <c r="BI28" s="139">
        <f>IF(BH28&gt;0,BH28,IF($E28=BI$4,VLOOKUP($C28,노선구성!$B$47:$Y$60,21,0),0))</f>
        <v>324.89976857142858</v>
      </c>
      <c r="BJ28" s="139">
        <f>IF(BI28&gt;0,BI28,IF($E28=BJ$4,VLOOKUP($C28,노선구성!$B$47:$Y$60,21,0),0))</f>
        <v>324.89976857142858</v>
      </c>
      <c r="BK28" s="139">
        <f>IF(BJ28&gt;0,BJ28,IF($E28=BK$4,VLOOKUP($C28,노선구성!$B$47:$Y$60,21,0),0))</f>
        <v>324.89976857142858</v>
      </c>
      <c r="BL28" s="139">
        <f>IF(BK28&gt;0,BK28,IF($E28=BL$4,VLOOKUP($C28,노선구성!$B$47:$Y$60,21,0),0))</f>
        <v>324.89976857142858</v>
      </c>
      <c r="BM28" s="139">
        <f>IF(BL28&gt;0,BL28,IF($E28=BM$4,VLOOKUP($C28,노선구성!$B$47:$Y$60,21,0),0))</f>
        <v>324.89976857142858</v>
      </c>
      <c r="BN28" s="139">
        <f>IF(BM28&gt;0,BM28,IF($E28=BN$4,VLOOKUP($C28,노선구성!$B$47:$Y$60,21,0),0))</f>
        <v>324.89976857142858</v>
      </c>
      <c r="BO28" s="139">
        <f>IF(BN28&gt;0,BN28,IF($E28=BO$4,VLOOKUP($C28,노선구성!$B$47:$Y$60,21,0),0))</f>
        <v>324.89976857142858</v>
      </c>
      <c r="BQ28" s="155"/>
      <c r="BR28" s="155"/>
      <c r="BS28" s="155"/>
      <c r="BT28" s="155"/>
      <c r="BU28" s="155"/>
    </row>
    <row r="29" spans="2:79" outlineLevel="1">
      <c r="C29" s="139">
        <f t="shared" ref="C29:E29" si="5">C15</f>
        <v>6</v>
      </c>
      <c r="D29" s="139">
        <f t="shared" si="5"/>
        <v>767</v>
      </c>
      <c r="E29" s="139" t="str">
        <f t="shared" si="5"/>
        <v>M19</v>
      </c>
      <c r="H29" s="139">
        <f>IF($E29=H$4,VLOOKUP($C29,노선구성!$B$47:$Y$60,21,0),0)</f>
        <v>0</v>
      </c>
      <c r="I29" s="139">
        <f>IF(H29&gt;0,H29,IF($E29=I$4,VLOOKUP($C29,노선구성!$B$47:$Y$60,21,0),0))</f>
        <v>0</v>
      </c>
      <c r="J29" s="139">
        <f>IF(I29&gt;0,I29,IF($E29=J$4,VLOOKUP($C29,노선구성!$B$47:$Y$60,21,0),0))</f>
        <v>0</v>
      </c>
      <c r="K29" s="139">
        <f>IF(J29&gt;0,J29,IF($E29=K$4,VLOOKUP($C29,노선구성!$B$47:$Y$60,21,0),0))</f>
        <v>0</v>
      </c>
      <c r="L29" s="139">
        <f>IF(K29&gt;0,K29,IF($E29=L$4,VLOOKUP($C29,노선구성!$B$47:$Y$60,21,0),0))</f>
        <v>0</v>
      </c>
      <c r="M29" s="139">
        <f>IF(L29&gt;0,L29,IF($E29=M$4,VLOOKUP($C29,노선구성!$B$47:$Y$60,21,0),0))</f>
        <v>0</v>
      </c>
      <c r="N29" s="139">
        <f>IF(M29&gt;0,M29,IF($E29=N$4,VLOOKUP($C29,노선구성!$B$47:$Y$60,21,0),0))</f>
        <v>0</v>
      </c>
      <c r="O29" s="139">
        <f>IF(N29&gt;0,N29,IF($E29=O$4,VLOOKUP($C29,노선구성!$B$47:$Y$60,21,0),0))</f>
        <v>0</v>
      </c>
      <c r="P29" s="139">
        <f>IF(O29&gt;0,O29,IF($E29=P$4,VLOOKUP($C29,노선구성!$B$47:$Y$60,21,0),0))</f>
        <v>0</v>
      </c>
      <c r="Q29" s="139">
        <f>IF(P29&gt;0,P29,IF($E29=Q$4,VLOOKUP($C29,노선구성!$B$47:$Y$60,21,0),0))</f>
        <v>0</v>
      </c>
      <c r="R29" s="139">
        <f>IF(Q29&gt;0,Q29,IF($E29=R$4,VLOOKUP($C29,노선구성!$B$47:$Y$60,21,0),0))</f>
        <v>0</v>
      </c>
      <c r="S29" s="139">
        <f>IF(R29&gt;0,R29,IF($E29=S$4,VLOOKUP($C29,노선구성!$B$47:$Y$60,21,0),0))</f>
        <v>0</v>
      </c>
      <c r="T29" s="139">
        <f>IF(S29&gt;0,S29,IF($E29=T$4,VLOOKUP($C29,노선구성!$B$47:$Y$60,21,0),0))</f>
        <v>0</v>
      </c>
      <c r="U29" s="139">
        <f>IF(T29&gt;0,T29,IF($E29=U$4,VLOOKUP($C29,노선구성!$B$47:$Y$60,21,0),0))</f>
        <v>0</v>
      </c>
      <c r="V29" s="139">
        <f>IF(U29&gt;0,U29,IF($E29=V$4,VLOOKUP($C29,노선구성!$B$47:$Y$60,21,0),0))</f>
        <v>0</v>
      </c>
      <c r="W29" s="139">
        <f>IF(V29&gt;0,V29,IF($E29=W$4,VLOOKUP($C29,노선구성!$B$47:$Y$60,21,0),0))</f>
        <v>0</v>
      </c>
      <c r="X29" s="139">
        <f>IF(W29&gt;0,W29,IF($E29=X$4,VLOOKUP($C29,노선구성!$B$47:$Y$60,21,0),0))</f>
        <v>0</v>
      </c>
      <c r="Y29" s="139">
        <f>IF(X29&gt;0,X29,IF($E29=Y$4,VLOOKUP($C29,노선구성!$B$47:$Y$60,21,0),0))</f>
        <v>0</v>
      </c>
      <c r="Z29" s="139">
        <f>IF(Y29&gt;0,Y29,IF($E29=Z$4,VLOOKUP($C29,노선구성!$B$47:$Y$60,21,0),0))</f>
        <v>720.76222285714277</v>
      </c>
      <c r="AA29" s="139">
        <f>IF(Z29&gt;0,Z29,IF($E29=AA$4,VLOOKUP($C29,노선구성!$B$47:$Y$60,21,0),0))</f>
        <v>720.76222285714277</v>
      </c>
      <c r="AB29" s="139">
        <f>IF(AA29&gt;0,AA29,IF($E29=AB$4,VLOOKUP($C29,노선구성!$B$47:$Y$60,21,0),0))</f>
        <v>720.76222285714277</v>
      </c>
      <c r="AC29" s="139">
        <f>IF(AB29&gt;0,AB29,IF($E29=AC$4,VLOOKUP($C29,노선구성!$B$47:$Y$60,21,0),0))</f>
        <v>720.76222285714277</v>
      </c>
      <c r="AD29" s="139">
        <f>IF(AC29&gt;0,AC29,IF($E29=AD$4,VLOOKUP($C29,노선구성!$B$47:$Y$60,21,0),0))</f>
        <v>720.76222285714277</v>
      </c>
      <c r="AE29" s="139">
        <f>IF(AD29&gt;0,AD29,IF($E29=AE$4,VLOOKUP($C29,노선구성!$B$47:$Y$60,21,0),0))</f>
        <v>720.76222285714277</v>
      </c>
      <c r="AF29" s="139">
        <f>IF(AE29&gt;0,AE29,IF($E29=AF$4,VLOOKUP($C29,노선구성!$B$47:$Y$60,21,0),0))</f>
        <v>720.76222285714277</v>
      </c>
      <c r="AG29" s="139">
        <f>IF(AF29&gt;0,AF29,IF($E29=AG$4,VLOOKUP($C29,노선구성!$B$47:$Y$60,21,0),0))</f>
        <v>720.76222285714277</v>
      </c>
      <c r="AH29" s="139">
        <f>IF(AG29&gt;0,AG29,IF($E29=AH$4,VLOOKUP($C29,노선구성!$B$47:$Y$60,21,0),0))</f>
        <v>720.76222285714277</v>
      </c>
      <c r="AI29" s="139">
        <f>IF(AH29&gt;0,AH29,IF($E29=AI$4,VLOOKUP($C29,노선구성!$B$47:$Y$60,21,0),0))</f>
        <v>720.76222285714277</v>
      </c>
      <c r="AJ29" s="139">
        <f>IF(AI29&gt;0,AI29,IF($E29=AJ$4,VLOOKUP($C29,노선구성!$B$47:$Y$60,21,0),0))</f>
        <v>720.76222285714277</v>
      </c>
      <c r="AK29" s="139">
        <f>IF(AJ29&gt;0,AJ29,IF($E29=AK$4,VLOOKUP($C29,노선구성!$B$47:$Y$60,21,0),0))</f>
        <v>720.76222285714277</v>
      </c>
      <c r="AL29" s="139">
        <f>IF(AK29&gt;0,AK29,IF($E29=AL$4,VLOOKUP($C29,노선구성!$B$47:$Y$60,21,0),0))</f>
        <v>720.76222285714277</v>
      </c>
      <c r="AM29" s="139">
        <f>IF(AL29&gt;0,AL29,IF($E29=AM$4,VLOOKUP($C29,노선구성!$B$47:$Y$60,21,0),0))</f>
        <v>720.76222285714277</v>
      </c>
      <c r="AN29" s="139">
        <f>IF(AM29&gt;0,AM29,IF($E29=AN$4,VLOOKUP($C29,노선구성!$B$47:$Y$60,21,0),0))</f>
        <v>720.76222285714277</v>
      </c>
      <c r="AO29" s="139">
        <f>IF(AN29&gt;0,AN29,IF($E29=AO$4,VLOOKUP($C29,노선구성!$B$47:$Y$60,21,0),0))</f>
        <v>720.76222285714277</v>
      </c>
      <c r="AP29" s="139">
        <f>IF(AO29&gt;0,AO29,IF($E29=AP$4,VLOOKUP($C29,노선구성!$B$47:$Y$60,21,0),0))</f>
        <v>720.76222285714277</v>
      </c>
      <c r="AQ29" s="139">
        <f>IF(AP29&gt;0,AP29,IF($E29=AQ$4,VLOOKUP($C29,노선구성!$B$47:$Y$60,21,0),0))</f>
        <v>720.76222285714277</v>
      </c>
      <c r="AR29" s="139">
        <f>IF(AQ29&gt;0,AQ29,IF($E29=AR$4,VLOOKUP($C29,노선구성!$B$47:$Y$60,21,0),0))</f>
        <v>720.76222285714277</v>
      </c>
      <c r="AS29" s="139">
        <f>IF(AR29&gt;0,AR29,IF($E29=AS$4,VLOOKUP($C29,노선구성!$B$47:$Y$60,21,0),0))</f>
        <v>720.76222285714277</v>
      </c>
      <c r="AT29" s="139">
        <f>IF(AS29&gt;0,AS29,IF($E29=AT$4,VLOOKUP($C29,노선구성!$B$47:$Y$60,21,0),0))</f>
        <v>720.76222285714277</v>
      </c>
      <c r="AU29" s="139">
        <f>IF(AT29&gt;0,AT29,IF($E29=AU$4,VLOOKUP($C29,노선구성!$B$47:$Y$60,21,0),0))</f>
        <v>720.76222285714277</v>
      </c>
      <c r="AV29" s="139">
        <f>IF(AU29&gt;0,AU29,IF($E29=AV$4,VLOOKUP($C29,노선구성!$B$47:$Y$60,21,0),0))</f>
        <v>720.76222285714277</v>
      </c>
      <c r="AW29" s="139">
        <f>IF(AV29&gt;0,AV29,IF($E29=AW$4,VLOOKUP($C29,노선구성!$B$47:$Y$60,21,0),0))</f>
        <v>720.76222285714277</v>
      </c>
      <c r="AX29" s="139">
        <f>IF(AW29&gt;0,AW29,IF($E29=AX$4,VLOOKUP($C29,노선구성!$B$47:$Y$60,21,0),0))</f>
        <v>720.76222285714277</v>
      </c>
      <c r="AY29" s="139">
        <f>IF(AX29&gt;0,AX29,IF($E29=AY$4,VLOOKUP($C29,노선구성!$B$47:$Y$60,21,0),0))</f>
        <v>720.76222285714277</v>
      </c>
      <c r="AZ29" s="139">
        <f>IF(AY29&gt;0,AY29,IF($E29=AZ$4,VLOOKUP($C29,노선구성!$B$47:$Y$60,21,0),0))</f>
        <v>720.76222285714277</v>
      </c>
      <c r="BA29" s="139">
        <f>IF(AZ29&gt;0,AZ29,IF($E29=BA$4,VLOOKUP($C29,노선구성!$B$47:$Y$60,21,0),0))</f>
        <v>720.76222285714277</v>
      </c>
      <c r="BB29" s="139">
        <f>IF(BA29&gt;0,BA29,IF($E29=BB$4,VLOOKUP($C29,노선구성!$B$47:$Y$60,21,0),0))</f>
        <v>720.76222285714277</v>
      </c>
      <c r="BC29" s="139">
        <f>IF(BB29&gt;0,BB29,IF($E29=BC$4,VLOOKUP($C29,노선구성!$B$47:$Y$60,21,0),0))</f>
        <v>720.76222285714277</v>
      </c>
      <c r="BD29" s="139">
        <f>IF(BC29&gt;0,BC29,IF($E29=BD$4,VLOOKUP($C29,노선구성!$B$47:$Y$60,21,0),0))</f>
        <v>720.76222285714277</v>
      </c>
      <c r="BE29" s="139">
        <f>IF(BD29&gt;0,BD29,IF($E29=BE$4,VLOOKUP($C29,노선구성!$B$47:$Y$60,21,0),0))</f>
        <v>720.76222285714277</v>
      </c>
      <c r="BF29" s="139">
        <f>IF(BE29&gt;0,BE29,IF($E29=BF$4,VLOOKUP($C29,노선구성!$B$47:$Y$60,21,0),0))</f>
        <v>720.76222285714277</v>
      </c>
      <c r="BG29" s="139">
        <f>IF(BF29&gt;0,BF29,IF($E29=BG$4,VLOOKUP($C29,노선구성!$B$47:$Y$60,21,0),0))</f>
        <v>720.76222285714277</v>
      </c>
      <c r="BH29" s="139">
        <f>IF(BG29&gt;0,BG29,IF($E29=BH$4,VLOOKUP($C29,노선구성!$B$47:$Y$60,21,0),0))</f>
        <v>720.76222285714277</v>
      </c>
      <c r="BI29" s="139">
        <f>IF(BH29&gt;0,BH29,IF($E29=BI$4,VLOOKUP($C29,노선구성!$B$47:$Y$60,21,0),0))</f>
        <v>720.76222285714277</v>
      </c>
      <c r="BJ29" s="139">
        <f>IF(BI29&gt;0,BI29,IF($E29=BJ$4,VLOOKUP($C29,노선구성!$B$47:$Y$60,21,0),0))</f>
        <v>720.76222285714277</v>
      </c>
      <c r="BK29" s="139">
        <f>IF(BJ29&gt;0,BJ29,IF($E29=BK$4,VLOOKUP($C29,노선구성!$B$47:$Y$60,21,0),0))</f>
        <v>720.76222285714277</v>
      </c>
      <c r="BL29" s="139">
        <f>IF(BK29&gt;0,BK29,IF($E29=BL$4,VLOOKUP($C29,노선구성!$B$47:$Y$60,21,0),0))</f>
        <v>720.76222285714277</v>
      </c>
      <c r="BM29" s="139">
        <f>IF(BL29&gt;0,BL29,IF($E29=BM$4,VLOOKUP($C29,노선구성!$B$47:$Y$60,21,0),0))</f>
        <v>720.76222285714277</v>
      </c>
      <c r="BN29" s="139">
        <f>IF(BM29&gt;0,BM29,IF($E29=BN$4,VLOOKUP($C29,노선구성!$B$47:$Y$60,21,0),0))</f>
        <v>720.76222285714277</v>
      </c>
      <c r="BO29" s="139">
        <f>IF(BN29&gt;0,BN29,IF($E29=BO$4,VLOOKUP($C29,노선구성!$B$47:$Y$60,21,0),0))</f>
        <v>720.76222285714277</v>
      </c>
      <c r="BQ29" s="155"/>
      <c r="BR29" s="155"/>
      <c r="BS29" s="155"/>
      <c r="BT29" s="155"/>
      <c r="BU29" s="155"/>
    </row>
    <row r="30" spans="2:79" outlineLevel="1">
      <c r="C30" s="139">
        <f t="shared" ref="C30:E30" si="6">C16</f>
        <v>7</v>
      </c>
      <c r="D30" s="139">
        <f t="shared" si="6"/>
        <v>737</v>
      </c>
      <c r="E30" s="139" t="str">
        <f t="shared" si="6"/>
        <v>M25</v>
      </c>
      <c r="H30" s="139">
        <f>IF($E30=H$4,VLOOKUP($C30,노선구성!$B$47:$Y$60,21,0),0)</f>
        <v>0</v>
      </c>
      <c r="I30" s="139">
        <f>IF(H30&gt;0,H30,IF($E30=I$4,VLOOKUP($C30,노선구성!$B$47:$Y$60,21,0),0))</f>
        <v>0</v>
      </c>
      <c r="J30" s="139">
        <f>IF(I30&gt;0,I30,IF($E30=J$4,VLOOKUP($C30,노선구성!$B$47:$Y$60,21,0),0))</f>
        <v>0</v>
      </c>
      <c r="K30" s="139">
        <f>IF(J30&gt;0,J30,IF($E30=K$4,VLOOKUP($C30,노선구성!$B$47:$Y$60,21,0),0))</f>
        <v>0</v>
      </c>
      <c r="L30" s="139">
        <f>IF(K30&gt;0,K30,IF($E30=L$4,VLOOKUP($C30,노선구성!$B$47:$Y$60,21,0),0))</f>
        <v>0</v>
      </c>
      <c r="M30" s="139">
        <f>IF(L30&gt;0,L30,IF($E30=M$4,VLOOKUP($C30,노선구성!$B$47:$Y$60,21,0),0))</f>
        <v>0</v>
      </c>
      <c r="N30" s="139">
        <f>IF(M30&gt;0,M30,IF($E30=N$4,VLOOKUP($C30,노선구성!$B$47:$Y$60,21,0),0))</f>
        <v>0</v>
      </c>
      <c r="O30" s="139">
        <f>IF(N30&gt;0,N30,IF($E30=O$4,VLOOKUP($C30,노선구성!$B$47:$Y$60,21,0),0))</f>
        <v>0</v>
      </c>
      <c r="P30" s="139">
        <f>IF(O30&gt;0,O30,IF($E30=P$4,VLOOKUP($C30,노선구성!$B$47:$Y$60,21,0),0))</f>
        <v>0</v>
      </c>
      <c r="Q30" s="139">
        <f>IF(P30&gt;0,P30,IF($E30=Q$4,VLOOKUP($C30,노선구성!$B$47:$Y$60,21,0),0))</f>
        <v>0</v>
      </c>
      <c r="R30" s="139">
        <f>IF(Q30&gt;0,Q30,IF($E30=R$4,VLOOKUP($C30,노선구성!$B$47:$Y$60,21,0),0))</f>
        <v>0</v>
      </c>
      <c r="S30" s="139">
        <f>IF(R30&gt;0,R30,IF($E30=S$4,VLOOKUP($C30,노선구성!$B$47:$Y$60,21,0),0))</f>
        <v>0</v>
      </c>
      <c r="T30" s="139">
        <f>IF(S30&gt;0,S30,IF($E30=T$4,VLOOKUP($C30,노선구성!$B$47:$Y$60,21,0),0))</f>
        <v>0</v>
      </c>
      <c r="U30" s="139">
        <f>IF(T30&gt;0,T30,IF($E30=U$4,VLOOKUP($C30,노선구성!$B$47:$Y$60,21,0),0))</f>
        <v>0</v>
      </c>
      <c r="V30" s="139">
        <f>IF(U30&gt;0,U30,IF($E30=V$4,VLOOKUP($C30,노선구성!$B$47:$Y$60,21,0),0))</f>
        <v>0</v>
      </c>
      <c r="W30" s="139">
        <f>IF(V30&gt;0,V30,IF($E30=W$4,VLOOKUP($C30,노선구성!$B$47:$Y$60,21,0),0))</f>
        <v>0</v>
      </c>
      <c r="X30" s="139">
        <f>IF(W30&gt;0,W30,IF($E30=X$4,VLOOKUP($C30,노선구성!$B$47:$Y$60,21,0),0))</f>
        <v>0</v>
      </c>
      <c r="Y30" s="139">
        <f>IF(X30&gt;0,X30,IF($E30=Y$4,VLOOKUP($C30,노선구성!$B$47:$Y$60,21,0),0))</f>
        <v>0</v>
      </c>
      <c r="Z30" s="139">
        <f>IF(Y30&gt;0,Y30,IF($E30=Z$4,VLOOKUP($C30,노선구성!$B$47:$Y$60,21,0),0))</f>
        <v>0</v>
      </c>
      <c r="AA30" s="139">
        <f>IF(Z30&gt;0,Z30,IF($E30=AA$4,VLOOKUP($C30,노선구성!$B$47:$Y$60,21,0),0))</f>
        <v>0</v>
      </c>
      <c r="AB30" s="139">
        <f>IF(AA30&gt;0,AA30,IF($E30=AB$4,VLOOKUP($C30,노선구성!$B$47:$Y$60,21,0),0))</f>
        <v>0</v>
      </c>
      <c r="AC30" s="139">
        <f>IF(AB30&gt;0,AB30,IF($E30=AC$4,VLOOKUP($C30,노선구성!$B$47:$Y$60,21,0),0))</f>
        <v>0</v>
      </c>
      <c r="AD30" s="139">
        <f>IF(AC30&gt;0,AC30,IF($E30=AD$4,VLOOKUP($C30,노선구성!$B$47:$Y$60,21,0),0))</f>
        <v>0</v>
      </c>
      <c r="AE30" s="139">
        <f>IF(AD30&gt;0,AD30,IF($E30=AE$4,VLOOKUP($C30,노선구성!$B$47:$Y$60,21,0),0))</f>
        <v>0</v>
      </c>
      <c r="AF30" s="139">
        <f>IF(AE30&gt;0,AE30,IF($E30=AF$4,VLOOKUP($C30,노선구성!$B$47:$Y$60,21,0),0))</f>
        <v>322.17407742857142</v>
      </c>
      <c r="AG30" s="139">
        <f>IF(AF30&gt;0,AF30,IF($E30=AG$4,VLOOKUP($C30,노선구성!$B$47:$Y$60,21,0),0))</f>
        <v>322.17407742857142</v>
      </c>
      <c r="AH30" s="139">
        <f>IF(AG30&gt;0,AG30,IF($E30=AH$4,VLOOKUP($C30,노선구성!$B$47:$Y$60,21,0),0))</f>
        <v>322.17407742857142</v>
      </c>
      <c r="AI30" s="139">
        <f>IF(AH30&gt;0,AH30,IF($E30=AI$4,VLOOKUP($C30,노선구성!$B$47:$Y$60,21,0),0))</f>
        <v>322.17407742857142</v>
      </c>
      <c r="AJ30" s="139">
        <f>IF(AI30&gt;0,AI30,IF($E30=AJ$4,VLOOKUP($C30,노선구성!$B$47:$Y$60,21,0),0))</f>
        <v>322.17407742857142</v>
      </c>
      <c r="AK30" s="139">
        <f>IF(AJ30&gt;0,AJ30,IF($E30=AK$4,VLOOKUP($C30,노선구성!$B$47:$Y$60,21,0),0))</f>
        <v>322.17407742857142</v>
      </c>
      <c r="AL30" s="139">
        <f>IF(AK30&gt;0,AK30,IF($E30=AL$4,VLOOKUP($C30,노선구성!$B$47:$Y$60,21,0),0))</f>
        <v>322.17407742857142</v>
      </c>
      <c r="AM30" s="139">
        <f>IF(AL30&gt;0,AL30,IF($E30=AM$4,VLOOKUP($C30,노선구성!$B$47:$Y$60,21,0),0))</f>
        <v>322.17407742857142</v>
      </c>
      <c r="AN30" s="139">
        <f>IF(AM30&gt;0,AM30,IF($E30=AN$4,VLOOKUP($C30,노선구성!$B$47:$Y$60,21,0),0))</f>
        <v>322.17407742857142</v>
      </c>
      <c r="AO30" s="139">
        <f>IF(AN30&gt;0,AN30,IF($E30=AO$4,VLOOKUP($C30,노선구성!$B$47:$Y$60,21,0),0))</f>
        <v>322.17407742857142</v>
      </c>
      <c r="AP30" s="139">
        <f>IF(AO30&gt;0,AO30,IF($E30=AP$4,VLOOKUP($C30,노선구성!$B$47:$Y$60,21,0),0))</f>
        <v>322.17407742857142</v>
      </c>
      <c r="AQ30" s="139">
        <f>IF(AP30&gt;0,AP30,IF($E30=AQ$4,VLOOKUP($C30,노선구성!$B$47:$Y$60,21,0),0))</f>
        <v>322.17407742857142</v>
      </c>
      <c r="AR30" s="139">
        <f>IF(AQ30&gt;0,AQ30,IF($E30=AR$4,VLOOKUP($C30,노선구성!$B$47:$Y$60,21,0),0))</f>
        <v>322.17407742857142</v>
      </c>
      <c r="AS30" s="139">
        <f>IF(AR30&gt;0,AR30,IF($E30=AS$4,VLOOKUP($C30,노선구성!$B$47:$Y$60,21,0),0))</f>
        <v>322.17407742857142</v>
      </c>
      <c r="AT30" s="139">
        <f>IF(AS30&gt;0,AS30,IF($E30=AT$4,VLOOKUP($C30,노선구성!$B$47:$Y$60,21,0),0))</f>
        <v>322.17407742857142</v>
      </c>
      <c r="AU30" s="139">
        <f>IF(AT30&gt;0,AT30,IF($E30=AU$4,VLOOKUP($C30,노선구성!$B$47:$Y$60,21,0),0))</f>
        <v>322.17407742857142</v>
      </c>
      <c r="AV30" s="139">
        <f>IF(AU30&gt;0,AU30,IF($E30=AV$4,VLOOKUP($C30,노선구성!$B$47:$Y$60,21,0),0))</f>
        <v>322.17407742857142</v>
      </c>
      <c r="AW30" s="139">
        <f>IF(AV30&gt;0,AV30,IF($E30=AW$4,VLOOKUP($C30,노선구성!$B$47:$Y$60,21,0),0))</f>
        <v>322.17407742857142</v>
      </c>
      <c r="AX30" s="139">
        <f>IF(AW30&gt;0,AW30,IF($E30=AX$4,VLOOKUP($C30,노선구성!$B$47:$Y$60,21,0),0))</f>
        <v>322.17407742857142</v>
      </c>
      <c r="AY30" s="139">
        <f>IF(AX30&gt;0,AX30,IF($E30=AY$4,VLOOKUP($C30,노선구성!$B$47:$Y$60,21,0),0))</f>
        <v>322.17407742857142</v>
      </c>
      <c r="AZ30" s="139">
        <f>IF(AY30&gt;0,AY30,IF($E30=AZ$4,VLOOKUP($C30,노선구성!$B$47:$Y$60,21,0),0))</f>
        <v>322.17407742857142</v>
      </c>
      <c r="BA30" s="139">
        <f>IF(AZ30&gt;0,AZ30,IF($E30=BA$4,VLOOKUP($C30,노선구성!$B$47:$Y$60,21,0),0))</f>
        <v>322.17407742857142</v>
      </c>
      <c r="BB30" s="139">
        <f>IF(BA30&gt;0,BA30,IF($E30=BB$4,VLOOKUP($C30,노선구성!$B$47:$Y$60,21,0),0))</f>
        <v>322.17407742857142</v>
      </c>
      <c r="BC30" s="139">
        <f>IF(BB30&gt;0,BB30,IF($E30=BC$4,VLOOKUP($C30,노선구성!$B$47:$Y$60,21,0),0))</f>
        <v>322.17407742857142</v>
      </c>
      <c r="BD30" s="139">
        <f>IF(BC30&gt;0,BC30,IF($E30=BD$4,VLOOKUP($C30,노선구성!$B$47:$Y$60,21,0),0))</f>
        <v>322.17407742857142</v>
      </c>
      <c r="BE30" s="139">
        <f>IF(BD30&gt;0,BD30,IF($E30=BE$4,VLOOKUP($C30,노선구성!$B$47:$Y$60,21,0),0))</f>
        <v>322.17407742857142</v>
      </c>
      <c r="BF30" s="139">
        <f>IF(BE30&gt;0,BE30,IF($E30=BF$4,VLOOKUP($C30,노선구성!$B$47:$Y$60,21,0),0))</f>
        <v>322.17407742857142</v>
      </c>
      <c r="BG30" s="139">
        <f>IF(BF30&gt;0,BF30,IF($E30=BG$4,VLOOKUP($C30,노선구성!$B$47:$Y$60,21,0),0))</f>
        <v>322.17407742857142</v>
      </c>
      <c r="BH30" s="139">
        <f>IF(BG30&gt;0,BG30,IF($E30=BH$4,VLOOKUP($C30,노선구성!$B$47:$Y$60,21,0),0))</f>
        <v>322.17407742857142</v>
      </c>
      <c r="BI30" s="139">
        <f>IF(BH30&gt;0,BH30,IF($E30=BI$4,VLOOKUP($C30,노선구성!$B$47:$Y$60,21,0),0))</f>
        <v>322.17407742857142</v>
      </c>
      <c r="BJ30" s="139">
        <f>IF(BI30&gt;0,BI30,IF($E30=BJ$4,VLOOKUP($C30,노선구성!$B$47:$Y$60,21,0),0))</f>
        <v>322.17407742857142</v>
      </c>
      <c r="BK30" s="139">
        <f>IF(BJ30&gt;0,BJ30,IF($E30=BK$4,VLOOKUP($C30,노선구성!$B$47:$Y$60,21,0),0))</f>
        <v>322.17407742857142</v>
      </c>
      <c r="BL30" s="139">
        <f>IF(BK30&gt;0,BK30,IF($E30=BL$4,VLOOKUP($C30,노선구성!$B$47:$Y$60,21,0),0))</f>
        <v>322.17407742857142</v>
      </c>
      <c r="BM30" s="139">
        <f>IF(BL30&gt;0,BL30,IF($E30=BM$4,VLOOKUP($C30,노선구성!$B$47:$Y$60,21,0),0))</f>
        <v>322.17407742857142</v>
      </c>
      <c r="BN30" s="139">
        <f>IF(BM30&gt;0,BM30,IF($E30=BN$4,VLOOKUP($C30,노선구성!$B$47:$Y$60,21,0),0))</f>
        <v>322.17407742857142</v>
      </c>
      <c r="BO30" s="139">
        <f>IF(BN30&gt;0,BN30,IF($E30=BO$4,VLOOKUP($C30,노선구성!$B$47:$Y$60,21,0),0))</f>
        <v>322.17407742857142</v>
      </c>
      <c r="BQ30" s="155"/>
      <c r="BR30" s="155"/>
      <c r="BS30" s="155"/>
      <c r="BT30" s="155"/>
      <c r="BU30" s="155"/>
    </row>
    <row r="31" spans="2:79" outlineLevel="1">
      <c r="C31" s="139">
        <f t="shared" ref="C31:E31" si="7">C17</f>
        <v>8</v>
      </c>
      <c r="D31" s="139">
        <f t="shared" si="7"/>
        <v>767</v>
      </c>
      <c r="E31" s="139" t="str">
        <f t="shared" si="7"/>
        <v>M31</v>
      </c>
      <c r="H31" s="139">
        <f>IF($E31=H$4,VLOOKUP($C31,노선구성!$B$47:$Y$60,21,0),0)</f>
        <v>0</v>
      </c>
      <c r="I31" s="139">
        <f>IF(H31&gt;0,H31,IF($E31=I$4,VLOOKUP($C31,노선구성!$B$47:$Y$60,21,0),0))</f>
        <v>0</v>
      </c>
      <c r="J31" s="139">
        <f>IF(I31&gt;0,I31,IF($E31=J$4,VLOOKUP($C31,노선구성!$B$47:$Y$60,21,0),0))</f>
        <v>0</v>
      </c>
      <c r="K31" s="139">
        <f>IF(J31&gt;0,J31,IF($E31=K$4,VLOOKUP($C31,노선구성!$B$47:$Y$60,21,0),0))</f>
        <v>0</v>
      </c>
      <c r="L31" s="139">
        <f>IF(K31&gt;0,K31,IF($E31=L$4,VLOOKUP($C31,노선구성!$B$47:$Y$60,21,0),0))</f>
        <v>0</v>
      </c>
      <c r="M31" s="139">
        <f>IF(L31&gt;0,L31,IF($E31=M$4,VLOOKUP($C31,노선구성!$B$47:$Y$60,21,0),0))</f>
        <v>0</v>
      </c>
      <c r="N31" s="139">
        <f>IF(M31&gt;0,M31,IF($E31=N$4,VLOOKUP($C31,노선구성!$B$47:$Y$60,21,0),0))</f>
        <v>0</v>
      </c>
      <c r="O31" s="139">
        <f>IF(N31&gt;0,N31,IF($E31=O$4,VLOOKUP($C31,노선구성!$B$47:$Y$60,21,0),0))</f>
        <v>0</v>
      </c>
      <c r="P31" s="139">
        <f>IF(O31&gt;0,O31,IF($E31=P$4,VLOOKUP($C31,노선구성!$B$47:$Y$60,21,0),0))</f>
        <v>0</v>
      </c>
      <c r="Q31" s="139">
        <f>IF(P31&gt;0,P31,IF($E31=Q$4,VLOOKUP($C31,노선구성!$B$47:$Y$60,21,0),0))</f>
        <v>0</v>
      </c>
      <c r="R31" s="139">
        <f>IF(Q31&gt;0,Q31,IF($E31=R$4,VLOOKUP($C31,노선구성!$B$47:$Y$60,21,0),0))</f>
        <v>0</v>
      </c>
      <c r="S31" s="139">
        <f>IF(R31&gt;0,R31,IF($E31=S$4,VLOOKUP($C31,노선구성!$B$47:$Y$60,21,0),0))</f>
        <v>0</v>
      </c>
      <c r="T31" s="139">
        <f>IF(S31&gt;0,S31,IF($E31=T$4,VLOOKUP($C31,노선구성!$B$47:$Y$60,21,0),0))</f>
        <v>0</v>
      </c>
      <c r="U31" s="139">
        <f>IF(T31&gt;0,T31,IF($E31=U$4,VLOOKUP($C31,노선구성!$B$47:$Y$60,21,0),0))</f>
        <v>0</v>
      </c>
      <c r="V31" s="139">
        <f>IF(U31&gt;0,U31,IF($E31=V$4,VLOOKUP($C31,노선구성!$B$47:$Y$60,21,0),0))</f>
        <v>0</v>
      </c>
      <c r="W31" s="139">
        <f>IF(V31&gt;0,V31,IF($E31=W$4,VLOOKUP($C31,노선구성!$B$47:$Y$60,21,0),0))</f>
        <v>0</v>
      </c>
      <c r="X31" s="139">
        <f>IF(W31&gt;0,W31,IF($E31=X$4,VLOOKUP($C31,노선구성!$B$47:$Y$60,21,0),0))</f>
        <v>0</v>
      </c>
      <c r="Y31" s="139">
        <f>IF(X31&gt;0,X31,IF($E31=Y$4,VLOOKUP($C31,노선구성!$B$47:$Y$60,21,0),0))</f>
        <v>0</v>
      </c>
      <c r="Z31" s="139">
        <f>IF(Y31&gt;0,Y31,IF($E31=Z$4,VLOOKUP($C31,노선구성!$B$47:$Y$60,21,0),0))</f>
        <v>0</v>
      </c>
      <c r="AA31" s="139">
        <f>IF(Z31&gt;0,Z31,IF($E31=AA$4,VLOOKUP($C31,노선구성!$B$47:$Y$60,21,0),0))</f>
        <v>0</v>
      </c>
      <c r="AB31" s="139">
        <f>IF(AA31&gt;0,AA31,IF($E31=AB$4,VLOOKUP($C31,노선구성!$B$47:$Y$60,21,0),0))</f>
        <v>0</v>
      </c>
      <c r="AC31" s="139">
        <f>IF(AB31&gt;0,AB31,IF($E31=AC$4,VLOOKUP($C31,노선구성!$B$47:$Y$60,21,0),0))</f>
        <v>0</v>
      </c>
      <c r="AD31" s="139">
        <f>IF(AC31&gt;0,AC31,IF($E31=AD$4,VLOOKUP($C31,노선구성!$B$47:$Y$60,21,0),0))</f>
        <v>0</v>
      </c>
      <c r="AE31" s="139">
        <f>IF(AD31&gt;0,AD31,IF($E31=AE$4,VLOOKUP($C31,노선구성!$B$47:$Y$60,21,0),0))</f>
        <v>0</v>
      </c>
      <c r="AF31" s="139">
        <f>IF(AE31&gt;0,AE31,IF($E31=AF$4,VLOOKUP($C31,노선구성!$B$47:$Y$60,21,0),0))</f>
        <v>0</v>
      </c>
      <c r="AG31" s="139">
        <f>IF(AF31&gt;0,AF31,IF($E31=AG$4,VLOOKUP($C31,노선구성!$B$47:$Y$60,21,0),0))</f>
        <v>0</v>
      </c>
      <c r="AH31" s="139">
        <f>IF(AG31&gt;0,AG31,IF($E31=AH$4,VLOOKUP($C31,노선구성!$B$47:$Y$60,21,0),0))</f>
        <v>0</v>
      </c>
      <c r="AI31" s="139">
        <f>IF(AH31&gt;0,AH31,IF($E31=AI$4,VLOOKUP($C31,노선구성!$B$47:$Y$60,21,0),0))</f>
        <v>0</v>
      </c>
      <c r="AJ31" s="139">
        <f>IF(AI31&gt;0,AI31,IF($E31=AJ$4,VLOOKUP($C31,노선구성!$B$47:$Y$60,21,0),0))</f>
        <v>0</v>
      </c>
      <c r="AK31" s="139">
        <f>IF(AJ31&gt;0,AJ31,IF($E31=AK$4,VLOOKUP($C31,노선구성!$B$47:$Y$60,21,0),0))</f>
        <v>0</v>
      </c>
      <c r="AL31" s="139">
        <f>IF(AK31&gt;0,AK31,IF($E31=AL$4,VLOOKUP($C31,노선구성!$B$47:$Y$60,21,0),0))</f>
        <v>581.87751428571437</v>
      </c>
      <c r="AM31" s="139">
        <f>IF(AL31&gt;0,AL31,IF($E31=AM$4,VLOOKUP($C31,노선구성!$B$47:$Y$60,21,0),0))</f>
        <v>581.87751428571437</v>
      </c>
      <c r="AN31" s="139">
        <f>IF(AM31&gt;0,AM31,IF($E31=AN$4,VLOOKUP($C31,노선구성!$B$47:$Y$60,21,0),0))</f>
        <v>581.87751428571437</v>
      </c>
      <c r="AO31" s="139">
        <f>IF(AN31&gt;0,AN31,IF($E31=AO$4,VLOOKUP($C31,노선구성!$B$47:$Y$60,21,0),0))</f>
        <v>581.87751428571437</v>
      </c>
      <c r="AP31" s="139">
        <f>IF(AO31&gt;0,AO31,IF($E31=AP$4,VLOOKUP($C31,노선구성!$B$47:$Y$60,21,0),0))</f>
        <v>581.87751428571437</v>
      </c>
      <c r="AQ31" s="139">
        <f>IF(AP31&gt;0,AP31,IF($E31=AQ$4,VLOOKUP($C31,노선구성!$B$47:$Y$60,21,0),0))</f>
        <v>581.87751428571437</v>
      </c>
      <c r="AR31" s="139">
        <f>IF(AQ31&gt;0,AQ31,IF($E31=AR$4,VLOOKUP($C31,노선구성!$B$47:$Y$60,21,0),0))</f>
        <v>581.87751428571437</v>
      </c>
      <c r="AS31" s="139">
        <f>IF(AR31&gt;0,AR31,IF($E31=AS$4,VLOOKUP($C31,노선구성!$B$47:$Y$60,21,0),0))</f>
        <v>581.87751428571437</v>
      </c>
      <c r="AT31" s="139">
        <f>IF(AS31&gt;0,AS31,IF($E31=AT$4,VLOOKUP($C31,노선구성!$B$47:$Y$60,21,0),0))</f>
        <v>581.87751428571437</v>
      </c>
      <c r="AU31" s="139">
        <f>IF(AT31&gt;0,AT31,IF($E31=AU$4,VLOOKUP($C31,노선구성!$B$47:$Y$60,21,0),0))</f>
        <v>581.87751428571437</v>
      </c>
      <c r="AV31" s="139">
        <f>IF(AU31&gt;0,AU31,IF($E31=AV$4,VLOOKUP($C31,노선구성!$B$47:$Y$60,21,0),0))</f>
        <v>581.87751428571437</v>
      </c>
      <c r="AW31" s="139">
        <f>IF(AV31&gt;0,AV31,IF($E31=AW$4,VLOOKUP($C31,노선구성!$B$47:$Y$60,21,0),0))</f>
        <v>581.87751428571437</v>
      </c>
      <c r="AX31" s="139">
        <f>IF(AW31&gt;0,AW31,IF($E31=AX$4,VLOOKUP($C31,노선구성!$B$47:$Y$60,21,0),0))</f>
        <v>581.87751428571437</v>
      </c>
      <c r="AY31" s="139">
        <f>IF(AX31&gt;0,AX31,IF($E31=AY$4,VLOOKUP($C31,노선구성!$B$47:$Y$60,21,0),0))</f>
        <v>581.87751428571437</v>
      </c>
      <c r="AZ31" s="139">
        <f>IF(AY31&gt;0,AY31,IF($E31=AZ$4,VLOOKUP($C31,노선구성!$B$47:$Y$60,21,0),0))</f>
        <v>581.87751428571437</v>
      </c>
      <c r="BA31" s="139">
        <f>IF(AZ31&gt;0,AZ31,IF($E31=BA$4,VLOOKUP($C31,노선구성!$B$47:$Y$60,21,0),0))</f>
        <v>581.87751428571437</v>
      </c>
      <c r="BB31" s="139">
        <f>IF(BA31&gt;0,BA31,IF($E31=BB$4,VLOOKUP($C31,노선구성!$B$47:$Y$60,21,0),0))</f>
        <v>581.87751428571437</v>
      </c>
      <c r="BC31" s="139">
        <f>IF(BB31&gt;0,BB31,IF($E31=BC$4,VLOOKUP($C31,노선구성!$B$47:$Y$60,21,0),0))</f>
        <v>581.87751428571437</v>
      </c>
      <c r="BD31" s="139">
        <f>IF(BC31&gt;0,BC31,IF($E31=BD$4,VLOOKUP($C31,노선구성!$B$47:$Y$60,21,0),0))</f>
        <v>581.87751428571437</v>
      </c>
      <c r="BE31" s="139">
        <f>IF(BD31&gt;0,BD31,IF($E31=BE$4,VLOOKUP($C31,노선구성!$B$47:$Y$60,21,0),0))</f>
        <v>581.87751428571437</v>
      </c>
      <c r="BF31" s="139">
        <f>IF(BE31&gt;0,BE31,IF($E31=BF$4,VLOOKUP($C31,노선구성!$B$47:$Y$60,21,0),0))</f>
        <v>581.87751428571437</v>
      </c>
      <c r="BG31" s="139">
        <f>IF(BF31&gt;0,BF31,IF($E31=BG$4,VLOOKUP($C31,노선구성!$B$47:$Y$60,21,0),0))</f>
        <v>581.87751428571437</v>
      </c>
      <c r="BH31" s="139">
        <f>IF(BG31&gt;0,BG31,IF($E31=BH$4,VLOOKUP($C31,노선구성!$B$47:$Y$60,21,0),0))</f>
        <v>581.87751428571437</v>
      </c>
      <c r="BI31" s="139">
        <f>IF(BH31&gt;0,BH31,IF($E31=BI$4,VLOOKUP($C31,노선구성!$B$47:$Y$60,21,0),0))</f>
        <v>581.87751428571437</v>
      </c>
      <c r="BJ31" s="139">
        <f>IF(BI31&gt;0,BI31,IF($E31=BJ$4,VLOOKUP($C31,노선구성!$B$47:$Y$60,21,0),0))</f>
        <v>581.87751428571437</v>
      </c>
      <c r="BK31" s="139">
        <f>IF(BJ31&gt;0,BJ31,IF($E31=BK$4,VLOOKUP($C31,노선구성!$B$47:$Y$60,21,0),0))</f>
        <v>581.87751428571437</v>
      </c>
      <c r="BL31" s="139">
        <f>IF(BK31&gt;0,BK31,IF($E31=BL$4,VLOOKUP($C31,노선구성!$B$47:$Y$60,21,0),0))</f>
        <v>581.87751428571437</v>
      </c>
      <c r="BM31" s="139">
        <f>IF(BL31&gt;0,BL31,IF($E31=BM$4,VLOOKUP($C31,노선구성!$B$47:$Y$60,21,0),0))</f>
        <v>581.87751428571437</v>
      </c>
      <c r="BN31" s="139">
        <f>IF(BM31&gt;0,BM31,IF($E31=BN$4,VLOOKUP($C31,노선구성!$B$47:$Y$60,21,0),0))</f>
        <v>581.87751428571437</v>
      </c>
      <c r="BO31" s="139">
        <f>IF(BN31&gt;0,BN31,IF($E31=BO$4,VLOOKUP($C31,노선구성!$B$47:$Y$60,21,0),0))</f>
        <v>581.87751428571437</v>
      </c>
      <c r="BQ31" s="155"/>
      <c r="BR31" s="155"/>
      <c r="BS31" s="155"/>
      <c r="BT31" s="155"/>
      <c r="BU31" s="155"/>
    </row>
    <row r="32" spans="2:79" outlineLevel="1">
      <c r="C32" s="139">
        <f t="shared" ref="C32:E33" si="8">C18</f>
        <v>9</v>
      </c>
      <c r="D32" s="139">
        <f t="shared" si="8"/>
        <v>767</v>
      </c>
      <c r="E32" s="139" t="str">
        <f t="shared" si="8"/>
        <v>M37</v>
      </c>
      <c r="H32" s="139">
        <f>IF($E32=H$4,VLOOKUP($C32,노선구성!$B$47:$Y$60,21,0),0)</f>
        <v>0</v>
      </c>
      <c r="I32" s="139">
        <f>IF(H32&gt;0,H32,IF($E32=I$4,VLOOKUP($C32,노선구성!$B$47:$Y$60,21,0),0))</f>
        <v>0</v>
      </c>
      <c r="J32" s="139">
        <f>IF(I32&gt;0,I32,IF($E32=J$4,VLOOKUP($C32,노선구성!$B$47:$Y$60,21,0),0))</f>
        <v>0</v>
      </c>
      <c r="K32" s="139">
        <f>IF(J32&gt;0,J32,IF($E32=K$4,VLOOKUP($C32,노선구성!$B$47:$Y$60,21,0),0))</f>
        <v>0</v>
      </c>
      <c r="L32" s="139">
        <f>IF(K32&gt;0,K32,IF($E32=L$4,VLOOKUP($C32,노선구성!$B$47:$Y$60,21,0),0))</f>
        <v>0</v>
      </c>
      <c r="M32" s="139">
        <f>IF(L32&gt;0,L32,IF($E32=M$4,VLOOKUP($C32,노선구성!$B$47:$Y$60,21,0),0))</f>
        <v>0</v>
      </c>
      <c r="N32" s="139">
        <f>IF(M32&gt;0,M32,IF($E32=N$4,VLOOKUP($C32,노선구성!$B$47:$Y$60,21,0),0))</f>
        <v>0</v>
      </c>
      <c r="O32" s="139">
        <f>IF(N32&gt;0,N32,IF($E32=O$4,VLOOKUP($C32,노선구성!$B$47:$Y$60,21,0),0))</f>
        <v>0</v>
      </c>
      <c r="P32" s="139">
        <f>IF(O32&gt;0,O32,IF($E32=P$4,VLOOKUP($C32,노선구성!$B$47:$Y$60,21,0),0))</f>
        <v>0</v>
      </c>
      <c r="Q32" s="139">
        <f>IF(P32&gt;0,P32,IF($E32=Q$4,VLOOKUP($C32,노선구성!$B$47:$Y$60,21,0),0))</f>
        <v>0</v>
      </c>
      <c r="R32" s="139">
        <f>IF(Q32&gt;0,Q32,IF($E32=R$4,VLOOKUP($C32,노선구성!$B$47:$Y$60,21,0),0))</f>
        <v>0</v>
      </c>
      <c r="S32" s="139">
        <f>IF(R32&gt;0,R32,IF($E32=S$4,VLOOKUP($C32,노선구성!$B$47:$Y$60,21,0),0))</f>
        <v>0</v>
      </c>
      <c r="T32" s="139">
        <f>IF(S32&gt;0,S32,IF($E32=T$4,VLOOKUP($C32,노선구성!$B$47:$Y$60,21,0),0))</f>
        <v>0</v>
      </c>
      <c r="U32" s="139">
        <f>IF(T32&gt;0,T32,IF($E32=U$4,VLOOKUP($C32,노선구성!$B$47:$Y$60,21,0),0))</f>
        <v>0</v>
      </c>
      <c r="V32" s="139">
        <f>IF(U32&gt;0,U32,IF($E32=V$4,VLOOKUP($C32,노선구성!$B$47:$Y$60,21,0),0))</f>
        <v>0</v>
      </c>
      <c r="W32" s="139">
        <f>IF(V32&gt;0,V32,IF($E32=W$4,VLOOKUP($C32,노선구성!$B$47:$Y$60,21,0),0))</f>
        <v>0</v>
      </c>
      <c r="X32" s="139">
        <f>IF(W32&gt;0,W32,IF($E32=X$4,VLOOKUP($C32,노선구성!$B$47:$Y$60,21,0),0))</f>
        <v>0</v>
      </c>
      <c r="Y32" s="139">
        <f>IF(X32&gt;0,X32,IF($E32=Y$4,VLOOKUP($C32,노선구성!$B$47:$Y$60,21,0),0))</f>
        <v>0</v>
      </c>
      <c r="Z32" s="139">
        <f>IF(Y32&gt;0,Y32,IF($E32=Z$4,VLOOKUP($C32,노선구성!$B$47:$Y$60,21,0),0))</f>
        <v>0</v>
      </c>
      <c r="AA32" s="139">
        <f>IF(Z32&gt;0,Z32,IF($E32=AA$4,VLOOKUP($C32,노선구성!$B$47:$Y$60,21,0),0))</f>
        <v>0</v>
      </c>
      <c r="AB32" s="139">
        <f>IF(AA32&gt;0,AA32,IF($E32=AB$4,VLOOKUP($C32,노선구성!$B$47:$Y$60,21,0),0))</f>
        <v>0</v>
      </c>
      <c r="AC32" s="139">
        <f>IF(AB32&gt;0,AB32,IF($E32=AC$4,VLOOKUP($C32,노선구성!$B$47:$Y$60,21,0),0))</f>
        <v>0</v>
      </c>
      <c r="AD32" s="139">
        <f>IF(AC32&gt;0,AC32,IF($E32=AD$4,VLOOKUP($C32,노선구성!$B$47:$Y$60,21,0),0))</f>
        <v>0</v>
      </c>
      <c r="AE32" s="139">
        <f>IF(AD32&gt;0,AD32,IF($E32=AE$4,VLOOKUP($C32,노선구성!$B$47:$Y$60,21,0),0))</f>
        <v>0</v>
      </c>
      <c r="AF32" s="139">
        <f>IF(AE32&gt;0,AE32,IF($E32=AF$4,VLOOKUP($C32,노선구성!$B$47:$Y$60,21,0),0))</f>
        <v>0</v>
      </c>
      <c r="AG32" s="139">
        <f>IF(AF32&gt;0,AF32,IF($E32=AG$4,VLOOKUP($C32,노선구성!$B$47:$Y$60,21,0),0))</f>
        <v>0</v>
      </c>
      <c r="AH32" s="139">
        <f>IF(AG32&gt;0,AG32,IF($E32=AH$4,VLOOKUP($C32,노선구성!$B$47:$Y$60,21,0),0))</f>
        <v>0</v>
      </c>
      <c r="AI32" s="139">
        <f>IF(AH32&gt;0,AH32,IF($E32=AI$4,VLOOKUP($C32,노선구성!$B$47:$Y$60,21,0),0))</f>
        <v>0</v>
      </c>
      <c r="AJ32" s="139">
        <f>IF(AI32&gt;0,AI32,IF($E32=AJ$4,VLOOKUP($C32,노선구성!$B$47:$Y$60,21,0),0))</f>
        <v>0</v>
      </c>
      <c r="AK32" s="139">
        <f>IF(AJ32&gt;0,AJ32,IF($E32=AK$4,VLOOKUP($C32,노선구성!$B$47:$Y$60,21,0),0))</f>
        <v>0</v>
      </c>
      <c r="AL32" s="139">
        <f>IF(AK32&gt;0,AK32,IF($E32=AL$4,VLOOKUP($C32,노선구성!$B$47:$Y$60,21,0),0))</f>
        <v>0</v>
      </c>
      <c r="AM32" s="139">
        <f>IF(AL32&gt;0,AL32,IF($E32=AM$4,VLOOKUP($C32,노선구성!$B$47:$Y$60,21,0),0))</f>
        <v>0</v>
      </c>
      <c r="AN32" s="139">
        <f>IF(AM32&gt;0,AM32,IF($E32=AN$4,VLOOKUP($C32,노선구성!$B$47:$Y$60,21,0),0))</f>
        <v>0</v>
      </c>
      <c r="AO32" s="139">
        <f>IF(AN32&gt;0,AN32,IF($E32=AO$4,VLOOKUP($C32,노선구성!$B$47:$Y$60,21,0),0))</f>
        <v>0</v>
      </c>
      <c r="AP32" s="139">
        <f>IF(AO32&gt;0,AO32,IF($E32=AP$4,VLOOKUP($C32,노선구성!$B$47:$Y$60,21,0),0))</f>
        <v>0</v>
      </c>
      <c r="AQ32" s="139">
        <f>IF(AP32&gt;0,AP32,IF($E32=AQ$4,VLOOKUP($C32,노선구성!$B$47:$Y$60,21,0),0))</f>
        <v>0</v>
      </c>
      <c r="AR32" s="139">
        <f>IF(AQ32&gt;0,AQ32,IF($E32=AR$4,VLOOKUP($C32,노선구성!$B$47:$Y$60,21,0),0))</f>
        <v>576.8581485714285</v>
      </c>
      <c r="AS32" s="139">
        <f>IF(AR32&gt;0,AR32,IF($E32=AS$4,VLOOKUP($C32,노선구성!$B$47:$Y$60,21,0),0))</f>
        <v>576.8581485714285</v>
      </c>
      <c r="AT32" s="139">
        <f>IF(AS32&gt;0,AS32,IF($E32=AT$4,VLOOKUP($C32,노선구성!$B$47:$Y$60,21,0),0))</f>
        <v>576.8581485714285</v>
      </c>
      <c r="AU32" s="139">
        <f>IF(AT32&gt;0,AT32,IF($E32=AU$4,VLOOKUP($C32,노선구성!$B$47:$Y$60,21,0),0))</f>
        <v>576.8581485714285</v>
      </c>
      <c r="AV32" s="139">
        <f>IF(AU32&gt;0,AU32,IF($E32=AV$4,VLOOKUP($C32,노선구성!$B$47:$Y$60,21,0),0))</f>
        <v>576.8581485714285</v>
      </c>
      <c r="AW32" s="139">
        <f>IF(AV32&gt;0,AV32,IF($E32=AW$4,VLOOKUP($C32,노선구성!$B$47:$Y$60,21,0),0))</f>
        <v>576.8581485714285</v>
      </c>
      <c r="AX32" s="139">
        <f>IF(AW32&gt;0,AW32,IF($E32=AX$4,VLOOKUP($C32,노선구성!$B$47:$Y$60,21,0),0))</f>
        <v>576.8581485714285</v>
      </c>
      <c r="AY32" s="139">
        <f>IF(AX32&gt;0,AX32,IF($E32=AY$4,VLOOKUP($C32,노선구성!$B$47:$Y$60,21,0),0))</f>
        <v>576.8581485714285</v>
      </c>
      <c r="AZ32" s="139">
        <f>IF(AY32&gt;0,AY32,IF($E32=AZ$4,VLOOKUP($C32,노선구성!$B$47:$Y$60,21,0),0))</f>
        <v>576.8581485714285</v>
      </c>
      <c r="BA32" s="139">
        <f>IF(AZ32&gt;0,AZ32,IF($E32=BA$4,VLOOKUP($C32,노선구성!$B$47:$Y$60,21,0),0))</f>
        <v>576.8581485714285</v>
      </c>
      <c r="BB32" s="139">
        <f>IF(BA32&gt;0,BA32,IF($E32=BB$4,VLOOKUP($C32,노선구성!$B$47:$Y$60,21,0),0))</f>
        <v>576.8581485714285</v>
      </c>
      <c r="BC32" s="139">
        <f>IF(BB32&gt;0,BB32,IF($E32=BC$4,VLOOKUP($C32,노선구성!$B$47:$Y$60,21,0),0))</f>
        <v>576.8581485714285</v>
      </c>
      <c r="BD32" s="139">
        <f>IF(BC32&gt;0,BC32,IF($E32=BD$4,VLOOKUP($C32,노선구성!$B$47:$Y$60,21,0),0))</f>
        <v>576.8581485714285</v>
      </c>
      <c r="BE32" s="139">
        <f>IF(BD32&gt;0,BD32,IF($E32=BE$4,VLOOKUP($C32,노선구성!$B$47:$Y$60,21,0),0))</f>
        <v>576.8581485714285</v>
      </c>
      <c r="BF32" s="139">
        <f>IF(BE32&gt;0,BE32,IF($E32=BF$4,VLOOKUP($C32,노선구성!$B$47:$Y$60,21,0),0))</f>
        <v>576.8581485714285</v>
      </c>
      <c r="BG32" s="139">
        <f>IF(BF32&gt;0,BF32,IF($E32=BG$4,VLOOKUP($C32,노선구성!$B$47:$Y$60,21,0),0))</f>
        <v>576.8581485714285</v>
      </c>
      <c r="BH32" s="139">
        <f>IF(BG32&gt;0,BG32,IF($E32=BH$4,VLOOKUP($C32,노선구성!$B$47:$Y$60,21,0),0))</f>
        <v>576.8581485714285</v>
      </c>
      <c r="BI32" s="139">
        <f>IF(BH32&gt;0,BH32,IF($E32=BI$4,VLOOKUP($C32,노선구성!$B$47:$Y$60,21,0),0))</f>
        <v>576.8581485714285</v>
      </c>
      <c r="BJ32" s="139">
        <f>IF(BI32&gt;0,BI32,IF($E32=BJ$4,VLOOKUP($C32,노선구성!$B$47:$Y$60,21,0),0))</f>
        <v>576.8581485714285</v>
      </c>
      <c r="BK32" s="139">
        <f>IF(BJ32&gt;0,BJ32,IF($E32=BK$4,VLOOKUP($C32,노선구성!$B$47:$Y$60,21,0),0))</f>
        <v>576.8581485714285</v>
      </c>
      <c r="BL32" s="139">
        <f>IF(BK32&gt;0,BK32,IF($E32=BL$4,VLOOKUP($C32,노선구성!$B$47:$Y$60,21,0),0))</f>
        <v>576.8581485714285</v>
      </c>
      <c r="BM32" s="139">
        <f>IF(BL32&gt;0,BL32,IF($E32=BM$4,VLOOKUP($C32,노선구성!$B$47:$Y$60,21,0),0))</f>
        <v>576.8581485714285</v>
      </c>
      <c r="BN32" s="139">
        <f>IF(BM32&gt;0,BM32,IF($E32=BN$4,VLOOKUP($C32,노선구성!$B$47:$Y$60,21,0),0))</f>
        <v>576.8581485714285</v>
      </c>
      <c r="BO32" s="139">
        <f>IF(BN32&gt;0,BN32,IF($E32=BO$4,VLOOKUP($C32,노선구성!$B$47:$Y$60,21,0),0))</f>
        <v>576.8581485714285</v>
      </c>
      <c r="BQ32" s="155"/>
      <c r="BR32" s="155"/>
      <c r="BS32" s="155"/>
      <c r="BT32" s="155"/>
      <c r="BU32" s="155"/>
    </row>
    <row r="33" spans="2:79" outlineLevel="1">
      <c r="C33" s="139">
        <f t="shared" si="8"/>
        <v>10</v>
      </c>
      <c r="D33" s="139">
        <f t="shared" si="8"/>
        <v>767</v>
      </c>
      <c r="E33" s="139" t="str">
        <f t="shared" si="8"/>
        <v>M43</v>
      </c>
      <c r="H33" s="139">
        <f>IF($E33=H$4,VLOOKUP($C33,노선구성!$B$47:$Y$60,21,0),0)</f>
        <v>0</v>
      </c>
      <c r="I33" s="139">
        <f>IF(H33&gt;0,H33,IF($E33=I$4,VLOOKUP($C33,노선구성!$B$47:$Y$60,21,0),0))</f>
        <v>0</v>
      </c>
      <c r="J33" s="139">
        <f>IF(I33&gt;0,I33,IF($E33=J$4,VLOOKUP($C33,노선구성!$B$47:$Y$60,21,0),0))</f>
        <v>0</v>
      </c>
      <c r="K33" s="139">
        <f>IF(J33&gt;0,J33,IF($E33=K$4,VLOOKUP($C33,노선구성!$B$47:$Y$60,21,0),0))</f>
        <v>0</v>
      </c>
      <c r="L33" s="139">
        <f>IF(K33&gt;0,K33,IF($E33=L$4,VLOOKUP($C33,노선구성!$B$47:$Y$60,21,0),0))</f>
        <v>0</v>
      </c>
      <c r="M33" s="139">
        <f>IF(L33&gt;0,L33,IF($E33=M$4,VLOOKUP($C33,노선구성!$B$47:$Y$60,21,0),0))</f>
        <v>0</v>
      </c>
      <c r="N33" s="139">
        <f>IF(M33&gt;0,M33,IF($E33=N$4,VLOOKUP($C33,노선구성!$B$47:$Y$60,21,0),0))</f>
        <v>0</v>
      </c>
      <c r="O33" s="139">
        <f>IF(N33&gt;0,N33,IF($E33=O$4,VLOOKUP($C33,노선구성!$B$47:$Y$60,21,0),0))</f>
        <v>0</v>
      </c>
      <c r="P33" s="139">
        <f>IF(O33&gt;0,O33,IF($E33=P$4,VLOOKUP($C33,노선구성!$B$47:$Y$60,21,0),0))</f>
        <v>0</v>
      </c>
      <c r="Q33" s="139">
        <f>IF(P33&gt;0,P33,IF($E33=Q$4,VLOOKUP($C33,노선구성!$B$47:$Y$60,21,0),0))</f>
        <v>0</v>
      </c>
      <c r="R33" s="139">
        <f>IF(Q33&gt;0,Q33,IF($E33=R$4,VLOOKUP($C33,노선구성!$B$47:$Y$60,21,0),0))</f>
        <v>0</v>
      </c>
      <c r="S33" s="139">
        <f>IF(R33&gt;0,R33,IF($E33=S$4,VLOOKUP($C33,노선구성!$B$47:$Y$60,21,0),0))</f>
        <v>0</v>
      </c>
      <c r="T33" s="139">
        <f>IF(S33&gt;0,S33,IF($E33=T$4,VLOOKUP($C33,노선구성!$B$47:$Y$60,21,0),0))</f>
        <v>0</v>
      </c>
      <c r="U33" s="139">
        <f>IF(T33&gt;0,T33,IF($E33=U$4,VLOOKUP($C33,노선구성!$B$47:$Y$60,21,0),0))</f>
        <v>0</v>
      </c>
      <c r="V33" s="139">
        <f>IF(U33&gt;0,U33,IF($E33=V$4,VLOOKUP($C33,노선구성!$B$47:$Y$60,21,0),0))</f>
        <v>0</v>
      </c>
      <c r="W33" s="139">
        <f>IF(V33&gt;0,V33,IF($E33=W$4,VLOOKUP($C33,노선구성!$B$47:$Y$60,21,0),0))</f>
        <v>0</v>
      </c>
      <c r="X33" s="139">
        <f>IF(W33&gt;0,W33,IF($E33=X$4,VLOOKUP($C33,노선구성!$B$47:$Y$60,21,0),0))</f>
        <v>0</v>
      </c>
      <c r="Y33" s="139">
        <f>IF(X33&gt;0,X33,IF($E33=Y$4,VLOOKUP($C33,노선구성!$B$47:$Y$60,21,0),0))</f>
        <v>0</v>
      </c>
      <c r="Z33" s="139">
        <f>IF(Y33&gt;0,Y33,IF($E33=Z$4,VLOOKUP($C33,노선구성!$B$47:$Y$60,21,0),0))</f>
        <v>0</v>
      </c>
      <c r="AA33" s="139">
        <f>IF(Z33&gt;0,Z33,IF($E33=AA$4,VLOOKUP($C33,노선구성!$B$47:$Y$60,21,0),0))</f>
        <v>0</v>
      </c>
      <c r="AB33" s="139">
        <f>IF(AA33&gt;0,AA33,IF($E33=AB$4,VLOOKUP($C33,노선구성!$B$47:$Y$60,21,0),0))</f>
        <v>0</v>
      </c>
      <c r="AC33" s="139">
        <f>IF(AB33&gt;0,AB33,IF($E33=AC$4,VLOOKUP($C33,노선구성!$B$47:$Y$60,21,0),0))</f>
        <v>0</v>
      </c>
      <c r="AD33" s="139">
        <f>IF(AC33&gt;0,AC33,IF($E33=AD$4,VLOOKUP($C33,노선구성!$B$47:$Y$60,21,0),0))</f>
        <v>0</v>
      </c>
      <c r="AE33" s="139">
        <f>IF(AD33&gt;0,AD33,IF($E33=AE$4,VLOOKUP($C33,노선구성!$B$47:$Y$60,21,0),0))</f>
        <v>0</v>
      </c>
      <c r="AF33" s="139">
        <f>IF(AE33&gt;0,AE33,IF($E33=AF$4,VLOOKUP($C33,노선구성!$B$47:$Y$60,21,0),0))</f>
        <v>0</v>
      </c>
      <c r="AG33" s="139">
        <f>IF(AF33&gt;0,AF33,IF($E33=AG$4,VLOOKUP($C33,노선구성!$B$47:$Y$60,21,0),0))</f>
        <v>0</v>
      </c>
      <c r="AH33" s="139">
        <f>IF(AG33&gt;0,AG33,IF($E33=AH$4,VLOOKUP($C33,노선구성!$B$47:$Y$60,21,0),0))</f>
        <v>0</v>
      </c>
      <c r="AI33" s="139">
        <f>IF(AH33&gt;0,AH33,IF($E33=AI$4,VLOOKUP($C33,노선구성!$B$47:$Y$60,21,0),0))</f>
        <v>0</v>
      </c>
      <c r="AJ33" s="139">
        <f>IF(AI33&gt;0,AI33,IF($E33=AJ$4,VLOOKUP($C33,노선구성!$B$47:$Y$60,21,0),0))</f>
        <v>0</v>
      </c>
      <c r="AK33" s="139">
        <f>IF(AJ33&gt;0,AJ33,IF($E33=AK$4,VLOOKUP($C33,노선구성!$B$47:$Y$60,21,0),0))</f>
        <v>0</v>
      </c>
      <c r="AL33" s="139">
        <f>IF(AK33&gt;0,AK33,IF($E33=AL$4,VLOOKUP($C33,노선구성!$B$47:$Y$60,21,0),0))</f>
        <v>0</v>
      </c>
      <c r="AM33" s="139">
        <f>IF(AL33&gt;0,AL33,IF($E33=AM$4,VLOOKUP($C33,노선구성!$B$47:$Y$60,21,0),0))</f>
        <v>0</v>
      </c>
      <c r="AN33" s="139">
        <f>IF(AM33&gt;0,AM33,IF($E33=AN$4,VLOOKUP($C33,노선구성!$B$47:$Y$60,21,0),0))</f>
        <v>0</v>
      </c>
      <c r="AO33" s="139">
        <f>IF(AN33&gt;0,AN33,IF($E33=AO$4,VLOOKUP($C33,노선구성!$B$47:$Y$60,21,0),0))</f>
        <v>0</v>
      </c>
      <c r="AP33" s="139">
        <f>IF(AO33&gt;0,AO33,IF($E33=AP$4,VLOOKUP($C33,노선구성!$B$47:$Y$60,21,0),0))</f>
        <v>0</v>
      </c>
      <c r="AQ33" s="139">
        <f>IF(AP33&gt;0,AP33,IF($E33=AQ$4,VLOOKUP($C33,노선구성!$B$47:$Y$60,21,0),0))</f>
        <v>0</v>
      </c>
      <c r="AR33" s="139">
        <f>IF(AQ33&gt;0,AQ33,IF($E33=AR$4,VLOOKUP($C33,노선구성!$B$47:$Y$60,21,0),0))</f>
        <v>0</v>
      </c>
      <c r="AS33" s="139">
        <f>IF(AR33&gt;0,AR33,IF($E33=AS$4,VLOOKUP($C33,노선구성!$B$47:$Y$60,21,0),0))</f>
        <v>0</v>
      </c>
      <c r="AT33" s="139">
        <f>IF(AS33&gt;0,AS33,IF($E33=AT$4,VLOOKUP($C33,노선구성!$B$47:$Y$60,21,0),0))</f>
        <v>0</v>
      </c>
      <c r="AU33" s="139">
        <f>IF(AT33&gt;0,AT33,IF($E33=AU$4,VLOOKUP($C33,노선구성!$B$47:$Y$60,21,0),0))</f>
        <v>0</v>
      </c>
      <c r="AV33" s="139">
        <f>IF(AU33&gt;0,AU33,IF($E33=AV$4,VLOOKUP($C33,노선구성!$B$47:$Y$60,21,0),0))</f>
        <v>0</v>
      </c>
      <c r="AW33" s="139">
        <f>IF(AV33&gt;0,AV33,IF($E33=AW$4,VLOOKUP($C33,노선구성!$B$47:$Y$60,21,0),0))</f>
        <v>0</v>
      </c>
      <c r="AX33" s="139">
        <f>IF(AW33&gt;0,AW33,IF($E33=AX$4,VLOOKUP($C33,노선구성!$B$47:$Y$60,21,0),0))</f>
        <v>636.17915428571428</v>
      </c>
      <c r="AY33" s="139">
        <f>IF(AX33&gt;0,AX33,IF($E33=AY$4,VLOOKUP($C33,노선구성!$B$47:$Y$60,21,0),0))</f>
        <v>636.17915428571428</v>
      </c>
      <c r="AZ33" s="139">
        <f>IF(AY33&gt;0,AY33,IF($E33=AZ$4,VLOOKUP($C33,노선구성!$B$47:$Y$60,21,0),0))</f>
        <v>636.17915428571428</v>
      </c>
      <c r="BA33" s="139">
        <f>IF(AZ33&gt;0,AZ33,IF($E33=BA$4,VLOOKUP($C33,노선구성!$B$47:$Y$60,21,0),0))</f>
        <v>636.17915428571428</v>
      </c>
      <c r="BB33" s="139">
        <f>IF(BA33&gt;0,BA33,IF($E33=BB$4,VLOOKUP($C33,노선구성!$B$47:$Y$60,21,0),0))</f>
        <v>636.17915428571428</v>
      </c>
      <c r="BC33" s="139">
        <f>IF(BB33&gt;0,BB33,IF($E33=BC$4,VLOOKUP($C33,노선구성!$B$47:$Y$60,21,0),0))</f>
        <v>636.17915428571428</v>
      </c>
      <c r="BD33" s="139">
        <f>IF(BC33&gt;0,BC33,IF($E33=BD$4,VLOOKUP($C33,노선구성!$B$47:$Y$60,21,0),0))</f>
        <v>636.17915428571428</v>
      </c>
      <c r="BE33" s="139">
        <f>IF(BD33&gt;0,BD33,IF($E33=BE$4,VLOOKUP($C33,노선구성!$B$47:$Y$60,21,0),0))</f>
        <v>636.17915428571428</v>
      </c>
      <c r="BF33" s="139">
        <f>IF(BE33&gt;0,BE33,IF($E33=BF$4,VLOOKUP($C33,노선구성!$B$47:$Y$60,21,0),0))</f>
        <v>636.17915428571428</v>
      </c>
      <c r="BG33" s="139">
        <f>IF(BF33&gt;0,BF33,IF($E33=BG$4,VLOOKUP($C33,노선구성!$B$47:$Y$60,21,0),0))</f>
        <v>636.17915428571428</v>
      </c>
      <c r="BH33" s="139">
        <f>IF(BG33&gt;0,BG33,IF($E33=BH$4,VLOOKUP($C33,노선구성!$B$47:$Y$60,21,0),0))</f>
        <v>636.17915428571428</v>
      </c>
      <c r="BI33" s="139">
        <f>IF(BH33&gt;0,BH33,IF($E33=BI$4,VLOOKUP($C33,노선구성!$B$47:$Y$60,21,0),0))</f>
        <v>636.17915428571428</v>
      </c>
      <c r="BJ33" s="139">
        <f>IF(BI33&gt;0,BI33,IF($E33=BJ$4,VLOOKUP($C33,노선구성!$B$47:$Y$60,21,0),0))</f>
        <v>636.17915428571428</v>
      </c>
      <c r="BK33" s="139">
        <f>IF(BJ33&gt;0,BJ33,IF($E33=BK$4,VLOOKUP($C33,노선구성!$B$47:$Y$60,21,0),0))</f>
        <v>636.17915428571428</v>
      </c>
      <c r="BL33" s="139">
        <f>IF(BK33&gt;0,BK33,IF($E33=BL$4,VLOOKUP($C33,노선구성!$B$47:$Y$60,21,0),0))</f>
        <v>636.17915428571428</v>
      </c>
      <c r="BM33" s="139">
        <f>IF(BL33&gt;0,BL33,IF($E33=BM$4,VLOOKUP($C33,노선구성!$B$47:$Y$60,21,0),0))</f>
        <v>636.17915428571428</v>
      </c>
      <c r="BN33" s="139">
        <f>IF(BM33&gt;0,BM33,IF($E33=BN$4,VLOOKUP($C33,노선구성!$B$47:$Y$60,21,0),0))</f>
        <v>636.17915428571428</v>
      </c>
      <c r="BO33" s="139">
        <f>IF(BN33&gt;0,BN33,IF($E33=BO$4,VLOOKUP($C33,노선구성!$B$47:$Y$60,21,0),0))</f>
        <v>636.17915428571428</v>
      </c>
      <c r="BQ33" s="155"/>
      <c r="BR33" s="155"/>
      <c r="BS33" s="155"/>
      <c r="BT33" s="155"/>
      <c r="BU33" s="155"/>
    </row>
    <row r="34" spans="2:79" outlineLevel="1"/>
    <row r="35" spans="2:79" s="155" customFormat="1">
      <c r="B35" s="455" t="s">
        <v>441</v>
      </c>
      <c r="C35" s="455"/>
      <c r="D35" s="455"/>
      <c r="E35" s="455"/>
      <c r="F35" s="455"/>
      <c r="G35" s="455"/>
      <c r="H35" s="455">
        <f t="shared" ref="H35:AM35" si="9">H7-H21</f>
        <v>0</v>
      </c>
      <c r="I35" s="455">
        <f t="shared" si="9"/>
        <v>0</v>
      </c>
      <c r="J35" s="455">
        <f t="shared" si="9"/>
        <v>0</v>
      </c>
      <c r="K35" s="455">
        <f t="shared" si="9"/>
        <v>0</v>
      </c>
      <c r="L35" s="455">
        <f t="shared" si="9"/>
        <v>0</v>
      </c>
      <c r="M35" s="455">
        <f t="shared" si="9"/>
        <v>0</v>
      </c>
      <c r="N35" s="455">
        <f t="shared" si="9"/>
        <v>4948.7235681559696</v>
      </c>
      <c r="O35" s="455">
        <f t="shared" si="9"/>
        <v>6185.9044601949627</v>
      </c>
      <c r="P35" s="455">
        <f t="shared" si="9"/>
        <v>4948.7235681559696</v>
      </c>
      <c r="Q35" s="455">
        <f t="shared" si="9"/>
        <v>6185.9044601949627</v>
      </c>
      <c r="R35" s="455">
        <f t="shared" si="9"/>
        <v>4948.7235681559696</v>
      </c>
      <c r="S35" s="455">
        <f t="shared" si="9"/>
        <v>4948.7235681559696</v>
      </c>
      <c r="T35" s="455">
        <f t="shared" si="9"/>
        <v>6580.7779702789958</v>
      </c>
      <c r="U35" s="455">
        <f t="shared" si="9"/>
        <v>5264.6223762231966</v>
      </c>
      <c r="V35" s="455">
        <f t="shared" si="9"/>
        <v>5264.6223762231966</v>
      </c>
      <c r="W35" s="455">
        <f t="shared" si="9"/>
        <v>5264.6223762231966</v>
      </c>
      <c r="X35" s="455">
        <f t="shared" si="9"/>
        <v>6580.7779702789958</v>
      </c>
      <c r="Y35" s="455">
        <f t="shared" si="9"/>
        <v>5264.6223762231966</v>
      </c>
      <c r="Z35" s="455">
        <f t="shared" si="9"/>
        <v>7066.7271660216884</v>
      </c>
      <c r="AA35" s="455">
        <f t="shared" si="9"/>
        <v>8833.4089575271119</v>
      </c>
      <c r="AB35" s="455">
        <f t="shared" si="9"/>
        <v>7066.7271660216884</v>
      </c>
      <c r="AC35" s="455">
        <f t="shared" si="9"/>
        <v>8833.4089575271119</v>
      </c>
      <c r="AD35" s="455">
        <f t="shared" si="9"/>
        <v>7066.7271660216884</v>
      </c>
      <c r="AE35" s="455">
        <f t="shared" si="9"/>
        <v>7066.7271660216884</v>
      </c>
      <c r="AF35" s="455">
        <f t="shared" si="9"/>
        <v>12069.032217443077</v>
      </c>
      <c r="AG35" s="455">
        <f t="shared" si="9"/>
        <v>9655.2257739544621</v>
      </c>
      <c r="AH35" s="455">
        <f t="shared" si="9"/>
        <v>9655.2257739544621</v>
      </c>
      <c r="AI35" s="455">
        <f t="shared" si="9"/>
        <v>9655.2257739544621</v>
      </c>
      <c r="AJ35" s="455">
        <f t="shared" si="9"/>
        <v>12069.032217443077</v>
      </c>
      <c r="AK35" s="455">
        <f t="shared" si="9"/>
        <v>9655.2257739544621</v>
      </c>
      <c r="AL35" s="455">
        <f t="shared" si="9"/>
        <v>17461.476343211601</v>
      </c>
      <c r="AM35" s="455">
        <f t="shared" si="9"/>
        <v>21826.845429014505</v>
      </c>
      <c r="AN35" s="455">
        <f t="shared" ref="AN35:BO35" si="10">AN7-AN21</f>
        <v>17461.476343211601</v>
      </c>
      <c r="AO35" s="455">
        <f t="shared" si="10"/>
        <v>21826.845429014505</v>
      </c>
      <c r="AP35" s="455">
        <f t="shared" si="10"/>
        <v>17461.476343211601</v>
      </c>
      <c r="AQ35" s="455">
        <f t="shared" si="10"/>
        <v>17461.476343211601</v>
      </c>
      <c r="AR35" s="455">
        <f t="shared" si="10"/>
        <v>26606.950490657364</v>
      </c>
      <c r="AS35" s="455">
        <f t="shared" si="10"/>
        <v>21285.560392525891</v>
      </c>
      <c r="AT35" s="455">
        <f t="shared" si="10"/>
        <v>21285.560392525891</v>
      </c>
      <c r="AU35" s="455">
        <f t="shared" si="10"/>
        <v>21285.560392525891</v>
      </c>
      <c r="AV35" s="455">
        <f t="shared" si="10"/>
        <v>26606.950490657364</v>
      </c>
      <c r="AW35" s="455">
        <f t="shared" si="10"/>
        <v>21285.560392525891</v>
      </c>
      <c r="AX35" s="455">
        <f t="shared" si="10"/>
        <v>24003.564598743036</v>
      </c>
      <c r="AY35" s="455">
        <f t="shared" si="10"/>
        <v>30004.455748428798</v>
      </c>
      <c r="AZ35" s="455">
        <f t="shared" si="10"/>
        <v>24003.564598743036</v>
      </c>
      <c r="BA35" s="455">
        <f t="shared" si="10"/>
        <v>30004.455748428798</v>
      </c>
      <c r="BB35" s="455">
        <f t="shared" si="10"/>
        <v>24003.564598743036</v>
      </c>
      <c r="BC35" s="455">
        <f t="shared" si="10"/>
        <v>24003.564598743036</v>
      </c>
      <c r="BD35" s="455">
        <f t="shared" si="10"/>
        <v>30004.455748428798</v>
      </c>
      <c r="BE35" s="455">
        <f t="shared" si="10"/>
        <v>24003.564598743036</v>
      </c>
      <c r="BF35" s="455">
        <f t="shared" si="10"/>
        <v>24003.564598743036</v>
      </c>
      <c r="BG35" s="455">
        <f t="shared" si="10"/>
        <v>24003.564598743036</v>
      </c>
      <c r="BH35" s="455">
        <f t="shared" si="10"/>
        <v>30004.455748428798</v>
      </c>
      <c r="BI35" s="455">
        <f t="shared" si="10"/>
        <v>24003.564598743036</v>
      </c>
      <c r="BJ35" s="455">
        <f t="shared" si="10"/>
        <v>24003.564598743036</v>
      </c>
      <c r="BK35" s="455">
        <f t="shared" si="10"/>
        <v>30004.455748428798</v>
      </c>
      <c r="BL35" s="455">
        <f t="shared" si="10"/>
        <v>24003.564598743036</v>
      </c>
      <c r="BM35" s="455">
        <f t="shared" si="10"/>
        <v>30004.455748428798</v>
      </c>
      <c r="BN35" s="455">
        <f t="shared" si="10"/>
        <v>24003.564598743036</v>
      </c>
      <c r="BO35" s="455">
        <f t="shared" si="10"/>
        <v>24003.564598743036</v>
      </c>
      <c r="BQ35" s="155">
        <f>SUM(H35:S35)</f>
        <v>32166.703193013804</v>
      </c>
      <c r="BR35" s="155">
        <f>SUM(T35:AE35)</f>
        <v>80153.772024591759</v>
      </c>
      <c r="BS35" s="155">
        <f>SUM(AF35:AQ35)</f>
        <v>176258.56376157943</v>
      </c>
      <c r="BT35" s="155">
        <f>SUM(AR35:BC35)</f>
        <v>294379.31244324805</v>
      </c>
      <c r="BU35" s="155">
        <f>SUM(BD35:BO35)</f>
        <v>312046.33978365955</v>
      </c>
      <c r="BX35" s="454">
        <f>BR35/BQ35-1</f>
        <v>1.4918242800213402</v>
      </c>
      <c r="BY35" s="454">
        <f>BS35/BR35-1</f>
        <v>1.1990052284439217</v>
      </c>
      <c r="BZ35" s="454">
        <f>BT35/BS35-1</f>
        <v>0.6701560829773221</v>
      </c>
      <c r="CA35" s="454">
        <f>BU35/BT35-1</f>
        <v>6.0014500318589681E-2</v>
      </c>
    </row>
    <row r="36" spans="2:79" outlineLevel="1">
      <c r="C36" s="165" t="s">
        <v>0</v>
      </c>
      <c r="D36" s="139" t="s">
        <v>434</v>
      </c>
      <c r="E36" s="139" t="s">
        <v>433</v>
      </c>
      <c r="BW36" s="155">
        <f>BQ7-BQ21-BQ35</f>
        <v>0</v>
      </c>
      <c r="BX36" s="155">
        <f>BR7-BR21-BR35</f>
        <v>0</v>
      </c>
      <c r="BY36" s="155">
        <f>BS7-BS21-BS35</f>
        <v>0</v>
      </c>
      <c r="BZ36" s="155">
        <f>BT7-BT21-BT35</f>
        <v>0</v>
      </c>
      <c r="CA36" s="155">
        <f>BU7-BU21-BU35</f>
        <v>0</v>
      </c>
    </row>
    <row r="37" spans="2:79" outlineLevel="1">
      <c r="C37" s="139">
        <f t="shared" ref="C37:E39" si="11">C24</f>
        <v>1</v>
      </c>
      <c r="D37" s="139">
        <f t="shared" si="11"/>
        <v>737</v>
      </c>
      <c r="E37" s="139" t="str">
        <f t="shared" si="11"/>
        <v>M7</v>
      </c>
      <c r="H37" s="139">
        <f t="shared" ref="H37:AM37" si="12">H10-H24</f>
        <v>0</v>
      </c>
      <c r="I37" s="139">
        <f t="shared" si="12"/>
        <v>0</v>
      </c>
      <c r="J37" s="139">
        <f t="shared" si="12"/>
        <v>0</v>
      </c>
      <c r="K37" s="139">
        <f t="shared" si="12"/>
        <v>0</v>
      </c>
      <c r="L37" s="139">
        <f t="shared" si="12"/>
        <v>0</v>
      </c>
      <c r="M37" s="139">
        <f t="shared" si="12"/>
        <v>0</v>
      </c>
      <c r="N37" s="139">
        <f t="shared" si="12"/>
        <v>165.68524000000002</v>
      </c>
      <c r="O37" s="139">
        <f t="shared" si="12"/>
        <v>165.68524000000002</v>
      </c>
      <c r="P37" s="139">
        <f t="shared" si="12"/>
        <v>165.68524000000002</v>
      </c>
      <c r="Q37" s="139">
        <f t="shared" si="12"/>
        <v>165.68524000000002</v>
      </c>
      <c r="R37" s="139">
        <f t="shared" si="12"/>
        <v>165.68524000000002</v>
      </c>
      <c r="S37" s="139">
        <f t="shared" si="12"/>
        <v>165.68524000000002</v>
      </c>
      <c r="T37" s="139">
        <f t="shared" si="12"/>
        <v>165.68524000000002</v>
      </c>
      <c r="U37" s="139">
        <f t="shared" si="12"/>
        <v>165.68524000000002</v>
      </c>
      <c r="V37" s="139">
        <f t="shared" si="12"/>
        <v>165.68524000000002</v>
      </c>
      <c r="W37" s="139">
        <f t="shared" si="12"/>
        <v>165.68524000000002</v>
      </c>
      <c r="X37" s="139">
        <f t="shared" si="12"/>
        <v>165.68524000000002</v>
      </c>
      <c r="Y37" s="139">
        <f t="shared" si="12"/>
        <v>165.68524000000002</v>
      </c>
      <c r="Z37" s="139">
        <f t="shared" si="12"/>
        <v>165.68524000000002</v>
      </c>
      <c r="AA37" s="139">
        <f t="shared" si="12"/>
        <v>165.68524000000002</v>
      </c>
      <c r="AB37" s="139">
        <f t="shared" si="12"/>
        <v>165.68524000000002</v>
      </c>
      <c r="AC37" s="139">
        <f t="shared" si="12"/>
        <v>165.68524000000002</v>
      </c>
      <c r="AD37" s="139">
        <f t="shared" si="12"/>
        <v>165.68524000000002</v>
      </c>
      <c r="AE37" s="139">
        <f t="shared" si="12"/>
        <v>165.68524000000002</v>
      </c>
      <c r="AF37" s="139">
        <f t="shared" si="12"/>
        <v>165.68524000000002</v>
      </c>
      <c r="AG37" s="139">
        <f t="shared" si="12"/>
        <v>165.68524000000002</v>
      </c>
      <c r="AH37" s="139">
        <f t="shared" si="12"/>
        <v>165.68524000000002</v>
      </c>
      <c r="AI37" s="139">
        <f t="shared" si="12"/>
        <v>165.68524000000002</v>
      </c>
      <c r="AJ37" s="139">
        <f t="shared" si="12"/>
        <v>165.68524000000002</v>
      </c>
      <c r="AK37" s="139">
        <f t="shared" si="12"/>
        <v>165.68524000000002</v>
      </c>
      <c r="AL37" s="139">
        <f t="shared" si="12"/>
        <v>165.68524000000002</v>
      </c>
      <c r="AM37" s="139">
        <f t="shared" si="12"/>
        <v>165.68524000000002</v>
      </c>
      <c r="AN37" s="139">
        <f t="shared" ref="AN37:BO37" si="13">AN10-AN24</f>
        <v>165.68524000000002</v>
      </c>
      <c r="AO37" s="139">
        <f t="shared" si="13"/>
        <v>165.68524000000002</v>
      </c>
      <c r="AP37" s="139">
        <f t="shared" si="13"/>
        <v>165.68524000000002</v>
      </c>
      <c r="AQ37" s="139">
        <f t="shared" si="13"/>
        <v>165.68524000000002</v>
      </c>
      <c r="AR37" s="139">
        <f t="shared" si="13"/>
        <v>165.68524000000002</v>
      </c>
      <c r="AS37" s="139">
        <f t="shared" si="13"/>
        <v>165.68524000000002</v>
      </c>
      <c r="AT37" s="139">
        <f t="shared" si="13"/>
        <v>165.68524000000002</v>
      </c>
      <c r="AU37" s="139">
        <f t="shared" si="13"/>
        <v>165.68524000000002</v>
      </c>
      <c r="AV37" s="139">
        <f t="shared" si="13"/>
        <v>165.68524000000002</v>
      </c>
      <c r="AW37" s="139">
        <f t="shared" si="13"/>
        <v>165.68524000000002</v>
      </c>
      <c r="AX37" s="139">
        <f t="shared" si="13"/>
        <v>165.68524000000002</v>
      </c>
      <c r="AY37" s="139">
        <f t="shared" si="13"/>
        <v>165.68524000000002</v>
      </c>
      <c r="AZ37" s="139">
        <f t="shared" si="13"/>
        <v>165.68524000000002</v>
      </c>
      <c r="BA37" s="139">
        <f t="shared" si="13"/>
        <v>165.68524000000002</v>
      </c>
      <c r="BB37" s="139">
        <f t="shared" si="13"/>
        <v>165.68524000000002</v>
      </c>
      <c r="BC37" s="139">
        <f t="shared" si="13"/>
        <v>165.68524000000002</v>
      </c>
      <c r="BD37" s="139">
        <f t="shared" si="13"/>
        <v>165.68524000000002</v>
      </c>
      <c r="BE37" s="139">
        <f t="shared" si="13"/>
        <v>165.68524000000002</v>
      </c>
      <c r="BF37" s="139">
        <f t="shared" si="13"/>
        <v>165.68524000000002</v>
      </c>
      <c r="BG37" s="139">
        <f t="shared" si="13"/>
        <v>165.68524000000002</v>
      </c>
      <c r="BH37" s="139">
        <f t="shared" si="13"/>
        <v>165.68524000000002</v>
      </c>
      <c r="BI37" s="139">
        <f t="shared" si="13"/>
        <v>165.68524000000002</v>
      </c>
      <c r="BJ37" s="139">
        <f t="shared" si="13"/>
        <v>165.68524000000002</v>
      </c>
      <c r="BK37" s="139">
        <f t="shared" si="13"/>
        <v>165.68524000000002</v>
      </c>
      <c r="BL37" s="139">
        <f t="shared" si="13"/>
        <v>165.68524000000002</v>
      </c>
      <c r="BM37" s="139">
        <f t="shared" si="13"/>
        <v>165.68524000000002</v>
      </c>
      <c r="BN37" s="139">
        <f t="shared" si="13"/>
        <v>165.68524000000002</v>
      </c>
      <c r="BO37" s="139">
        <f t="shared" si="13"/>
        <v>165.68524000000002</v>
      </c>
    </row>
    <row r="38" spans="2:79" outlineLevel="1">
      <c r="C38" s="139">
        <f t="shared" si="11"/>
        <v>2</v>
      </c>
      <c r="D38" s="139">
        <f t="shared" si="11"/>
        <v>737</v>
      </c>
      <c r="E38" s="139" t="str">
        <f t="shared" si="11"/>
        <v>M7</v>
      </c>
      <c r="H38" s="139">
        <f t="shared" ref="H38:AM38" si="14">H11-H25</f>
        <v>0</v>
      </c>
      <c r="I38" s="139">
        <f t="shared" si="14"/>
        <v>0</v>
      </c>
      <c r="J38" s="139">
        <f t="shared" si="14"/>
        <v>0</v>
      </c>
      <c r="K38" s="139">
        <f t="shared" si="14"/>
        <v>0</v>
      </c>
      <c r="L38" s="139">
        <f t="shared" si="14"/>
        <v>0</v>
      </c>
      <c r="M38" s="139">
        <f t="shared" si="14"/>
        <v>0</v>
      </c>
      <c r="N38" s="139">
        <f t="shared" si="14"/>
        <v>301.81685344537829</v>
      </c>
      <c r="O38" s="139">
        <f t="shared" si="14"/>
        <v>301.81685344537829</v>
      </c>
      <c r="P38" s="139">
        <f t="shared" si="14"/>
        <v>301.81685344537829</v>
      </c>
      <c r="Q38" s="139">
        <f t="shared" si="14"/>
        <v>301.81685344537829</v>
      </c>
      <c r="R38" s="139">
        <f t="shared" si="14"/>
        <v>301.81685344537829</v>
      </c>
      <c r="S38" s="139">
        <f t="shared" si="14"/>
        <v>301.81685344537829</v>
      </c>
      <c r="T38" s="139">
        <f t="shared" si="14"/>
        <v>301.81685344537829</v>
      </c>
      <c r="U38" s="139">
        <f t="shared" si="14"/>
        <v>301.81685344537829</v>
      </c>
      <c r="V38" s="139">
        <f t="shared" si="14"/>
        <v>301.81685344537829</v>
      </c>
      <c r="W38" s="139">
        <f t="shared" si="14"/>
        <v>301.81685344537829</v>
      </c>
      <c r="X38" s="139">
        <f t="shared" si="14"/>
        <v>301.81685344537829</v>
      </c>
      <c r="Y38" s="139">
        <f t="shared" si="14"/>
        <v>301.81685344537829</v>
      </c>
      <c r="Z38" s="139">
        <f t="shared" si="14"/>
        <v>301.81685344537829</v>
      </c>
      <c r="AA38" s="139">
        <f t="shared" si="14"/>
        <v>301.81685344537829</v>
      </c>
      <c r="AB38" s="139">
        <f t="shared" si="14"/>
        <v>301.81685344537829</v>
      </c>
      <c r="AC38" s="139">
        <f t="shared" si="14"/>
        <v>301.81685344537829</v>
      </c>
      <c r="AD38" s="139">
        <f t="shared" si="14"/>
        <v>301.81685344537829</v>
      </c>
      <c r="AE38" s="139">
        <f t="shared" si="14"/>
        <v>301.81685344537829</v>
      </c>
      <c r="AF38" s="139">
        <f t="shared" si="14"/>
        <v>301.81685344537829</v>
      </c>
      <c r="AG38" s="139">
        <f t="shared" si="14"/>
        <v>301.81685344537829</v>
      </c>
      <c r="AH38" s="139">
        <f t="shared" si="14"/>
        <v>301.81685344537829</v>
      </c>
      <c r="AI38" s="139">
        <f t="shared" si="14"/>
        <v>301.81685344537829</v>
      </c>
      <c r="AJ38" s="139">
        <f t="shared" si="14"/>
        <v>301.81685344537829</v>
      </c>
      <c r="AK38" s="139">
        <f t="shared" si="14"/>
        <v>301.81685344537829</v>
      </c>
      <c r="AL38" s="139">
        <f t="shared" si="14"/>
        <v>301.81685344537829</v>
      </c>
      <c r="AM38" s="139">
        <f t="shared" si="14"/>
        <v>301.81685344537829</v>
      </c>
      <c r="AN38" s="139">
        <f t="shared" ref="AN38:BO38" si="15">AN11-AN25</f>
        <v>301.81685344537829</v>
      </c>
      <c r="AO38" s="139">
        <f t="shared" si="15"/>
        <v>301.81685344537829</v>
      </c>
      <c r="AP38" s="139">
        <f t="shared" si="15"/>
        <v>301.81685344537829</v>
      </c>
      <c r="AQ38" s="139">
        <f t="shared" si="15"/>
        <v>301.81685344537829</v>
      </c>
      <c r="AR38" s="139">
        <f t="shared" si="15"/>
        <v>301.81685344537829</v>
      </c>
      <c r="AS38" s="139">
        <f t="shared" si="15"/>
        <v>301.81685344537829</v>
      </c>
      <c r="AT38" s="139">
        <f t="shared" si="15"/>
        <v>301.81685344537829</v>
      </c>
      <c r="AU38" s="139">
        <f t="shared" si="15"/>
        <v>301.81685344537829</v>
      </c>
      <c r="AV38" s="139">
        <f t="shared" si="15"/>
        <v>301.81685344537829</v>
      </c>
      <c r="AW38" s="139">
        <f t="shared" si="15"/>
        <v>301.81685344537829</v>
      </c>
      <c r="AX38" s="139">
        <f t="shared" si="15"/>
        <v>301.81685344537829</v>
      </c>
      <c r="AY38" s="139">
        <f t="shared" si="15"/>
        <v>301.81685344537829</v>
      </c>
      <c r="AZ38" s="139">
        <f t="shared" si="15"/>
        <v>301.81685344537829</v>
      </c>
      <c r="BA38" s="139">
        <f t="shared" si="15"/>
        <v>301.81685344537829</v>
      </c>
      <c r="BB38" s="139">
        <f t="shared" si="15"/>
        <v>301.81685344537829</v>
      </c>
      <c r="BC38" s="139">
        <f t="shared" si="15"/>
        <v>301.81685344537829</v>
      </c>
      <c r="BD38" s="139">
        <f t="shared" si="15"/>
        <v>301.81685344537829</v>
      </c>
      <c r="BE38" s="139">
        <f t="shared" si="15"/>
        <v>301.81685344537829</v>
      </c>
      <c r="BF38" s="139">
        <f t="shared" si="15"/>
        <v>301.81685344537829</v>
      </c>
      <c r="BG38" s="139">
        <f t="shared" si="15"/>
        <v>301.81685344537829</v>
      </c>
      <c r="BH38" s="139">
        <f t="shared" si="15"/>
        <v>301.81685344537829</v>
      </c>
      <c r="BI38" s="139">
        <f t="shared" si="15"/>
        <v>301.81685344537829</v>
      </c>
      <c r="BJ38" s="139">
        <f t="shared" si="15"/>
        <v>301.81685344537829</v>
      </c>
      <c r="BK38" s="139">
        <f t="shared" si="15"/>
        <v>301.81685344537829</v>
      </c>
      <c r="BL38" s="139">
        <f t="shared" si="15"/>
        <v>301.81685344537829</v>
      </c>
      <c r="BM38" s="139">
        <f t="shared" si="15"/>
        <v>301.81685344537829</v>
      </c>
      <c r="BN38" s="139">
        <f t="shared" si="15"/>
        <v>301.81685344537829</v>
      </c>
      <c r="BO38" s="139">
        <f t="shared" si="15"/>
        <v>301.81685344537829</v>
      </c>
    </row>
    <row r="39" spans="2:79" outlineLevel="1">
      <c r="C39" s="139">
        <f t="shared" si="11"/>
        <v>3</v>
      </c>
      <c r="D39" s="139">
        <f t="shared" si="11"/>
        <v>737</v>
      </c>
      <c r="E39" s="139" t="str">
        <f t="shared" si="11"/>
        <v>M7</v>
      </c>
      <c r="H39" s="139">
        <f t="shared" ref="H39:AM39" si="16">H12-H26</f>
        <v>0</v>
      </c>
      <c r="I39" s="139">
        <f t="shared" si="16"/>
        <v>0</v>
      </c>
      <c r="J39" s="139">
        <f t="shared" si="16"/>
        <v>0</v>
      </c>
      <c r="K39" s="139">
        <f t="shared" si="16"/>
        <v>0</v>
      </c>
      <c r="L39" s="139">
        <f t="shared" si="16"/>
        <v>0</v>
      </c>
      <c r="M39" s="139">
        <f t="shared" si="16"/>
        <v>0</v>
      </c>
      <c r="N39" s="139">
        <f t="shared" si="16"/>
        <v>376.84797662184883</v>
      </c>
      <c r="O39" s="139">
        <f t="shared" si="16"/>
        <v>376.84797662184883</v>
      </c>
      <c r="P39" s="139">
        <f t="shared" si="16"/>
        <v>376.84797662184883</v>
      </c>
      <c r="Q39" s="139">
        <f t="shared" si="16"/>
        <v>376.84797662184883</v>
      </c>
      <c r="R39" s="139">
        <f t="shared" si="16"/>
        <v>376.84797662184883</v>
      </c>
      <c r="S39" s="139">
        <f t="shared" si="16"/>
        <v>376.84797662184883</v>
      </c>
      <c r="T39" s="139">
        <f t="shared" si="16"/>
        <v>376.84797662184883</v>
      </c>
      <c r="U39" s="139">
        <f t="shared" si="16"/>
        <v>376.84797662184883</v>
      </c>
      <c r="V39" s="139">
        <f t="shared" si="16"/>
        <v>376.84797662184883</v>
      </c>
      <c r="W39" s="139">
        <f t="shared" si="16"/>
        <v>376.84797662184883</v>
      </c>
      <c r="X39" s="139">
        <f t="shared" si="16"/>
        <v>376.84797662184883</v>
      </c>
      <c r="Y39" s="139">
        <f t="shared" si="16"/>
        <v>376.84797662184883</v>
      </c>
      <c r="Z39" s="139">
        <f t="shared" si="16"/>
        <v>376.84797662184883</v>
      </c>
      <c r="AA39" s="139">
        <f t="shared" si="16"/>
        <v>376.84797662184883</v>
      </c>
      <c r="AB39" s="139">
        <f t="shared" si="16"/>
        <v>376.84797662184883</v>
      </c>
      <c r="AC39" s="139">
        <f t="shared" si="16"/>
        <v>376.84797662184883</v>
      </c>
      <c r="AD39" s="139">
        <f t="shared" si="16"/>
        <v>376.84797662184883</v>
      </c>
      <c r="AE39" s="139">
        <f t="shared" si="16"/>
        <v>376.84797662184883</v>
      </c>
      <c r="AF39" s="139">
        <f t="shared" si="16"/>
        <v>376.84797662184883</v>
      </c>
      <c r="AG39" s="139">
        <f t="shared" si="16"/>
        <v>376.84797662184883</v>
      </c>
      <c r="AH39" s="139">
        <f t="shared" si="16"/>
        <v>376.84797662184883</v>
      </c>
      <c r="AI39" s="139">
        <f t="shared" si="16"/>
        <v>376.84797662184883</v>
      </c>
      <c r="AJ39" s="139">
        <f t="shared" si="16"/>
        <v>376.84797662184883</v>
      </c>
      <c r="AK39" s="139">
        <f t="shared" si="16"/>
        <v>376.84797662184883</v>
      </c>
      <c r="AL39" s="139">
        <f t="shared" si="16"/>
        <v>376.84797662184883</v>
      </c>
      <c r="AM39" s="139">
        <f t="shared" si="16"/>
        <v>376.84797662184883</v>
      </c>
      <c r="AN39" s="139">
        <f t="shared" ref="AN39:BO39" si="17">AN12-AN26</f>
        <v>376.84797662184883</v>
      </c>
      <c r="AO39" s="139">
        <f t="shared" si="17"/>
        <v>376.84797662184883</v>
      </c>
      <c r="AP39" s="139">
        <f t="shared" si="17"/>
        <v>376.84797662184883</v>
      </c>
      <c r="AQ39" s="139">
        <f t="shared" si="17"/>
        <v>376.84797662184883</v>
      </c>
      <c r="AR39" s="139">
        <f t="shared" si="17"/>
        <v>376.84797662184883</v>
      </c>
      <c r="AS39" s="139">
        <f t="shared" si="17"/>
        <v>376.84797662184883</v>
      </c>
      <c r="AT39" s="139">
        <f t="shared" si="17"/>
        <v>376.84797662184883</v>
      </c>
      <c r="AU39" s="139">
        <f t="shared" si="17"/>
        <v>376.84797662184883</v>
      </c>
      <c r="AV39" s="139">
        <f t="shared" si="17"/>
        <v>376.84797662184883</v>
      </c>
      <c r="AW39" s="139">
        <f t="shared" si="17"/>
        <v>376.84797662184883</v>
      </c>
      <c r="AX39" s="139">
        <f t="shared" si="17"/>
        <v>376.84797662184883</v>
      </c>
      <c r="AY39" s="139">
        <f t="shared" si="17"/>
        <v>376.84797662184883</v>
      </c>
      <c r="AZ39" s="139">
        <f t="shared" si="17"/>
        <v>376.84797662184883</v>
      </c>
      <c r="BA39" s="139">
        <f t="shared" si="17"/>
        <v>376.84797662184883</v>
      </c>
      <c r="BB39" s="139">
        <f t="shared" si="17"/>
        <v>376.84797662184883</v>
      </c>
      <c r="BC39" s="139">
        <f t="shared" si="17"/>
        <v>376.84797662184883</v>
      </c>
      <c r="BD39" s="139">
        <f t="shared" si="17"/>
        <v>376.84797662184883</v>
      </c>
      <c r="BE39" s="139">
        <f t="shared" si="17"/>
        <v>376.84797662184883</v>
      </c>
      <c r="BF39" s="139">
        <f t="shared" si="17"/>
        <v>376.84797662184883</v>
      </c>
      <c r="BG39" s="139">
        <f t="shared" si="17"/>
        <v>376.84797662184883</v>
      </c>
      <c r="BH39" s="139">
        <f t="shared" si="17"/>
        <v>376.84797662184883</v>
      </c>
      <c r="BI39" s="139">
        <f t="shared" si="17"/>
        <v>376.84797662184883</v>
      </c>
      <c r="BJ39" s="139">
        <f t="shared" si="17"/>
        <v>376.84797662184883</v>
      </c>
      <c r="BK39" s="139">
        <f t="shared" si="17"/>
        <v>376.84797662184883</v>
      </c>
      <c r="BL39" s="139">
        <f t="shared" si="17"/>
        <v>376.84797662184883</v>
      </c>
      <c r="BM39" s="139">
        <f t="shared" si="17"/>
        <v>376.84797662184883</v>
      </c>
      <c r="BN39" s="139">
        <f t="shared" si="17"/>
        <v>376.84797662184883</v>
      </c>
      <c r="BO39" s="139">
        <f t="shared" si="17"/>
        <v>376.84797662184883</v>
      </c>
    </row>
    <row r="40" spans="2:79" outlineLevel="1">
      <c r="C40" s="139">
        <f t="shared" ref="C40:E40" si="18">C27</f>
        <v>4</v>
      </c>
      <c r="D40" s="139">
        <f t="shared" si="18"/>
        <v>767</v>
      </c>
      <c r="E40" s="139" t="str">
        <f t="shared" si="18"/>
        <v>M7</v>
      </c>
      <c r="H40" s="139">
        <f t="shared" ref="H40:BO40" si="19">H13-H27</f>
        <v>0</v>
      </c>
      <c r="I40" s="139">
        <f t="shared" si="19"/>
        <v>0</v>
      </c>
      <c r="J40" s="139">
        <f t="shared" si="19"/>
        <v>0</v>
      </c>
      <c r="K40" s="139">
        <f t="shared" si="19"/>
        <v>0</v>
      </c>
      <c r="L40" s="139">
        <f t="shared" si="19"/>
        <v>0</v>
      </c>
      <c r="M40" s="139">
        <f t="shared" si="19"/>
        <v>0</v>
      </c>
      <c r="N40" s="139">
        <f t="shared" si="19"/>
        <v>392.83082197176498</v>
      </c>
      <c r="O40" s="139">
        <f t="shared" si="19"/>
        <v>392.83082197176498</v>
      </c>
      <c r="P40" s="139">
        <f t="shared" si="19"/>
        <v>392.83082197176498</v>
      </c>
      <c r="Q40" s="139">
        <f t="shared" si="19"/>
        <v>392.83082197176498</v>
      </c>
      <c r="R40" s="139">
        <f t="shared" si="19"/>
        <v>392.83082197176498</v>
      </c>
      <c r="S40" s="139">
        <f t="shared" si="19"/>
        <v>392.83082197176498</v>
      </c>
      <c r="T40" s="139">
        <f t="shared" si="19"/>
        <v>392.83082197176498</v>
      </c>
      <c r="U40" s="139">
        <f t="shared" si="19"/>
        <v>392.83082197176498</v>
      </c>
      <c r="V40" s="139">
        <f t="shared" si="19"/>
        <v>392.83082197176498</v>
      </c>
      <c r="W40" s="139">
        <f t="shared" si="19"/>
        <v>392.83082197176498</v>
      </c>
      <c r="X40" s="139">
        <f t="shared" si="19"/>
        <v>392.83082197176498</v>
      </c>
      <c r="Y40" s="139">
        <f t="shared" si="19"/>
        <v>392.83082197176498</v>
      </c>
      <c r="Z40" s="139">
        <f t="shared" si="19"/>
        <v>392.83082197176498</v>
      </c>
      <c r="AA40" s="139">
        <f t="shared" si="19"/>
        <v>392.83082197176498</v>
      </c>
      <c r="AB40" s="139">
        <f t="shared" si="19"/>
        <v>392.83082197176498</v>
      </c>
      <c r="AC40" s="139">
        <f t="shared" si="19"/>
        <v>392.83082197176498</v>
      </c>
      <c r="AD40" s="139">
        <f t="shared" si="19"/>
        <v>392.83082197176498</v>
      </c>
      <c r="AE40" s="139">
        <f t="shared" si="19"/>
        <v>392.83082197176498</v>
      </c>
      <c r="AF40" s="139">
        <f t="shared" si="19"/>
        <v>392.83082197176498</v>
      </c>
      <c r="AG40" s="139">
        <f t="shared" si="19"/>
        <v>392.83082197176498</v>
      </c>
      <c r="AH40" s="139">
        <f t="shared" si="19"/>
        <v>392.83082197176498</v>
      </c>
      <c r="AI40" s="139">
        <f t="shared" si="19"/>
        <v>392.83082197176498</v>
      </c>
      <c r="AJ40" s="139">
        <f t="shared" si="19"/>
        <v>392.83082197176498</v>
      </c>
      <c r="AK40" s="139">
        <f t="shared" si="19"/>
        <v>392.83082197176498</v>
      </c>
      <c r="AL40" s="139">
        <f t="shared" si="19"/>
        <v>392.83082197176498</v>
      </c>
      <c r="AM40" s="139">
        <f t="shared" si="19"/>
        <v>392.83082197176498</v>
      </c>
      <c r="AN40" s="139">
        <f t="shared" si="19"/>
        <v>392.83082197176498</v>
      </c>
      <c r="AO40" s="139">
        <f t="shared" si="19"/>
        <v>392.83082197176498</v>
      </c>
      <c r="AP40" s="139">
        <f t="shared" si="19"/>
        <v>392.83082197176498</v>
      </c>
      <c r="AQ40" s="139">
        <f t="shared" si="19"/>
        <v>392.83082197176498</v>
      </c>
      <c r="AR40" s="139">
        <f t="shared" si="19"/>
        <v>392.83082197176498</v>
      </c>
      <c r="AS40" s="139">
        <f t="shared" si="19"/>
        <v>392.83082197176498</v>
      </c>
      <c r="AT40" s="139">
        <f t="shared" si="19"/>
        <v>392.83082197176498</v>
      </c>
      <c r="AU40" s="139">
        <f t="shared" si="19"/>
        <v>392.83082197176498</v>
      </c>
      <c r="AV40" s="139">
        <f t="shared" si="19"/>
        <v>392.83082197176498</v>
      </c>
      <c r="AW40" s="139">
        <f t="shared" si="19"/>
        <v>392.83082197176498</v>
      </c>
      <c r="AX40" s="139">
        <f t="shared" si="19"/>
        <v>392.83082197176498</v>
      </c>
      <c r="AY40" s="139">
        <f t="shared" si="19"/>
        <v>392.83082197176498</v>
      </c>
      <c r="AZ40" s="139">
        <f t="shared" si="19"/>
        <v>392.83082197176498</v>
      </c>
      <c r="BA40" s="139">
        <f t="shared" si="19"/>
        <v>392.83082197176498</v>
      </c>
      <c r="BB40" s="139">
        <f t="shared" si="19"/>
        <v>392.83082197176498</v>
      </c>
      <c r="BC40" s="139">
        <f t="shared" si="19"/>
        <v>392.83082197176498</v>
      </c>
      <c r="BD40" s="139">
        <f t="shared" si="19"/>
        <v>392.83082197176498</v>
      </c>
      <c r="BE40" s="139">
        <f t="shared" si="19"/>
        <v>392.83082197176498</v>
      </c>
      <c r="BF40" s="139">
        <f t="shared" si="19"/>
        <v>392.83082197176498</v>
      </c>
      <c r="BG40" s="139">
        <f t="shared" si="19"/>
        <v>392.83082197176498</v>
      </c>
      <c r="BH40" s="139">
        <f t="shared" si="19"/>
        <v>392.83082197176498</v>
      </c>
      <c r="BI40" s="139">
        <f t="shared" si="19"/>
        <v>392.83082197176498</v>
      </c>
      <c r="BJ40" s="139">
        <f t="shared" si="19"/>
        <v>392.83082197176498</v>
      </c>
      <c r="BK40" s="139">
        <f t="shared" si="19"/>
        <v>392.83082197176498</v>
      </c>
      <c r="BL40" s="139">
        <f t="shared" si="19"/>
        <v>392.83082197176498</v>
      </c>
      <c r="BM40" s="139">
        <f t="shared" si="19"/>
        <v>392.83082197176498</v>
      </c>
      <c r="BN40" s="139">
        <f t="shared" si="19"/>
        <v>392.83082197176498</v>
      </c>
      <c r="BO40" s="139">
        <f t="shared" si="19"/>
        <v>392.83082197176498</v>
      </c>
    </row>
    <row r="41" spans="2:79" outlineLevel="1">
      <c r="C41" s="139">
        <f t="shared" ref="C41:E41" si="20">C28</f>
        <v>5</v>
      </c>
      <c r="D41" s="139">
        <f t="shared" si="20"/>
        <v>737</v>
      </c>
      <c r="E41" s="139" t="str">
        <f t="shared" si="20"/>
        <v>M13</v>
      </c>
      <c r="H41" s="139">
        <f t="shared" ref="H41:BO41" si="21">H14-H28</f>
        <v>0</v>
      </c>
      <c r="I41" s="139">
        <f t="shared" si="21"/>
        <v>0</v>
      </c>
      <c r="J41" s="139">
        <f t="shared" si="21"/>
        <v>0</v>
      </c>
      <c r="K41" s="139">
        <f t="shared" si="21"/>
        <v>0</v>
      </c>
      <c r="L41" s="139">
        <f t="shared" si="21"/>
        <v>0</v>
      </c>
      <c r="M41" s="139">
        <f t="shared" si="21"/>
        <v>0</v>
      </c>
      <c r="N41" s="139">
        <f t="shared" si="21"/>
        <v>0</v>
      </c>
      <c r="O41" s="139">
        <f t="shared" si="21"/>
        <v>0</v>
      </c>
      <c r="P41" s="139">
        <f t="shared" si="21"/>
        <v>0</v>
      </c>
      <c r="Q41" s="139">
        <f t="shared" si="21"/>
        <v>0</v>
      </c>
      <c r="R41" s="139">
        <f t="shared" si="21"/>
        <v>0</v>
      </c>
      <c r="S41" s="139">
        <f t="shared" si="21"/>
        <v>0</v>
      </c>
      <c r="T41" s="139">
        <f t="shared" si="21"/>
        <v>78.974702016806759</v>
      </c>
      <c r="U41" s="139">
        <f t="shared" si="21"/>
        <v>78.974702016806759</v>
      </c>
      <c r="V41" s="139">
        <f t="shared" si="21"/>
        <v>78.974702016806759</v>
      </c>
      <c r="W41" s="139">
        <f t="shared" si="21"/>
        <v>78.974702016806759</v>
      </c>
      <c r="X41" s="139">
        <f t="shared" si="21"/>
        <v>78.974702016806759</v>
      </c>
      <c r="Y41" s="139">
        <f t="shared" si="21"/>
        <v>78.974702016806759</v>
      </c>
      <c r="Z41" s="139">
        <f t="shared" si="21"/>
        <v>78.974702016806759</v>
      </c>
      <c r="AA41" s="139">
        <f t="shared" si="21"/>
        <v>78.974702016806759</v>
      </c>
      <c r="AB41" s="139">
        <f t="shared" si="21"/>
        <v>78.974702016806759</v>
      </c>
      <c r="AC41" s="139">
        <f t="shared" si="21"/>
        <v>78.974702016806759</v>
      </c>
      <c r="AD41" s="139">
        <f t="shared" si="21"/>
        <v>78.974702016806759</v>
      </c>
      <c r="AE41" s="139">
        <f t="shared" si="21"/>
        <v>78.974702016806759</v>
      </c>
      <c r="AF41" s="139">
        <f t="shared" si="21"/>
        <v>78.974702016806759</v>
      </c>
      <c r="AG41" s="139">
        <f t="shared" si="21"/>
        <v>78.974702016806759</v>
      </c>
      <c r="AH41" s="139">
        <f t="shared" si="21"/>
        <v>78.974702016806759</v>
      </c>
      <c r="AI41" s="139">
        <f t="shared" si="21"/>
        <v>78.974702016806759</v>
      </c>
      <c r="AJ41" s="139">
        <f t="shared" si="21"/>
        <v>78.974702016806759</v>
      </c>
      <c r="AK41" s="139">
        <f t="shared" si="21"/>
        <v>78.974702016806759</v>
      </c>
      <c r="AL41" s="139">
        <f t="shared" si="21"/>
        <v>78.974702016806759</v>
      </c>
      <c r="AM41" s="139">
        <f t="shared" si="21"/>
        <v>78.974702016806759</v>
      </c>
      <c r="AN41" s="139">
        <f t="shared" si="21"/>
        <v>78.974702016806759</v>
      </c>
      <c r="AO41" s="139">
        <f t="shared" si="21"/>
        <v>78.974702016806759</v>
      </c>
      <c r="AP41" s="139">
        <f t="shared" si="21"/>
        <v>78.974702016806759</v>
      </c>
      <c r="AQ41" s="139">
        <f t="shared" si="21"/>
        <v>78.974702016806759</v>
      </c>
      <c r="AR41" s="139">
        <f t="shared" si="21"/>
        <v>78.974702016806759</v>
      </c>
      <c r="AS41" s="139">
        <f t="shared" si="21"/>
        <v>78.974702016806759</v>
      </c>
      <c r="AT41" s="139">
        <f t="shared" si="21"/>
        <v>78.974702016806759</v>
      </c>
      <c r="AU41" s="139">
        <f t="shared" si="21"/>
        <v>78.974702016806759</v>
      </c>
      <c r="AV41" s="139">
        <f t="shared" si="21"/>
        <v>78.974702016806759</v>
      </c>
      <c r="AW41" s="139">
        <f t="shared" si="21"/>
        <v>78.974702016806759</v>
      </c>
      <c r="AX41" s="139">
        <f t="shared" si="21"/>
        <v>78.974702016806759</v>
      </c>
      <c r="AY41" s="139">
        <f t="shared" si="21"/>
        <v>78.974702016806759</v>
      </c>
      <c r="AZ41" s="139">
        <f t="shared" si="21"/>
        <v>78.974702016806759</v>
      </c>
      <c r="BA41" s="139">
        <f t="shared" si="21"/>
        <v>78.974702016806759</v>
      </c>
      <c r="BB41" s="139">
        <f t="shared" si="21"/>
        <v>78.974702016806759</v>
      </c>
      <c r="BC41" s="139">
        <f t="shared" si="21"/>
        <v>78.974702016806759</v>
      </c>
      <c r="BD41" s="139">
        <f t="shared" si="21"/>
        <v>78.974702016806759</v>
      </c>
      <c r="BE41" s="139">
        <f t="shared" si="21"/>
        <v>78.974702016806759</v>
      </c>
      <c r="BF41" s="139">
        <f t="shared" si="21"/>
        <v>78.974702016806759</v>
      </c>
      <c r="BG41" s="139">
        <f t="shared" si="21"/>
        <v>78.974702016806759</v>
      </c>
      <c r="BH41" s="139">
        <f t="shared" si="21"/>
        <v>78.974702016806759</v>
      </c>
      <c r="BI41" s="139">
        <f t="shared" si="21"/>
        <v>78.974702016806759</v>
      </c>
      <c r="BJ41" s="139">
        <f t="shared" si="21"/>
        <v>78.974702016806759</v>
      </c>
      <c r="BK41" s="139">
        <f t="shared" si="21"/>
        <v>78.974702016806759</v>
      </c>
      <c r="BL41" s="139">
        <f t="shared" si="21"/>
        <v>78.974702016806759</v>
      </c>
      <c r="BM41" s="139">
        <f t="shared" si="21"/>
        <v>78.974702016806759</v>
      </c>
      <c r="BN41" s="139">
        <f t="shared" si="21"/>
        <v>78.974702016806759</v>
      </c>
      <c r="BO41" s="139">
        <f t="shared" si="21"/>
        <v>78.974702016806759</v>
      </c>
    </row>
    <row r="42" spans="2:79" outlineLevel="1">
      <c r="C42" s="139">
        <f t="shared" ref="C42:E42" si="22">C29</f>
        <v>6</v>
      </c>
      <c r="D42" s="139">
        <f t="shared" si="22"/>
        <v>767</v>
      </c>
      <c r="E42" s="139" t="str">
        <f t="shared" si="22"/>
        <v>M19</v>
      </c>
      <c r="H42" s="139">
        <f t="shared" ref="H42:BO42" si="23">H15-H29</f>
        <v>0</v>
      </c>
      <c r="I42" s="139">
        <f t="shared" si="23"/>
        <v>0</v>
      </c>
      <c r="J42" s="139">
        <f t="shared" si="23"/>
        <v>0</v>
      </c>
      <c r="K42" s="139">
        <f t="shared" si="23"/>
        <v>0</v>
      </c>
      <c r="L42" s="139">
        <f t="shared" si="23"/>
        <v>0</v>
      </c>
      <c r="M42" s="139">
        <f t="shared" si="23"/>
        <v>0</v>
      </c>
      <c r="N42" s="139">
        <f t="shared" si="23"/>
        <v>0</v>
      </c>
      <c r="O42" s="139">
        <f t="shared" si="23"/>
        <v>0</v>
      </c>
      <c r="P42" s="139">
        <f t="shared" si="23"/>
        <v>0</v>
      </c>
      <c r="Q42" s="139">
        <f t="shared" si="23"/>
        <v>0</v>
      </c>
      <c r="R42" s="139">
        <f t="shared" si="23"/>
        <v>0</v>
      </c>
      <c r="S42" s="139">
        <f t="shared" si="23"/>
        <v>0</v>
      </c>
      <c r="T42" s="139">
        <f t="shared" si="23"/>
        <v>0</v>
      </c>
      <c r="U42" s="139">
        <f t="shared" si="23"/>
        <v>0</v>
      </c>
      <c r="V42" s="139">
        <f t="shared" si="23"/>
        <v>0</v>
      </c>
      <c r="W42" s="139">
        <f t="shared" si="23"/>
        <v>0</v>
      </c>
      <c r="X42" s="139">
        <f t="shared" si="23"/>
        <v>0</v>
      </c>
      <c r="Y42" s="139">
        <f t="shared" si="23"/>
        <v>0</v>
      </c>
      <c r="Z42" s="139">
        <f t="shared" si="23"/>
        <v>450.52619744962237</v>
      </c>
      <c r="AA42" s="139">
        <f t="shared" si="23"/>
        <v>450.52619744962237</v>
      </c>
      <c r="AB42" s="139">
        <f t="shared" si="23"/>
        <v>450.52619744962237</v>
      </c>
      <c r="AC42" s="139">
        <f t="shared" si="23"/>
        <v>450.52619744962237</v>
      </c>
      <c r="AD42" s="139">
        <f t="shared" si="23"/>
        <v>450.52619744962237</v>
      </c>
      <c r="AE42" s="139">
        <f t="shared" si="23"/>
        <v>450.52619744962237</v>
      </c>
      <c r="AF42" s="139">
        <f t="shared" si="23"/>
        <v>450.52619744962237</v>
      </c>
      <c r="AG42" s="139">
        <f t="shared" si="23"/>
        <v>450.52619744962237</v>
      </c>
      <c r="AH42" s="139">
        <f t="shared" si="23"/>
        <v>450.52619744962237</v>
      </c>
      <c r="AI42" s="139">
        <f t="shared" si="23"/>
        <v>450.52619744962237</v>
      </c>
      <c r="AJ42" s="139">
        <f t="shared" si="23"/>
        <v>450.52619744962237</v>
      </c>
      <c r="AK42" s="139">
        <f t="shared" si="23"/>
        <v>450.52619744962237</v>
      </c>
      <c r="AL42" s="139">
        <f t="shared" si="23"/>
        <v>450.52619744962237</v>
      </c>
      <c r="AM42" s="139">
        <f t="shared" si="23"/>
        <v>450.52619744962237</v>
      </c>
      <c r="AN42" s="139">
        <f t="shared" si="23"/>
        <v>450.52619744962237</v>
      </c>
      <c r="AO42" s="139">
        <f t="shared" si="23"/>
        <v>450.52619744962237</v>
      </c>
      <c r="AP42" s="139">
        <f t="shared" si="23"/>
        <v>450.52619744962237</v>
      </c>
      <c r="AQ42" s="139">
        <f t="shared" si="23"/>
        <v>450.52619744962237</v>
      </c>
      <c r="AR42" s="139">
        <f t="shared" si="23"/>
        <v>450.52619744962237</v>
      </c>
      <c r="AS42" s="139">
        <f t="shared" si="23"/>
        <v>450.52619744962237</v>
      </c>
      <c r="AT42" s="139">
        <f t="shared" si="23"/>
        <v>450.52619744962237</v>
      </c>
      <c r="AU42" s="139">
        <f t="shared" si="23"/>
        <v>450.52619744962237</v>
      </c>
      <c r="AV42" s="139">
        <f t="shared" si="23"/>
        <v>450.52619744962237</v>
      </c>
      <c r="AW42" s="139">
        <f t="shared" si="23"/>
        <v>450.52619744962237</v>
      </c>
      <c r="AX42" s="139">
        <f t="shared" si="23"/>
        <v>450.52619744962237</v>
      </c>
      <c r="AY42" s="139">
        <f t="shared" si="23"/>
        <v>450.52619744962237</v>
      </c>
      <c r="AZ42" s="139">
        <f t="shared" si="23"/>
        <v>450.52619744962237</v>
      </c>
      <c r="BA42" s="139">
        <f t="shared" si="23"/>
        <v>450.52619744962237</v>
      </c>
      <c r="BB42" s="139">
        <f t="shared" si="23"/>
        <v>450.52619744962237</v>
      </c>
      <c r="BC42" s="139">
        <f t="shared" si="23"/>
        <v>450.52619744962237</v>
      </c>
      <c r="BD42" s="139">
        <f t="shared" si="23"/>
        <v>450.52619744962237</v>
      </c>
      <c r="BE42" s="139">
        <f t="shared" si="23"/>
        <v>450.52619744962237</v>
      </c>
      <c r="BF42" s="139">
        <f t="shared" si="23"/>
        <v>450.52619744962237</v>
      </c>
      <c r="BG42" s="139">
        <f t="shared" si="23"/>
        <v>450.52619744962237</v>
      </c>
      <c r="BH42" s="139">
        <f t="shared" si="23"/>
        <v>450.52619744962237</v>
      </c>
      <c r="BI42" s="139">
        <f t="shared" si="23"/>
        <v>450.52619744962237</v>
      </c>
      <c r="BJ42" s="139">
        <f t="shared" si="23"/>
        <v>450.52619744962237</v>
      </c>
      <c r="BK42" s="139">
        <f t="shared" si="23"/>
        <v>450.52619744962237</v>
      </c>
      <c r="BL42" s="139">
        <f t="shared" si="23"/>
        <v>450.52619744962237</v>
      </c>
      <c r="BM42" s="139">
        <f t="shared" si="23"/>
        <v>450.52619744962237</v>
      </c>
      <c r="BN42" s="139">
        <f t="shared" si="23"/>
        <v>450.52619744962237</v>
      </c>
      <c r="BO42" s="139">
        <f t="shared" si="23"/>
        <v>450.52619744962237</v>
      </c>
    </row>
    <row r="43" spans="2:79" outlineLevel="1">
      <c r="C43" s="139">
        <f>C30</f>
        <v>7</v>
      </c>
      <c r="D43" s="139">
        <f>D30</f>
        <v>737</v>
      </c>
      <c r="E43" s="139" t="str">
        <f>E30</f>
        <v>M25</v>
      </c>
      <c r="H43" s="139">
        <f t="shared" ref="H43:AM43" si="24">H16-H30</f>
        <v>0</v>
      </c>
      <c r="I43" s="139">
        <f t="shared" si="24"/>
        <v>0</v>
      </c>
      <c r="J43" s="139">
        <f t="shared" si="24"/>
        <v>0</v>
      </c>
      <c r="K43" s="139">
        <f t="shared" si="24"/>
        <v>0</v>
      </c>
      <c r="L43" s="139">
        <f t="shared" si="24"/>
        <v>0</v>
      </c>
      <c r="M43" s="139">
        <f t="shared" si="24"/>
        <v>0</v>
      </c>
      <c r="N43" s="139">
        <f t="shared" si="24"/>
        <v>0</v>
      </c>
      <c r="O43" s="139">
        <f t="shared" si="24"/>
        <v>0</v>
      </c>
      <c r="P43" s="139">
        <f t="shared" si="24"/>
        <v>0</v>
      </c>
      <c r="Q43" s="139">
        <f t="shared" si="24"/>
        <v>0</v>
      </c>
      <c r="R43" s="139">
        <f t="shared" si="24"/>
        <v>0</v>
      </c>
      <c r="S43" s="139">
        <f t="shared" si="24"/>
        <v>0</v>
      </c>
      <c r="T43" s="139">
        <f t="shared" si="24"/>
        <v>0</v>
      </c>
      <c r="U43" s="139">
        <f t="shared" si="24"/>
        <v>0</v>
      </c>
      <c r="V43" s="139">
        <f t="shared" si="24"/>
        <v>0</v>
      </c>
      <c r="W43" s="139">
        <f t="shared" si="24"/>
        <v>0</v>
      </c>
      <c r="X43" s="139">
        <f t="shared" si="24"/>
        <v>0</v>
      </c>
      <c r="Y43" s="139">
        <f t="shared" si="24"/>
        <v>0</v>
      </c>
      <c r="Z43" s="139">
        <f t="shared" si="24"/>
        <v>0</v>
      </c>
      <c r="AA43" s="139">
        <f t="shared" si="24"/>
        <v>0</v>
      </c>
      <c r="AB43" s="139">
        <f t="shared" si="24"/>
        <v>0</v>
      </c>
      <c r="AC43" s="139">
        <f t="shared" si="24"/>
        <v>0</v>
      </c>
      <c r="AD43" s="139">
        <f t="shared" si="24"/>
        <v>0</v>
      </c>
      <c r="AE43" s="139">
        <f t="shared" si="24"/>
        <v>0</v>
      </c>
      <c r="AF43" s="139">
        <f t="shared" si="24"/>
        <v>647.12465198319353</v>
      </c>
      <c r="AG43" s="139">
        <f t="shared" si="24"/>
        <v>647.12465198319353</v>
      </c>
      <c r="AH43" s="139">
        <f t="shared" si="24"/>
        <v>647.12465198319353</v>
      </c>
      <c r="AI43" s="139">
        <f t="shared" si="24"/>
        <v>647.12465198319353</v>
      </c>
      <c r="AJ43" s="139">
        <f t="shared" si="24"/>
        <v>647.12465198319353</v>
      </c>
      <c r="AK43" s="139">
        <f t="shared" si="24"/>
        <v>647.12465198319353</v>
      </c>
      <c r="AL43" s="139">
        <f t="shared" si="24"/>
        <v>647.12465198319353</v>
      </c>
      <c r="AM43" s="139">
        <f t="shared" si="24"/>
        <v>647.12465198319353</v>
      </c>
      <c r="AN43" s="139">
        <f t="shared" ref="AN43:BO43" si="25">AN16-AN30</f>
        <v>647.12465198319353</v>
      </c>
      <c r="AO43" s="139">
        <f t="shared" si="25"/>
        <v>647.12465198319353</v>
      </c>
      <c r="AP43" s="139">
        <f t="shared" si="25"/>
        <v>647.12465198319353</v>
      </c>
      <c r="AQ43" s="139">
        <f t="shared" si="25"/>
        <v>647.12465198319353</v>
      </c>
      <c r="AR43" s="139">
        <f t="shared" si="25"/>
        <v>647.12465198319353</v>
      </c>
      <c r="AS43" s="139">
        <f t="shared" si="25"/>
        <v>647.12465198319353</v>
      </c>
      <c r="AT43" s="139">
        <f t="shared" si="25"/>
        <v>647.12465198319353</v>
      </c>
      <c r="AU43" s="139">
        <f t="shared" si="25"/>
        <v>647.12465198319353</v>
      </c>
      <c r="AV43" s="139">
        <f t="shared" si="25"/>
        <v>647.12465198319353</v>
      </c>
      <c r="AW43" s="139">
        <f t="shared" si="25"/>
        <v>647.12465198319353</v>
      </c>
      <c r="AX43" s="139">
        <f t="shared" si="25"/>
        <v>647.12465198319353</v>
      </c>
      <c r="AY43" s="139">
        <f t="shared" si="25"/>
        <v>647.12465198319353</v>
      </c>
      <c r="AZ43" s="139">
        <f t="shared" si="25"/>
        <v>647.12465198319353</v>
      </c>
      <c r="BA43" s="139">
        <f t="shared" si="25"/>
        <v>647.12465198319353</v>
      </c>
      <c r="BB43" s="139">
        <f t="shared" si="25"/>
        <v>647.12465198319353</v>
      </c>
      <c r="BC43" s="139">
        <f t="shared" si="25"/>
        <v>647.12465198319353</v>
      </c>
      <c r="BD43" s="139">
        <f t="shared" si="25"/>
        <v>647.12465198319353</v>
      </c>
      <c r="BE43" s="139">
        <f t="shared" si="25"/>
        <v>647.12465198319353</v>
      </c>
      <c r="BF43" s="139">
        <f t="shared" si="25"/>
        <v>647.12465198319353</v>
      </c>
      <c r="BG43" s="139">
        <f t="shared" si="25"/>
        <v>647.12465198319353</v>
      </c>
      <c r="BH43" s="139">
        <f t="shared" si="25"/>
        <v>647.12465198319353</v>
      </c>
      <c r="BI43" s="139">
        <f t="shared" si="25"/>
        <v>647.12465198319353</v>
      </c>
      <c r="BJ43" s="139">
        <f t="shared" si="25"/>
        <v>647.12465198319353</v>
      </c>
      <c r="BK43" s="139">
        <f t="shared" si="25"/>
        <v>647.12465198319353</v>
      </c>
      <c r="BL43" s="139">
        <f t="shared" si="25"/>
        <v>647.12465198319353</v>
      </c>
      <c r="BM43" s="139">
        <f t="shared" si="25"/>
        <v>647.12465198319353</v>
      </c>
      <c r="BN43" s="139">
        <f t="shared" si="25"/>
        <v>647.12465198319353</v>
      </c>
      <c r="BO43" s="139">
        <f t="shared" si="25"/>
        <v>647.12465198319353</v>
      </c>
    </row>
    <row r="44" spans="2:79" outlineLevel="1">
      <c r="C44" s="139">
        <f t="shared" ref="C44:E44" si="26">C31</f>
        <v>8</v>
      </c>
      <c r="D44" s="139">
        <f t="shared" si="26"/>
        <v>767</v>
      </c>
      <c r="E44" s="139" t="str">
        <f t="shared" si="26"/>
        <v>M31</v>
      </c>
      <c r="H44" s="139">
        <f t="shared" ref="H44:BO44" si="27">H17-H31</f>
        <v>0</v>
      </c>
      <c r="I44" s="139">
        <f t="shared" si="27"/>
        <v>0</v>
      </c>
      <c r="J44" s="139">
        <f t="shared" si="27"/>
        <v>0</v>
      </c>
      <c r="K44" s="139">
        <f t="shared" si="27"/>
        <v>0</v>
      </c>
      <c r="L44" s="139">
        <f t="shared" si="27"/>
        <v>0</v>
      </c>
      <c r="M44" s="139">
        <f t="shared" si="27"/>
        <v>0</v>
      </c>
      <c r="N44" s="139">
        <f t="shared" si="27"/>
        <v>0</v>
      </c>
      <c r="O44" s="139">
        <f t="shared" si="27"/>
        <v>0</v>
      </c>
      <c r="P44" s="139">
        <f t="shared" si="27"/>
        <v>0</v>
      </c>
      <c r="Q44" s="139">
        <f t="shared" si="27"/>
        <v>0</v>
      </c>
      <c r="R44" s="139">
        <f t="shared" si="27"/>
        <v>0</v>
      </c>
      <c r="S44" s="139">
        <f t="shared" si="27"/>
        <v>0</v>
      </c>
      <c r="T44" s="139">
        <f t="shared" si="27"/>
        <v>0</v>
      </c>
      <c r="U44" s="139">
        <f t="shared" si="27"/>
        <v>0</v>
      </c>
      <c r="V44" s="139">
        <f t="shared" si="27"/>
        <v>0</v>
      </c>
      <c r="W44" s="139">
        <f t="shared" si="27"/>
        <v>0</v>
      </c>
      <c r="X44" s="139">
        <f t="shared" si="27"/>
        <v>0</v>
      </c>
      <c r="Y44" s="139">
        <f t="shared" si="27"/>
        <v>0</v>
      </c>
      <c r="Z44" s="139">
        <f t="shared" si="27"/>
        <v>0</v>
      </c>
      <c r="AA44" s="139">
        <f t="shared" si="27"/>
        <v>0</v>
      </c>
      <c r="AB44" s="139">
        <f t="shared" si="27"/>
        <v>0</v>
      </c>
      <c r="AC44" s="139">
        <f t="shared" si="27"/>
        <v>0</v>
      </c>
      <c r="AD44" s="139">
        <f t="shared" si="27"/>
        <v>0</v>
      </c>
      <c r="AE44" s="139">
        <f t="shared" si="27"/>
        <v>0</v>
      </c>
      <c r="AF44" s="139">
        <f t="shared" si="27"/>
        <v>0</v>
      </c>
      <c r="AG44" s="139">
        <f t="shared" si="27"/>
        <v>0</v>
      </c>
      <c r="AH44" s="139">
        <f t="shared" si="27"/>
        <v>0</v>
      </c>
      <c r="AI44" s="139">
        <f t="shared" si="27"/>
        <v>0</v>
      </c>
      <c r="AJ44" s="139">
        <f t="shared" si="27"/>
        <v>0</v>
      </c>
      <c r="AK44" s="139">
        <f t="shared" si="27"/>
        <v>0</v>
      </c>
      <c r="AL44" s="139">
        <f t="shared" si="27"/>
        <v>1951.5626423142858</v>
      </c>
      <c r="AM44" s="139">
        <f t="shared" si="27"/>
        <v>1951.5626423142858</v>
      </c>
      <c r="AN44" s="139">
        <f t="shared" si="27"/>
        <v>1951.5626423142858</v>
      </c>
      <c r="AO44" s="139">
        <f t="shared" si="27"/>
        <v>1951.5626423142858</v>
      </c>
      <c r="AP44" s="139">
        <f t="shared" si="27"/>
        <v>1951.5626423142858</v>
      </c>
      <c r="AQ44" s="139">
        <f t="shared" si="27"/>
        <v>1951.5626423142858</v>
      </c>
      <c r="AR44" s="139">
        <f t="shared" si="27"/>
        <v>1951.5626423142858</v>
      </c>
      <c r="AS44" s="139">
        <f t="shared" si="27"/>
        <v>1951.5626423142858</v>
      </c>
      <c r="AT44" s="139">
        <f t="shared" si="27"/>
        <v>1951.5626423142858</v>
      </c>
      <c r="AU44" s="139">
        <f t="shared" si="27"/>
        <v>1951.5626423142858</v>
      </c>
      <c r="AV44" s="139">
        <f t="shared" si="27"/>
        <v>1951.5626423142858</v>
      </c>
      <c r="AW44" s="139">
        <f t="shared" si="27"/>
        <v>1951.5626423142858</v>
      </c>
      <c r="AX44" s="139">
        <f t="shared" si="27"/>
        <v>1951.5626423142858</v>
      </c>
      <c r="AY44" s="139">
        <f t="shared" si="27"/>
        <v>1951.5626423142858</v>
      </c>
      <c r="AZ44" s="139">
        <f t="shared" si="27"/>
        <v>1951.5626423142858</v>
      </c>
      <c r="BA44" s="139">
        <f t="shared" si="27"/>
        <v>1951.5626423142858</v>
      </c>
      <c r="BB44" s="139">
        <f t="shared" si="27"/>
        <v>1951.5626423142858</v>
      </c>
      <c r="BC44" s="139">
        <f t="shared" si="27"/>
        <v>1951.5626423142858</v>
      </c>
      <c r="BD44" s="139">
        <f t="shared" si="27"/>
        <v>1951.5626423142858</v>
      </c>
      <c r="BE44" s="139">
        <f t="shared" si="27"/>
        <v>1951.5626423142858</v>
      </c>
      <c r="BF44" s="139">
        <f t="shared" si="27"/>
        <v>1951.5626423142858</v>
      </c>
      <c r="BG44" s="139">
        <f t="shared" si="27"/>
        <v>1951.5626423142858</v>
      </c>
      <c r="BH44" s="139">
        <f t="shared" si="27"/>
        <v>1951.5626423142858</v>
      </c>
      <c r="BI44" s="139">
        <f t="shared" si="27"/>
        <v>1951.5626423142858</v>
      </c>
      <c r="BJ44" s="139">
        <f t="shared" si="27"/>
        <v>1951.5626423142858</v>
      </c>
      <c r="BK44" s="139">
        <f t="shared" si="27"/>
        <v>1951.5626423142858</v>
      </c>
      <c r="BL44" s="139">
        <f t="shared" si="27"/>
        <v>1951.5626423142858</v>
      </c>
      <c r="BM44" s="139">
        <f t="shared" si="27"/>
        <v>1951.5626423142858</v>
      </c>
      <c r="BN44" s="139">
        <f t="shared" si="27"/>
        <v>1951.5626423142858</v>
      </c>
      <c r="BO44" s="139">
        <f t="shared" si="27"/>
        <v>1951.5626423142858</v>
      </c>
    </row>
    <row r="45" spans="2:79" outlineLevel="1">
      <c r="C45" s="139">
        <f t="shared" ref="C45:E45" si="28">C32</f>
        <v>9</v>
      </c>
      <c r="D45" s="139">
        <f t="shared" si="28"/>
        <v>767</v>
      </c>
      <c r="E45" s="139" t="str">
        <f t="shared" si="28"/>
        <v>M37</v>
      </c>
      <c r="H45" s="139">
        <f t="shared" ref="H45:BO45" si="29">H18-H32</f>
        <v>0</v>
      </c>
      <c r="I45" s="139">
        <f t="shared" si="29"/>
        <v>0</v>
      </c>
      <c r="J45" s="139">
        <f t="shared" si="29"/>
        <v>0</v>
      </c>
      <c r="K45" s="139">
        <f t="shared" si="29"/>
        <v>0</v>
      </c>
      <c r="L45" s="139">
        <f t="shared" si="29"/>
        <v>0</v>
      </c>
      <c r="M45" s="139">
        <f t="shared" si="29"/>
        <v>0</v>
      </c>
      <c r="N45" s="139">
        <f t="shared" si="29"/>
        <v>0</v>
      </c>
      <c r="O45" s="139">
        <f t="shared" si="29"/>
        <v>0</v>
      </c>
      <c r="P45" s="139">
        <f t="shared" si="29"/>
        <v>0</v>
      </c>
      <c r="Q45" s="139">
        <f t="shared" si="29"/>
        <v>0</v>
      </c>
      <c r="R45" s="139">
        <f t="shared" si="29"/>
        <v>0</v>
      </c>
      <c r="S45" s="139">
        <f t="shared" si="29"/>
        <v>0</v>
      </c>
      <c r="T45" s="139">
        <f t="shared" si="29"/>
        <v>0</v>
      </c>
      <c r="U45" s="139">
        <f t="shared" si="29"/>
        <v>0</v>
      </c>
      <c r="V45" s="139">
        <f t="shared" si="29"/>
        <v>0</v>
      </c>
      <c r="W45" s="139">
        <f t="shared" si="29"/>
        <v>0</v>
      </c>
      <c r="X45" s="139">
        <f t="shared" si="29"/>
        <v>0</v>
      </c>
      <c r="Y45" s="139">
        <f t="shared" si="29"/>
        <v>0</v>
      </c>
      <c r="Z45" s="139">
        <f t="shared" si="29"/>
        <v>0</v>
      </c>
      <c r="AA45" s="139">
        <f t="shared" si="29"/>
        <v>0</v>
      </c>
      <c r="AB45" s="139">
        <f t="shared" si="29"/>
        <v>0</v>
      </c>
      <c r="AC45" s="139">
        <f t="shared" si="29"/>
        <v>0</v>
      </c>
      <c r="AD45" s="139">
        <f t="shared" si="29"/>
        <v>0</v>
      </c>
      <c r="AE45" s="139">
        <f t="shared" si="29"/>
        <v>0</v>
      </c>
      <c r="AF45" s="139">
        <f t="shared" si="29"/>
        <v>0</v>
      </c>
      <c r="AG45" s="139">
        <f t="shared" si="29"/>
        <v>0</v>
      </c>
      <c r="AH45" s="139">
        <f t="shared" si="29"/>
        <v>0</v>
      </c>
      <c r="AI45" s="139">
        <f t="shared" si="29"/>
        <v>0</v>
      </c>
      <c r="AJ45" s="139">
        <f t="shared" si="29"/>
        <v>0</v>
      </c>
      <c r="AK45" s="139">
        <f t="shared" si="29"/>
        <v>0</v>
      </c>
      <c r="AL45" s="139">
        <f t="shared" si="29"/>
        <v>0</v>
      </c>
      <c r="AM45" s="139">
        <f t="shared" si="29"/>
        <v>0</v>
      </c>
      <c r="AN45" s="139">
        <f t="shared" si="29"/>
        <v>0</v>
      </c>
      <c r="AO45" s="139">
        <f t="shared" si="29"/>
        <v>0</v>
      </c>
      <c r="AP45" s="139">
        <f t="shared" si="29"/>
        <v>0</v>
      </c>
      <c r="AQ45" s="139">
        <f t="shared" si="29"/>
        <v>0</v>
      </c>
      <c r="AR45" s="139">
        <f t="shared" si="29"/>
        <v>956.02101232857149</v>
      </c>
      <c r="AS45" s="139">
        <f t="shared" si="29"/>
        <v>956.02101232857149</v>
      </c>
      <c r="AT45" s="139">
        <f t="shared" si="29"/>
        <v>956.02101232857149</v>
      </c>
      <c r="AU45" s="139">
        <f t="shared" si="29"/>
        <v>956.02101232857149</v>
      </c>
      <c r="AV45" s="139">
        <f t="shared" si="29"/>
        <v>956.02101232857149</v>
      </c>
      <c r="AW45" s="139">
        <f t="shared" si="29"/>
        <v>956.02101232857149</v>
      </c>
      <c r="AX45" s="139">
        <f t="shared" si="29"/>
        <v>956.02101232857149</v>
      </c>
      <c r="AY45" s="139">
        <f t="shared" si="29"/>
        <v>956.02101232857149</v>
      </c>
      <c r="AZ45" s="139">
        <f t="shared" si="29"/>
        <v>956.02101232857149</v>
      </c>
      <c r="BA45" s="139">
        <f t="shared" si="29"/>
        <v>956.02101232857149</v>
      </c>
      <c r="BB45" s="139">
        <f t="shared" si="29"/>
        <v>956.02101232857149</v>
      </c>
      <c r="BC45" s="139">
        <f t="shared" si="29"/>
        <v>956.02101232857149</v>
      </c>
      <c r="BD45" s="139">
        <f t="shared" si="29"/>
        <v>956.02101232857149</v>
      </c>
      <c r="BE45" s="139">
        <f t="shared" si="29"/>
        <v>956.02101232857149</v>
      </c>
      <c r="BF45" s="139">
        <f t="shared" si="29"/>
        <v>956.02101232857149</v>
      </c>
      <c r="BG45" s="139">
        <f t="shared" si="29"/>
        <v>956.02101232857149</v>
      </c>
      <c r="BH45" s="139">
        <f t="shared" si="29"/>
        <v>956.02101232857149</v>
      </c>
      <c r="BI45" s="139">
        <f t="shared" si="29"/>
        <v>956.02101232857149</v>
      </c>
      <c r="BJ45" s="139">
        <f t="shared" si="29"/>
        <v>956.02101232857149</v>
      </c>
      <c r="BK45" s="139">
        <f t="shared" si="29"/>
        <v>956.02101232857149</v>
      </c>
      <c r="BL45" s="139">
        <f t="shared" si="29"/>
        <v>956.02101232857149</v>
      </c>
      <c r="BM45" s="139">
        <f t="shared" si="29"/>
        <v>956.02101232857149</v>
      </c>
      <c r="BN45" s="139">
        <f t="shared" si="29"/>
        <v>956.02101232857149</v>
      </c>
      <c r="BO45" s="139">
        <f t="shared" si="29"/>
        <v>956.02101232857149</v>
      </c>
    </row>
    <row r="46" spans="2:79" outlineLevel="1">
      <c r="C46" s="139">
        <f t="shared" ref="C46:E46" si="30">C33</f>
        <v>10</v>
      </c>
      <c r="D46" s="139">
        <f t="shared" si="30"/>
        <v>767</v>
      </c>
      <c r="E46" s="139" t="str">
        <f t="shared" si="30"/>
        <v>M43</v>
      </c>
      <c r="H46" s="139">
        <f t="shared" ref="H46:BO46" si="31">H19-H33</f>
        <v>0</v>
      </c>
      <c r="I46" s="139">
        <f t="shared" si="31"/>
        <v>0</v>
      </c>
      <c r="J46" s="139">
        <f t="shared" si="31"/>
        <v>0</v>
      </c>
      <c r="K46" s="139">
        <f t="shared" si="31"/>
        <v>0</v>
      </c>
      <c r="L46" s="139">
        <f t="shared" si="31"/>
        <v>0</v>
      </c>
      <c r="M46" s="139">
        <f t="shared" si="31"/>
        <v>0</v>
      </c>
      <c r="N46" s="139">
        <f t="shared" si="31"/>
        <v>0</v>
      </c>
      <c r="O46" s="139">
        <f t="shared" si="31"/>
        <v>0</v>
      </c>
      <c r="P46" s="139">
        <f t="shared" si="31"/>
        <v>0</v>
      </c>
      <c r="Q46" s="139">
        <f t="shared" si="31"/>
        <v>0</v>
      </c>
      <c r="R46" s="139">
        <f t="shared" si="31"/>
        <v>0</v>
      </c>
      <c r="S46" s="139">
        <f t="shared" si="31"/>
        <v>0</v>
      </c>
      <c r="T46" s="139">
        <f t="shared" si="31"/>
        <v>0</v>
      </c>
      <c r="U46" s="139">
        <f t="shared" si="31"/>
        <v>0</v>
      </c>
      <c r="V46" s="139">
        <f t="shared" si="31"/>
        <v>0</v>
      </c>
      <c r="W46" s="139">
        <f t="shared" si="31"/>
        <v>0</v>
      </c>
      <c r="X46" s="139">
        <f t="shared" si="31"/>
        <v>0</v>
      </c>
      <c r="Y46" s="139">
        <f t="shared" si="31"/>
        <v>0</v>
      </c>
      <c r="Z46" s="139">
        <f t="shared" si="31"/>
        <v>0</v>
      </c>
      <c r="AA46" s="139">
        <f t="shared" si="31"/>
        <v>0</v>
      </c>
      <c r="AB46" s="139">
        <f t="shared" si="31"/>
        <v>0</v>
      </c>
      <c r="AC46" s="139">
        <f t="shared" si="31"/>
        <v>0</v>
      </c>
      <c r="AD46" s="139">
        <f t="shared" si="31"/>
        <v>0</v>
      </c>
      <c r="AE46" s="139">
        <f t="shared" si="31"/>
        <v>0</v>
      </c>
      <c r="AF46" s="139">
        <f t="shared" si="31"/>
        <v>0</v>
      </c>
      <c r="AG46" s="139">
        <f t="shared" si="31"/>
        <v>0</v>
      </c>
      <c r="AH46" s="139">
        <f t="shared" si="31"/>
        <v>0</v>
      </c>
      <c r="AI46" s="139">
        <f t="shared" si="31"/>
        <v>0</v>
      </c>
      <c r="AJ46" s="139">
        <f t="shared" si="31"/>
        <v>0</v>
      </c>
      <c r="AK46" s="139">
        <f t="shared" si="31"/>
        <v>0</v>
      </c>
      <c r="AL46" s="139">
        <f t="shared" si="31"/>
        <v>0</v>
      </c>
      <c r="AM46" s="139">
        <f t="shared" si="31"/>
        <v>0</v>
      </c>
      <c r="AN46" s="139">
        <f t="shared" si="31"/>
        <v>0</v>
      </c>
      <c r="AO46" s="139">
        <f t="shared" si="31"/>
        <v>0</v>
      </c>
      <c r="AP46" s="139">
        <f t="shared" si="31"/>
        <v>0</v>
      </c>
      <c r="AQ46" s="139">
        <f t="shared" si="31"/>
        <v>0</v>
      </c>
      <c r="AR46" s="139">
        <f t="shared" si="31"/>
        <v>0</v>
      </c>
      <c r="AS46" s="139">
        <f t="shared" si="31"/>
        <v>0</v>
      </c>
      <c r="AT46" s="139">
        <f t="shared" si="31"/>
        <v>0</v>
      </c>
      <c r="AU46" s="139">
        <f t="shared" si="31"/>
        <v>0</v>
      </c>
      <c r="AV46" s="139">
        <f t="shared" si="31"/>
        <v>0</v>
      </c>
      <c r="AW46" s="139">
        <f t="shared" si="31"/>
        <v>0</v>
      </c>
      <c r="AX46" s="139">
        <f t="shared" si="31"/>
        <v>679.50105155428582</v>
      </c>
      <c r="AY46" s="139">
        <f t="shared" si="31"/>
        <v>679.50105155428582</v>
      </c>
      <c r="AZ46" s="139">
        <f t="shared" si="31"/>
        <v>679.50105155428582</v>
      </c>
      <c r="BA46" s="139">
        <f t="shared" si="31"/>
        <v>679.50105155428582</v>
      </c>
      <c r="BB46" s="139">
        <f t="shared" si="31"/>
        <v>679.50105155428582</v>
      </c>
      <c r="BC46" s="139">
        <f t="shared" si="31"/>
        <v>679.50105155428582</v>
      </c>
      <c r="BD46" s="139">
        <f t="shared" si="31"/>
        <v>679.50105155428582</v>
      </c>
      <c r="BE46" s="139">
        <f t="shared" si="31"/>
        <v>679.50105155428582</v>
      </c>
      <c r="BF46" s="139">
        <f t="shared" si="31"/>
        <v>679.50105155428582</v>
      </c>
      <c r="BG46" s="139">
        <f t="shared" si="31"/>
        <v>679.50105155428582</v>
      </c>
      <c r="BH46" s="139">
        <f t="shared" si="31"/>
        <v>679.50105155428582</v>
      </c>
      <c r="BI46" s="139">
        <f t="shared" si="31"/>
        <v>679.50105155428582</v>
      </c>
      <c r="BJ46" s="139">
        <f t="shared" si="31"/>
        <v>679.50105155428582</v>
      </c>
      <c r="BK46" s="139">
        <f t="shared" si="31"/>
        <v>679.50105155428582</v>
      </c>
      <c r="BL46" s="139">
        <f t="shared" si="31"/>
        <v>679.50105155428582</v>
      </c>
      <c r="BM46" s="139">
        <f t="shared" si="31"/>
        <v>679.50105155428582</v>
      </c>
      <c r="BN46" s="139">
        <f t="shared" si="31"/>
        <v>679.50105155428582</v>
      </c>
      <c r="BO46" s="139">
        <f t="shared" si="31"/>
        <v>679.50105155428582</v>
      </c>
    </row>
    <row r="47" spans="2:79" outlineLevel="1"/>
    <row r="48" spans="2:79" s="155" customFormat="1">
      <c r="B48" s="455" t="s">
        <v>630</v>
      </c>
      <c r="C48" s="455"/>
      <c r="D48" s="455"/>
      <c r="E48" s="455"/>
      <c r="F48" s="455"/>
      <c r="G48" s="455"/>
      <c r="H48" s="455">
        <f>IS_Others!L16</f>
        <v>0</v>
      </c>
      <c r="I48" s="455">
        <f>IS_Others!M16</f>
        <v>0</v>
      </c>
      <c r="J48" s="455">
        <f>IS_Others!N16</f>
        <v>0</v>
      </c>
      <c r="K48" s="455">
        <f>IS_Others!O16</f>
        <v>0</v>
      </c>
      <c r="L48" s="455">
        <f>IS_Others!P16</f>
        <v>0</v>
      </c>
      <c r="M48" s="455">
        <f>IS_Others!Q16</f>
        <v>0</v>
      </c>
      <c r="N48" s="455">
        <f>IS_Others!R16</f>
        <v>711.43893333333335</v>
      </c>
      <c r="O48" s="455">
        <f>IS_Others!S16</f>
        <v>711.43893333333335</v>
      </c>
      <c r="P48" s="455">
        <f>IS_Others!T16</f>
        <v>711.43893333333335</v>
      </c>
      <c r="Q48" s="455">
        <f>IS_Others!U16</f>
        <v>711.43893333333335</v>
      </c>
      <c r="R48" s="455">
        <f>IS_Others!V16</f>
        <v>711.43893333333335</v>
      </c>
      <c r="S48" s="455">
        <f>IS_Others!W16</f>
        <v>711.43893333333335</v>
      </c>
      <c r="T48" s="455">
        <f>IS_Others!X16</f>
        <v>961.29866666666646</v>
      </c>
      <c r="U48" s="455">
        <f>IS_Others!Y16</f>
        <v>961.29866666666646</v>
      </c>
      <c r="V48" s="455">
        <f>IS_Others!Z16</f>
        <v>961.29866666666646</v>
      </c>
      <c r="W48" s="455">
        <f>IS_Others!AA16</f>
        <v>961.29866666666646</v>
      </c>
      <c r="X48" s="455">
        <f>IS_Others!AB16</f>
        <v>961.29866666666646</v>
      </c>
      <c r="Y48" s="455">
        <f>IS_Others!AC16</f>
        <v>961.29866666666646</v>
      </c>
      <c r="Z48" s="455">
        <f>IS_Others!AD16</f>
        <v>1218.3583999999998</v>
      </c>
      <c r="AA48" s="455">
        <f>IS_Others!AE16</f>
        <v>1218.3583999999998</v>
      </c>
      <c r="AB48" s="455">
        <f>IS_Others!AF16</f>
        <v>1218.3583999999998</v>
      </c>
      <c r="AC48" s="455">
        <f>IS_Others!AG16</f>
        <v>1218.3583999999998</v>
      </c>
      <c r="AD48" s="455">
        <f>IS_Others!AH16</f>
        <v>1218.3583999999998</v>
      </c>
      <c r="AE48" s="455">
        <f>IS_Others!AI16</f>
        <v>1218.3583999999998</v>
      </c>
      <c r="AF48" s="455">
        <f>IS_Others!AJ16</f>
        <v>1512.1381333333331</v>
      </c>
      <c r="AG48" s="455">
        <f>IS_Others!AK16</f>
        <v>1512.1381333333331</v>
      </c>
      <c r="AH48" s="455">
        <f>IS_Others!AL16</f>
        <v>1512.1381333333331</v>
      </c>
      <c r="AI48" s="455">
        <f>IS_Others!AM16</f>
        <v>1512.1381333333331</v>
      </c>
      <c r="AJ48" s="455">
        <f>IS_Others!AN16</f>
        <v>1512.1381333333331</v>
      </c>
      <c r="AK48" s="455">
        <f>IS_Others!AO16</f>
        <v>1512.1381333333331</v>
      </c>
      <c r="AL48" s="455">
        <f>IS_Others!AP16</f>
        <v>1843.3578666666667</v>
      </c>
      <c r="AM48" s="455">
        <f>IS_Others!AQ16</f>
        <v>1843.3578666666667</v>
      </c>
      <c r="AN48" s="455">
        <f>IS_Others!AR16</f>
        <v>1843.3578666666667</v>
      </c>
      <c r="AO48" s="455">
        <f>IS_Others!AS16</f>
        <v>1843.3578666666667</v>
      </c>
      <c r="AP48" s="455">
        <f>IS_Others!AT16</f>
        <v>1843.3578666666667</v>
      </c>
      <c r="AQ48" s="455">
        <f>IS_Others!AU16</f>
        <v>1843.3578666666667</v>
      </c>
      <c r="AR48" s="455">
        <f>IS_Others!AV16</f>
        <v>2125.6175999999996</v>
      </c>
      <c r="AS48" s="455">
        <f>IS_Others!AW16</f>
        <v>2125.6175999999996</v>
      </c>
      <c r="AT48" s="455">
        <f>IS_Others!AX16</f>
        <v>2125.6175999999996</v>
      </c>
      <c r="AU48" s="455">
        <f>IS_Others!AY16</f>
        <v>2125.6175999999996</v>
      </c>
      <c r="AV48" s="455">
        <f>IS_Others!AZ16</f>
        <v>2125.6175999999996</v>
      </c>
      <c r="AW48" s="455">
        <f>IS_Others!BA16</f>
        <v>2125.6175999999996</v>
      </c>
      <c r="AX48" s="455">
        <f>IS_Others!BB16</f>
        <v>2505.797333333333</v>
      </c>
      <c r="AY48" s="455">
        <f>IS_Others!BC16</f>
        <v>2505.797333333333</v>
      </c>
      <c r="AZ48" s="455">
        <f>IS_Others!BD16</f>
        <v>2505.797333333333</v>
      </c>
      <c r="BA48" s="455">
        <f>IS_Others!BE16</f>
        <v>2505.797333333333</v>
      </c>
      <c r="BB48" s="455">
        <f>IS_Others!BF16</f>
        <v>2505.797333333333</v>
      </c>
      <c r="BC48" s="455">
        <f>IS_Others!BG16</f>
        <v>2505.797333333333</v>
      </c>
      <c r="BD48" s="455">
        <f>IS_Others!BH16</f>
        <v>2505.797333333333</v>
      </c>
      <c r="BE48" s="455">
        <f>IS_Others!BI16</f>
        <v>2505.797333333333</v>
      </c>
      <c r="BF48" s="455">
        <f>IS_Others!BJ16</f>
        <v>2505.797333333333</v>
      </c>
      <c r="BG48" s="455">
        <f>IS_Others!BK16</f>
        <v>2505.797333333333</v>
      </c>
      <c r="BH48" s="455">
        <f>IS_Others!BL16</f>
        <v>2505.797333333333</v>
      </c>
      <c r="BI48" s="455">
        <f>IS_Others!BM16</f>
        <v>2505.797333333333</v>
      </c>
      <c r="BJ48" s="455">
        <f>IS_Others!BN16</f>
        <v>2505.797333333333</v>
      </c>
      <c r="BK48" s="455">
        <f>IS_Others!BO16</f>
        <v>2505.797333333333</v>
      </c>
      <c r="BL48" s="455">
        <f>IS_Others!BP16</f>
        <v>2505.797333333333</v>
      </c>
      <c r="BM48" s="455">
        <f>IS_Others!BQ16</f>
        <v>2505.797333333333</v>
      </c>
      <c r="BN48" s="455">
        <f>IS_Others!BR16</f>
        <v>2505.797333333333</v>
      </c>
      <c r="BO48" s="455">
        <f>IS_Others!BS16</f>
        <v>2505.797333333333</v>
      </c>
      <c r="BQ48" s="155">
        <f>SUM(H48:S48)</f>
        <v>4268.6336000000001</v>
      </c>
      <c r="BR48" s="155">
        <f>SUM(T48:AE48)</f>
        <v>13077.942399999994</v>
      </c>
      <c r="BS48" s="155">
        <f>SUM(AF48:AQ48)</f>
        <v>20132.975999999999</v>
      </c>
      <c r="BT48" s="155">
        <f>SUM(AR48:BC48)</f>
        <v>27788.48959999999</v>
      </c>
      <c r="BU48" s="155">
        <f>SUM(BD48:BO48)</f>
        <v>30069.567999999988</v>
      </c>
      <c r="BX48" s="454">
        <f>BR48/BQ48-1</f>
        <v>2.0637303702992909</v>
      </c>
      <c r="BY48" s="454">
        <f>BS48/BR48-1</f>
        <v>0.53946051941626583</v>
      </c>
      <c r="BZ48" s="454">
        <f>BT48/BS48-1</f>
        <v>0.38024749048526107</v>
      </c>
      <c r="CA48" s="454">
        <f>BU48/BT48-1</f>
        <v>8.2087167486785573E-2</v>
      </c>
    </row>
    <row r="49" spans="2:79" outlineLevel="1">
      <c r="C49" s="139" t="s">
        <v>478</v>
      </c>
      <c r="H49" s="139">
        <f>IS_Others!L17</f>
        <v>0</v>
      </c>
      <c r="I49" s="139">
        <f>IS_Others!M17</f>
        <v>0</v>
      </c>
      <c r="J49" s="139">
        <f>IS_Others!N17</f>
        <v>0</v>
      </c>
      <c r="K49" s="139">
        <f>IS_Others!O17</f>
        <v>0</v>
      </c>
      <c r="L49" s="139">
        <f>IS_Others!P17</f>
        <v>0</v>
      </c>
      <c r="M49" s="139">
        <f>IS_Others!Q17</f>
        <v>0</v>
      </c>
      <c r="N49" s="139">
        <f>IS_Others!R17</f>
        <v>320.98559999999998</v>
      </c>
      <c r="O49" s="139">
        <f>IS_Others!S17</f>
        <v>320.98559999999998</v>
      </c>
      <c r="P49" s="139">
        <f>IS_Others!T17</f>
        <v>320.98559999999998</v>
      </c>
      <c r="Q49" s="139">
        <f>IS_Others!U17</f>
        <v>320.98559999999998</v>
      </c>
      <c r="R49" s="139">
        <f>IS_Others!V17</f>
        <v>320.98559999999998</v>
      </c>
      <c r="S49" s="139">
        <f>IS_Others!W17</f>
        <v>320.98559999999998</v>
      </c>
      <c r="T49" s="139">
        <f>IS_Others!X17</f>
        <v>401.23199999999991</v>
      </c>
      <c r="U49" s="139">
        <f>IS_Others!Y17</f>
        <v>401.23199999999991</v>
      </c>
      <c r="V49" s="139">
        <f>IS_Others!Z17</f>
        <v>401.23199999999991</v>
      </c>
      <c r="W49" s="139">
        <f>IS_Others!AA17</f>
        <v>401.23199999999991</v>
      </c>
      <c r="X49" s="139">
        <f>IS_Others!AB17</f>
        <v>401.23199999999991</v>
      </c>
      <c r="Y49" s="139">
        <f>IS_Others!AC17</f>
        <v>401.23199999999991</v>
      </c>
      <c r="Z49" s="139">
        <f>IS_Others!AD17</f>
        <v>481.47839999999991</v>
      </c>
      <c r="AA49" s="139">
        <f>IS_Others!AE17</f>
        <v>481.47839999999991</v>
      </c>
      <c r="AB49" s="139">
        <f>IS_Others!AF17</f>
        <v>481.47839999999991</v>
      </c>
      <c r="AC49" s="139">
        <f>IS_Others!AG17</f>
        <v>481.47839999999991</v>
      </c>
      <c r="AD49" s="139">
        <f>IS_Others!AH17</f>
        <v>481.47839999999991</v>
      </c>
      <c r="AE49" s="139">
        <f>IS_Others!AI17</f>
        <v>481.47839999999991</v>
      </c>
      <c r="AF49" s="139">
        <f>IS_Others!AJ17</f>
        <v>561.72479999999996</v>
      </c>
      <c r="AG49" s="139">
        <f>IS_Others!AK17</f>
        <v>561.72479999999996</v>
      </c>
      <c r="AH49" s="139">
        <f>IS_Others!AL17</f>
        <v>561.72479999999996</v>
      </c>
      <c r="AI49" s="139">
        <f>IS_Others!AM17</f>
        <v>561.72479999999996</v>
      </c>
      <c r="AJ49" s="139">
        <f>IS_Others!AN17</f>
        <v>561.72479999999996</v>
      </c>
      <c r="AK49" s="139">
        <f>IS_Others!AO17</f>
        <v>561.72479999999996</v>
      </c>
      <c r="AL49" s="139">
        <f>IS_Others!AP17</f>
        <v>641.97119999999995</v>
      </c>
      <c r="AM49" s="139">
        <f>IS_Others!AQ17</f>
        <v>641.97119999999995</v>
      </c>
      <c r="AN49" s="139">
        <f>IS_Others!AR17</f>
        <v>641.97119999999995</v>
      </c>
      <c r="AO49" s="139">
        <f>IS_Others!AS17</f>
        <v>641.97119999999995</v>
      </c>
      <c r="AP49" s="139">
        <f>IS_Others!AT17</f>
        <v>641.97119999999995</v>
      </c>
      <c r="AQ49" s="139">
        <f>IS_Others!AU17</f>
        <v>641.97119999999995</v>
      </c>
      <c r="AR49" s="139">
        <f>IS_Others!AV17</f>
        <v>722.21759999999983</v>
      </c>
      <c r="AS49" s="139">
        <f>IS_Others!AW17</f>
        <v>722.21759999999983</v>
      </c>
      <c r="AT49" s="139">
        <f>IS_Others!AX17</f>
        <v>722.21759999999983</v>
      </c>
      <c r="AU49" s="139">
        <f>IS_Others!AY17</f>
        <v>722.21759999999983</v>
      </c>
      <c r="AV49" s="139">
        <f>IS_Others!AZ17</f>
        <v>722.21759999999983</v>
      </c>
      <c r="AW49" s="139">
        <f>IS_Others!BA17</f>
        <v>722.21759999999983</v>
      </c>
      <c r="AX49" s="139">
        <f>IS_Others!BB17</f>
        <v>802.46399999999983</v>
      </c>
      <c r="AY49" s="139">
        <f>IS_Others!BC17</f>
        <v>802.46399999999983</v>
      </c>
      <c r="AZ49" s="139">
        <f>IS_Others!BD17</f>
        <v>802.46399999999983</v>
      </c>
      <c r="BA49" s="139">
        <f>IS_Others!BE17</f>
        <v>802.46399999999983</v>
      </c>
      <c r="BB49" s="139">
        <f>IS_Others!BF17</f>
        <v>802.46399999999983</v>
      </c>
      <c r="BC49" s="139">
        <f>IS_Others!BG17</f>
        <v>802.46399999999983</v>
      </c>
      <c r="BD49" s="139">
        <f>IS_Others!BH17</f>
        <v>802.46399999999983</v>
      </c>
      <c r="BE49" s="139">
        <f>IS_Others!BI17</f>
        <v>802.46399999999983</v>
      </c>
      <c r="BF49" s="139">
        <f>IS_Others!BJ17</f>
        <v>802.46399999999983</v>
      </c>
      <c r="BG49" s="139">
        <f>IS_Others!BK17</f>
        <v>802.46399999999983</v>
      </c>
      <c r="BH49" s="139">
        <f>IS_Others!BL17</f>
        <v>802.46399999999983</v>
      </c>
      <c r="BI49" s="139">
        <f>IS_Others!BM17</f>
        <v>802.46399999999983</v>
      </c>
      <c r="BJ49" s="139">
        <f>IS_Others!BN17</f>
        <v>802.46399999999983</v>
      </c>
      <c r="BK49" s="139">
        <f>IS_Others!BO17</f>
        <v>802.46399999999983</v>
      </c>
      <c r="BL49" s="139">
        <f>IS_Others!BP17</f>
        <v>802.46399999999983</v>
      </c>
      <c r="BM49" s="139">
        <f>IS_Others!BQ17</f>
        <v>802.46399999999983</v>
      </c>
      <c r="BN49" s="139">
        <f>IS_Others!BR17</f>
        <v>802.46399999999983</v>
      </c>
      <c r="BO49" s="139">
        <f>IS_Others!BS17</f>
        <v>802.46399999999983</v>
      </c>
    </row>
    <row r="50" spans="2:79" outlineLevel="1">
      <c r="C50" s="139" t="s">
        <v>1292</v>
      </c>
      <c r="H50" s="139">
        <f>IS_Others!L18</f>
        <v>0</v>
      </c>
      <c r="I50" s="139">
        <f>IS_Others!M18</f>
        <v>0</v>
      </c>
      <c r="J50" s="139">
        <f>IS_Others!N18</f>
        <v>0</v>
      </c>
      <c r="K50" s="139">
        <f>IS_Others!O18</f>
        <v>0</v>
      </c>
      <c r="L50" s="139">
        <f>IS_Others!P18</f>
        <v>0</v>
      </c>
      <c r="M50" s="139">
        <f>IS_Others!Q18</f>
        <v>0</v>
      </c>
      <c r="N50" s="139">
        <f>IS_Others!R18</f>
        <v>357.12</v>
      </c>
      <c r="O50" s="139">
        <f>IS_Others!S18</f>
        <v>357.12</v>
      </c>
      <c r="P50" s="139">
        <f>IS_Others!T18</f>
        <v>357.12</v>
      </c>
      <c r="Q50" s="139">
        <f>IS_Others!U18</f>
        <v>357.12</v>
      </c>
      <c r="R50" s="139">
        <f>IS_Others!V18</f>
        <v>357.12</v>
      </c>
      <c r="S50" s="139">
        <f>IS_Others!W18</f>
        <v>357.12</v>
      </c>
      <c r="T50" s="139">
        <f>IS_Others!X18</f>
        <v>518.4</v>
      </c>
      <c r="U50" s="139">
        <f>IS_Others!Y18</f>
        <v>518.4</v>
      </c>
      <c r="V50" s="139">
        <f>IS_Others!Z18</f>
        <v>518.4</v>
      </c>
      <c r="W50" s="139">
        <f>IS_Others!AA18</f>
        <v>518.4</v>
      </c>
      <c r="X50" s="139">
        <f>IS_Others!AB18</f>
        <v>518.4</v>
      </c>
      <c r="Y50" s="139">
        <f>IS_Others!AC18</f>
        <v>518.4</v>
      </c>
      <c r="Z50" s="139">
        <f>IS_Others!AD18</f>
        <v>686.88</v>
      </c>
      <c r="AA50" s="139">
        <f>IS_Others!AE18</f>
        <v>686.88</v>
      </c>
      <c r="AB50" s="139">
        <f>IS_Others!AF18</f>
        <v>686.88</v>
      </c>
      <c r="AC50" s="139">
        <f>IS_Others!AG18</f>
        <v>686.88</v>
      </c>
      <c r="AD50" s="139">
        <f>IS_Others!AH18</f>
        <v>686.88</v>
      </c>
      <c r="AE50" s="139">
        <f>IS_Others!AI18</f>
        <v>686.88</v>
      </c>
      <c r="AF50" s="139">
        <f>IS_Others!AJ18</f>
        <v>892.08</v>
      </c>
      <c r="AG50" s="139">
        <f>IS_Others!AK18</f>
        <v>892.08</v>
      </c>
      <c r="AH50" s="139">
        <f>IS_Others!AL18</f>
        <v>892.08</v>
      </c>
      <c r="AI50" s="139">
        <f>IS_Others!AM18</f>
        <v>892.08</v>
      </c>
      <c r="AJ50" s="139">
        <f>IS_Others!AN18</f>
        <v>892.08</v>
      </c>
      <c r="AK50" s="139">
        <f>IS_Others!AO18</f>
        <v>892.08</v>
      </c>
      <c r="AL50" s="139">
        <f>IS_Others!AP18</f>
        <v>1134.72</v>
      </c>
      <c r="AM50" s="139">
        <f>IS_Others!AQ18</f>
        <v>1134.72</v>
      </c>
      <c r="AN50" s="139">
        <f>IS_Others!AR18</f>
        <v>1134.72</v>
      </c>
      <c r="AO50" s="139">
        <f>IS_Others!AS18</f>
        <v>1134.72</v>
      </c>
      <c r="AP50" s="139">
        <f>IS_Others!AT18</f>
        <v>1134.72</v>
      </c>
      <c r="AQ50" s="139">
        <f>IS_Others!AU18</f>
        <v>1134.72</v>
      </c>
      <c r="AR50" s="139">
        <f>IS_Others!AV18</f>
        <v>1328.3999999999999</v>
      </c>
      <c r="AS50" s="139">
        <f>IS_Others!AW18</f>
        <v>1328.3999999999999</v>
      </c>
      <c r="AT50" s="139">
        <f>IS_Others!AX18</f>
        <v>1328.3999999999999</v>
      </c>
      <c r="AU50" s="139">
        <f>IS_Others!AY18</f>
        <v>1328.3999999999999</v>
      </c>
      <c r="AV50" s="139">
        <f>IS_Others!AZ18</f>
        <v>1328.3999999999999</v>
      </c>
      <c r="AW50" s="139">
        <f>IS_Others!BA18</f>
        <v>1328.3999999999999</v>
      </c>
      <c r="AX50" s="139">
        <f>IS_Others!BB18</f>
        <v>1619.9999999999998</v>
      </c>
      <c r="AY50" s="139">
        <f>IS_Others!BC18</f>
        <v>1619.9999999999998</v>
      </c>
      <c r="AZ50" s="139">
        <f>IS_Others!BD18</f>
        <v>1619.9999999999998</v>
      </c>
      <c r="BA50" s="139">
        <f>IS_Others!BE18</f>
        <v>1619.9999999999998</v>
      </c>
      <c r="BB50" s="139">
        <f>IS_Others!BF18</f>
        <v>1619.9999999999998</v>
      </c>
      <c r="BC50" s="139">
        <f>IS_Others!BG18</f>
        <v>1619.9999999999998</v>
      </c>
      <c r="BD50" s="139">
        <f>IS_Others!BH18</f>
        <v>1619.9999999999998</v>
      </c>
      <c r="BE50" s="139">
        <f>IS_Others!BI18</f>
        <v>1619.9999999999998</v>
      </c>
      <c r="BF50" s="139">
        <f>IS_Others!BJ18</f>
        <v>1619.9999999999998</v>
      </c>
      <c r="BG50" s="139">
        <f>IS_Others!BK18</f>
        <v>1619.9999999999998</v>
      </c>
      <c r="BH50" s="139">
        <f>IS_Others!BL18</f>
        <v>1619.9999999999998</v>
      </c>
      <c r="BI50" s="139">
        <f>IS_Others!BM18</f>
        <v>1619.9999999999998</v>
      </c>
      <c r="BJ50" s="139">
        <f>IS_Others!BN18</f>
        <v>1619.9999999999998</v>
      </c>
      <c r="BK50" s="139">
        <f>IS_Others!BO18</f>
        <v>1619.9999999999998</v>
      </c>
      <c r="BL50" s="139">
        <f>IS_Others!BP18</f>
        <v>1619.9999999999998</v>
      </c>
      <c r="BM50" s="139">
        <f>IS_Others!BQ18</f>
        <v>1619.9999999999998</v>
      </c>
      <c r="BN50" s="139">
        <f>IS_Others!BR18</f>
        <v>1619.9999999999998</v>
      </c>
      <c r="BO50" s="139">
        <f>IS_Others!BS18</f>
        <v>1619.9999999999998</v>
      </c>
    </row>
    <row r="51" spans="2:79" outlineLevel="1">
      <c r="C51" s="139" t="s">
        <v>479</v>
      </c>
      <c r="H51" s="139">
        <f>IS_Others!L19</f>
        <v>0</v>
      </c>
      <c r="I51" s="139">
        <f>IS_Others!M19</f>
        <v>0</v>
      </c>
      <c r="J51" s="139">
        <f>IS_Others!N19</f>
        <v>0</v>
      </c>
      <c r="K51" s="139">
        <f>IS_Others!O19</f>
        <v>0</v>
      </c>
      <c r="L51" s="139">
        <f>IS_Others!P19</f>
        <v>0</v>
      </c>
      <c r="M51" s="139">
        <f>IS_Others!Q19</f>
        <v>0</v>
      </c>
      <c r="N51" s="139">
        <f>IS_Others!R19</f>
        <v>33.333333333333336</v>
      </c>
      <c r="O51" s="139">
        <f>IS_Others!S19</f>
        <v>33.333333333333336</v>
      </c>
      <c r="P51" s="139">
        <f>IS_Others!T19</f>
        <v>33.333333333333336</v>
      </c>
      <c r="Q51" s="139">
        <f>IS_Others!U19</f>
        <v>33.333333333333336</v>
      </c>
      <c r="R51" s="139">
        <f>IS_Others!V19</f>
        <v>33.333333333333336</v>
      </c>
      <c r="S51" s="139">
        <f>IS_Others!W19</f>
        <v>33.333333333333336</v>
      </c>
      <c r="T51" s="139">
        <f>IS_Others!X19</f>
        <v>41.666666666666671</v>
      </c>
      <c r="U51" s="139">
        <f>IS_Others!Y19</f>
        <v>41.666666666666671</v>
      </c>
      <c r="V51" s="139">
        <f>IS_Others!Z19</f>
        <v>41.666666666666671</v>
      </c>
      <c r="W51" s="139">
        <f>IS_Others!AA19</f>
        <v>41.666666666666671</v>
      </c>
      <c r="X51" s="139">
        <f>IS_Others!AB19</f>
        <v>41.666666666666671</v>
      </c>
      <c r="Y51" s="139">
        <f>IS_Others!AC19</f>
        <v>41.666666666666671</v>
      </c>
      <c r="Z51" s="139">
        <f>IS_Others!AD19</f>
        <v>50</v>
      </c>
      <c r="AA51" s="139">
        <f>IS_Others!AE19</f>
        <v>50</v>
      </c>
      <c r="AB51" s="139">
        <f>IS_Others!AF19</f>
        <v>50</v>
      </c>
      <c r="AC51" s="139">
        <f>IS_Others!AG19</f>
        <v>50</v>
      </c>
      <c r="AD51" s="139">
        <f>IS_Others!AH19</f>
        <v>50</v>
      </c>
      <c r="AE51" s="139">
        <f>IS_Others!AI19</f>
        <v>50</v>
      </c>
      <c r="AF51" s="139">
        <f>IS_Others!AJ19</f>
        <v>58.333333333333336</v>
      </c>
      <c r="AG51" s="139">
        <f>IS_Others!AK19</f>
        <v>58.333333333333336</v>
      </c>
      <c r="AH51" s="139">
        <f>IS_Others!AL19</f>
        <v>58.333333333333336</v>
      </c>
      <c r="AI51" s="139">
        <f>IS_Others!AM19</f>
        <v>58.333333333333336</v>
      </c>
      <c r="AJ51" s="139">
        <f>IS_Others!AN19</f>
        <v>58.333333333333336</v>
      </c>
      <c r="AK51" s="139">
        <f>IS_Others!AO19</f>
        <v>58.333333333333336</v>
      </c>
      <c r="AL51" s="139">
        <f>IS_Others!AP19</f>
        <v>66.666666666666671</v>
      </c>
      <c r="AM51" s="139">
        <f>IS_Others!AQ19</f>
        <v>66.666666666666671</v>
      </c>
      <c r="AN51" s="139">
        <f>IS_Others!AR19</f>
        <v>66.666666666666671</v>
      </c>
      <c r="AO51" s="139">
        <f>IS_Others!AS19</f>
        <v>66.666666666666671</v>
      </c>
      <c r="AP51" s="139">
        <f>IS_Others!AT19</f>
        <v>66.666666666666671</v>
      </c>
      <c r="AQ51" s="139">
        <f>IS_Others!AU19</f>
        <v>66.666666666666671</v>
      </c>
      <c r="AR51" s="139">
        <f>IS_Others!AV19</f>
        <v>75</v>
      </c>
      <c r="AS51" s="139">
        <f>IS_Others!AW19</f>
        <v>75</v>
      </c>
      <c r="AT51" s="139">
        <f>IS_Others!AX19</f>
        <v>75</v>
      </c>
      <c r="AU51" s="139">
        <f>IS_Others!AY19</f>
        <v>75</v>
      </c>
      <c r="AV51" s="139">
        <f>IS_Others!AZ19</f>
        <v>75</v>
      </c>
      <c r="AW51" s="139">
        <f>IS_Others!BA19</f>
        <v>75</v>
      </c>
      <c r="AX51" s="139">
        <f>IS_Others!BB19</f>
        <v>83.333333333333343</v>
      </c>
      <c r="AY51" s="139">
        <f>IS_Others!BC19</f>
        <v>83.333333333333343</v>
      </c>
      <c r="AZ51" s="139">
        <f>IS_Others!BD19</f>
        <v>83.333333333333343</v>
      </c>
      <c r="BA51" s="139">
        <f>IS_Others!BE19</f>
        <v>83.333333333333343</v>
      </c>
      <c r="BB51" s="139">
        <f>IS_Others!BF19</f>
        <v>83.333333333333343</v>
      </c>
      <c r="BC51" s="139">
        <f>IS_Others!BG19</f>
        <v>83.333333333333343</v>
      </c>
      <c r="BD51" s="139">
        <f>IS_Others!BH19</f>
        <v>83.333333333333343</v>
      </c>
      <c r="BE51" s="139">
        <f>IS_Others!BI19</f>
        <v>83.333333333333343</v>
      </c>
      <c r="BF51" s="139">
        <f>IS_Others!BJ19</f>
        <v>83.333333333333343</v>
      </c>
      <c r="BG51" s="139">
        <f>IS_Others!BK19</f>
        <v>83.333333333333343</v>
      </c>
      <c r="BH51" s="139">
        <f>IS_Others!BL19</f>
        <v>83.333333333333343</v>
      </c>
      <c r="BI51" s="139">
        <f>IS_Others!BM19</f>
        <v>83.333333333333343</v>
      </c>
      <c r="BJ51" s="139">
        <f>IS_Others!BN19</f>
        <v>83.333333333333343</v>
      </c>
      <c r="BK51" s="139">
        <f>IS_Others!BO19</f>
        <v>83.333333333333343</v>
      </c>
      <c r="BL51" s="139">
        <f>IS_Others!BP19</f>
        <v>83.333333333333343</v>
      </c>
      <c r="BM51" s="139">
        <f>IS_Others!BQ19</f>
        <v>83.333333333333343</v>
      </c>
      <c r="BN51" s="139">
        <f>IS_Others!BR19</f>
        <v>83.333333333333343</v>
      </c>
      <c r="BO51" s="139">
        <f>IS_Others!BS19</f>
        <v>83.333333333333343</v>
      </c>
    </row>
    <row r="52" spans="2:79" outlineLevel="1"/>
    <row r="53" spans="2:79" s="155" customFormat="1">
      <c r="B53" s="455" t="s">
        <v>631</v>
      </c>
      <c r="C53" s="455"/>
      <c r="D53" s="455"/>
      <c r="E53" s="455"/>
      <c r="F53" s="455"/>
      <c r="G53" s="455"/>
      <c r="H53" s="455">
        <f>SUBTOTAL(9,H54:H118)</f>
        <v>65.243873966666683</v>
      </c>
      <c r="I53" s="455">
        <f t="shared" ref="I53:BO53" si="32">SUBTOTAL(9,I54:I118)</f>
        <v>53.243873966666676</v>
      </c>
      <c r="J53" s="455">
        <f t="shared" si="32"/>
        <v>53.243873966666676</v>
      </c>
      <c r="K53" s="455">
        <f t="shared" si="32"/>
        <v>153.24387396666668</v>
      </c>
      <c r="L53" s="455">
        <f t="shared" si="32"/>
        <v>53.243873966666676</v>
      </c>
      <c r="M53" s="455">
        <f t="shared" si="32"/>
        <v>53.243873966666676</v>
      </c>
      <c r="N53" s="455">
        <f t="shared" si="32"/>
        <v>1973.8681072999998</v>
      </c>
      <c r="O53" s="455">
        <f t="shared" si="32"/>
        <v>1973.8681072999998</v>
      </c>
      <c r="P53" s="455">
        <f t="shared" si="32"/>
        <v>1973.8681072999998</v>
      </c>
      <c r="Q53" s="455">
        <f t="shared" si="32"/>
        <v>1973.8681072999998</v>
      </c>
      <c r="R53" s="455">
        <f t="shared" si="32"/>
        <v>1973.8681072999998</v>
      </c>
      <c r="S53" s="455">
        <f t="shared" si="32"/>
        <v>1973.8681072999998</v>
      </c>
      <c r="T53" s="455">
        <f t="shared" si="32"/>
        <v>2451.1330134333325</v>
      </c>
      <c r="U53" s="455">
        <f t="shared" si="32"/>
        <v>2451.1330134333325</v>
      </c>
      <c r="V53" s="455">
        <f t="shared" si="32"/>
        <v>2451.1330134333325</v>
      </c>
      <c r="W53" s="455">
        <f t="shared" si="32"/>
        <v>2451.1330134333325</v>
      </c>
      <c r="X53" s="455">
        <f t="shared" si="32"/>
        <v>2451.1330134333325</v>
      </c>
      <c r="Y53" s="455">
        <f t="shared" si="32"/>
        <v>2451.1330134333325</v>
      </c>
      <c r="Z53" s="455">
        <f t="shared" si="32"/>
        <v>2974.8167800999995</v>
      </c>
      <c r="AA53" s="455">
        <f t="shared" si="32"/>
        <v>2974.8167800999995</v>
      </c>
      <c r="AB53" s="455">
        <f t="shared" si="32"/>
        <v>2974.8167800999995</v>
      </c>
      <c r="AC53" s="455">
        <f t="shared" si="32"/>
        <v>2974.8167800999995</v>
      </c>
      <c r="AD53" s="455">
        <f t="shared" si="32"/>
        <v>2974.8167800999995</v>
      </c>
      <c r="AE53" s="455">
        <f t="shared" si="32"/>
        <v>2974.8167800999995</v>
      </c>
      <c r="AF53" s="455">
        <f t="shared" si="32"/>
        <v>3476.0490582333337</v>
      </c>
      <c r="AG53" s="455">
        <f t="shared" si="32"/>
        <v>3476.0490582333337</v>
      </c>
      <c r="AH53" s="455">
        <f t="shared" si="32"/>
        <v>3476.0490582333337</v>
      </c>
      <c r="AI53" s="455">
        <f t="shared" si="32"/>
        <v>3476.0490582333337</v>
      </c>
      <c r="AJ53" s="455">
        <f t="shared" si="32"/>
        <v>3476.0490582333337</v>
      </c>
      <c r="AK53" s="455">
        <f t="shared" si="32"/>
        <v>3476.0490582333337</v>
      </c>
      <c r="AL53" s="455">
        <f t="shared" si="32"/>
        <v>4004.6676165666663</v>
      </c>
      <c r="AM53" s="455">
        <f t="shared" si="32"/>
        <v>4004.6676165666663</v>
      </c>
      <c r="AN53" s="455">
        <f t="shared" si="32"/>
        <v>4004.6676165666663</v>
      </c>
      <c r="AO53" s="455">
        <f t="shared" si="32"/>
        <v>4004.6676165666663</v>
      </c>
      <c r="AP53" s="455">
        <f t="shared" si="32"/>
        <v>4004.6676165666663</v>
      </c>
      <c r="AQ53" s="455">
        <f t="shared" si="32"/>
        <v>4004.6676165666663</v>
      </c>
      <c r="AR53" s="455">
        <f t="shared" si="32"/>
        <v>4550.6128933999998</v>
      </c>
      <c r="AS53" s="455">
        <f t="shared" si="32"/>
        <v>4550.6128933999998</v>
      </c>
      <c r="AT53" s="455">
        <f t="shared" si="32"/>
        <v>4550.6128933999998</v>
      </c>
      <c r="AU53" s="455">
        <f t="shared" si="32"/>
        <v>4550.6128933999998</v>
      </c>
      <c r="AV53" s="455">
        <f t="shared" si="32"/>
        <v>4550.6128933999998</v>
      </c>
      <c r="AW53" s="455">
        <f t="shared" si="32"/>
        <v>4550.6128933999998</v>
      </c>
      <c r="AX53" s="455">
        <f t="shared" si="32"/>
        <v>5079.2314517333334</v>
      </c>
      <c r="AY53" s="455">
        <f t="shared" si="32"/>
        <v>5079.2314517333334</v>
      </c>
      <c r="AZ53" s="455">
        <f t="shared" si="32"/>
        <v>5079.2314517333334</v>
      </c>
      <c r="BA53" s="455">
        <f t="shared" si="32"/>
        <v>5079.2314517333334</v>
      </c>
      <c r="BB53" s="455">
        <f t="shared" si="32"/>
        <v>5079.2314517333334</v>
      </c>
      <c r="BC53" s="455">
        <f t="shared" si="32"/>
        <v>5079.2314517333334</v>
      </c>
      <c r="BD53" s="455">
        <f t="shared" si="32"/>
        <v>5090.4314517333332</v>
      </c>
      <c r="BE53" s="455">
        <f t="shared" si="32"/>
        <v>5090.4314517333332</v>
      </c>
      <c r="BF53" s="455">
        <f t="shared" si="32"/>
        <v>5090.4314517333332</v>
      </c>
      <c r="BG53" s="455">
        <f t="shared" si="32"/>
        <v>5090.4314517333332</v>
      </c>
      <c r="BH53" s="455">
        <f t="shared" si="32"/>
        <v>5090.4314517333332</v>
      </c>
      <c r="BI53" s="455">
        <f t="shared" si="32"/>
        <v>5090.4314517333332</v>
      </c>
      <c r="BJ53" s="455">
        <f t="shared" si="32"/>
        <v>5090.4314517333332</v>
      </c>
      <c r="BK53" s="455">
        <f t="shared" si="32"/>
        <v>5090.4314517333332</v>
      </c>
      <c r="BL53" s="455">
        <f t="shared" si="32"/>
        <v>5090.4314517333332</v>
      </c>
      <c r="BM53" s="455">
        <f t="shared" si="32"/>
        <v>5090.4314517333332</v>
      </c>
      <c r="BN53" s="455">
        <f t="shared" si="32"/>
        <v>5090.4314517333332</v>
      </c>
      <c r="BO53" s="455">
        <f t="shared" si="32"/>
        <v>5090.4314517333332</v>
      </c>
      <c r="BQ53" s="155">
        <f>SUM(H53:S53)</f>
        <v>12274.671887600001</v>
      </c>
      <c r="BR53" s="155">
        <f>SUM(T53:AE53)</f>
        <v>32555.698761199987</v>
      </c>
      <c r="BS53" s="155">
        <f>SUM(AF53:AQ53)</f>
        <v>44884.300048799996</v>
      </c>
      <c r="BT53" s="155">
        <f>SUM(AR53:BC53)</f>
        <v>57779.066070800014</v>
      </c>
      <c r="BU53" s="155">
        <f>SUM(BD53:BO53)</f>
        <v>61085.177420799999</v>
      </c>
      <c r="BW53" s="155">
        <f>BQ53-SUM(BQ54:BQ118)</f>
        <v>0</v>
      </c>
      <c r="BX53" s="155">
        <f>BR53-SUM(BR54:BR118)</f>
        <v>0</v>
      </c>
      <c r="BY53" s="155">
        <f>BS53-SUM(BS54:BS118)</f>
        <v>0</v>
      </c>
      <c r="BZ53" s="155">
        <f>BT53-SUM(BT54:BT118)</f>
        <v>0</v>
      </c>
      <c r="CA53" s="155">
        <f>BU53-SUM(BU54:BU118)</f>
        <v>0</v>
      </c>
    </row>
    <row r="54" spans="2:79" s="155" customFormat="1">
      <c r="C54" s="155" t="s">
        <v>482</v>
      </c>
      <c r="H54" s="155">
        <f>SUBTOTAL(9,H55:H60)</f>
        <v>31.625000000000004</v>
      </c>
      <c r="I54" s="155">
        <f t="shared" ref="I54:BO54" si="33">SUBTOTAL(9,I55:I60)</f>
        <v>31.625000000000004</v>
      </c>
      <c r="J54" s="155">
        <f t="shared" si="33"/>
        <v>31.625000000000004</v>
      </c>
      <c r="K54" s="155">
        <f t="shared" si="33"/>
        <v>31.625000000000004</v>
      </c>
      <c r="L54" s="155">
        <f t="shared" si="33"/>
        <v>31.625000000000004</v>
      </c>
      <c r="M54" s="155">
        <f t="shared" si="33"/>
        <v>31.625000000000004</v>
      </c>
      <c r="N54" s="155">
        <f t="shared" si="33"/>
        <v>824.35833333333312</v>
      </c>
      <c r="O54" s="155">
        <f t="shared" si="33"/>
        <v>824.35833333333312</v>
      </c>
      <c r="P54" s="155">
        <f t="shared" si="33"/>
        <v>824.35833333333312</v>
      </c>
      <c r="Q54" s="155">
        <f t="shared" si="33"/>
        <v>824.35833333333312</v>
      </c>
      <c r="R54" s="155">
        <f t="shared" si="33"/>
        <v>824.35833333333312</v>
      </c>
      <c r="S54" s="155">
        <f t="shared" si="33"/>
        <v>824.35833333333312</v>
      </c>
      <c r="T54" s="155">
        <f t="shared" si="33"/>
        <v>1031.7083333333333</v>
      </c>
      <c r="U54" s="155">
        <f t="shared" si="33"/>
        <v>1031.7083333333333</v>
      </c>
      <c r="V54" s="155">
        <f t="shared" si="33"/>
        <v>1031.7083333333333</v>
      </c>
      <c r="W54" s="155">
        <f t="shared" si="33"/>
        <v>1031.7083333333333</v>
      </c>
      <c r="X54" s="155">
        <f t="shared" si="33"/>
        <v>1031.7083333333333</v>
      </c>
      <c r="Y54" s="155">
        <f t="shared" si="33"/>
        <v>1031.7083333333333</v>
      </c>
      <c r="Z54" s="155">
        <f t="shared" si="33"/>
        <v>1225.3083333333332</v>
      </c>
      <c r="AA54" s="155">
        <f t="shared" si="33"/>
        <v>1225.3083333333332</v>
      </c>
      <c r="AB54" s="155">
        <f t="shared" si="33"/>
        <v>1225.3083333333332</v>
      </c>
      <c r="AC54" s="155">
        <f t="shared" si="33"/>
        <v>1225.3083333333332</v>
      </c>
      <c r="AD54" s="155">
        <f t="shared" si="33"/>
        <v>1225.3083333333332</v>
      </c>
      <c r="AE54" s="155">
        <f t="shared" si="33"/>
        <v>1225.3083333333332</v>
      </c>
      <c r="AF54" s="155">
        <f t="shared" si="33"/>
        <v>1433.575</v>
      </c>
      <c r="AG54" s="155">
        <f t="shared" si="33"/>
        <v>1433.575</v>
      </c>
      <c r="AH54" s="155">
        <f t="shared" si="33"/>
        <v>1433.575</v>
      </c>
      <c r="AI54" s="155">
        <f t="shared" si="33"/>
        <v>1433.575</v>
      </c>
      <c r="AJ54" s="155">
        <f t="shared" si="33"/>
        <v>1433.575</v>
      </c>
      <c r="AK54" s="155">
        <f t="shared" si="33"/>
        <v>1433.575</v>
      </c>
      <c r="AL54" s="155">
        <f t="shared" si="33"/>
        <v>1631.7583333333334</v>
      </c>
      <c r="AM54" s="155">
        <f t="shared" si="33"/>
        <v>1631.7583333333334</v>
      </c>
      <c r="AN54" s="155">
        <f t="shared" si="33"/>
        <v>1631.7583333333334</v>
      </c>
      <c r="AO54" s="155">
        <f t="shared" si="33"/>
        <v>1631.7583333333334</v>
      </c>
      <c r="AP54" s="155">
        <f t="shared" si="33"/>
        <v>1631.7583333333334</v>
      </c>
      <c r="AQ54" s="155">
        <f t="shared" si="33"/>
        <v>1631.7583333333334</v>
      </c>
      <c r="AR54" s="155">
        <f t="shared" si="33"/>
        <v>1829.9416666666666</v>
      </c>
      <c r="AS54" s="155">
        <f t="shared" si="33"/>
        <v>1829.9416666666666</v>
      </c>
      <c r="AT54" s="155">
        <f t="shared" si="33"/>
        <v>1829.9416666666666</v>
      </c>
      <c r="AU54" s="155">
        <f t="shared" si="33"/>
        <v>1829.9416666666666</v>
      </c>
      <c r="AV54" s="155">
        <f t="shared" si="33"/>
        <v>1829.9416666666666</v>
      </c>
      <c r="AW54" s="155">
        <f t="shared" si="33"/>
        <v>1829.9416666666666</v>
      </c>
      <c r="AX54" s="155">
        <f t="shared" si="33"/>
        <v>2028.125</v>
      </c>
      <c r="AY54" s="155">
        <f t="shared" si="33"/>
        <v>2028.125</v>
      </c>
      <c r="AZ54" s="155">
        <f t="shared" si="33"/>
        <v>2028.125</v>
      </c>
      <c r="BA54" s="155">
        <f t="shared" si="33"/>
        <v>2028.125</v>
      </c>
      <c r="BB54" s="155">
        <f t="shared" si="33"/>
        <v>2028.125</v>
      </c>
      <c r="BC54" s="155">
        <f t="shared" si="33"/>
        <v>2028.125</v>
      </c>
      <c r="BD54" s="155">
        <f t="shared" si="33"/>
        <v>2028.125</v>
      </c>
      <c r="BE54" s="155">
        <f t="shared" si="33"/>
        <v>2028.125</v>
      </c>
      <c r="BF54" s="155">
        <f t="shared" si="33"/>
        <v>2028.125</v>
      </c>
      <c r="BG54" s="155">
        <f t="shared" si="33"/>
        <v>2028.125</v>
      </c>
      <c r="BH54" s="155">
        <f t="shared" si="33"/>
        <v>2028.125</v>
      </c>
      <c r="BI54" s="155">
        <f t="shared" si="33"/>
        <v>2028.125</v>
      </c>
      <c r="BJ54" s="155">
        <f t="shared" si="33"/>
        <v>2028.125</v>
      </c>
      <c r="BK54" s="155">
        <f t="shared" si="33"/>
        <v>2028.125</v>
      </c>
      <c r="BL54" s="155">
        <f t="shared" si="33"/>
        <v>2028.125</v>
      </c>
      <c r="BM54" s="155">
        <f t="shared" si="33"/>
        <v>2028.125</v>
      </c>
      <c r="BN54" s="155">
        <f t="shared" si="33"/>
        <v>2028.125</v>
      </c>
      <c r="BO54" s="155">
        <f t="shared" si="33"/>
        <v>2028.125</v>
      </c>
      <c r="BQ54" s="155">
        <f>SUM(H54:S54)</f>
        <v>5135.8999999999996</v>
      </c>
      <c r="BR54" s="155">
        <f>SUM(T54:AE54)</f>
        <v>13542.099999999995</v>
      </c>
      <c r="BS54" s="155">
        <f>SUM(AF54:AQ54)</f>
        <v>18392.000000000004</v>
      </c>
      <c r="BT54" s="155">
        <f>SUM(AR54:BC54)</f>
        <v>23148.399999999998</v>
      </c>
      <c r="BU54" s="155">
        <f>SUM(BD54:BO54)</f>
        <v>24337.5</v>
      </c>
      <c r="BX54" s="454">
        <f t="shared" ref="BX54:BX94" si="34">BR54/BQ54-1</f>
        <v>1.636753052045405</v>
      </c>
      <c r="BY54" s="454">
        <f t="shared" ref="BY54:BY94" si="35">BS54/BR54-1</f>
        <v>0.35813500121842323</v>
      </c>
      <c r="BZ54" s="454">
        <f t="shared" ref="BZ54:BZ94" si="36">BT54/BS54-1</f>
        <v>0.25861244019138718</v>
      </c>
      <c r="CA54" s="454">
        <f t="shared" ref="CA54:CA94" si="37">BU54/BT54-1</f>
        <v>5.1368561110055166E-2</v>
      </c>
    </row>
    <row r="55" spans="2:79" outlineLevel="1">
      <c r="D55" s="139" t="s">
        <v>483</v>
      </c>
      <c r="H55" s="139">
        <f>IS_Others!L23</f>
        <v>13.333333333333336</v>
      </c>
      <c r="I55" s="139">
        <f>IS_Others!M23</f>
        <v>13.333333333333336</v>
      </c>
      <c r="J55" s="139">
        <f>IS_Others!N23</f>
        <v>13.333333333333336</v>
      </c>
      <c r="K55" s="139">
        <f>IS_Others!O23</f>
        <v>13.333333333333336</v>
      </c>
      <c r="L55" s="139">
        <f>IS_Others!P23</f>
        <v>13.333333333333336</v>
      </c>
      <c r="M55" s="139">
        <f>IS_Others!Q23</f>
        <v>13.333333333333336</v>
      </c>
      <c r="N55" s="139">
        <f>IS_Others!R23</f>
        <v>13.333333333333336</v>
      </c>
      <c r="O55" s="139">
        <f>IS_Others!S23</f>
        <v>13.333333333333336</v>
      </c>
      <c r="P55" s="139">
        <f>IS_Others!T23</f>
        <v>13.333333333333336</v>
      </c>
      <c r="Q55" s="139">
        <f>IS_Others!U23</f>
        <v>13.333333333333336</v>
      </c>
      <c r="R55" s="139">
        <f>IS_Others!V23</f>
        <v>13.333333333333336</v>
      </c>
      <c r="S55" s="139">
        <f>IS_Others!W23</f>
        <v>13.333333333333336</v>
      </c>
      <c r="T55" s="139">
        <f>IS_Others!X23</f>
        <v>13.333333333333336</v>
      </c>
      <c r="U55" s="139">
        <f>IS_Others!Y23</f>
        <v>13.333333333333336</v>
      </c>
      <c r="V55" s="139">
        <f>IS_Others!Z23</f>
        <v>13.333333333333336</v>
      </c>
      <c r="W55" s="139">
        <f>IS_Others!AA23</f>
        <v>13.333333333333336</v>
      </c>
      <c r="X55" s="139">
        <f>IS_Others!AB23</f>
        <v>13.333333333333336</v>
      </c>
      <c r="Y55" s="139">
        <f>IS_Others!AC23</f>
        <v>13.333333333333336</v>
      </c>
      <c r="Z55" s="139">
        <f>IS_Others!AD23</f>
        <v>9.1666666666666679</v>
      </c>
      <c r="AA55" s="139">
        <f>IS_Others!AE23</f>
        <v>9.1666666666666679</v>
      </c>
      <c r="AB55" s="139">
        <f>IS_Others!AF23</f>
        <v>9.1666666666666679</v>
      </c>
      <c r="AC55" s="139">
        <f>IS_Others!AG23</f>
        <v>9.1666666666666679</v>
      </c>
      <c r="AD55" s="139">
        <f>IS_Others!AH23</f>
        <v>9.1666666666666679</v>
      </c>
      <c r="AE55" s="139">
        <f>IS_Others!AI23</f>
        <v>9.1666666666666679</v>
      </c>
      <c r="AF55" s="139">
        <f>IS_Others!AJ23</f>
        <v>9.1666666666666679</v>
      </c>
      <c r="AG55" s="139">
        <f>IS_Others!AK23</f>
        <v>9.1666666666666679</v>
      </c>
      <c r="AH55" s="139">
        <f>IS_Others!AL23</f>
        <v>9.1666666666666679</v>
      </c>
      <c r="AI55" s="139">
        <f>IS_Others!AM23</f>
        <v>9.1666666666666679</v>
      </c>
      <c r="AJ55" s="139">
        <f>IS_Others!AN23</f>
        <v>9.1666666666666679</v>
      </c>
      <c r="AK55" s="139">
        <f>IS_Others!AO23</f>
        <v>9.1666666666666679</v>
      </c>
      <c r="AL55" s="139">
        <f>IS_Others!AP23</f>
        <v>9.1666666666666679</v>
      </c>
      <c r="AM55" s="139">
        <f>IS_Others!AQ23</f>
        <v>9.1666666666666679</v>
      </c>
      <c r="AN55" s="139">
        <f>IS_Others!AR23</f>
        <v>9.1666666666666679</v>
      </c>
      <c r="AO55" s="139">
        <f>IS_Others!AS23</f>
        <v>9.1666666666666679</v>
      </c>
      <c r="AP55" s="139">
        <f>IS_Others!AT23</f>
        <v>9.1666666666666679</v>
      </c>
      <c r="AQ55" s="139">
        <f>IS_Others!AU23</f>
        <v>9.1666666666666679</v>
      </c>
      <c r="AR55" s="139">
        <f>IS_Others!AV23</f>
        <v>9.1666666666666679</v>
      </c>
      <c r="AS55" s="139">
        <f>IS_Others!AW23</f>
        <v>9.1666666666666679</v>
      </c>
      <c r="AT55" s="139">
        <f>IS_Others!AX23</f>
        <v>9.1666666666666679</v>
      </c>
      <c r="AU55" s="139">
        <f>IS_Others!AY23</f>
        <v>9.1666666666666679</v>
      </c>
      <c r="AV55" s="139">
        <f>IS_Others!AZ23</f>
        <v>9.1666666666666679</v>
      </c>
      <c r="AW55" s="139">
        <f>IS_Others!BA23</f>
        <v>9.1666666666666679</v>
      </c>
      <c r="AX55" s="139">
        <f>IS_Others!BB23</f>
        <v>9.1666666666666679</v>
      </c>
      <c r="AY55" s="139">
        <f>IS_Others!BC23</f>
        <v>9.1666666666666679</v>
      </c>
      <c r="AZ55" s="139">
        <f>IS_Others!BD23</f>
        <v>9.1666666666666679</v>
      </c>
      <c r="BA55" s="139">
        <f>IS_Others!BE23</f>
        <v>9.1666666666666679</v>
      </c>
      <c r="BB55" s="139">
        <f>IS_Others!BF23</f>
        <v>9.1666666666666679</v>
      </c>
      <c r="BC55" s="139">
        <f>IS_Others!BG23</f>
        <v>9.1666666666666679</v>
      </c>
      <c r="BD55" s="139">
        <f>IS_Others!BH23</f>
        <v>9.1666666666666679</v>
      </c>
      <c r="BE55" s="139">
        <f>IS_Others!BI23</f>
        <v>9.1666666666666679</v>
      </c>
      <c r="BF55" s="139">
        <f>IS_Others!BJ23</f>
        <v>9.1666666666666679</v>
      </c>
      <c r="BG55" s="139">
        <f>IS_Others!BK23</f>
        <v>9.1666666666666679</v>
      </c>
      <c r="BH55" s="139">
        <f>IS_Others!BL23</f>
        <v>9.1666666666666679</v>
      </c>
      <c r="BI55" s="139">
        <f>IS_Others!BM23</f>
        <v>9.1666666666666679</v>
      </c>
      <c r="BJ55" s="139">
        <f>IS_Others!BN23</f>
        <v>9.1666666666666679</v>
      </c>
      <c r="BK55" s="139">
        <f>IS_Others!BO23</f>
        <v>9.1666666666666679</v>
      </c>
      <c r="BL55" s="139">
        <f>IS_Others!BP23</f>
        <v>9.1666666666666679</v>
      </c>
      <c r="BM55" s="139">
        <f>IS_Others!BQ23</f>
        <v>9.1666666666666679</v>
      </c>
      <c r="BN55" s="139">
        <f>IS_Others!BR23</f>
        <v>9.1666666666666679</v>
      </c>
      <c r="BO55" s="139">
        <f>IS_Others!BS23</f>
        <v>9.1666666666666679</v>
      </c>
      <c r="BX55" s="456"/>
      <c r="BY55" s="456"/>
      <c r="BZ55" s="456"/>
      <c r="CA55" s="456"/>
    </row>
    <row r="56" spans="2:79" outlineLevel="1">
      <c r="D56" s="139" t="s">
        <v>484</v>
      </c>
      <c r="H56" s="139">
        <f>IS_Others!L27</f>
        <v>12.083333333333334</v>
      </c>
      <c r="I56" s="139">
        <f>IS_Others!M27</f>
        <v>12.083333333333334</v>
      </c>
      <c r="J56" s="139">
        <f>IS_Others!N27</f>
        <v>12.083333333333334</v>
      </c>
      <c r="K56" s="139">
        <f>IS_Others!O27</f>
        <v>12.083333333333334</v>
      </c>
      <c r="L56" s="139">
        <f>IS_Others!P27</f>
        <v>12.083333333333334</v>
      </c>
      <c r="M56" s="139">
        <f>IS_Others!Q27</f>
        <v>12.083333333333334</v>
      </c>
      <c r="N56" s="139">
        <f>IS_Others!R27</f>
        <v>505.41666666666663</v>
      </c>
      <c r="O56" s="139">
        <f>IS_Others!S27</f>
        <v>505.41666666666663</v>
      </c>
      <c r="P56" s="139">
        <f>IS_Others!T27</f>
        <v>505.41666666666663</v>
      </c>
      <c r="Q56" s="139">
        <f>IS_Others!U27</f>
        <v>505.41666666666663</v>
      </c>
      <c r="R56" s="139">
        <f>IS_Others!V27</f>
        <v>505.41666666666663</v>
      </c>
      <c r="S56" s="139">
        <f>IS_Others!W27</f>
        <v>505.41666666666663</v>
      </c>
      <c r="T56" s="139">
        <f>IS_Others!X27</f>
        <v>632.08333333333326</v>
      </c>
      <c r="U56" s="139">
        <f>IS_Others!Y27</f>
        <v>632.08333333333326</v>
      </c>
      <c r="V56" s="139">
        <f>IS_Others!Z27</f>
        <v>632.08333333333326</v>
      </c>
      <c r="W56" s="139">
        <f>IS_Others!AA27</f>
        <v>632.08333333333326</v>
      </c>
      <c r="X56" s="139">
        <f>IS_Others!AB27</f>
        <v>632.08333333333326</v>
      </c>
      <c r="Y56" s="139">
        <f>IS_Others!AC27</f>
        <v>632.08333333333326</v>
      </c>
      <c r="Z56" s="139">
        <f>IS_Others!AD27</f>
        <v>755.41666666666663</v>
      </c>
      <c r="AA56" s="139">
        <f>IS_Others!AE27</f>
        <v>755.41666666666663</v>
      </c>
      <c r="AB56" s="139">
        <f>IS_Others!AF27</f>
        <v>755.41666666666663</v>
      </c>
      <c r="AC56" s="139">
        <f>IS_Others!AG27</f>
        <v>755.41666666666663</v>
      </c>
      <c r="AD56" s="139">
        <f>IS_Others!AH27</f>
        <v>755.41666666666663</v>
      </c>
      <c r="AE56" s="139">
        <f>IS_Others!AI27</f>
        <v>755.41666666666663</v>
      </c>
      <c r="AF56" s="139">
        <f>IS_Others!AJ27</f>
        <v>882.08333333333337</v>
      </c>
      <c r="AG56" s="139">
        <f>IS_Others!AK27</f>
        <v>882.08333333333337</v>
      </c>
      <c r="AH56" s="139">
        <f>IS_Others!AL27</f>
        <v>882.08333333333337</v>
      </c>
      <c r="AI56" s="139">
        <f>IS_Others!AM27</f>
        <v>882.08333333333337</v>
      </c>
      <c r="AJ56" s="139">
        <f>IS_Others!AN27</f>
        <v>882.08333333333337</v>
      </c>
      <c r="AK56" s="139">
        <f>IS_Others!AO27</f>
        <v>882.08333333333337</v>
      </c>
      <c r="AL56" s="139">
        <f>IS_Others!AP27</f>
        <v>1005.4166666666666</v>
      </c>
      <c r="AM56" s="139">
        <f>IS_Others!AQ27</f>
        <v>1005.4166666666666</v>
      </c>
      <c r="AN56" s="139">
        <f>IS_Others!AR27</f>
        <v>1005.4166666666666</v>
      </c>
      <c r="AO56" s="139">
        <f>IS_Others!AS27</f>
        <v>1005.4166666666666</v>
      </c>
      <c r="AP56" s="139">
        <f>IS_Others!AT27</f>
        <v>1005.4166666666666</v>
      </c>
      <c r="AQ56" s="139">
        <f>IS_Others!AU27</f>
        <v>1005.4166666666666</v>
      </c>
      <c r="AR56" s="139">
        <f>IS_Others!AV27</f>
        <v>1128.75</v>
      </c>
      <c r="AS56" s="139">
        <f>IS_Others!AW27</f>
        <v>1128.75</v>
      </c>
      <c r="AT56" s="139">
        <f>IS_Others!AX27</f>
        <v>1128.75</v>
      </c>
      <c r="AU56" s="139">
        <f>IS_Others!AY27</f>
        <v>1128.75</v>
      </c>
      <c r="AV56" s="139">
        <f>IS_Others!AZ27</f>
        <v>1128.75</v>
      </c>
      <c r="AW56" s="139">
        <f>IS_Others!BA27</f>
        <v>1128.75</v>
      </c>
      <c r="AX56" s="139">
        <f>IS_Others!BB27</f>
        <v>1252.0833333333333</v>
      </c>
      <c r="AY56" s="139">
        <f>IS_Others!BC27</f>
        <v>1252.0833333333333</v>
      </c>
      <c r="AZ56" s="139">
        <f>IS_Others!BD27</f>
        <v>1252.0833333333333</v>
      </c>
      <c r="BA56" s="139">
        <f>IS_Others!BE27</f>
        <v>1252.0833333333333</v>
      </c>
      <c r="BB56" s="139">
        <f>IS_Others!BF27</f>
        <v>1252.0833333333333</v>
      </c>
      <c r="BC56" s="139">
        <f>IS_Others!BG27</f>
        <v>1252.0833333333333</v>
      </c>
      <c r="BD56" s="139">
        <f>IS_Others!BH27</f>
        <v>1252.0833333333333</v>
      </c>
      <c r="BE56" s="139">
        <f>IS_Others!BI27</f>
        <v>1252.0833333333333</v>
      </c>
      <c r="BF56" s="139">
        <f>IS_Others!BJ27</f>
        <v>1252.0833333333333</v>
      </c>
      <c r="BG56" s="139">
        <f>IS_Others!BK27</f>
        <v>1252.0833333333333</v>
      </c>
      <c r="BH56" s="139">
        <f>IS_Others!BL27</f>
        <v>1252.0833333333333</v>
      </c>
      <c r="BI56" s="139">
        <f>IS_Others!BM27</f>
        <v>1252.0833333333333</v>
      </c>
      <c r="BJ56" s="139">
        <f>IS_Others!BN27</f>
        <v>1252.0833333333333</v>
      </c>
      <c r="BK56" s="139">
        <f>IS_Others!BO27</f>
        <v>1252.0833333333333</v>
      </c>
      <c r="BL56" s="139">
        <f>IS_Others!BP27</f>
        <v>1252.0833333333333</v>
      </c>
      <c r="BM56" s="139">
        <f>IS_Others!BQ27</f>
        <v>1252.0833333333333</v>
      </c>
      <c r="BN56" s="139">
        <f>IS_Others!BR27</f>
        <v>1252.0833333333333</v>
      </c>
      <c r="BO56" s="139">
        <f>IS_Others!BS27</f>
        <v>1252.0833333333333</v>
      </c>
      <c r="BX56" s="456"/>
      <c r="BY56" s="456"/>
      <c r="BZ56" s="456"/>
      <c r="CA56" s="456"/>
    </row>
    <row r="57" spans="2:79" outlineLevel="1">
      <c r="D57" s="139" t="s">
        <v>485</v>
      </c>
      <c r="H57" s="139">
        <f>IS_Others!L41</f>
        <v>0</v>
      </c>
      <c r="I57" s="139">
        <f>IS_Others!M41</f>
        <v>0</v>
      </c>
      <c r="J57" s="139">
        <f>IS_Others!N41</f>
        <v>0</v>
      </c>
      <c r="K57" s="139">
        <f>IS_Others!O41</f>
        <v>0</v>
      </c>
      <c r="L57" s="139">
        <f>IS_Others!P41</f>
        <v>0</v>
      </c>
      <c r="M57" s="139">
        <f>IS_Others!Q41</f>
        <v>0</v>
      </c>
      <c r="N57" s="139">
        <f>IS_Others!R41</f>
        <v>153.33333333333331</v>
      </c>
      <c r="O57" s="139">
        <f>IS_Others!S41</f>
        <v>153.33333333333331</v>
      </c>
      <c r="P57" s="139">
        <f>IS_Others!T41</f>
        <v>153.33333333333331</v>
      </c>
      <c r="Q57" s="139">
        <f>IS_Others!U41</f>
        <v>153.33333333333331</v>
      </c>
      <c r="R57" s="139">
        <f>IS_Others!V41</f>
        <v>153.33333333333331</v>
      </c>
      <c r="S57" s="139">
        <f>IS_Others!W41</f>
        <v>153.33333333333331</v>
      </c>
      <c r="T57" s="139">
        <f>IS_Others!X41</f>
        <v>191.66666666666666</v>
      </c>
      <c r="U57" s="139">
        <f>IS_Others!Y41</f>
        <v>191.66666666666666</v>
      </c>
      <c r="V57" s="139">
        <f>IS_Others!Z41</f>
        <v>191.66666666666666</v>
      </c>
      <c r="W57" s="139">
        <f>IS_Others!AA41</f>
        <v>191.66666666666666</v>
      </c>
      <c r="X57" s="139">
        <f>IS_Others!AB41</f>
        <v>191.66666666666666</v>
      </c>
      <c r="Y57" s="139">
        <f>IS_Others!AC41</f>
        <v>191.66666666666666</v>
      </c>
      <c r="Z57" s="139">
        <f>IS_Others!AD41</f>
        <v>230</v>
      </c>
      <c r="AA57" s="139">
        <f>IS_Others!AE41</f>
        <v>230</v>
      </c>
      <c r="AB57" s="139">
        <f>IS_Others!AF41</f>
        <v>230</v>
      </c>
      <c r="AC57" s="139">
        <f>IS_Others!AG41</f>
        <v>230</v>
      </c>
      <c r="AD57" s="139">
        <f>IS_Others!AH41</f>
        <v>230</v>
      </c>
      <c r="AE57" s="139">
        <f>IS_Others!AI41</f>
        <v>230</v>
      </c>
      <c r="AF57" s="139">
        <f>IS_Others!AJ41</f>
        <v>268.33333333333331</v>
      </c>
      <c r="AG57" s="139">
        <f>IS_Others!AK41</f>
        <v>268.33333333333331</v>
      </c>
      <c r="AH57" s="139">
        <f>IS_Others!AL41</f>
        <v>268.33333333333331</v>
      </c>
      <c r="AI57" s="139">
        <f>IS_Others!AM41</f>
        <v>268.33333333333331</v>
      </c>
      <c r="AJ57" s="139">
        <f>IS_Others!AN41</f>
        <v>268.33333333333331</v>
      </c>
      <c r="AK57" s="139">
        <f>IS_Others!AO41</f>
        <v>268.33333333333331</v>
      </c>
      <c r="AL57" s="139">
        <f>IS_Others!AP41</f>
        <v>306.66666666666663</v>
      </c>
      <c r="AM57" s="139">
        <f>IS_Others!AQ41</f>
        <v>306.66666666666663</v>
      </c>
      <c r="AN57" s="139">
        <f>IS_Others!AR41</f>
        <v>306.66666666666663</v>
      </c>
      <c r="AO57" s="139">
        <f>IS_Others!AS41</f>
        <v>306.66666666666663</v>
      </c>
      <c r="AP57" s="139">
        <f>IS_Others!AT41</f>
        <v>306.66666666666663</v>
      </c>
      <c r="AQ57" s="139">
        <f>IS_Others!AU41</f>
        <v>306.66666666666663</v>
      </c>
      <c r="AR57" s="139">
        <f>IS_Others!AV41</f>
        <v>345</v>
      </c>
      <c r="AS57" s="139">
        <f>IS_Others!AW41</f>
        <v>345</v>
      </c>
      <c r="AT57" s="139">
        <f>IS_Others!AX41</f>
        <v>345</v>
      </c>
      <c r="AU57" s="139">
        <f>IS_Others!AY41</f>
        <v>345</v>
      </c>
      <c r="AV57" s="139">
        <f>IS_Others!AZ41</f>
        <v>345</v>
      </c>
      <c r="AW57" s="139">
        <f>IS_Others!BA41</f>
        <v>345</v>
      </c>
      <c r="AX57" s="139">
        <f>IS_Others!BB41</f>
        <v>383.33333333333331</v>
      </c>
      <c r="AY57" s="139">
        <f>IS_Others!BC41</f>
        <v>383.33333333333331</v>
      </c>
      <c r="AZ57" s="139">
        <f>IS_Others!BD41</f>
        <v>383.33333333333331</v>
      </c>
      <c r="BA57" s="139">
        <f>IS_Others!BE41</f>
        <v>383.33333333333331</v>
      </c>
      <c r="BB57" s="139">
        <f>IS_Others!BF41</f>
        <v>383.33333333333331</v>
      </c>
      <c r="BC57" s="139">
        <f>IS_Others!BG41</f>
        <v>383.33333333333331</v>
      </c>
      <c r="BD57" s="139">
        <f>IS_Others!BH41</f>
        <v>383.33333333333331</v>
      </c>
      <c r="BE57" s="139">
        <f>IS_Others!BI41</f>
        <v>383.33333333333331</v>
      </c>
      <c r="BF57" s="139">
        <f>IS_Others!BJ41</f>
        <v>383.33333333333331</v>
      </c>
      <c r="BG57" s="139">
        <f>IS_Others!BK41</f>
        <v>383.33333333333331</v>
      </c>
      <c r="BH57" s="139">
        <f>IS_Others!BL41</f>
        <v>383.33333333333331</v>
      </c>
      <c r="BI57" s="139">
        <f>IS_Others!BM41</f>
        <v>383.33333333333331</v>
      </c>
      <c r="BJ57" s="139">
        <f>IS_Others!BN41</f>
        <v>383.33333333333331</v>
      </c>
      <c r="BK57" s="139">
        <f>IS_Others!BO41</f>
        <v>383.33333333333331</v>
      </c>
      <c r="BL57" s="139">
        <f>IS_Others!BP41</f>
        <v>383.33333333333331</v>
      </c>
      <c r="BM57" s="139">
        <f>IS_Others!BQ41</f>
        <v>383.33333333333331</v>
      </c>
      <c r="BN57" s="139">
        <f>IS_Others!BR41</f>
        <v>383.33333333333331</v>
      </c>
      <c r="BO57" s="139">
        <f>IS_Others!BS41</f>
        <v>383.33333333333331</v>
      </c>
      <c r="BX57" s="456"/>
      <c r="BY57" s="456"/>
      <c r="BZ57" s="456"/>
      <c r="CA57" s="456"/>
    </row>
    <row r="58" spans="2:79" outlineLevel="1">
      <c r="D58" s="139" t="s">
        <v>486</v>
      </c>
      <c r="H58" s="139">
        <f>IS_Others!L47</f>
        <v>3.3333333333333335</v>
      </c>
      <c r="I58" s="139">
        <f>IS_Others!M47</f>
        <v>3.3333333333333335</v>
      </c>
      <c r="J58" s="139">
        <f>IS_Others!N47</f>
        <v>3.3333333333333335</v>
      </c>
      <c r="K58" s="139">
        <f>IS_Others!O47</f>
        <v>3.3333333333333335</v>
      </c>
      <c r="L58" s="139">
        <f>IS_Others!P47</f>
        <v>3.3333333333333335</v>
      </c>
      <c r="M58" s="139">
        <f>IS_Others!Q47</f>
        <v>3.3333333333333335</v>
      </c>
      <c r="N58" s="139">
        <f>IS_Others!R47</f>
        <v>35.666666666666664</v>
      </c>
      <c r="O58" s="139">
        <f>IS_Others!S47</f>
        <v>35.666666666666664</v>
      </c>
      <c r="P58" s="139">
        <f>IS_Others!T47</f>
        <v>35.666666666666664</v>
      </c>
      <c r="Q58" s="139">
        <f>IS_Others!U47</f>
        <v>35.666666666666664</v>
      </c>
      <c r="R58" s="139">
        <f>IS_Others!V47</f>
        <v>35.666666666666664</v>
      </c>
      <c r="S58" s="139">
        <f>IS_Others!W47</f>
        <v>35.666666666666664</v>
      </c>
      <c r="T58" s="139">
        <f>IS_Others!X47</f>
        <v>48.75</v>
      </c>
      <c r="U58" s="139">
        <f>IS_Others!Y47</f>
        <v>48.75</v>
      </c>
      <c r="V58" s="139">
        <f>IS_Others!Z47</f>
        <v>48.75</v>
      </c>
      <c r="W58" s="139">
        <f>IS_Others!AA47</f>
        <v>48.75</v>
      </c>
      <c r="X58" s="139">
        <f>IS_Others!AB47</f>
        <v>48.75</v>
      </c>
      <c r="Y58" s="139">
        <f>IS_Others!AC47</f>
        <v>48.75</v>
      </c>
      <c r="Z58" s="139">
        <f>IS_Others!AD47</f>
        <v>56.833333333333336</v>
      </c>
      <c r="AA58" s="139">
        <f>IS_Others!AE47</f>
        <v>56.833333333333336</v>
      </c>
      <c r="AB58" s="139">
        <f>IS_Others!AF47</f>
        <v>56.833333333333336</v>
      </c>
      <c r="AC58" s="139">
        <f>IS_Others!AG47</f>
        <v>56.833333333333336</v>
      </c>
      <c r="AD58" s="139">
        <f>IS_Others!AH47</f>
        <v>56.833333333333336</v>
      </c>
      <c r="AE58" s="139">
        <f>IS_Others!AI47</f>
        <v>56.833333333333336</v>
      </c>
      <c r="AF58" s="139">
        <f>IS_Others!AJ47</f>
        <v>64.916666666666671</v>
      </c>
      <c r="AG58" s="139">
        <f>IS_Others!AK47</f>
        <v>64.916666666666671</v>
      </c>
      <c r="AH58" s="139">
        <f>IS_Others!AL47</f>
        <v>64.916666666666671</v>
      </c>
      <c r="AI58" s="139">
        <f>IS_Others!AM47</f>
        <v>64.916666666666671</v>
      </c>
      <c r="AJ58" s="139">
        <f>IS_Others!AN47</f>
        <v>64.916666666666671</v>
      </c>
      <c r="AK58" s="139">
        <f>IS_Others!AO47</f>
        <v>64.916666666666671</v>
      </c>
      <c r="AL58" s="139">
        <f>IS_Others!AP47</f>
        <v>73</v>
      </c>
      <c r="AM58" s="139">
        <f>IS_Others!AQ47</f>
        <v>73</v>
      </c>
      <c r="AN58" s="139">
        <f>IS_Others!AR47</f>
        <v>73</v>
      </c>
      <c r="AO58" s="139">
        <f>IS_Others!AS47</f>
        <v>73</v>
      </c>
      <c r="AP58" s="139">
        <f>IS_Others!AT47</f>
        <v>73</v>
      </c>
      <c r="AQ58" s="139">
        <f>IS_Others!AU47</f>
        <v>73</v>
      </c>
      <c r="AR58" s="139">
        <f>IS_Others!AV47</f>
        <v>81.083333333333343</v>
      </c>
      <c r="AS58" s="139">
        <f>IS_Others!AW47</f>
        <v>81.083333333333343</v>
      </c>
      <c r="AT58" s="139">
        <f>IS_Others!AX47</f>
        <v>81.083333333333343</v>
      </c>
      <c r="AU58" s="139">
        <f>IS_Others!AY47</f>
        <v>81.083333333333343</v>
      </c>
      <c r="AV58" s="139">
        <f>IS_Others!AZ47</f>
        <v>81.083333333333343</v>
      </c>
      <c r="AW58" s="139">
        <f>IS_Others!BA47</f>
        <v>81.083333333333343</v>
      </c>
      <c r="AX58" s="139">
        <f>IS_Others!BB47</f>
        <v>89.166666666666657</v>
      </c>
      <c r="AY58" s="139">
        <f>IS_Others!BC47</f>
        <v>89.166666666666657</v>
      </c>
      <c r="AZ58" s="139">
        <f>IS_Others!BD47</f>
        <v>89.166666666666657</v>
      </c>
      <c r="BA58" s="139">
        <f>IS_Others!BE47</f>
        <v>89.166666666666657</v>
      </c>
      <c r="BB58" s="139">
        <f>IS_Others!BF47</f>
        <v>89.166666666666657</v>
      </c>
      <c r="BC58" s="139">
        <f>IS_Others!BG47</f>
        <v>89.166666666666657</v>
      </c>
      <c r="BD58" s="139">
        <f>IS_Others!BH47</f>
        <v>89.166666666666657</v>
      </c>
      <c r="BE58" s="139">
        <f>IS_Others!BI47</f>
        <v>89.166666666666657</v>
      </c>
      <c r="BF58" s="139">
        <f>IS_Others!BJ47</f>
        <v>89.166666666666657</v>
      </c>
      <c r="BG58" s="139">
        <f>IS_Others!BK47</f>
        <v>89.166666666666657</v>
      </c>
      <c r="BH58" s="139">
        <f>IS_Others!BL47</f>
        <v>89.166666666666657</v>
      </c>
      <c r="BI58" s="139">
        <f>IS_Others!BM47</f>
        <v>89.166666666666657</v>
      </c>
      <c r="BJ58" s="139">
        <f>IS_Others!BN47</f>
        <v>89.166666666666657</v>
      </c>
      <c r="BK58" s="139">
        <f>IS_Others!BO47</f>
        <v>89.166666666666657</v>
      </c>
      <c r="BL58" s="139">
        <f>IS_Others!BP47</f>
        <v>89.166666666666657</v>
      </c>
      <c r="BM58" s="139">
        <f>IS_Others!BQ47</f>
        <v>89.166666666666657</v>
      </c>
      <c r="BN58" s="139">
        <f>IS_Others!BR47</f>
        <v>89.166666666666657</v>
      </c>
      <c r="BO58" s="139">
        <f>IS_Others!BS47</f>
        <v>89.166666666666657</v>
      </c>
      <c r="BX58" s="456"/>
      <c r="BY58" s="456"/>
      <c r="BZ58" s="456"/>
      <c r="CA58" s="456"/>
    </row>
    <row r="59" spans="2:79" outlineLevel="1">
      <c r="D59" s="139" t="s">
        <v>487</v>
      </c>
      <c r="H59" s="139">
        <f>IS_Others!L56</f>
        <v>0</v>
      </c>
      <c r="I59" s="139">
        <f>IS_Others!M56</f>
        <v>0</v>
      </c>
      <c r="J59" s="139">
        <f>IS_Others!N56</f>
        <v>0</v>
      </c>
      <c r="K59" s="139">
        <f>IS_Others!O56</f>
        <v>0</v>
      </c>
      <c r="L59" s="139">
        <f>IS_Others!P56</f>
        <v>0</v>
      </c>
      <c r="M59" s="139">
        <f>IS_Others!Q56</f>
        <v>0</v>
      </c>
      <c r="N59" s="139">
        <f>IS_Others!R56</f>
        <v>41.666666666666671</v>
      </c>
      <c r="O59" s="139">
        <f>IS_Others!S56</f>
        <v>41.666666666666671</v>
      </c>
      <c r="P59" s="139">
        <f>IS_Others!T56</f>
        <v>41.666666666666671</v>
      </c>
      <c r="Q59" s="139">
        <f>IS_Others!U56</f>
        <v>41.666666666666671</v>
      </c>
      <c r="R59" s="139">
        <f>IS_Others!V56</f>
        <v>41.666666666666671</v>
      </c>
      <c r="S59" s="139">
        <f>IS_Others!W56</f>
        <v>41.666666666666671</v>
      </c>
      <c r="T59" s="139">
        <f>IS_Others!X56</f>
        <v>52.083333333333336</v>
      </c>
      <c r="U59" s="139">
        <f>IS_Others!Y56</f>
        <v>52.083333333333336</v>
      </c>
      <c r="V59" s="139">
        <f>IS_Others!Z56</f>
        <v>52.083333333333336</v>
      </c>
      <c r="W59" s="139">
        <f>IS_Others!AA56</f>
        <v>52.083333333333336</v>
      </c>
      <c r="X59" s="139">
        <f>IS_Others!AB56</f>
        <v>52.083333333333336</v>
      </c>
      <c r="Y59" s="139">
        <f>IS_Others!AC56</f>
        <v>52.083333333333336</v>
      </c>
      <c r="Z59" s="139">
        <f>IS_Others!AD56</f>
        <v>62.5</v>
      </c>
      <c r="AA59" s="139">
        <f>IS_Others!AE56</f>
        <v>62.5</v>
      </c>
      <c r="AB59" s="139">
        <f>IS_Others!AF56</f>
        <v>62.5</v>
      </c>
      <c r="AC59" s="139">
        <f>IS_Others!AG56</f>
        <v>62.5</v>
      </c>
      <c r="AD59" s="139">
        <f>IS_Others!AH56</f>
        <v>62.5</v>
      </c>
      <c r="AE59" s="139">
        <f>IS_Others!AI56</f>
        <v>62.5</v>
      </c>
      <c r="AF59" s="139">
        <f>IS_Others!AJ56</f>
        <v>78.75</v>
      </c>
      <c r="AG59" s="139">
        <f>IS_Others!AK56</f>
        <v>78.75</v>
      </c>
      <c r="AH59" s="139">
        <f>IS_Others!AL56</f>
        <v>78.75</v>
      </c>
      <c r="AI59" s="139">
        <f>IS_Others!AM56</f>
        <v>78.75</v>
      </c>
      <c r="AJ59" s="139">
        <f>IS_Others!AN56</f>
        <v>78.75</v>
      </c>
      <c r="AK59" s="139">
        <f>IS_Others!AO56</f>
        <v>78.75</v>
      </c>
      <c r="AL59" s="139">
        <f>IS_Others!AP56</f>
        <v>89.166666666666657</v>
      </c>
      <c r="AM59" s="139">
        <f>IS_Others!AQ56</f>
        <v>89.166666666666657</v>
      </c>
      <c r="AN59" s="139">
        <f>IS_Others!AR56</f>
        <v>89.166666666666657</v>
      </c>
      <c r="AO59" s="139">
        <f>IS_Others!AS56</f>
        <v>89.166666666666657</v>
      </c>
      <c r="AP59" s="139">
        <f>IS_Others!AT56</f>
        <v>89.166666666666657</v>
      </c>
      <c r="AQ59" s="139">
        <f>IS_Others!AU56</f>
        <v>89.166666666666657</v>
      </c>
      <c r="AR59" s="139">
        <f>IS_Others!AV56</f>
        <v>99.583333333333329</v>
      </c>
      <c r="AS59" s="139">
        <f>IS_Others!AW56</f>
        <v>99.583333333333329</v>
      </c>
      <c r="AT59" s="139">
        <f>IS_Others!AX56</f>
        <v>99.583333333333329</v>
      </c>
      <c r="AU59" s="139">
        <f>IS_Others!AY56</f>
        <v>99.583333333333329</v>
      </c>
      <c r="AV59" s="139">
        <f>IS_Others!AZ56</f>
        <v>99.583333333333329</v>
      </c>
      <c r="AW59" s="139">
        <f>IS_Others!BA56</f>
        <v>99.583333333333329</v>
      </c>
      <c r="AX59" s="139">
        <f>IS_Others!BB56</f>
        <v>110</v>
      </c>
      <c r="AY59" s="139">
        <f>IS_Others!BC56</f>
        <v>110</v>
      </c>
      <c r="AZ59" s="139">
        <f>IS_Others!BD56</f>
        <v>110</v>
      </c>
      <c r="BA59" s="139">
        <f>IS_Others!BE56</f>
        <v>110</v>
      </c>
      <c r="BB59" s="139">
        <f>IS_Others!BF56</f>
        <v>110</v>
      </c>
      <c r="BC59" s="139">
        <f>IS_Others!BG56</f>
        <v>110</v>
      </c>
      <c r="BD59" s="139">
        <f>IS_Others!BH56</f>
        <v>110</v>
      </c>
      <c r="BE59" s="139">
        <f>IS_Others!BI56</f>
        <v>110</v>
      </c>
      <c r="BF59" s="139">
        <f>IS_Others!BJ56</f>
        <v>110</v>
      </c>
      <c r="BG59" s="139">
        <f>IS_Others!BK56</f>
        <v>110</v>
      </c>
      <c r="BH59" s="139">
        <f>IS_Others!BL56</f>
        <v>110</v>
      </c>
      <c r="BI59" s="139">
        <f>IS_Others!BM56</f>
        <v>110</v>
      </c>
      <c r="BJ59" s="139">
        <f>IS_Others!BN56</f>
        <v>110</v>
      </c>
      <c r="BK59" s="139">
        <f>IS_Others!BO56</f>
        <v>110</v>
      </c>
      <c r="BL59" s="139">
        <f>IS_Others!BP56</f>
        <v>110</v>
      </c>
      <c r="BM59" s="139">
        <f>IS_Others!BQ56</f>
        <v>110</v>
      </c>
      <c r="BN59" s="139">
        <f>IS_Others!BR56</f>
        <v>110</v>
      </c>
      <c r="BO59" s="139">
        <f>IS_Others!BS56</f>
        <v>110</v>
      </c>
      <c r="BX59" s="456"/>
      <c r="BY59" s="456"/>
      <c r="BZ59" s="456"/>
      <c r="CA59" s="456"/>
    </row>
    <row r="60" spans="2:79" outlineLevel="1">
      <c r="D60" s="139" t="s">
        <v>488</v>
      </c>
      <c r="H60" s="139">
        <f>IS_Others!L65</f>
        <v>2.8750000000000004</v>
      </c>
      <c r="I60" s="139">
        <f>IS_Others!M65</f>
        <v>2.8750000000000004</v>
      </c>
      <c r="J60" s="139">
        <f>IS_Others!N65</f>
        <v>2.8750000000000004</v>
      </c>
      <c r="K60" s="139">
        <f>IS_Others!O65</f>
        <v>2.8750000000000004</v>
      </c>
      <c r="L60" s="139">
        <f>IS_Others!P65</f>
        <v>2.8750000000000004</v>
      </c>
      <c r="M60" s="139">
        <f>IS_Others!Q65</f>
        <v>2.8750000000000004</v>
      </c>
      <c r="N60" s="139">
        <f>IS_Others!R65</f>
        <v>74.941666666666649</v>
      </c>
      <c r="O60" s="139">
        <f>IS_Others!S65</f>
        <v>74.941666666666649</v>
      </c>
      <c r="P60" s="139">
        <f>IS_Others!T65</f>
        <v>74.941666666666649</v>
      </c>
      <c r="Q60" s="139">
        <f>IS_Others!U65</f>
        <v>74.941666666666649</v>
      </c>
      <c r="R60" s="139">
        <f>IS_Others!V65</f>
        <v>74.941666666666649</v>
      </c>
      <c r="S60" s="139">
        <f>IS_Others!W65</f>
        <v>74.941666666666649</v>
      </c>
      <c r="T60" s="139">
        <f>IS_Others!X65</f>
        <v>93.791666666666671</v>
      </c>
      <c r="U60" s="139">
        <f>IS_Others!Y65</f>
        <v>93.791666666666671</v>
      </c>
      <c r="V60" s="139">
        <f>IS_Others!Z65</f>
        <v>93.791666666666671</v>
      </c>
      <c r="W60" s="139">
        <f>IS_Others!AA65</f>
        <v>93.791666666666671</v>
      </c>
      <c r="X60" s="139">
        <f>IS_Others!AB65</f>
        <v>93.791666666666671</v>
      </c>
      <c r="Y60" s="139">
        <f>IS_Others!AC65</f>
        <v>93.791666666666671</v>
      </c>
      <c r="Z60" s="139">
        <f>IS_Others!AD65</f>
        <v>111.39166666666665</v>
      </c>
      <c r="AA60" s="139">
        <f>IS_Others!AE65</f>
        <v>111.39166666666665</v>
      </c>
      <c r="AB60" s="139">
        <f>IS_Others!AF65</f>
        <v>111.39166666666665</v>
      </c>
      <c r="AC60" s="139">
        <f>IS_Others!AG65</f>
        <v>111.39166666666665</v>
      </c>
      <c r="AD60" s="139">
        <f>IS_Others!AH65</f>
        <v>111.39166666666665</v>
      </c>
      <c r="AE60" s="139">
        <f>IS_Others!AI65</f>
        <v>111.39166666666665</v>
      </c>
      <c r="AF60" s="139">
        <f>IS_Others!AJ65</f>
        <v>130.32500000000002</v>
      </c>
      <c r="AG60" s="139">
        <f>IS_Others!AK65</f>
        <v>130.32500000000002</v>
      </c>
      <c r="AH60" s="139">
        <f>IS_Others!AL65</f>
        <v>130.32500000000002</v>
      </c>
      <c r="AI60" s="139">
        <f>IS_Others!AM65</f>
        <v>130.32500000000002</v>
      </c>
      <c r="AJ60" s="139">
        <f>IS_Others!AN65</f>
        <v>130.32500000000002</v>
      </c>
      <c r="AK60" s="139">
        <f>IS_Others!AO65</f>
        <v>130.32500000000002</v>
      </c>
      <c r="AL60" s="139">
        <f>IS_Others!AP65</f>
        <v>148.34166666666667</v>
      </c>
      <c r="AM60" s="139">
        <f>IS_Others!AQ65</f>
        <v>148.34166666666667</v>
      </c>
      <c r="AN60" s="139">
        <f>IS_Others!AR65</f>
        <v>148.34166666666667</v>
      </c>
      <c r="AO60" s="139">
        <f>IS_Others!AS65</f>
        <v>148.34166666666667</v>
      </c>
      <c r="AP60" s="139">
        <f>IS_Others!AT65</f>
        <v>148.34166666666667</v>
      </c>
      <c r="AQ60" s="139">
        <f>IS_Others!AU65</f>
        <v>148.34166666666667</v>
      </c>
      <c r="AR60" s="139">
        <f>IS_Others!AV65</f>
        <v>166.35833333333335</v>
      </c>
      <c r="AS60" s="139">
        <f>IS_Others!AW65</f>
        <v>166.35833333333335</v>
      </c>
      <c r="AT60" s="139">
        <f>IS_Others!AX65</f>
        <v>166.35833333333335</v>
      </c>
      <c r="AU60" s="139">
        <f>IS_Others!AY65</f>
        <v>166.35833333333335</v>
      </c>
      <c r="AV60" s="139">
        <f>IS_Others!AZ65</f>
        <v>166.35833333333335</v>
      </c>
      <c r="AW60" s="139">
        <f>IS_Others!BA65</f>
        <v>166.35833333333335</v>
      </c>
      <c r="AX60" s="139">
        <f>IS_Others!BB65</f>
        <v>184.375</v>
      </c>
      <c r="AY60" s="139">
        <f>IS_Others!BC65</f>
        <v>184.375</v>
      </c>
      <c r="AZ60" s="139">
        <f>IS_Others!BD65</f>
        <v>184.375</v>
      </c>
      <c r="BA60" s="139">
        <f>IS_Others!BE65</f>
        <v>184.375</v>
      </c>
      <c r="BB60" s="139">
        <f>IS_Others!BF65</f>
        <v>184.375</v>
      </c>
      <c r="BC60" s="139">
        <f>IS_Others!BG65</f>
        <v>184.375</v>
      </c>
      <c r="BD60" s="139">
        <f>IS_Others!BH65</f>
        <v>184.375</v>
      </c>
      <c r="BE60" s="139">
        <f>IS_Others!BI65</f>
        <v>184.375</v>
      </c>
      <c r="BF60" s="139">
        <f>IS_Others!BJ65</f>
        <v>184.375</v>
      </c>
      <c r="BG60" s="139">
        <f>IS_Others!BK65</f>
        <v>184.375</v>
      </c>
      <c r="BH60" s="139">
        <f>IS_Others!BL65</f>
        <v>184.375</v>
      </c>
      <c r="BI60" s="139">
        <f>IS_Others!BM65</f>
        <v>184.375</v>
      </c>
      <c r="BJ60" s="139">
        <f>IS_Others!BN65</f>
        <v>184.375</v>
      </c>
      <c r="BK60" s="139">
        <f>IS_Others!BO65</f>
        <v>184.375</v>
      </c>
      <c r="BL60" s="139">
        <f>IS_Others!BP65</f>
        <v>184.375</v>
      </c>
      <c r="BM60" s="139">
        <f>IS_Others!BQ65</f>
        <v>184.375</v>
      </c>
      <c r="BN60" s="139">
        <f>IS_Others!BR65</f>
        <v>184.375</v>
      </c>
      <c r="BO60" s="139">
        <f>IS_Others!BS65</f>
        <v>184.375</v>
      </c>
      <c r="BX60" s="456"/>
      <c r="BY60" s="456"/>
      <c r="BZ60" s="456"/>
      <c r="CA60" s="456"/>
    </row>
    <row r="61" spans="2:79" s="155" customFormat="1">
      <c r="C61" s="155" t="s">
        <v>489</v>
      </c>
      <c r="H61" s="155">
        <f>SUBTOTAL(9,H62:H66)</f>
        <v>2.7517291666666668</v>
      </c>
      <c r="I61" s="155">
        <f t="shared" ref="I61:BO61" si="38">SUBTOTAL(9,I62:I66)</f>
        <v>2.7517291666666668</v>
      </c>
      <c r="J61" s="155">
        <f t="shared" si="38"/>
        <v>2.7517291666666668</v>
      </c>
      <c r="K61" s="155">
        <f t="shared" si="38"/>
        <v>2.7517291666666668</v>
      </c>
      <c r="L61" s="155">
        <f t="shared" si="38"/>
        <v>2.7517291666666668</v>
      </c>
      <c r="M61" s="155">
        <f t="shared" si="38"/>
        <v>2.7517291666666668</v>
      </c>
      <c r="N61" s="155">
        <f t="shared" si="38"/>
        <v>70.446629166666654</v>
      </c>
      <c r="O61" s="155">
        <f t="shared" si="38"/>
        <v>70.446629166666654</v>
      </c>
      <c r="P61" s="155">
        <f t="shared" si="38"/>
        <v>70.446629166666654</v>
      </c>
      <c r="Q61" s="155">
        <f t="shared" si="38"/>
        <v>70.446629166666654</v>
      </c>
      <c r="R61" s="155">
        <f t="shared" si="38"/>
        <v>70.446629166666654</v>
      </c>
      <c r="S61" s="155">
        <f t="shared" si="38"/>
        <v>70.446629166666654</v>
      </c>
      <c r="T61" s="155">
        <f t="shared" si="38"/>
        <v>88.166604166666659</v>
      </c>
      <c r="U61" s="155">
        <f t="shared" si="38"/>
        <v>88.166604166666659</v>
      </c>
      <c r="V61" s="155">
        <f t="shared" si="38"/>
        <v>88.166604166666659</v>
      </c>
      <c r="W61" s="155">
        <f t="shared" si="38"/>
        <v>88.166604166666659</v>
      </c>
      <c r="X61" s="155">
        <f t="shared" si="38"/>
        <v>88.166604166666659</v>
      </c>
      <c r="Y61" s="155">
        <f t="shared" si="38"/>
        <v>88.166604166666659</v>
      </c>
      <c r="Z61" s="155">
        <f t="shared" si="38"/>
        <v>104.73887083333329</v>
      </c>
      <c r="AA61" s="155">
        <f t="shared" si="38"/>
        <v>104.73887083333329</v>
      </c>
      <c r="AB61" s="155">
        <f t="shared" si="38"/>
        <v>104.73887083333329</v>
      </c>
      <c r="AC61" s="155">
        <f t="shared" si="38"/>
        <v>104.73887083333329</v>
      </c>
      <c r="AD61" s="155">
        <f t="shared" si="38"/>
        <v>104.73887083333329</v>
      </c>
      <c r="AE61" s="155">
        <f t="shared" si="38"/>
        <v>104.73887083333329</v>
      </c>
      <c r="AF61" s="155">
        <f t="shared" si="38"/>
        <v>122.57580416666666</v>
      </c>
      <c r="AG61" s="155">
        <f t="shared" si="38"/>
        <v>122.57580416666666</v>
      </c>
      <c r="AH61" s="155">
        <f t="shared" si="38"/>
        <v>122.57580416666666</v>
      </c>
      <c r="AI61" s="155">
        <f t="shared" si="38"/>
        <v>122.57580416666666</v>
      </c>
      <c r="AJ61" s="155">
        <f t="shared" si="38"/>
        <v>122.57580416666666</v>
      </c>
      <c r="AK61" s="155">
        <f t="shared" si="38"/>
        <v>122.57580416666666</v>
      </c>
      <c r="AL61" s="155">
        <f t="shared" si="38"/>
        <v>139.49952916666666</v>
      </c>
      <c r="AM61" s="155">
        <f t="shared" si="38"/>
        <v>139.49952916666666</v>
      </c>
      <c r="AN61" s="155">
        <f t="shared" si="38"/>
        <v>139.49952916666666</v>
      </c>
      <c r="AO61" s="155">
        <f t="shared" si="38"/>
        <v>139.49952916666666</v>
      </c>
      <c r="AP61" s="155">
        <f t="shared" si="38"/>
        <v>139.49952916666666</v>
      </c>
      <c r="AQ61" s="155">
        <f t="shared" si="38"/>
        <v>139.49952916666666</v>
      </c>
      <c r="AR61" s="155">
        <f t="shared" si="38"/>
        <v>156.42325416666665</v>
      </c>
      <c r="AS61" s="155">
        <f t="shared" si="38"/>
        <v>156.42325416666665</v>
      </c>
      <c r="AT61" s="155">
        <f t="shared" si="38"/>
        <v>156.42325416666665</v>
      </c>
      <c r="AU61" s="155">
        <f t="shared" si="38"/>
        <v>156.42325416666665</v>
      </c>
      <c r="AV61" s="155">
        <f t="shared" si="38"/>
        <v>156.42325416666665</v>
      </c>
      <c r="AW61" s="155">
        <f t="shared" si="38"/>
        <v>156.42325416666665</v>
      </c>
      <c r="AX61" s="155">
        <f t="shared" si="38"/>
        <v>173.34697916666667</v>
      </c>
      <c r="AY61" s="155">
        <f t="shared" si="38"/>
        <v>173.34697916666667</v>
      </c>
      <c r="AZ61" s="155">
        <f t="shared" si="38"/>
        <v>173.34697916666667</v>
      </c>
      <c r="BA61" s="155">
        <f t="shared" si="38"/>
        <v>173.34697916666667</v>
      </c>
      <c r="BB61" s="155">
        <f t="shared" si="38"/>
        <v>173.34697916666667</v>
      </c>
      <c r="BC61" s="155">
        <f t="shared" si="38"/>
        <v>173.34697916666667</v>
      </c>
      <c r="BD61" s="155">
        <f t="shared" si="38"/>
        <v>173.34697916666667</v>
      </c>
      <c r="BE61" s="155">
        <f t="shared" si="38"/>
        <v>173.34697916666667</v>
      </c>
      <c r="BF61" s="155">
        <f t="shared" si="38"/>
        <v>173.34697916666667</v>
      </c>
      <c r="BG61" s="155">
        <f t="shared" si="38"/>
        <v>173.34697916666667</v>
      </c>
      <c r="BH61" s="155">
        <f t="shared" si="38"/>
        <v>173.34697916666667</v>
      </c>
      <c r="BI61" s="155">
        <f t="shared" si="38"/>
        <v>173.34697916666667</v>
      </c>
      <c r="BJ61" s="155">
        <f t="shared" si="38"/>
        <v>173.34697916666667</v>
      </c>
      <c r="BK61" s="155">
        <f t="shared" si="38"/>
        <v>173.34697916666667</v>
      </c>
      <c r="BL61" s="155">
        <f t="shared" si="38"/>
        <v>173.34697916666667</v>
      </c>
      <c r="BM61" s="155">
        <f t="shared" si="38"/>
        <v>173.34697916666667</v>
      </c>
      <c r="BN61" s="155">
        <f t="shared" si="38"/>
        <v>173.34697916666667</v>
      </c>
      <c r="BO61" s="155">
        <f t="shared" si="38"/>
        <v>173.34697916666667</v>
      </c>
      <c r="BQ61" s="155">
        <f>SUM(H61:S61)</f>
        <v>439.19014999999985</v>
      </c>
      <c r="BR61" s="155">
        <f>SUM(T61:AE61)</f>
        <v>1157.4328499999997</v>
      </c>
      <c r="BS61" s="155">
        <f>SUM(AF61:AQ61)</f>
        <v>1572.452</v>
      </c>
      <c r="BT61" s="155">
        <f>SUM(AR61:BC61)</f>
        <v>1978.6213999999998</v>
      </c>
      <c r="BU61" s="155">
        <f>SUM(BD61:BO61)</f>
        <v>2080.1637500000002</v>
      </c>
      <c r="BX61" s="454">
        <f t="shared" si="34"/>
        <v>1.6353798007537286</v>
      </c>
      <c r="BY61" s="454">
        <f t="shared" si="35"/>
        <v>0.35856866340021409</v>
      </c>
      <c r="BZ61" s="454">
        <f t="shared" si="36"/>
        <v>0.25830321052725291</v>
      </c>
      <c r="CA61" s="454">
        <f t="shared" si="37"/>
        <v>5.1319747173461439E-2</v>
      </c>
    </row>
    <row r="62" spans="2:79" outlineLevel="1">
      <c r="D62" s="139" t="s">
        <v>163</v>
      </c>
      <c r="H62" s="139">
        <f>IS_Others!L67</f>
        <v>2.4250625000000001</v>
      </c>
      <c r="I62" s="139">
        <f>IS_Others!M67</f>
        <v>2.4250625000000001</v>
      </c>
      <c r="J62" s="139">
        <f>IS_Others!N67</f>
        <v>2.4250625000000001</v>
      </c>
      <c r="K62" s="139">
        <f>IS_Others!O67</f>
        <v>2.4250625000000001</v>
      </c>
      <c r="L62" s="139">
        <f>IS_Others!P67</f>
        <v>2.4250625000000001</v>
      </c>
      <c r="M62" s="139">
        <f>IS_Others!Q67</f>
        <v>2.4250625000000001</v>
      </c>
      <c r="N62" s="139">
        <f>IS_Others!R67</f>
        <v>63.213295833333319</v>
      </c>
      <c r="O62" s="139">
        <f>IS_Others!S67</f>
        <v>63.213295833333319</v>
      </c>
      <c r="P62" s="139">
        <f>IS_Others!T67</f>
        <v>63.213295833333319</v>
      </c>
      <c r="Q62" s="139">
        <f>IS_Others!U67</f>
        <v>63.213295833333319</v>
      </c>
      <c r="R62" s="139">
        <f>IS_Others!V67</f>
        <v>63.213295833333319</v>
      </c>
      <c r="S62" s="139">
        <f>IS_Others!W67</f>
        <v>63.213295833333319</v>
      </c>
      <c r="T62" s="139">
        <f>IS_Others!X67</f>
        <v>79.113270833333331</v>
      </c>
      <c r="U62" s="139">
        <f>IS_Others!Y67</f>
        <v>79.113270833333331</v>
      </c>
      <c r="V62" s="139">
        <f>IS_Others!Z67</f>
        <v>79.113270833333331</v>
      </c>
      <c r="W62" s="139">
        <f>IS_Others!AA67</f>
        <v>79.113270833333331</v>
      </c>
      <c r="X62" s="139">
        <f>IS_Others!AB67</f>
        <v>79.113270833333331</v>
      </c>
      <c r="Y62" s="139">
        <f>IS_Others!AC67</f>
        <v>79.113270833333331</v>
      </c>
      <c r="Z62" s="139">
        <f>IS_Others!AD67</f>
        <v>93.958870833333307</v>
      </c>
      <c r="AA62" s="139">
        <f>IS_Others!AE67</f>
        <v>93.958870833333307</v>
      </c>
      <c r="AB62" s="139">
        <f>IS_Others!AF67</f>
        <v>93.958870833333307</v>
      </c>
      <c r="AC62" s="139">
        <f>IS_Others!AG67</f>
        <v>93.958870833333307</v>
      </c>
      <c r="AD62" s="139">
        <f>IS_Others!AH67</f>
        <v>93.958870833333307</v>
      </c>
      <c r="AE62" s="139">
        <f>IS_Others!AI67</f>
        <v>93.958870833333307</v>
      </c>
      <c r="AF62" s="139">
        <f>IS_Others!AJ67</f>
        <v>109.9291375</v>
      </c>
      <c r="AG62" s="139">
        <f>IS_Others!AK67</f>
        <v>109.9291375</v>
      </c>
      <c r="AH62" s="139">
        <f>IS_Others!AL67</f>
        <v>109.9291375</v>
      </c>
      <c r="AI62" s="139">
        <f>IS_Others!AM67</f>
        <v>109.9291375</v>
      </c>
      <c r="AJ62" s="139">
        <f>IS_Others!AN67</f>
        <v>109.9291375</v>
      </c>
      <c r="AK62" s="139">
        <f>IS_Others!AO67</f>
        <v>109.9291375</v>
      </c>
      <c r="AL62" s="139">
        <f>IS_Others!AP67</f>
        <v>125.12619583333333</v>
      </c>
      <c r="AM62" s="139">
        <f>IS_Others!AQ67</f>
        <v>125.12619583333333</v>
      </c>
      <c r="AN62" s="139">
        <f>IS_Others!AR67</f>
        <v>125.12619583333333</v>
      </c>
      <c r="AO62" s="139">
        <f>IS_Others!AS67</f>
        <v>125.12619583333333</v>
      </c>
      <c r="AP62" s="139">
        <f>IS_Others!AT67</f>
        <v>125.12619583333333</v>
      </c>
      <c r="AQ62" s="139">
        <f>IS_Others!AU67</f>
        <v>125.12619583333333</v>
      </c>
      <c r="AR62" s="139">
        <f>IS_Others!AV67</f>
        <v>140.32325416666666</v>
      </c>
      <c r="AS62" s="139">
        <f>IS_Others!AW67</f>
        <v>140.32325416666666</v>
      </c>
      <c r="AT62" s="139">
        <f>IS_Others!AX67</f>
        <v>140.32325416666666</v>
      </c>
      <c r="AU62" s="139">
        <f>IS_Others!AY67</f>
        <v>140.32325416666666</v>
      </c>
      <c r="AV62" s="139">
        <f>IS_Others!AZ67</f>
        <v>140.32325416666666</v>
      </c>
      <c r="AW62" s="139">
        <f>IS_Others!BA67</f>
        <v>140.32325416666666</v>
      </c>
      <c r="AX62" s="139">
        <f>IS_Others!BB67</f>
        <v>155.52031249999999</v>
      </c>
      <c r="AY62" s="139">
        <f>IS_Others!BC67</f>
        <v>155.52031249999999</v>
      </c>
      <c r="AZ62" s="139">
        <f>IS_Others!BD67</f>
        <v>155.52031249999999</v>
      </c>
      <c r="BA62" s="139">
        <f>IS_Others!BE67</f>
        <v>155.52031249999999</v>
      </c>
      <c r="BB62" s="139">
        <f>IS_Others!BF67</f>
        <v>155.52031249999999</v>
      </c>
      <c r="BC62" s="139">
        <f>IS_Others!BG67</f>
        <v>155.52031249999999</v>
      </c>
      <c r="BD62" s="139">
        <f>IS_Others!BH67</f>
        <v>155.52031249999999</v>
      </c>
      <c r="BE62" s="139">
        <f>IS_Others!BI67</f>
        <v>155.52031249999999</v>
      </c>
      <c r="BF62" s="139">
        <f>IS_Others!BJ67</f>
        <v>155.52031249999999</v>
      </c>
      <c r="BG62" s="139">
        <f>IS_Others!BK67</f>
        <v>155.52031249999999</v>
      </c>
      <c r="BH62" s="139">
        <f>IS_Others!BL67</f>
        <v>155.52031249999999</v>
      </c>
      <c r="BI62" s="139">
        <f>IS_Others!BM67</f>
        <v>155.52031249999999</v>
      </c>
      <c r="BJ62" s="139">
        <f>IS_Others!BN67</f>
        <v>155.52031249999999</v>
      </c>
      <c r="BK62" s="139">
        <f>IS_Others!BO67</f>
        <v>155.52031249999999</v>
      </c>
      <c r="BL62" s="139">
        <f>IS_Others!BP67</f>
        <v>155.52031249999999</v>
      </c>
      <c r="BM62" s="139">
        <f>IS_Others!BQ67</f>
        <v>155.52031249999999</v>
      </c>
      <c r="BN62" s="139">
        <f>IS_Others!BR67</f>
        <v>155.52031249999999</v>
      </c>
      <c r="BO62" s="139">
        <f>IS_Others!BS67</f>
        <v>155.52031249999999</v>
      </c>
      <c r="BX62" s="456"/>
      <c r="BY62" s="456"/>
      <c r="BZ62" s="456"/>
      <c r="CA62" s="456"/>
    </row>
    <row r="63" spans="2:79" outlineLevel="1">
      <c r="D63" s="139" t="s">
        <v>164</v>
      </c>
      <c r="H63" s="139">
        <f>IS_Others!L68</f>
        <v>0</v>
      </c>
      <c r="I63" s="139">
        <f>IS_Others!M68</f>
        <v>0</v>
      </c>
      <c r="J63" s="139">
        <f>IS_Others!N68</f>
        <v>0</v>
      </c>
      <c r="K63" s="139">
        <f>IS_Others!O68</f>
        <v>0</v>
      </c>
      <c r="L63" s="139">
        <f>IS_Others!P68</f>
        <v>0</v>
      </c>
      <c r="M63" s="139">
        <f>IS_Others!Q68</f>
        <v>0</v>
      </c>
      <c r="N63" s="139">
        <f>IS_Others!R68</f>
        <v>0</v>
      </c>
      <c r="O63" s="139">
        <f>IS_Others!S68</f>
        <v>0</v>
      </c>
      <c r="P63" s="139">
        <f>IS_Others!T68</f>
        <v>0</v>
      </c>
      <c r="Q63" s="139">
        <f>IS_Others!U68</f>
        <v>0</v>
      </c>
      <c r="R63" s="139">
        <f>IS_Others!V68</f>
        <v>0</v>
      </c>
      <c r="S63" s="139">
        <f>IS_Others!W68</f>
        <v>0</v>
      </c>
      <c r="T63" s="139">
        <f>IS_Others!X68</f>
        <v>0</v>
      </c>
      <c r="U63" s="139">
        <f>IS_Others!Y68</f>
        <v>0</v>
      </c>
      <c r="V63" s="139">
        <f>IS_Others!Z68</f>
        <v>0</v>
      </c>
      <c r="W63" s="139">
        <f>IS_Others!AA68</f>
        <v>0</v>
      </c>
      <c r="X63" s="139">
        <f>IS_Others!AB68</f>
        <v>0</v>
      </c>
      <c r="Y63" s="139">
        <f>IS_Others!AC68</f>
        <v>0</v>
      </c>
      <c r="Z63" s="139">
        <f>IS_Others!AD68</f>
        <v>0</v>
      </c>
      <c r="AA63" s="139">
        <f>IS_Others!AE68</f>
        <v>0</v>
      </c>
      <c r="AB63" s="139">
        <f>IS_Others!AF68</f>
        <v>0</v>
      </c>
      <c r="AC63" s="139">
        <f>IS_Others!AG68</f>
        <v>0</v>
      </c>
      <c r="AD63" s="139">
        <f>IS_Others!AH68</f>
        <v>0</v>
      </c>
      <c r="AE63" s="139">
        <f>IS_Others!AI68</f>
        <v>0</v>
      </c>
      <c r="AF63" s="139">
        <f>IS_Others!AJ68</f>
        <v>0</v>
      </c>
      <c r="AG63" s="139">
        <f>IS_Others!AK68</f>
        <v>0</v>
      </c>
      <c r="AH63" s="139">
        <f>IS_Others!AL68</f>
        <v>0</v>
      </c>
      <c r="AI63" s="139">
        <f>IS_Others!AM68</f>
        <v>0</v>
      </c>
      <c r="AJ63" s="139">
        <f>IS_Others!AN68</f>
        <v>0</v>
      </c>
      <c r="AK63" s="139">
        <f>IS_Others!AO68</f>
        <v>0</v>
      </c>
      <c r="AL63" s="139">
        <f>IS_Others!AP68</f>
        <v>0</v>
      </c>
      <c r="AM63" s="139">
        <f>IS_Others!AQ68</f>
        <v>0</v>
      </c>
      <c r="AN63" s="139">
        <f>IS_Others!AR68</f>
        <v>0</v>
      </c>
      <c r="AO63" s="139">
        <f>IS_Others!AS68</f>
        <v>0</v>
      </c>
      <c r="AP63" s="139">
        <f>IS_Others!AT68</f>
        <v>0</v>
      </c>
      <c r="AQ63" s="139">
        <f>IS_Others!AU68</f>
        <v>0</v>
      </c>
      <c r="AR63" s="139">
        <f>IS_Others!AV68</f>
        <v>0</v>
      </c>
      <c r="AS63" s="139">
        <f>IS_Others!AW68</f>
        <v>0</v>
      </c>
      <c r="AT63" s="139">
        <f>IS_Others!AX68</f>
        <v>0</v>
      </c>
      <c r="AU63" s="139">
        <f>IS_Others!AY68</f>
        <v>0</v>
      </c>
      <c r="AV63" s="139">
        <f>IS_Others!AZ68</f>
        <v>0</v>
      </c>
      <c r="AW63" s="139">
        <f>IS_Others!BA68</f>
        <v>0</v>
      </c>
      <c r="AX63" s="139">
        <f>IS_Others!BB68</f>
        <v>0</v>
      </c>
      <c r="AY63" s="139">
        <f>IS_Others!BC68</f>
        <v>0</v>
      </c>
      <c r="AZ63" s="139">
        <f>IS_Others!BD68</f>
        <v>0</v>
      </c>
      <c r="BA63" s="139">
        <f>IS_Others!BE68</f>
        <v>0</v>
      </c>
      <c r="BB63" s="139">
        <f>IS_Others!BF68</f>
        <v>0</v>
      </c>
      <c r="BC63" s="139">
        <f>IS_Others!BG68</f>
        <v>0</v>
      </c>
      <c r="BD63" s="139">
        <f>IS_Others!BH68</f>
        <v>0</v>
      </c>
      <c r="BE63" s="139">
        <f>IS_Others!BI68</f>
        <v>0</v>
      </c>
      <c r="BF63" s="139">
        <f>IS_Others!BJ68</f>
        <v>0</v>
      </c>
      <c r="BG63" s="139">
        <f>IS_Others!BK68</f>
        <v>0</v>
      </c>
      <c r="BH63" s="139">
        <f>IS_Others!BL68</f>
        <v>0</v>
      </c>
      <c r="BI63" s="139">
        <f>IS_Others!BM68</f>
        <v>0</v>
      </c>
      <c r="BJ63" s="139">
        <f>IS_Others!BN68</f>
        <v>0</v>
      </c>
      <c r="BK63" s="139">
        <f>IS_Others!BO68</f>
        <v>0</v>
      </c>
      <c r="BL63" s="139">
        <f>IS_Others!BP68</f>
        <v>0</v>
      </c>
      <c r="BM63" s="139">
        <f>IS_Others!BQ68</f>
        <v>0</v>
      </c>
      <c r="BN63" s="139">
        <f>IS_Others!BR68</f>
        <v>0</v>
      </c>
      <c r="BO63" s="139">
        <f>IS_Others!BS68</f>
        <v>0</v>
      </c>
      <c r="BX63" s="456"/>
      <c r="BY63" s="456"/>
      <c r="BZ63" s="456"/>
      <c r="CA63" s="456"/>
    </row>
    <row r="64" spans="2:79" outlineLevel="1">
      <c r="D64" s="139" t="s">
        <v>165</v>
      </c>
      <c r="H64" s="139">
        <f>IS_Others!L69</f>
        <v>0.21</v>
      </c>
      <c r="I64" s="139">
        <f>IS_Others!M69</f>
        <v>0.21</v>
      </c>
      <c r="J64" s="139">
        <f>IS_Others!N69</f>
        <v>0.21</v>
      </c>
      <c r="K64" s="139">
        <f>IS_Others!O69</f>
        <v>0.21</v>
      </c>
      <c r="L64" s="139">
        <f>IS_Others!P69</f>
        <v>0.21</v>
      </c>
      <c r="M64" s="139">
        <f>IS_Others!Q69</f>
        <v>0.21</v>
      </c>
      <c r="N64" s="139">
        <f>IS_Others!R69</f>
        <v>4.6499999999999995</v>
      </c>
      <c r="O64" s="139">
        <f>IS_Others!S69</f>
        <v>4.6499999999999995</v>
      </c>
      <c r="P64" s="139">
        <f>IS_Others!T69</f>
        <v>4.6499999999999995</v>
      </c>
      <c r="Q64" s="139">
        <f>IS_Others!U69</f>
        <v>4.6499999999999995</v>
      </c>
      <c r="R64" s="139">
        <f>IS_Others!V69</f>
        <v>4.6499999999999995</v>
      </c>
      <c r="S64" s="139">
        <f>IS_Others!W69</f>
        <v>4.6499999999999995</v>
      </c>
      <c r="T64" s="139">
        <f>IS_Others!X69</f>
        <v>5.8199999999999994</v>
      </c>
      <c r="U64" s="139">
        <f>IS_Others!Y69</f>
        <v>5.8199999999999994</v>
      </c>
      <c r="V64" s="139">
        <f>IS_Others!Z69</f>
        <v>5.8199999999999994</v>
      </c>
      <c r="W64" s="139">
        <f>IS_Others!AA69</f>
        <v>5.8199999999999994</v>
      </c>
      <c r="X64" s="139">
        <f>IS_Others!AB69</f>
        <v>5.8199999999999994</v>
      </c>
      <c r="Y64" s="139">
        <f>IS_Others!AC69</f>
        <v>5.8199999999999994</v>
      </c>
      <c r="Z64" s="139">
        <f>IS_Others!AD69</f>
        <v>6.93</v>
      </c>
      <c r="AA64" s="139">
        <f>IS_Others!AE69</f>
        <v>6.93</v>
      </c>
      <c r="AB64" s="139">
        <f>IS_Others!AF69</f>
        <v>6.93</v>
      </c>
      <c r="AC64" s="139">
        <f>IS_Others!AG69</f>
        <v>6.93</v>
      </c>
      <c r="AD64" s="139">
        <f>IS_Others!AH69</f>
        <v>6.93</v>
      </c>
      <c r="AE64" s="139">
        <f>IS_Others!AI69</f>
        <v>6.93</v>
      </c>
      <c r="AF64" s="139">
        <f>IS_Others!AJ69</f>
        <v>8.129999999999999</v>
      </c>
      <c r="AG64" s="139">
        <f>IS_Others!AK69</f>
        <v>8.129999999999999</v>
      </c>
      <c r="AH64" s="139">
        <f>IS_Others!AL69</f>
        <v>8.129999999999999</v>
      </c>
      <c r="AI64" s="139">
        <f>IS_Others!AM69</f>
        <v>8.129999999999999</v>
      </c>
      <c r="AJ64" s="139">
        <f>IS_Others!AN69</f>
        <v>8.129999999999999</v>
      </c>
      <c r="AK64" s="139">
        <f>IS_Others!AO69</f>
        <v>8.129999999999999</v>
      </c>
      <c r="AL64" s="139">
        <f>IS_Others!AP69</f>
        <v>9.24</v>
      </c>
      <c r="AM64" s="139">
        <f>IS_Others!AQ69</f>
        <v>9.24</v>
      </c>
      <c r="AN64" s="139">
        <f>IS_Others!AR69</f>
        <v>9.24</v>
      </c>
      <c r="AO64" s="139">
        <f>IS_Others!AS69</f>
        <v>9.24</v>
      </c>
      <c r="AP64" s="139">
        <f>IS_Others!AT69</f>
        <v>9.24</v>
      </c>
      <c r="AQ64" s="139">
        <f>IS_Others!AU69</f>
        <v>9.24</v>
      </c>
      <c r="AR64" s="139">
        <f>IS_Others!AV69</f>
        <v>10.35</v>
      </c>
      <c r="AS64" s="139">
        <f>IS_Others!AW69</f>
        <v>10.35</v>
      </c>
      <c r="AT64" s="139">
        <f>IS_Others!AX69</f>
        <v>10.35</v>
      </c>
      <c r="AU64" s="139">
        <f>IS_Others!AY69</f>
        <v>10.35</v>
      </c>
      <c r="AV64" s="139">
        <f>IS_Others!AZ69</f>
        <v>10.35</v>
      </c>
      <c r="AW64" s="139">
        <f>IS_Others!BA69</f>
        <v>10.35</v>
      </c>
      <c r="AX64" s="139">
        <f>IS_Others!BB69</f>
        <v>11.459999999999999</v>
      </c>
      <c r="AY64" s="139">
        <f>IS_Others!BC69</f>
        <v>11.459999999999999</v>
      </c>
      <c r="AZ64" s="139">
        <f>IS_Others!BD69</f>
        <v>11.459999999999999</v>
      </c>
      <c r="BA64" s="139">
        <f>IS_Others!BE69</f>
        <v>11.459999999999999</v>
      </c>
      <c r="BB64" s="139">
        <f>IS_Others!BF69</f>
        <v>11.459999999999999</v>
      </c>
      <c r="BC64" s="139">
        <f>IS_Others!BG69</f>
        <v>11.459999999999999</v>
      </c>
      <c r="BD64" s="139">
        <f>IS_Others!BH69</f>
        <v>11.459999999999999</v>
      </c>
      <c r="BE64" s="139">
        <f>IS_Others!BI69</f>
        <v>11.459999999999999</v>
      </c>
      <c r="BF64" s="139">
        <f>IS_Others!BJ69</f>
        <v>11.459999999999999</v>
      </c>
      <c r="BG64" s="139">
        <f>IS_Others!BK69</f>
        <v>11.459999999999999</v>
      </c>
      <c r="BH64" s="139">
        <f>IS_Others!BL69</f>
        <v>11.459999999999999</v>
      </c>
      <c r="BI64" s="139">
        <f>IS_Others!BM69</f>
        <v>11.459999999999999</v>
      </c>
      <c r="BJ64" s="139">
        <f>IS_Others!BN69</f>
        <v>11.459999999999999</v>
      </c>
      <c r="BK64" s="139">
        <f>IS_Others!BO69</f>
        <v>11.459999999999999</v>
      </c>
      <c r="BL64" s="139">
        <f>IS_Others!BP69</f>
        <v>11.459999999999999</v>
      </c>
      <c r="BM64" s="139">
        <f>IS_Others!BQ69</f>
        <v>11.459999999999999</v>
      </c>
      <c r="BN64" s="139">
        <f>IS_Others!BR69</f>
        <v>11.459999999999999</v>
      </c>
      <c r="BO64" s="139">
        <f>IS_Others!BS69</f>
        <v>11.459999999999999</v>
      </c>
      <c r="BX64" s="456"/>
      <c r="BY64" s="456"/>
      <c r="BZ64" s="456"/>
      <c r="CA64" s="456"/>
    </row>
    <row r="65" spans="3:79" outlineLevel="1">
      <c r="D65" s="139" t="s">
        <v>166</v>
      </c>
      <c r="H65" s="139">
        <f>IS_Others!L70</f>
        <v>0.11666666666666668</v>
      </c>
      <c r="I65" s="139">
        <f>IS_Others!M70</f>
        <v>0.11666666666666668</v>
      </c>
      <c r="J65" s="139">
        <f>IS_Others!N70</f>
        <v>0.11666666666666668</v>
      </c>
      <c r="K65" s="139">
        <f>IS_Others!O70</f>
        <v>0.11666666666666668</v>
      </c>
      <c r="L65" s="139">
        <f>IS_Others!P70</f>
        <v>0.11666666666666668</v>
      </c>
      <c r="M65" s="139">
        <f>IS_Others!Q70</f>
        <v>0.11666666666666668</v>
      </c>
      <c r="N65" s="139">
        <f>IS_Others!R70</f>
        <v>2.5833333333333335</v>
      </c>
      <c r="O65" s="139">
        <f>IS_Others!S70</f>
        <v>2.5833333333333335</v>
      </c>
      <c r="P65" s="139">
        <f>IS_Others!T70</f>
        <v>2.5833333333333335</v>
      </c>
      <c r="Q65" s="139">
        <f>IS_Others!U70</f>
        <v>2.5833333333333335</v>
      </c>
      <c r="R65" s="139">
        <f>IS_Others!V70</f>
        <v>2.5833333333333335</v>
      </c>
      <c r="S65" s="139">
        <f>IS_Others!W70</f>
        <v>2.5833333333333335</v>
      </c>
      <c r="T65" s="139">
        <f>IS_Others!X70</f>
        <v>3.2333333333333338</v>
      </c>
      <c r="U65" s="139">
        <f>IS_Others!Y70</f>
        <v>3.2333333333333338</v>
      </c>
      <c r="V65" s="139">
        <f>IS_Others!Z70</f>
        <v>3.2333333333333338</v>
      </c>
      <c r="W65" s="139">
        <f>IS_Others!AA70</f>
        <v>3.2333333333333338</v>
      </c>
      <c r="X65" s="139">
        <f>IS_Others!AB70</f>
        <v>3.2333333333333338</v>
      </c>
      <c r="Y65" s="139">
        <f>IS_Others!AC70</f>
        <v>3.2333333333333338</v>
      </c>
      <c r="Z65" s="139">
        <f>IS_Others!AD70</f>
        <v>3.85</v>
      </c>
      <c r="AA65" s="139">
        <f>IS_Others!AE70</f>
        <v>3.85</v>
      </c>
      <c r="AB65" s="139">
        <f>IS_Others!AF70</f>
        <v>3.85</v>
      </c>
      <c r="AC65" s="139">
        <f>IS_Others!AG70</f>
        <v>3.85</v>
      </c>
      <c r="AD65" s="139">
        <f>IS_Others!AH70</f>
        <v>3.85</v>
      </c>
      <c r="AE65" s="139">
        <f>IS_Others!AI70</f>
        <v>3.85</v>
      </c>
      <c r="AF65" s="139">
        <f>IS_Others!AJ70</f>
        <v>4.5166666666666666</v>
      </c>
      <c r="AG65" s="139">
        <f>IS_Others!AK70</f>
        <v>4.5166666666666666</v>
      </c>
      <c r="AH65" s="139">
        <f>IS_Others!AL70</f>
        <v>4.5166666666666666</v>
      </c>
      <c r="AI65" s="139">
        <f>IS_Others!AM70</f>
        <v>4.5166666666666666</v>
      </c>
      <c r="AJ65" s="139">
        <f>IS_Others!AN70</f>
        <v>4.5166666666666666</v>
      </c>
      <c r="AK65" s="139">
        <f>IS_Others!AO70</f>
        <v>4.5166666666666666</v>
      </c>
      <c r="AL65" s="139">
        <f>IS_Others!AP70</f>
        <v>5.1333333333333337</v>
      </c>
      <c r="AM65" s="139">
        <f>IS_Others!AQ70</f>
        <v>5.1333333333333337</v>
      </c>
      <c r="AN65" s="139">
        <f>IS_Others!AR70</f>
        <v>5.1333333333333337</v>
      </c>
      <c r="AO65" s="139">
        <f>IS_Others!AS70</f>
        <v>5.1333333333333337</v>
      </c>
      <c r="AP65" s="139">
        <f>IS_Others!AT70</f>
        <v>5.1333333333333337</v>
      </c>
      <c r="AQ65" s="139">
        <f>IS_Others!AU70</f>
        <v>5.1333333333333337</v>
      </c>
      <c r="AR65" s="139">
        <f>IS_Others!AV70</f>
        <v>5.75</v>
      </c>
      <c r="AS65" s="139">
        <f>IS_Others!AW70</f>
        <v>5.75</v>
      </c>
      <c r="AT65" s="139">
        <f>IS_Others!AX70</f>
        <v>5.75</v>
      </c>
      <c r="AU65" s="139">
        <f>IS_Others!AY70</f>
        <v>5.75</v>
      </c>
      <c r="AV65" s="139">
        <f>IS_Others!AZ70</f>
        <v>5.75</v>
      </c>
      <c r="AW65" s="139">
        <f>IS_Others!BA70</f>
        <v>5.75</v>
      </c>
      <c r="AX65" s="139">
        <f>IS_Others!BB70</f>
        <v>6.3666666666666671</v>
      </c>
      <c r="AY65" s="139">
        <f>IS_Others!BC70</f>
        <v>6.3666666666666671</v>
      </c>
      <c r="AZ65" s="139">
        <f>IS_Others!BD70</f>
        <v>6.3666666666666671</v>
      </c>
      <c r="BA65" s="139">
        <f>IS_Others!BE70</f>
        <v>6.3666666666666671</v>
      </c>
      <c r="BB65" s="139">
        <f>IS_Others!BF70</f>
        <v>6.3666666666666671</v>
      </c>
      <c r="BC65" s="139">
        <f>IS_Others!BG70</f>
        <v>6.3666666666666671</v>
      </c>
      <c r="BD65" s="139">
        <f>IS_Others!BH70</f>
        <v>6.3666666666666671</v>
      </c>
      <c r="BE65" s="139">
        <f>IS_Others!BI70</f>
        <v>6.3666666666666671</v>
      </c>
      <c r="BF65" s="139">
        <f>IS_Others!BJ70</f>
        <v>6.3666666666666671</v>
      </c>
      <c r="BG65" s="139">
        <f>IS_Others!BK70</f>
        <v>6.3666666666666671</v>
      </c>
      <c r="BH65" s="139">
        <f>IS_Others!BL70</f>
        <v>6.3666666666666671</v>
      </c>
      <c r="BI65" s="139">
        <f>IS_Others!BM70</f>
        <v>6.3666666666666671</v>
      </c>
      <c r="BJ65" s="139">
        <f>IS_Others!BN70</f>
        <v>6.3666666666666671</v>
      </c>
      <c r="BK65" s="139">
        <f>IS_Others!BO70</f>
        <v>6.3666666666666671</v>
      </c>
      <c r="BL65" s="139">
        <f>IS_Others!BP70</f>
        <v>6.3666666666666671</v>
      </c>
      <c r="BM65" s="139">
        <f>IS_Others!BQ70</f>
        <v>6.3666666666666671</v>
      </c>
      <c r="BN65" s="139">
        <f>IS_Others!BR70</f>
        <v>6.3666666666666671</v>
      </c>
      <c r="BO65" s="139">
        <f>IS_Others!BS70</f>
        <v>6.3666666666666671</v>
      </c>
      <c r="BX65" s="456"/>
      <c r="BY65" s="456"/>
      <c r="BZ65" s="456"/>
      <c r="CA65" s="456"/>
    </row>
    <row r="66" spans="3:79" outlineLevel="1">
      <c r="D66" s="139" t="s">
        <v>167</v>
      </c>
      <c r="H66" s="139">
        <f>IS_Others!L71</f>
        <v>0</v>
      </c>
      <c r="I66" s="139">
        <f>IS_Others!M71</f>
        <v>0</v>
      </c>
      <c r="J66" s="139">
        <f>IS_Others!N71</f>
        <v>0</v>
      </c>
      <c r="K66" s="139">
        <f>IS_Others!O71</f>
        <v>0</v>
      </c>
      <c r="L66" s="139">
        <f>IS_Others!P71</f>
        <v>0</v>
      </c>
      <c r="M66" s="139">
        <f>IS_Others!Q71</f>
        <v>0</v>
      </c>
      <c r="N66" s="139">
        <f>IS_Others!R71</f>
        <v>0</v>
      </c>
      <c r="O66" s="139">
        <f>IS_Others!S71</f>
        <v>0</v>
      </c>
      <c r="P66" s="139">
        <f>IS_Others!T71</f>
        <v>0</v>
      </c>
      <c r="Q66" s="139">
        <f>IS_Others!U71</f>
        <v>0</v>
      </c>
      <c r="R66" s="139">
        <f>IS_Others!V71</f>
        <v>0</v>
      </c>
      <c r="S66" s="139">
        <f>IS_Others!W71</f>
        <v>0</v>
      </c>
      <c r="T66" s="139">
        <f>IS_Others!X71</f>
        <v>0</v>
      </c>
      <c r="U66" s="139">
        <f>IS_Others!Y71</f>
        <v>0</v>
      </c>
      <c r="V66" s="139">
        <f>IS_Others!Z71</f>
        <v>0</v>
      </c>
      <c r="W66" s="139">
        <f>IS_Others!AA71</f>
        <v>0</v>
      </c>
      <c r="X66" s="139">
        <f>IS_Others!AB71</f>
        <v>0</v>
      </c>
      <c r="Y66" s="139">
        <f>IS_Others!AC71</f>
        <v>0</v>
      </c>
      <c r="Z66" s="139">
        <f>IS_Others!AD71</f>
        <v>0</v>
      </c>
      <c r="AA66" s="139">
        <f>IS_Others!AE71</f>
        <v>0</v>
      </c>
      <c r="AB66" s="139">
        <f>IS_Others!AF71</f>
        <v>0</v>
      </c>
      <c r="AC66" s="139">
        <f>IS_Others!AG71</f>
        <v>0</v>
      </c>
      <c r="AD66" s="139">
        <f>IS_Others!AH71</f>
        <v>0</v>
      </c>
      <c r="AE66" s="139">
        <f>IS_Others!AI71</f>
        <v>0</v>
      </c>
      <c r="AF66" s="139">
        <f>IS_Others!AJ71</f>
        <v>0</v>
      </c>
      <c r="AG66" s="139">
        <f>IS_Others!AK71</f>
        <v>0</v>
      </c>
      <c r="AH66" s="139">
        <f>IS_Others!AL71</f>
        <v>0</v>
      </c>
      <c r="AI66" s="139">
        <f>IS_Others!AM71</f>
        <v>0</v>
      </c>
      <c r="AJ66" s="139">
        <f>IS_Others!AN71</f>
        <v>0</v>
      </c>
      <c r="AK66" s="139">
        <f>IS_Others!AO71</f>
        <v>0</v>
      </c>
      <c r="AL66" s="139">
        <f>IS_Others!AP71</f>
        <v>0</v>
      </c>
      <c r="AM66" s="139">
        <f>IS_Others!AQ71</f>
        <v>0</v>
      </c>
      <c r="AN66" s="139">
        <f>IS_Others!AR71</f>
        <v>0</v>
      </c>
      <c r="AO66" s="139">
        <f>IS_Others!AS71</f>
        <v>0</v>
      </c>
      <c r="AP66" s="139">
        <f>IS_Others!AT71</f>
        <v>0</v>
      </c>
      <c r="AQ66" s="139">
        <f>IS_Others!AU71</f>
        <v>0</v>
      </c>
      <c r="AR66" s="139">
        <f>IS_Others!AV71</f>
        <v>0</v>
      </c>
      <c r="AS66" s="139">
        <f>IS_Others!AW71</f>
        <v>0</v>
      </c>
      <c r="AT66" s="139">
        <f>IS_Others!AX71</f>
        <v>0</v>
      </c>
      <c r="AU66" s="139">
        <f>IS_Others!AY71</f>
        <v>0</v>
      </c>
      <c r="AV66" s="139">
        <f>IS_Others!AZ71</f>
        <v>0</v>
      </c>
      <c r="AW66" s="139">
        <f>IS_Others!BA71</f>
        <v>0</v>
      </c>
      <c r="AX66" s="139">
        <f>IS_Others!BB71</f>
        <v>0</v>
      </c>
      <c r="AY66" s="139">
        <f>IS_Others!BC71</f>
        <v>0</v>
      </c>
      <c r="AZ66" s="139">
        <f>IS_Others!BD71</f>
        <v>0</v>
      </c>
      <c r="BA66" s="139">
        <f>IS_Others!BE71</f>
        <v>0</v>
      </c>
      <c r="BB66" s="139">
        <f>IS_Others!BF71</f>
        <v>0</v>
      </c>
      <c r="BC66" s="139">
        <f>IS_Others!BG71</f>
        <v>0</v>
      </c>
      <c r="BD66" s="139">
        <f>IS_Others!BH71</f>
        <v>0</v>
      </c>
      <c r="BE66" s="139">
        <f>IS_Others!BI71</f>
        <v>0</v>
      </c>
      <c r="BF66" s="139">
        <f>IS_Others!BJ71</f>
        <v>0</v>
      </c>
      <c r="BG66" s="139">
        <f>IS_Others!BK71</f>
        <v>0</v>
      </c>
      <c r="BH66" s="139">
        <f>IS_Others!BL71</f>
        <v>0</v>
      </c>
      <c r="BI66" s="139">
        <f>IS_Others!BM71</f>
        <v>0</v>
      </c>
      <c r="BJ66" s="139">
        <f>IS_Others!BN71</f>
        <v>0</v>
      </c>
      <c r="BK66" s="139">
        <f>IS_Others!BO71</f>
        <v>0</v>
      </c>
      <c r="BL66" s="139">
        <f>IS_Others!BP71</f>
        <v>0</v>
      </c>
      <c r="BM66" s="139">
        <f>IS_Others!BQ71</f>
        <v>0</v>
      </c>
      <c r="BN66" s="139">
        <f>IS_Others!BR71</f>
        <v>0</v>
      </c>
      <c r="BO66" s="139">
        <f>IS_Others!BS71</f>
        <v>0</v>
      </c>
      <c r="BX66" s="456"/>
      <c r="BY66" s="456"/>
      <c r="BZ66" s="456"/>
      <c r="CA66" s="456"/>
    </row>
    <row r="67" spans="3:79" s="155" customFormat="1">
      <c r="C67" s="155" t="s">
        <v>168</v>
      </c>
      <c r="H67" s="155">
        <f>SUBTOTAL(9,H68:H76)</f>
        <v>9.5338448000000007</v>
      </c>
      <c r="I67" s="155">
        <f t="shared" ref="I67:BO67" si="39">SUBTOTAL(9,I68:I76)</f>
        <v>9.5338448000000007</v>
      </c>
      <c r="J67" s="155">
        <f t="shared" si="39"/>
        <v>9.5338448000000007</v>
      </c>
      <c r="K67" s="155">
        <f t="shared" si="39"/>
        <v>9.5338448000000007</v>
      </c>
      <c r="L67" s="155">
        <f t="shared" si="39"/>
        <v>9.5338448000000007</v>
      </c>
      <c r="M67" s="155">
        <f t="shared" si="39"/>
        <v>9.5338448000000007</v>
      </c>
      <c r="N67" s="155">
        <f t="shared" si="39"/>
        <v>24.979844799999999</v>
      </c>
      <c r="O67" s="155">
        <f t="shared" si="39"/>
        <v>24.979844799999999</v>
      </c>
      <c r="P67" s="155">
        <f t="shared" si="39"/>
        <v>24.979844799999999</v>
      </c>
      <c r="Q67" s="155">
        <f t="shared" si="39"/>
        <v>24.979844799999999</v>
      </c>
      <c r="R67" s="155">
        <f t="shared" si="39"/>
        <v>24.979844799999999</v>
      </c>
      <c r="S67" s="155">
        <f t="shared" si="39"/>
        <v>24.979844799999999</v>
      </c>
      <c r="T67" s="155">
        <f t="shared" si="39"/>
        <v>35.741442599999999</v>
      </c>
      <c r="U67" s="155">
        <f t="shared" si="39"/>
        <v>35.741442599999999</v>
      </c>
      <c r="V67" s="155">
        <f t="shared" si="39"/>
        <v>35.741442599999999</v>
      </c>
      <c r="W67" s="155">
        <f t="shared" si="39"/>
        <v>35.741442599999999</v>
      </c>
      <c r="X67" s="155">
        <f t="shared" si="39"/>
        <v>35.741442599999999</v>
      </c>
      <c r="Y67" s="155">
        <f t="shared" si="39"/>
        <v>35.741442599999999</v>
      </c>
      <c r="Z67" s="155">
        <f t="shared" si="39"/>
        <v>39.602942599999999</v>
      </c>
      <c r="AA67" s="155">
        <f t="shared" si="39"/>
        <v>39.602942599999999</v>
      </c>
      <c r="AB67" s="155">
        <f t="shared" si="39"/>
        <v>39.602942599999999</v>
      </c>
      <c r="AC67" s="155">
        <f t="shared" si="39"/>
        <v>39.602942599999999</v>
      </c>
      <c r="AD67" s="155">
        <f t="shared" si="39"/>
        <v>39.602942599999999</v>
      </c>
      <c r="AE67" s="155">
        <f t="shared" si="39"/>
        <v>39.602942599999999</v>
      </c>
      <c r="AF67" s="155">
        <f t="shared" si="39"/>
        <v>44.998287399999995</v>
      </c>
      <c r="AG67" s="155">
        <f t="shared" si="39"/>
        <v>44.998287399999995</v>
      </c>
      <c r="AH67" s="155">
        <f t="shared" si="39"/>
        <v>44.998287399999995</v>
      </c>
      <c r="AI67" s="155">
        <f t="shared" si="39"/>
        <v>44.998287399999995</v>
      </c>
      <c r="AJ67" s="155">
        <f t="shared" si="39"/>
        <v>44.998287399999995</v>
      </c>
      <c r="AK67" s="155">
        <f t="shared" si="39"/>
        <v>44.998287399999995</v>
      </c>
      <c r="AL67" s="155">
        <f t="shared" si="39"/>
        <v>48.859787400000002</v>
      </c>
      <c r="AM67" s="155">
        <f t="shared" si="39"/>
        <v>48.859787400000002</v>
      </c>
      <c r="AN67" s="155">
        <f t="shared" si="39"/>
        <v>48.859787400000002</v>
      </c>
      <c r="AO67" s="155">
        <f t="shared" si="39"/>
        <v>48.859787400000002</v>
      </c>
      <c r="AP67" s="155">
        <f t="shared" si="39"/>
        <v>48.859787400000002</v>
      </c>
      <c r="AQ67" s="155">
        <f t="shared" si="39"/>
        <v>48.859787400000002</v>
      </c>
      <c r="AR67" s="155">
        <f t="shared" si="39"/>
        <v>52.848005900000004</v>
      </c>
      <c r="AS67" s="155">
        <f t="shared" si="39"/>
        <v>52.848005900000004</v>
      </c>
      <c r="AT67" s="155">
        <f t="shared" si="39"/>
        <v>52.848005900000004</v>
      </c>
      <c r="AU67" s="155">
        <f t="shared" si="39"/>
        <v>52.848005900000004</v>
      </c>
      <c r="AV67" s="155">
        <f t="shared" si="39"/>
        <v>52.848005900000004</v>
      </c>
      <c r="AW67" s="155">
        <f t="shared" si="39"/>
        <v>52.848005900000004</v>
      </c>
      <c r="AX67" s="155">
        <f t="shared" si="39"/>
        <v>56.709505900000003</v>
      </c>
      <c r="AY67" s="155">
        <f t="shared" si="39"/>
        <v>56.709505900000003</v>
      </c>
      <c r="AZ67" s="155">
        <f t="shared" si="39"/>
        <v>56.709505900000003</v>
      </c>
      <c r="BA67" s="155">
        <f t="shared" si="39"/>
        <v>56.709505900000003</v>
      </c>
      <c r="BB67" s="155">
        <f t="shared" si="39"/>
        <v>56.709505900000003</v>
      </c>
      <c r="BC67" s="155">
        <f t="shared" si="39"/>
        <v>56.709505900000003</v>
      </c>
      <c r="BD67" s="155">
        <f t="shared" si="39"/>
        <v>56.709505900000003</v>
      </c>
      <c r="BE67" s="155">
        <f t="shared" si="39"/>
        <v>56.709505900000003</v>
      </c>
      <c r="BF67" s="155">
        <f t="shared" si="39"/>
        <v>56.709505900000003</v>
      </c>
      <c r="BG67" s="155">
        <f t="shared" si="39"/>
        <v>56.709505900000003</v>
      </c>
      <c r="BH67" s="155">
        <f t="shared" si="39"/>
        <v>56.709505900000003</v>
      </c>
      <c r="BI67" s="155">
        <f t="shared" si="39"/>
        <v>56.709505900000003</v>
      </c>
      <c r="BJ67" s="155">
        <f t="shared" si="39"/>
        <v>56.709505900000003</v>
      </c>
      <c r="BK67" s="155">
        <f t="shared" si="39"/>
        <v>56.709505900000003</v>
      </c>
      <c r="BL67" s="155">
        <f t="shared" si="39"/>
        <v>56.709505900000003</v>
      </c>
      <c r="BM67" s="155">
        <f t="shared" si="39"/>
        <v>56.709505900000003</v>
      </c>
      <c r="BN67" s="155">
        <f t="shared" si="39"/>
        <v>56.709505900000003</v>
      </c>
      <c r="BO67" s="155">
        <f t="shared" si="39"/>
        <v>56.709505900000003</v>
      </c>
      <c r="BQ67" s="155">
        <f>SUM(H67:S67)</f>
        <v>207.08213759999998</v>
      </c>
      <c r="BR67" s="155">
        <f>SUM(T67:AE67)</f>
        <v>452.06631120000003</v>
      </c>
      <c r="BS67" s="155">
        <f>SUM(AF67:AQ67)</f>
        <v>563.14844879999998</v>
      </c>
      <c r="BT67" s="155">
        <f>SUM(AR67:BC67)</f>
        <v>657.34507079999992</v>
      </c>
      <c r="BU67" s="155">
        <f>SUM(BD67:BO67)</f>
        <v>680.5140707999999</v>
      </c>
      <c r="BX67" s="454">
        <f t="shared" si="34"/>
        <v>1.1830289972822845</v>
      </c>
      <c r="BY67" s="454">
        <f t="shared" si="35"/>
        <v>0.24572089281577925</v>
      </c>
      <c r="BZ67" s="454">
        <f t="shared" si="36"/>
        <v>0.16726783532960332</v>
      </c>
      <c r="CA67" s="454">
        <f t="shared" si="37"/>
        <v>3.524632803864014E-2</v>
      </c>
    </row>
    <row r="68" spans="3:79" outlineLevel="1">
      <c r="D68" s="139" t="s">
        <v>169</v>
      </c>
      <c r="H68" s="139">
        <f>IS_Others!L73</f>
        <v>8</v>
      </c>
      <c r="I68" s="139">
        <f>IS_Others!M73</f>
        <v>8</v>
      </c>
      <c r="J68" s="139">
        <f>IS_Others!N73</f>
        <v>8</v>
      </c>
      <c r="K68" s="139">
        <f>IS_Others!O73</f>
        <v>8</v>
      </c>
      <c r="L68" s="139">
        <f>IS_Others!P73</f>
        <v>8</v>
      </c>
      <c r="M68" s="139">
        <f>IS_Others!Q73</f>
        <v>8</v>
      </c>
      <c r="N68" s="139">
        <f>IS_Others!R73</f>
        <v>8</v>
      </c>
      <c r="O68" s="139">
        <f>IS_Others!S73</f>
        <v>8</v>
      </c>
      <c r="P68" s="139">
        <f>IS_Others!T73</f>
        <v>8</v>
      </c>
      <c r="Q68" s="139">
        <f>IS_Others!U73</f>
        <v>8</v>
      </c>
      <c r="R68" s="139">
        <f>IS_Others!V73</f>
        <v>8</v>
      </c>
      <c r="S68" s="139">
        <f>IS_Others!W73</f>
        <v>8</v>
      </c>
      <c r="T68" s="139">
        <f>IS_Others!X73</f>
        <v>8</v>
      </c>
      <c r="U68" s="139">
        <f>IS_Others!Y73</f>
        <v>8</v>
      </c>
      <c r="V68" s="139">
        <f>IS_Others!Z73</f>
        <v>8</v>
      </c>
      <c r="W68" s="139">
        <f>IS_Others!AA73</f>
        <v>8</v>
      </c>
      <c r="X68" s="139">
        <f>IS_Others!AB73</f>
        <v>8</v>
      </c>
      <c r="Y68" s="139">
        <f>IS_Others!AC73</f>
        <v>8</v>
      </c>
      <c r="Z68" s="139">
        <f>IS_Others!AD73</f>
        <v>8</v>
      </c>
      <c r="AA68" s="139">
        <f>IS_Others!AE73</f>
        <v>8</v>
      </c>
      <c r="AB68" s="139">
        <f>IS_Others!AF73</f>
        <v>8</v>
      </c>
      <c r="AC68" s="139">
        <f>IS_Others!AG73</f>
        <v>8</v>
      </c>
      <c r="AD68" s="139">
        <f>IS_Others!AH73</f>
        <v>8</v>
      </c>
      <c r="AE68" s="139">
        <f>IS_Others!AI73</f>
        <v>8</v>
      </c>
      <c r="AF68" s="139">
        <f>IS_Others!AJ73</f>
        <v>8</v>
      </c>
      <c r="AG68" s="139">
        <f>IS_Others!AK73</f>
        <v>8</v>
      </c>
      <c r="AH68" s="139">
        <f>IS_Others!AL73</f>
        <v>8</v>
      </c>
      <c r="AI68" s="139">
        <f>IS_Others!AM73</f>
        <v>8</v>
      </c>
      <c r="AJ68" s="139">
        <f>IS_Others!AN73</f>
        <v>8</v>
      </c>
      <c r="AK68" s="139">
        <f>IS_Others!AO73</f>
        <v>8</v>
      </c>
      <c r="AL68" s="139">
        <f>IS_Others!AP73</f>
        <v>8</v>
      </c>
      <c r="AM68" s="139">
        <f>IS_Others!AQ73</f>
        <v>8</v>
      </c>
      <c r="AN68" s="139">
        <f>IS_Others!AR73</f>
        <v>8</v>
      </c>
      <c r="AO68" s="139">
        <f>IS_Others!AS73</f>
        <v>8</v>
      </c>
      <c r="AP68" s="139">
        <f>IS_Others!AT73</f>
        <v>8</v>
      </c>
      <c r="AQ68" s="139">
        <f>IS_Others!AU73</f>
        <v>8</v>
      </c>
      <c r="AR68" s="139">
        <f>IS_Others!AV73</f>
        <v>8</v>
      </c>
      <c r="AS68" s="139">
        <f>IS_Others!AW73</f>
        <v>8</v>
      </c>
      <c r="AT68" s="139">
        <f>IS_Others!AX73</f>
        <v>8</v>
      </c>
      <c r="AU68" s="139">
        <f>IS_Others!AY73</f>
        <v>8</v>
      </c>
      <c r="AV68" s="139">
        <f>IS_Others!AZ73</f>
        <v>8</v>
      </c>
      <c r="AW68" s="139">
        <f>IS_Others!BA73</f>
        <v>8</v>
      </c>
      <c r="AX68" s="139">
        <f>IS_Others!BB73</f>
        <v>8</v>
      </c>
      <c r="AY68" s="139">
        <f>IS_Others!BC73</f>
        <v>8</v>
      </c>
      <c r="AZ68" s="139">
        <f>IS_Others!BD73</f>
        <v>8</v>
      </c>
      <c r="BA68" s="139">
        <f>IS_Others!BE73</f>
        <v>8</v>
      </c>
      <c r="BB68" s="139">
        <f>IS_Others!BF73</f>
        <v>8</v>
      </c>
      <c r="BC68" s="139">
        <f>IS_Others!BG73</f>
        <v>8</v>
      </c>
      <c r="BD68" s="139">
        <f>IS_Others!BH73</f>
        <v>8</v>
      </c>
      <c r="BE68" s="139">
        <f>IS_Others!BI73</f>
        <v>8</v>
      </c>
      <c r="BF68" s="139">
        <f>IS_Others!BJ73</f>
        <v>8</v>
      </c>
      <c r="BG68" s="139">
        <f>IS_Others!BK73</f>
        <v>8</v>
      </c>
      <c r="BH68" s="139">
        <f>IS_Others!BL73</f>
        <v>8</v>
      </c>
      <c r="BI68" s="139">
        <f>IS_Others!BM73</f>
        <v>8</v>
      </c>
      <c r="BJ68" s="139">
        <f>IS_Others!BN73</f>
        <v>8</v>
      </c>
      <c r="BK68" s="139">
        <f>IS_Others!BO73</f>
        <v>8</v>
      </c>
      <c r="BL68" s="139">
        <f>IS_Others!BP73</f>
        <v>8</v>
      </c>
      <c r="BM68" s="139">
        <f>IS_Others!BQ73</f>
        <v>8</v>
      </c>
      <c r="BN68" s="139">
        <f>IS_Others!BR73</f>
        <v>8</v>
      </c>
      <c r="BO68" s="139">
        <f>IS_Others!BS73</f>
        <v>8</v>
      </c>
      <c r="BX68" s="456"/>
      <c r="BY68" s="456"/>
      <c r="BZ68" s="456"/>
      <c r="CA68" s="456"/>
    </row>
    <row r="69" spans="3:79" outlineLevel="1">
      <c r="D69" s="139" t="s">
        <v>170</v>
      </c>
      <c r="H69" s="139">
        <f>IS_Others!L74</f>
        <v>0</v>
      </c>
      <c r="I69" s="139">
        <f>IS_Others!M74</f>
        <v>0</v>
      </c>
      <c r="J69" s="139">
        <f>IS_Others!N74</f>
        <v>0</v>
      </c>
      <c r="K69" s="139">
        <f>IS_Others!O74</f>
        <v>0</v>
      </c>
      <c r="L69" s="139">
        <f>IS_Others!P74</f>
        <v>0</v>
      </c>
      <c r="M69" s="139">
        <f>IS_Others!Q74</f>
        <v>0</v>
      </c>
      <c r="N69" s="139">
        <f>IS_Others!R74</f>
        <v>0</v>
      </c>
      <c r="O69" s="139">
        <f>IS_Others!S74</f>
        <v>0</v>
      </c>
      <c r="P69" s="139">
        <f>IS_Others!T74</f>
        <v>0</v>
      </c>
      <c r="Q69" s="139">
        <f>IS_Others!U74</f>
        <v>0</v>
      </c>
      <c r="R69" s="139">
        <f>IS_Others!V74</f>
        <v>0</v>
      </c>
      <c r="S69" s="139">
        <f>IS_Others!W74</f>
        <v>0</v>
      </c>
      <c r="T69" s="139">
        <f>IS_Others!X74</f>
        <v>1.5646980000000001</v>
      </c>
      <c r="U69" s="139">
        <f>IS_Others!Y74</f>
        <v>1.5646980000000001</v>
      </c>
      <c r="V69" s="139">
        <f>IS_Others!Z74</f>
        <v>1.5646980000000001</v>
      </c>
      <c r="W69" s="139">
        <f>IS_Others!AA74</f>
        <v>1.5646980000000001</v>
      </c>
      <c r="X69" s="139">
        <f>IS_Others!AB74</f>
        <v>1.5646980000000001</v>
      </c>
      <c r="Y69" s="139">
        <f>IS_Others!AC74</f>
        <v>1.5646980000000001</v>
      </c>
      <c r="Z69" s="139">
        <f>IS_Others!AD74</f>
        <v>1.5646980000000001</v>
      </c>
      <c r="AA69" s="139">
        <f>IS_Others!AE74</f>
        <v>1.5646980000000001</v>
      </c>
      <c r="AB69" s="139">
        <f>IS_Others!AF74</f>
        <v>1.5646980000000001</v>
      </c>
      <c r="AC69" s="139">
        <f>IS_Others!AG74</f>
        <v>1.5646980000000001</v>
      </c>
      <c r="AD69" s="139">
        <f>IS_Others!AH74</f>
        <v>1.5646980000000001</v>
      </c>
      <c r="AE69" s="139">
        <f>IS_Others!AI74</f>
        <v>1.5646980000000001</v>
      </c>
      <c r="AF69" s="139">
        <f>IS_Others!AJ74</f>
        <v>1.5646980000000001</v>
      </c>
      <c r="AG69" s="139">
        <f>IS_Others!AK74</f>
        <v>1.5646980000000001</v>
      </c>
      <c r="AH69" s="139">
        <f>IS_Others!AL74</f>
        <v>1.5646980000000001</v>
      </c>
      <c r="AI69" s="139">
        <f>IS_Others!AM74</f>
        <v>1.5646980000000001</v>
      </c>
      <c r="AJ69" s="139">
        <f>IS_Others!AN74</f>
        <v>1.5646980000000001</v>
      </c>
      <c r="AK69" s="139">
        <f>IS_Others!AO74</f>
        <v>1.5646980000000001</v>
      </c>
      <c r="AL69" s="139">
        <f>IS_Others!AP74</f>
        <v>1.5646980000000001</v>
      </c>
      <c r="AM69" s="139">
        <f>IS_Others!AQ74</f>
        <v>1.5646980000000001</v>
      </c>
      <c r="AN69" s="139">
        <f>IS_Others!AR74</f>
        <v>1.5646980000000001</v>
      </c>
      <c r="AO69" s="139">
        <f>IS_Others!AS74</f>
        <v>1.5646980000000001</v>
      </c>
      <c r="AP69" s="139">
        <f>IS_Others!AT74</f>
        <v>1.5646980000000001</v>
      </c>
      <c r="AQ69" s="139">
        <f>IS_Others!AU74</f>
        <v>1.5646980000000001</v>
      </c>
      <c r="AR69" s="139">
        <f>IS_Others!AV74</f>
        <v>1.5646980000000001</v>
      </c>
      <c r="AS69" s="139">
        <f>IS_Others!AW74</f>
        <v>1.5646980000000001</v>
      </c>
      <c r="AT69" s="139">
        <f>IS_Others!AX74</f>
        <v>1.5646980000000001</v>
      </c>
      <c r="AU69" s="139">
        <f>IS_Others!AY74</f>
        <v>1.5646980000000001</v>
      </c>
      <c r="AV69" s="139">
        <f>IS_Others!AZ74</f>
        <v>1.5646980000000001</v>
      </c>
      <c r="AW69" s="139">
        <f>IS_Others!BA74</f>
        <v>1.5646980000000001</v>
      </c>
      <c r="AX69" s="139">
        <f>IS_Others!BB74</f>
        <v>1.5646980000000001</v>
      </c>
      <c r="AY69" s="139">
        <f>IS_Others!BC74</f>
        <v>1.5646980000000001</v>
      </c>
      <c r="AZ69" s="139">
        <f>IS_Others!BD74</f>
        <v>1.5646980000000001</v>
      </c>
      <c r="BA69" s="139">
        <f>IS_Others!BE74</f>
        <v>1.5646980000000001</v>
      </c>
      <c r="BB69" s="139">
        <f>IS_Others!BF74</f>
        <v>1.5646980000000001</v>
      </c>
      <c r="BC69" s="139">
        <f>IS_Others!BG74</f>
        <v>1.5646980000000001</v>
      </c>
      <c r="BD69" s="139">
        <f>IS_Others!BH74</f>
        <v>1.5646980000000001</v>
      </c>
      <c r="BE69" s="139">
        <f>IS_Others!BI74</f>
        <v>1.5646980000000001</v>
      </c>
      <c r="BF69" s="139">
        <f>IS_Others!BJ74</f>
        <v>1.5646980000000001</v>
      </c>
      <c r="BG69" s="139">
        <f>IS_Others!BK74</f>
        <v>1.5646980000000001</v>
      </c>
      <c r="BH69" s="139">
        <f>IS_Others!BL74</f>
        <v>1.5646980000000001</v>
      </c>
      <c r="BI69" s="139">
        <f>IS_Others!BM74</f>
        <v>1.5646980000000001</v>
      </c>
      <c r="BJ69" s="139">
        <f>IS_Others!BN74</f>
        <v>1.5646980000000001</v>
      </c>
      <c r="BK69" s="139">
        <f>IS_Others!BO74</f>
        <v>1.5646980000000001</v>
      </c>
      <c r="BL69" s="139">
        <f>IS_Others!BP74</f>
        <v>1.5646980000000001</v>
      </c>
      <c r="BM69" s="139">
        <f>IS_Others!BQ74</f>
        <v>1.5646980000000001</v>
      </c>
      <c r="BN69" s="139">
        <f>IS_Others!BR74</f>
        <v>1.5646980000000001</v>
      </c>
      <c r="BO69" s="139">
        <f>IS_Others!BS74</f>
        <v>1.5646980000000001</v>
      </c>
      <c r="BX69" s="456"/>
      <c r="BY69" s="456"/>
      <c r="BZ69" s="456"/>
      <c r="CA69" s="456"/>
    </row>
    <row r="70" spans="3:79" outlineLevel="1">
      <c r="D70" s="139" t="s">
        <v>171</v>
      </c>
      <c r="H70" s="139">
        <f>IS_Others!L75</f>
        <v>0</v>
      </c>
      <c r="I70" s="139">
        <f>IS_Others!M75</f>
        <v>0</v>
      </c>
      <c r="J70" s="139">
        <f>IS_Others!N75</f>
        <v>0</v>
      </c>
      <c r="K70" s="139">
        <f>IS_Others!O75</f>
        <v>0</v>
      </c>
      <c r="L70" s="139">
        <f>IS_Others!P75</f>
        <v>0</v>
      </c>
      <c r="M70" s="139">
        <f>IS_Others!Q75</f>
        <v>0</v>
      </c>
      <c r="N70" s="139">
        <f>IS_Others!R75</f>
        <v>0</v>
      </c>
      <c r="O70" s="139">
        <f>IS_Others!S75</f>
        <v>0</v>
      </c>
      <c r="P70" s="139">
        <f>IS_Others!T75</f>
        <v>0</v>
      </c>
      <c r="Q70" s="139">
        <f>IS_Others!U75</f>
        <v>0</v>
      </c>
      <c r="R70" s="139">
        <f>IS_Others!V75</f>
        <v>0</v>
      </c>
      <c r="S70" s="139">
        <f>IS_Others!W75</f>
        <v>0</v>
      </c>
      <c r="T70" s="139">
        <f>IS_Others!X75</f>
        <v>1.267185</v>
      </c>
      <c r="U70" s="139">
        <f>IS_Others!Y75</f>
        <v>1.267185</v>
      </c>
      <c r="V70" s="139">
        <f>IS_Others!Z75</f>
        <v>1.267185</v>
      </c>
      <c r="W70" s="139">
        <f>IS_Others!AA75</f>
        <v>1.267185</v>
      </c>
      <c r="X70" s="139">
        <f>IS_Others!AB75</f>
        <v>1.267185</v>
      </c>
      <c r="Y70" s="139">
        <f>IS_Others!AC75</f>
        <v>1.267185</v>
      </c>
      <c r="Z70" s="139">
        <f>IS_Others!AD75</f>
        <v>1.267185</v>
      </c>
      <c r="AA70" s="139">
        <f>IS_Others!AE75</f>
        <v>1.267185</v>
      </c>
      <c r="AB70" s="139">
        <f>IS_Others!AF75</f>
        <v>1.267185</v>
      </c>
      <c r="AC70" s="139">
        <f>IS_Others!AG75</f>
        <v>1.267185</v>
      </c>
      <c r="AD70" s="139">
        <f>IS_Others!AH75</f>
        <v>1.267185</v>
      </c>
      <c r="AE70" s="139">
        <f>IS_Others!AI75</f>
        <v>1.267185</v>
      </c>
      <c r="AF70" s="139">
        <f>IS_Others!AJ75</f>
        <v>1.267185</v>
      </c>
      <c r="AG70" s="139">
        <f>IS_Others!AK75</f>
        <v>1.267185</v>
      </c>
      <c r="AH70" s="139">
        <f>IS_Others!AL75</f>
        <v>1.267185</v>
      </c>
      <c r="AI70" s="139">
        <f>IS_Others!AM75</f>
        <v>1.267185</v>
      </c>
      <c r="AJ70" s="139">
        <f>IS_Others!AN75</f>
        <v>1.267185</v>
      </c>
      <c r="AK70" s="139">
        <f>IS_Others!AO75</f>
        <v>1.267185</v>
      </c>
      <c r="AL70" s="139">
        <f>IS_Others!AP75</f>
        <v>1.267185</v>
      </c>
      <c r="AM70" s="139">
        <f>IS_Others!AQ75</f>
        <v>1.267185</v>
      </c>
      <c r="AN70" s="139">
        <f>IS_Others!AR75</f>
        <v>1.267185</v>
      </c>
      <c r="AO70" s="139">
        <f>IS_Others!AS75</f>
        <v>1.267185</v>
      </c>
      <c r="AP70" s="139">
        <f>IS_Others!AT75</f>
        <v>1.267185</v>
      </c>
      <c r="AQ70" s="139">
        <f>IS_Others!AU75</f>
        <v>1.267185</v>
      </c>
      <c r="AR70" s="139">
        <f>IS_Others!AV75</f>
        <v>1.267185</v>
      </c>
      <c r="AS70" s="139">
        <f>IS_Others!AW75</f>
        <v>1.267185</v>
      </c>
      <c r="AT70" s="139">
        <f>IS_Others!AX75</f>
        <v>1.267185</v>
      </c>
      <c r="AU70" s="139">
        <f>IS_Others!AY75</f>
        <v>1.267185</v>
      </c>
      <c r="AV70" s="139">
        <f>IS_Others!AZ75</f>
        <v>1.267185</v>
      </c>
      <c r="AW70" s="139">
        <f>IS_Others!BA75</f>
        <v>1.267185</v>
      </c>
      <c r="AX70" s="139">
        <f>IS_Others!BB75</f>
        <v>1.267185</v>
      </c>
      <c r="AY70" s="139">
        <f>IS_Others!BC75</f>
        <v>1.267185</v>
      </c>
      <c r="AZ70" s="139">
        <f>IS_Others!BD75</f>
        <v>1.267185</v>
      </c>
      <c r="BA70" s="139">
        <f>IS_Others!BE75</f>
        <v>1.267185</v>
      </c>
      <c r="BB70" s="139">
        <f>IS_Others!BF75</f>
        <v>1.267185</v>
      </c>
      <c r="BC70" s="139">
        <f>IS_Others!BG75</f>
        <v>1.267185</v>
      </c>
      <c r="BD70" s="139">
        <f>IS_Others!BH75</f>
        <v>1.267185</v>
      </c>
      <c r="BE70" s="139">
        <f>IS_Others!BI75</f>
        <v>1.267185</v>
      </c>
      <c r="BF70" s="139">
        <f>IS_Others!BJ75</f>
        <v>1.267185</v>
      </c>
      <c r="BG70" s="139">
        <f>IS_Others!BK75</f>
        <v>1.267185</v>
      </c>
      <c r="BH70" s="139">
        <f>IS_Others!BL75</f>
        <v>1.267185</v>
      </c>
      <c r="BI70" s="139">
        <f>IS_Others!BM75</f>
        <v>1.267185</v>
      </c>
      <c r="BJ70" s="139">
        <f>IS_Others!BN75</f>
        <v>1.267185</v>
      </c>
      <c r="BK70" s="139">
        <f>IS_Others!BO75</f>
        <v>1.267185</v>
      </c>
      <c r="BL70" s="139">
        <f>IS_Others!BP75</f>
        <v>1.267185</v>
      </c>
      <c r="BM70" s="139">
        <f>IS_Others!BQ75</f>
        <v>1.267185</v>
      </c>
      <c r="BN70" s="139">
        <f>IS_Others!BR75</f>
        <v>1.267185</v>
      </c>
      <c r="BO70" s="139">
        <f>IS_Others!BS75</f>
        <v>1.267185</v>
      </c>
      <c r="BX70" s="456"/>
      <c r="BY70" s="456"/>
      <c r="BZ70" s="456"/>
      <c r="CA70" s="456"/>
    </row>
    <row r="71" spans="3:79" outlineLevel="1">
      <c r="D71" s="139" t="s">
        <v>172</v>
      </c>
      <c r="H71" s="139">
        <f>IS_Others!L76</f>
        <v>0</v>
      </c>
      <c r="I71" s="139">
        <f>IS_Others!M76</f>
        <v>0</v>
      </c>
      <c r="J71" s="139">
        <f>IS_Others!N76</f>
        <v>0</v>
      </c>
      <c r="K71" s="139">
        <f>IS_Others!O76</f>
        <v>0</v>
      </c>
      <c r="L71" s="139">
        <f>IS_Others!P76</f>
        <v>0</v>
      </c>
      <c r="M71" s="139">
        <f>IS_Others!Q76</f>
        <v>0</v>
      </c>
      <c r="N71" s="139">
        <f>IS_Others!R76</f>
        <v>0</v>
      </c>
      <c r="O71" s="139">
        <f>IS_Others!S76</f>
        <v>0</v>
      </c>
      <c r="P71" s="139">
        <f>IS_Others!T76</f>
        <v>0</v>
      </c>
      <c r="Q71" s="139">
        <f>IS_Others!U76</f>
        <v>0</v>
      </c>
      <c r="R71" s="139">
        <f>IS_Others!V76</f>
        <v>0</v>
      </c>
      <c r="S71" s="139">
        <f>IS_Others!W76</f>
        <v>0</v>
      </c>
      <c r="T71" s="139">
        <f>IS_Others!X76</f>
        <v>1.267185</v>
      </c>
      <c r="U71" s="139">
        <f>IS_Others!Y76</f>
        <v>1.267185</v>
      </c>
      <c r="V71" s="139">
        <f>IS_Others!Z76</f>
        <v>1.267185</v>
      </c>
      <c r="W71" s="139">
        <f>IS_Others!AA76</f>
        <v>1.267185</v>
      </c>
      <c r="X71" s="139">
        <f>IS_Others!AB76</f>
        <v>1.267185</v>
      </c>
      <c r="Y71" s="139">
        <f>IS_Others!AC76</f>
        <v>1.267185</v>
      </c>
      <c r="Z71" s="139">
        <f>IS_Others!AD76</f>
        <v>1.267185</v>
      </c>
      <c r="AA71" s="139">
        <f>IS_Others!AE76</f>
        <v>1.267185</v>
      </c>
      <c r="AB71" s="139">
        <f>IS_Others!AF76</f>
        <v>1.267185</v>
      </c>
      <c r="AC71" s="139">
        <f>IS_Others!AG76</f>
        <v>1.267185</v>
      </c>
      <c r="AD71" s="139">
        <f>IS_Others!AH76</f>
        <v>1.267185</v>
      </c>
      <c r="AE71" s="139">
        <f>IS_Others!AI76</f>
        <v>1.267185</v>
      </c>
      <c r="AF71" s="139">
        <f>IS_Others!AJ76</f>
        <v>1.267185</v>
      </c>
      <c r="AG71" s="139">
        <f>IS_Others!AK76</f>
        <v>1.267185</v>
      </c>
      <c r="AH71" s="139">
        <f>IS_Others!AL76</f>
        <v>1.267185</v>
      </c>
      <c r="AI71" s="139">
        <f>IS_Others!AM76</f>
        <v>1.267185</v>
      </c>
      <c r="AJ71" s="139">
        <f>IS_Others!AN76</f>
        <v>1.267185</v>
      </c>
      <c r="AK71" s="139">
        <f>IS_Others!AO76</f>
        <v>1.267185</v>
      </c>
      <c r="AL71" s="139">
        <f>IS_Others!AP76</f>
        <v>1.267185</v>
      </c>
      <c r="AM71" s="139">
        <f>IS_Others!AQ76</f>
        <v>1.267185</v>
      </c>
      <c r="AN71" s="139">
        <f>IS_Others!AR76</f>
        <v>1.267185</v>
      </c>
      <c r="AO71" s="139">
        <f>IS_Others!AS76</f>
        <v>1.267185</v>
      </c>
      <c r="AP71" s="139">
        <f>IS_Others!AT76</f>
        <v>1.267185</v>
      </c>
      <c r="AQ71" s="139">
        <f>IS_Others!AU76</f>
        <v>1.267185</v>
      </c>
      <c r="AR71" s="139">
        <f>IS_Others!AV76</f>
        <v>1.267185</v>
      </c>
      <c r="AS71" s="139">
        <f>IS_Others!AW76</f>
        <v>1.267185</v>
      </c>
      <c r="AT71" s="139">
        <f>IS_Others!AX76</f>
        <v>1.267185</v>
      </c>
      <c r="AU71" s="139">
        <f>IS_Others!AY76</f>
        <v>1.267185</v>
      </c>
      <c r="AV71" s="139">
        <f>IS_Others!AZ76</f>
        <v>1.267185</v>
      </c>
      <c r="AW71" s="139">
        <f>IS_Others!BA76</f>
        <v>1.267185</v>
      </c>
      <c r="AX71" s="139">
        <f>IS_Others!BB76</f>
        <v>1.267185</v>
      </c>
      <c r="AY71" s="139">
        <f>IS_Others!BC76</f>
        <v>1.267185</v>
      </c>
      <c r="AZ71" s="139">
        <f>IS_Others!BD76</f>
        <v>1.267185</v>
      </c>
      <c r="BA71" s="139">
        <f>IS_Others!BE76</f>
        <v>1.267185</v>
      </c>
      <c r="BB71" s="139">
        <f>IS_Others!BF76</f>
        <v>1.267185</v>
      </c>
      <c r="BC71" s="139">
        <f>IS_Others!BG76</f>
        <v>1.267185</v>
      </c>
      <c r="BD71" s="139">
        <f>IS_Others!BH76</f>
        <v>1.267185</v>
      </c>
      <c r="BE71" s="139">
        <f>IS_Others!BI76</f>
        <v>1.267185</v>
      </c>
      <c r="BF71" s="139">
        <f>IS_Others!BJ76</f>
        <v>1.267185</v>
      </c>
      <c r="BG71" s="139">
        <f>IS_Others!BK76</f>
        <v>1.267185</v>
      </c>
      <c r="BH71" s="139">
        <f>IS_Others!BL76</f>
        <v>1.267185</v>
      </c>
      <c r="BI71" s="139">
        <f>IS_Others!BM76</f>
        <v>1.267185</v>
      </c>
      <c r="BJ71" s="139">
        <f>IS_Others!BN76</f>
        <v>1.267185</v>
      </c>
      <c r="BK71" s="139">
        <f>IS_Others!BO76</f>
        <v>1.267185</v>
      </c>
      <c r="BL71" s="139">
        <f>IS_Others!BP76</f>
        <v>1.267185</v>
      </c>
      <c r="BM71" s="139">
        <f>IS_Others!BQ76</f>
        <v>1.267185</v>
      </c>
      <c r="BN71" s="139">
        <f>IS_Others!BR76</f>
        <v>1.267185</v>
      </c>
      <c r="BO71" s="139">
        <f>IS_Others!BS76</f>
        <v>1.267185</v>
      </c>
      <c r="BX71" s="456"/>
      <c r="BY71" s="456"/>
      <c r="BZ71" s="456"/>
      <c r="CA71" s="456"/>
    </row>
    <row r="72" spans="3:79" outlineLevel="1">
      <c r="D72" s="139" t="s">
        <v>173</v>
      </c>
      <c r="H72" s="139">
        <f>IS_Others!L77</f>
        <v>0</v>
      </c>
      <c r="I72" s="139">
        <f>IS_Others!M77</f>
        <v>0</v>
      </c>
      <c r="J72" s="139">
        <f>IS_Others!N77</f>
        <v>0</v>
      </c>
      <c r="K72" s="139">
        <f>IS_Others!O77</f>
        <v>0</v>
      </c>
      <c r="L72" s="139">
        <f>IS_Others!P77</f>
        <v>0</v>
      </c>
      <c r="M72" s="139">
        <f>IS_Others!Q77</f>
        <v>0</v>
      </c>
      <c r="N72" s="139">
        <f>IS_Others!R77</f>
        <v>0</v>
      </c>
      <c r="O72" s="139">
        <f>IS_Others!S77</f>
        <v>0</v>
      </c>
      <c r="P72" s="139">
        <f>IS_Others!T77</f>
        <v>0</v>
      </c>
      <c r="Q72" s="139">
        <f>IS_Others!U77</f>
        <v>0</v>
      </c>
      <c r="R72" s="139">
        <f>IS_Others!V77</f>
        <v>0</v>
      </c>
      <c r="S72" s="139">
        <f>IS_Others!W77</f>
        <v>0</v>
      </c>
      <c r="T72" s="139">
        <f>IS_Others!X77</f>
        <v>1.267185</v>
      </c>
      <c r="U72" s="139">
        <f>IS_Others!Y77</f>
        <v>1.267185</v>
      </c>
      <c r="V72" s="139">
        <f>IS_Others!Z77</f>
        <v>1.267185</v>
      </c>
      <c r="W72" s="139">
        <f>IS_Others!AA77</f>
        <v>1.267185</v>
      </c>
      <c r="X72" s="139">
        <f>IS_Others!AB77</f>
        <v>1.267185</v>
      </c>
      <c r="Y72" s="139">
        <f>IS_Others!AC77</f>
        <v>1.267185</v>
      </c>
      <c r="Z72" s="139">
        <f>IS_Others!AD77</f>
        <v>1.267185</v>
      </c>
      <c r="AA72" s="139">
        <f>IS_Others!AE77</f>
        <v>1.267185</v>
      </c>
      <c r="AB72" s="139">
        <f>IS_Others!AF77</f>
        <v>1.267185</v>
      </c>
      <c r="AC72" s="139">
        <f>IS_Others!AG77</f>
        <v>1.267185</v>
      </c>
      <c r="AD72" s="139">
        <f>IS_Others!AH77</f>
        <v>1.267185</v>
      </c>
      <c r="AE72" s="139">
        <f>IS_Others!AI77</f>
        <v>1.267185</v>
      </c>
      <c r="AF72" s="139">
        <f>IS_Others!AJ77</f>
        <v>1.267185</v>
      </c>
      <c r="AG72" s="139">
        <f>IS_Others!AK77</f>
        <v>1.267185</v>
      </c>
      <c r="AH72" s="139">
        <f>IS_Others!AL77</f>
        <v>1.267185</v>
      </c>
      <c r="AI72" s="139">
        <f>IS_Others!AM77</f>
        <v>1.267185</v>
      </c>
      <c r="AJ72" s="139">
        <f>IS_Others!AN77</f>
        <v>1.267185</v>
      </c>
      <c r="AK72" s="139">
        <f>IS_Others!AO77</f>
        <v>1.267185</v>
      </c>
      <c r="AL72" s="139">
        <f>IS_Others!AP77</f>
        <v>1.267185</v>
      </c>
      <c r="AM72" s="139">
        <f>IS_Others!AQ77</f>
        <v>1.267185</v>
      </c>
      <c r="AN72" s="139">
        <f>IS_Others!AR77</f>
        <v>1.267185</v>
      </c>
      <c r="AO72" s="139">
        <f>IS_Others!AS77</f>
        <v>1.267185</v>
      </c>
      <c r="AP72" s="139">
        <f>IS_Others!AT77</f>
        <v>1.267185</v>
      </c>
      <c r="AQ72" s="139">
        <f>IS_Others!AU77</f>
        <v>1.267185</v>
      </c>
      <c r="AR72" s="139">
        <f>IS_Others!AV77</f>
        <v>1.267185</v>
      </c>
      <c r="AS72" s="139">
        <f>IS_Others!AW77</f>
        <v>1.267185</v>
      </c>
      <c r="AT72" s="139">
        <f>IS_Others!AX77</f>
        <v>1.267185</v>
      </c>
      <c r="AU72" s="139">
        <f>IS_Others!AY77</f>
        <v>1.267185</v>
      </c>
      <c r="AV72" s="139">
        <f>IS_Others!AZ77</f>
        <v>1.267185</v>
      </c>
      <c r="AW72" s="139">
        <f>IS_Others!BA77</f>
        <v>1.267185</v>
      </c>
      <c r="AX72" s="139">
        <f>IS_Others!BB77</f>
        <v>1.267185</v>
      </c>
      <c r="AY72" s="139">
        <f>IS_Others!BC77</f>
        <v>1.267185</v>
      </c>
      <c r="AZ72" s="139">
        <f>IS_Others!BD77</f>
        <v>1.267185</v>
      </c>
      <c r="BA72" s="139">
        <f>IS_Others!BE77</f>
        <v>1.267185</v>
      </c>
      <c r="BB72" s="139">
        <f>IS_Others!BF77</f>
        <v>1.267185</v>
      </c>
      <c r="BC72" s="139">
        <f>IS_Others!BG77</f>
        <v>1.267185</v>
      </c>
      <c r="BD72" s="139">
        <f>IS_Others!BH77</f>
        <v>1.267185</v>
      </c>
      <c r="BE72" s="139">
        <f>IS_Others!BI77</f>
        <v>1.267185</v>
      </c>
      <c r="BF72" s="139">
        <f>IS_Others!BJ77</f>
        <v>1.267185</v>
      </c>
      <c r="BG72" s="139">
        <f>IS_Others!BK77</f>
        <v>1.267185</v>
      </c>
      <c r="BH72" s="139">
        <f>IS_Others!BL77</f>
        <v>1.267185</v>
      </c>
      <c r="BI72" s="139">
        <f>IS_Others!BM77</f>
        <v>1.267185</v>
      </c>
      <c r="BJ72" s="139">
        <f>IS_Others!BN77</f>
        <v>1.267185</v>
      </c>
      <c r="BK72" s="139">
        <f>IS_Others!BO77</f>
        <v>1.267185</v>
      </c>
      <c r="BL72" s="139">
        <f>IS_Others!BP77</f>
        <v>1.267185</v>
      </c>
      <c r="BM72" s="139">
        <f>IS_Others!BQ77</f>
        <v>1.267185</v>
      </c>
      <c r="BN72" s="139">
        <f>IS_Others!BR77</f>
        <v>1.267185</v>
      </c>
      <c r="BO72" s="139">
        <f>IS_Others!BS77</f>
        <v>1.267185</v>
      </c>
      <c r="BX72" s="456"/>
      <c r="BY72" s="456"/>
      <c r="BZ72" s="456"/>
      <c r="CA72" s="456"/>
    </row>
    <row r="73" spans="3:79" outlineLevel="1">
      <c r="D73" s="139" t="s">
        <v>174</v>
      </c>
      <c r="H73" s="139">
        <f>IS_Others!L78</f>
        <v>1.4071263000000001</v>
      </c>
      <c r="I73" s="139">
        <f>IS_Others!M78</f>
        <v>1.4071263000000001</v>
      </c>
      <c r="J73" s="139">
        <f>IS_Others!N78</f>
        <v>1.4071263000000001</v>
      </c>
      <c r="K73" s="139">
        <f>IS_Others!O78</f>
        <v>1.4071263000000001</v>
      </c>
      <c r="L73" s="139">
        <f>IS_Others!P78</f>
        <v>1.4071263000000001</v>
      </c>
      <c r="M73" s="139">
        <f>IS_Others!Q78</f>
        <v>1.4071263000000001</v>
      </c>
      <c r="N73" s="139">
        <f>IS_Others!R78</f>
        <v>1.4071263000000001</v>
      </c>
      <c r="O73" s="139">
        <f>IS_Others!S78</f>
        <v>1.4071263000000001</v>
      </c>
      <c r="P73" s="139">
        <f>IS_Others!T78</f>
        <v>1.4071263000000001</v>
      </c>
      <c r="Q73" s="139">
        <f>IS_Others!U78</f>
        <v>1.4071263000000001</v>
      </c>
      <c r="R73" s="139">
        <f>IS_Others!V78</f>
        <v>1.4071263000000001</v>
      </c>
      <c r="S73" s="139">
        <f>IS_Others!W78</f>
        <v>1.4071263000000001</v>
      </c>
      <c r="T73" s="139">
        <f>IS_Others!X78</f>
        <v>2.8142526000000001</v>
      </c>
      <c r="U73" s="139">
        <f>IS_Others!Y78</f>
        <v>2.8142526000000001</v>
      </c>
      <c r="V73" s="139">
        <f>IS_Others!Z78</f>
        <v>2.8142526000000001</v>
      </c>
      <c r="W73" s="139">
        <f>IS_Others!AA78</f>
        <v>2.8142526000000001</v>
      </c>
      <c r="X73" s="139">
        <f>IS_Others!AB78</f>
        <v>2.8142526000000001</v>
      </c>
      <c r="Y73" s="139">
        <f>IS_Others!AC78</f>
        <v>2.8142526000000001</v>
      </c>
      <c r="Z73" s="139">
        <f>IS_Others!AD78</f>
        <v>2.8142526000000001</v>
      </c>
      <c r="AA73" s="139">
        <f>IS_Others!AE78</f>
        <v>2.8142526000000001</v>
      </c>
      <c r="AB73" s="139">
        <f>IS_Others!AF78</f>
        <v>2.8142526000000001</v>
      </c>
      <c r="AC73" s="139">
        <f>IS_Others!AG78</f>
        <v>2.8142526000000001</v>
      </c>
      <c r="AD73" s="139">
        <f>IS_Others!AH78</f>
        <v>2.8142526000000001</v>
      </c>
      <c r="AE73" s="139">
        <f>IS_Others!AI78</f>
        <v>2.8142526000000001</v>
      </c>
      <c r="AF73" s="139">
        <f>IS_Others!AJ78</f>
        <v>4.2213789000000004</v>
      </c>
      <c r="AG73" s="139">
        <f>IS_Others!AK78</f>
        <v>4.2213789000000004</v>
      </c>
      <c r="AH73" s="139">
        <f>IS_Others!AL78</f>
        <v>4.2213789000000004</v>
      </c>
      <c r="AI73" s="139">
        <f>IS_Others!AM78</f>
        <v>4.2213789000000004</v>
      </c>
      <c r="AJ73" s="139">
        <f>IS_Others!AN78</f>
        <v>4.2213789000000004</v>
      </c>
      <c r="AK73" s="139">
        <f>IS_Others!AO78</f>
        <v>4.2213789000000004</v>
      </c>
      <c r="AL73" s="139">
        <f>IS_Others!AP78</f>
        <v>4.2213789000000004</v>
      </c>
      <c r="AM73" s="139">
        <f>IS_Others!AQ78</f>
        <v>4.2213789000000004</v>
      </c>
      <c r="AN73" s="139">
        <f>IS_Others!AR78</f>
        <v>4.2213789000000004</v>
      </c>
      <c r="AO73" s="139">
        <f>IS_Others!AS78</f>
        <v>4.2213789000000004</v>
      </c>
      <c r="AP73" s="139">
        <f>IS_Others!AT78</f>
        <v>4.2213789000000004</v>
      </c>
      <c r="AQ73" s="139">
        <f>IS_Others!AU78</f>
        <v>4.2213789000000004</v>
      </c>
      <c r="AR73" s="139">
        <f>IS_Others!AV78</f>
        <v>4.2213789000000004</v>
      </c>
      <c r="AS73" s="139">
        <f>IS_Others!AW78</f>
        <v>4.2213789000000004</v>
      </c>
      <c r="AT73" s="139">
        <f>IS_Others!AX78</f>
        <v>4.2213789000000004</v>
      </c>
      <c r="AU73" s="139">
        <f>IS_Others!AY78</f>
        <v>4.2213789000000004</v>
      </c>
      <c r="AV73" s="139">
        <f>IS_Others!AZ78</f>
        <v>4.2213789000000004</v>
      </c>
      <c r="AW73" s="139">
        <f>IS_Others!BA78</f>
        <v>4.2213789000000004</v>
      </c>
      <c r="AX73" s="139">
        <f>IS_Others!BB78</f>
        <v>4.2213789000000004</v>
      </c>
      <c r="AY73" s="139">
        <f>IS_Others!BC78</f>
        <v>4.2213789000000004</v>
      </c>
      <c r="AZ73" s="139">
        <f>IS_Others!BD78</f>
        <v>4.2213789000000004</v>
      </c>
      <c r="BA73" s="139">
        <f>IS_Others!BE78</f>
        <v>4.2213789000000004</v>
      </c>
      <c r="BB73" s="139">
        <f>IS_Others!BF78</f>
        <v>4.2213789000000004</v>
      </c>
      <c r="BC73" s="139">
        <f>IS_Others!BG78</f>
        <v>4.2213789000000004</v>
      </c>
      <c r="BD73" s="139">
        <f>IS_Others!BH78</f>
        <v>4.2213789000000004</v>
      </c>
      <c r="BE73" s="139">
        <f>IS_Others!BI78</f>
        <v>4.2213789000000004</v>
      </c>
      <c r="BF73" s="139">
        <f>IS_Others!BJ78</f>
        <v>4.2213789000000004</v>
      </c>
      <c r="BG73" s="139">
        <f>IS_Others!BK78</f>
        <v>4.2213789000000004</v>
      </c>
      <c r="BH73" s="139">
        <f>IS_Others!BL78</f>
        <v>4.2213789000000004</v>
      </c>
      <c r="BI73" s="139">
        <f>IS_Others!BM78</f>
        <v>4.2213789000000004</v>
      </c>
      <c r="BJ73" s="139">
        <f>IS_Others!BN78</f>
        <v>4.2213789000000004</v>
      </c>
      <c r="BK73" s="139">
        <f>IS_Others!BO78</f>
        <v>4.2213789000000004</v>
      </c>
      <c r="BL73" s="139">
        <f>IS_Others!BP78</f>
        <v>4.2213789000000004</v>
      </c>
      <c r="BM73" s="139">
        <f>IS_Others!BQ78</f>
        <v>4.2213789000000004</v>
      </c>
      <c r="BN73" s="139">
        <f>IS_Others!BR78</f>
        <v>4.2213789000000004</v>
      </c>
      <c r="BO73" s="139">
        <f>IS_Others!BS78</f>
        <v>4.2213789000000004</v>
      </c>
      <c r="BX73" s="456"/>
      <c r="BY73" s="456"/>
      <c r="BZ73" s="456"/>
      <c r="CA73" s="456"/>
    </row>
    <row r="74" spans="3:79" outlineLevel="1">
      <c r="D74" s="139" t="s">
        <v>175</v>
      </c>
      <c r="H74" s="139">
        <f>IS_Others!L79</f>
        <v>0</v>
      </c>
      <c r="I74" s="139">
        <f>IS_Others!M79</f>
        <v>0</v>
      </c>
      <c r="J74" s="139">
        <f>IS_Others!N79</f>
        <v>0</v>
      </c>
      <c r="K74" s="139">
        <f>IS_Others!O79</f>
        <v>0</v>
      </c>
      <c r="L74" s="139">
        <f>IS_Others!P79</f>
        <v>0</v>
      </c>
      <c r="M74" s="139">
        <f>IS_Others!Q79</f>
        <v>0</v>
      </c>
      <c r="N74" s="139">
        <f>IS_Others!R79</f>
        <v>14.446</v>
      </c>
      <c r="O74" s="139">
        <f>IS_Others!S79</f>
        <v>14.446</v>
      </c>
      <c r="P74" s="139">
        <f>IS_Others!T79</f>
        <v>14.446</v>
      </c>
      <c r="Q74" s="139">
        <f>IS_Others!U79</f>
        <v>14.446</v>
      </c>
      <c r="R74" s="139">
        <f>IS_Others!V79</f>
        <v>14.446</v>
      </c>
      <c r="S74" s="139">
        <f>IS_Others!W79</f>
        <v>14.446</v>
      </c>
      <c r="T74" s="139">
        <f>IS_Others!X79</f>
        <v>18.057500000000001</v>
      </c>
      <c r="U74" s="139">
        <f>IS_Others!Y79</f>
        <v>18.057500000000001</v>
      </c>
      <c r="V74" s="139">
        <f>IS_Others!Z79</f>
        <v>18.057500000000001</v>
      </c>
      <c r="W74" s="139">
        <f>IS_Others!AA79</f>
        <v>18.057500000000001</v>
      </c>
      <c r="X74" s="139">
        <f>IS_Others!AB79</f>
        <v>18.057500000000001</v>
      </c>
      <c r="Y74" s="139">
        <f>IS_Others!AC79</f>
        <v>18.057500000000001</v>
      </c>
      <c r="Z74" s="139">
        <f>IS_Others!AD79</f>
        <v>21.669</v>
      </c>
      <c r="AA74" s="139">
        <f>IS_Others!AE79</f>
        <v>21.669</v>
      </c>
      <c r="AB74" s="139">
        <f>IS_Others!AF79</f>
        <v>21.669</v>
      </c>
      <c r="AC74" s="139">
        <f>IS_Others!AG79</f>
        <v>21.669</v>
      </c>
      <c r="AD74" s="139">
        <f>IS_Others!AH79</f>
        <v>21.669</v>
      </c>
      <c r="AE74" s="139">
        <f>IS_Others!AI79</f>
        <v>21.669</v>
      </c>
      <c r="AF74" s="139">
        <f>IS_Others!AJ79</f>
        <v>25.2805</v>
      </c>
      <c r="AG74" s="139">
        <f>IS_Others!AK79</f>
        <v>25.2805</v>
      </c>
      <c r="AH74" s="139">
        <f>IS_Others!AL79</f>
        <v>25.2805</v>
      </c>
      <c r="AI74" s="139">
        <f>IS_Others!AM79</f>
        <v>25.2805</v>
      </c>
      <c r="AJ74" s="139">
        <f>IS_Others!AN79</f>
        <v>25.2805</v>
      </c>
      <c r="AK74" s="139">
        <f>IS_Others!AO79</f>
        <v>25.2805</v>
      </c>
      <c r="AL74" s="139">
        <f>IS_Others!AP79</f>
        <v>28.891999999999999</v>
      </c>
      <c r="AM74" s="139">
        <f>IS_Others!AQ79</f>
        <v>28.891999999999999</v>
      </c>
      <c r="AN74" s="139">
        <f>IS_Others!AR79</f>
        <v>28.891999999999999</v>
      </c>
      <c r="AO74" s="139">
        <f>IS_Others!AS79</f>
        <v>28.891999999999999</v>
      </c>
      <c r="AP74" s="139">
        <f>IS_Others!AT79</f>
        <v>28.891999999999999</v>
      </c>
      <c r="AQ74" s="139">
        <f>IS_Others!AU79</f>
        <v>28.891999999999999</v>
      </c>
      <c r="AR74" s="139">
        <f>IS_Others!AV79</f>
        <v>32.503500000000003</v>
      </c>
      <c r="AS74" s="139">
        <f>IS_Others!AW79</f>
        <v>32.503500000000003</v>
      </c>
      <c r="AT74" s="139">
        <f>IS_Others!AX79</f>
        <v>32.503500000000003</v>
      </c>
      <c r="AU74" s="139">
        <f>IS_Others!AY79</f>
        <v>32.503500000000003</v>
      </c>
      <c r="AV74" s="139">
        <f>IS_Others!AZ79</f>
        <v>32.503500000000003</v>
      </c>
      <c r="AW74" s="139">
        <f>IS_Others!BA79</f>
        <v>32.503500000000003</v>
      </c>
      <c r="AX74" s="139">
        <f>IS_Others!BB79</f>
        <v>36.115000000000002</v>
      </c>
      <c r="AY74" s="139">
        <f>IS_Others!BC79</f>
        <v>36.115000000000002</v>
      </c>
      <c r="AZ74" s="139">
        <f>IS_Others!BD79</f>
        <v>36.115000000000002</v>
      </c>
      <c r="BA74" s="139">
        <f>IS_Others!BE79</f>
        <v>36.115000000000002</v>
      </c>
      <c r="BB74" s="139">
        <f>IS_Others!BF79</f>
        <v>36.115000000000002</v>
      </c>
      <c r="BC74" s="139">
        <f>IS_Others!BG79</f>
        <v>36.115000000000002</v>
      </c>
      <c r="BD74" s="139">
        <f>IS_Others!BH79</f>
        <v>36.115000000000002</v>
      </c>
      <c r="BE74" s="139">
        <f>IS_Others!BI79</f>
        <v>36.115000000000002</v>
      </c>
      <c r="BF74" s="139">
        <f>IS_Others!BJ79</f>
        <v>36.115000000000002</v>
      </c>
      <c r="BG74" s="139">
        <f>IS_Others!BK79</f>
        <v>36.115000000000002</v>
      </c>
      <c r="BH74" s="139">
        <f>IS_Others!BL79</f>
        <v>36.115000000000002</v>
      </c>
      <c r="BI74" s="139">
        <f>IS_Others!BM79</f>
        <v>36.115000000000002</v>
      </c>
      <c r="BJ74" s="139">
        <f>IS_Others!BN79</f>
        <v>36.115000000000002</v>
      </c>
      <c r="BK74" s="139">
        <f>IS_Others!BO79</f>
        <v>36.115000000000002</v>
      </c>
      <c r="BL74" s="139">
        <f>IS_Others!BP79</f>
        <v>36.115000000000002</v>
      </c>
      <c r="BM74" s="139">
        <f>IS_Others!BQ79</f>
        <v>36.115000000000002</v>
      </c>
      <c r="BN74" s="139">
        <f>IS_Others!BR79</f>
        <v>36.115000000000002</v>
      </c>
      <c r="BO74" s="139">
        <f>IS_Others!BS79</f>
        <v>36.115000000000002</v>
      </c>
      <c r="BX74" s="456"/>
      <c r="BY74" s="456"/>
      <c r="BZ74" s="456"/>
      <c r="CA74" s="456"/>
    </row>
    <row r="75" spans="3:79" outlineLevel="1">
      <c r="D75" s="139" t="s">
        <v>176</v>
      </c>
      <c r="H75" s="139">
        <f>IS_Others!L80</f>
        <v>0</v>
      </c>
      <c r="I75" s="139">
        <f>IS_Others!M80</f>
        <v>0</v>
      </c>
      <c r="J75" s="139">
        <f>IS_Others!N80</f>
        <v>0</v>
      </c>
      <c r="K75" s="139">
        <f>IS_Others!O80</f>
        <v>0</v>
      </c>
      <c r="L75" s="139">
        <f>IS_Others!P80</f>
        <v>0</v>
      </c>
      <c r="M75" s="139">
        <f>IS_Others!Q80</f>
        <v>0</v>
      </c>
      <c r="N75" s="139">
        <f>IS_Others!R80</f>
        <v>1</v>
      </c>
      <c r="O75" s="139">
        <f>IS_Others!S80</f>
        <v>1</v>
      </c>
      <c r="P75" s="139">
        <f>IS_Others!T80</f>
        <v>1</v>
      </c>
      <c r="Q75" s="139">
        <f>IS_Others!U80</f>
        <v>1</v>
      </c>
      <c r="R75" s="139">
        <f>IS_Others!V80</f>
        <v>1</v>
      </c>
      <c r="S75" s="139">
        <f>IS_Others!W80</f>
        <v>1</v>
      </c>
      <c r="T75" s="139">
        <f>IS_Others!X80</f>
        <v>1.25</v>
      </c>
      <c r="U75" s="139">
        <f>IS_Others!Y80</f>
        <v>1.25</v>
      </c>
      <c r="V75" s="139">
        <f>IS_Others!Z80</f>
        <v>1.25</v>
      </c>
      <c r="W75" s="139">
        <f>IS_Others!AA80</f>
        <v>1.25</v>
      </c>
      <c r="X75" s="139">
        <f>IS_Others!AB80</f>
        <v>1.25</v>
      </c>
      <c r="Y75" s="139">
        <f>IS_Others!AC80</f>
        <v>1.25</v>
      </c>
      <c r="Z75" s="139">
        <f>IS_Others!AD80</f>
        <v>1.5</v>
      </c>
      <c r="AA75" s="139">
        <f>IS_Others!AE80</f>
        <v>1.5</v>
      </c>
      <c r="AB75" s="139">
        <f>IS_Others!AF80</f>
        <v>1.5</v>
      </c>
      <c r="AC75" s="139">
        <f>IS_Others!AG80</f>
        <v>1.5</v>
      </c>
      <c r="AD75" s="139">
        <f>IS_Others!AH80</f>
        <v>1.5</v>
      </c>
      <c r="AE75" s="139">
        <f>IS_Others!AI80</f>
        <v>1.5</v>
      </c>
      <c r="AF75" s="139">
        <f>IS_Others!AJ80</f>
        <v>1.75</v>
      </c>
      <c r="AG75" s="139">
        <f>IS_Others!AK80</f>
        <v>1.75</v>
      </c>
      <c r="AH75" s="139">
        <f>IS_Others!AL80</f>
        <v>1.75</v>
      </c>
      <c r="AI75" s="139">
        <f>IS_Others!AM80</f>
        <v>1.75</v>
      </c>
      <c r="AJ75" s="139">
        <f>IS_Others!AN80</f>
        <v>1.75</v>
      </c>
      <c r="AK75" s="139">
        <f>IS_Others!AO80</f>
        <v>1.75</v>
      </c>
      <c r="AL75" s="139">
        <f>IS_Others!AP80</f>
        <v>2</v>
      </c>
      <c r="AM75" s="139">
        <f>IS_Others!AQ80</f>
        <v>2</v>
      </c>
      <c r="AN75" s="139">
        <f>IS_Others!AR80</f>
        <v>2</v>
      </c>
      <c r="AO75" s="139">
        <f>IS_Others!AS80</f>
        <v>2</v>
      </c>
      <c r="AP75" s="139">
        <f>IS_Others!AT80</f>
        <v>2</v>
      </c>
      <c r="AQ75" s="139">
        <f>IS_Others!AU80</f>
        <v>2</v>
      </c>
      <c r="AR75" s="139">
        <f>IS_Others!AV80</f>
        <v>2.25</v>
      </c>
      <c r="AS75" s="139">
        <f>IS_Others!AW80</f>
        <v>2.25</v>
      </c>
      <c r="AT75" s="139">
        <f>IS_Others!AX80</f>
        <v>2.25</v>
      </c>
      <c r="AU75" s="139">
        <f>IS_Others!AY80</f>
        <v>2.25</v>
      </c>
      <c r="AV75" s="139">
        <f>IS_Others!AZ80</f>
        <v>2.25</v>
      </c>
      <c r="AW75" s="139">
        <f>IS_Others!BA80</f>
        <v>2.25</v>
      </c>
      <c r="AX75" s="139">
        <f>IS_Others!BB80</f>
        <v>2.5</v>
      </c>
      <c r="AY75" s="139">
        <f>IS_Others!BC80</f>
        <v>2.5</v>
      </c>
      <c r="AZ75" s="139">
        <f>IS_Others!BD80</f>
        <v>2.5</v>
      </c>
      <c r="BA75" s="139">
        <f>IS_Others!BE80</f>
        <v>2.5</v>
      </c>
      <c r="BB75" s="139">
        <f>IS_Others!BF80</f>
        <v>2.5</v>
      </c>
      <c r="BC75" s="139">
        <f>IS_Others!BG80</f>
        <v>2.5</v>
      </c>
      <c r="BD75" s="139">
        <f>IS_Others!BH80</f>
        <v>2.5</v>
      </c>
      <c r="BE75" s="139">
        <f>IS_Others!BI80</f>
        <v>2.5</v>
      </c>
      <c r="BF75" s="139">
        <f>IS_Others!BJ80</f>
        <v>2.5</v>
      </c>
      <c r="BG75" s="139">
        <f>IS_Others!BK80</f>
        <v>2.5</v>
      </c>
      <c r="BH75" s="139">
        <f>IS_Others!BL80</f>
        <v>2.5</v>
      </c>
      <c r="BI75" s="139">
        <f>IS_Others!BM80</f>
        <v>2.5</v>
      </c>
      <c r="BJ75" s="139">
        <f>IS_Others!BN80</f>
        <v>2.5</v>
      </c>
      <c r="BK75" s="139">
        <f>IS_Others!BO80</f>
        <v>2.5</v>
      </c>
      <c r="BL75" s="139">
        <f>IS_Others!BP80</f>
        <v>2.5</v>
      </c>
      <c r="BM75" s="139">
        <f>IS_Others!BQ80</f>
        <v>2.5</v>
      </c>
      <c r="BN75" s="139">
        <f>IS_Others!BR80</f>
        <v>2.5</v>
      </c>
      <c r="BO75" s="139">
        <f>IS_Others!BS80</f>
        <v>2.5</v>
      </c>
      <c r="BX75" s="456"/>
      <c r="BY75" s="456"/>
      <c r="BZ75" s="456"/>
      <c r="CA75" s="456"/>
    </row>
    <row r="76" spans="3:79" outlineLevel="1">
      <c r="D76" s="139" t="s">
        <v>177</v>
      </c>
      <c r="H76" s="139">
        <f>IS_Others!L81</f>
        <v>0.12671850000000001</v>
      </c>
      <c r="I76" s="139">
        <f>IS_Others!M81</f>
        <v>0.12671850000000001</v>
      </c>
      <c r="J76" s="139">
        <f>IS_Others!N81</f>
        <v>0.12671850000000001</v>
      </c>
      <c r="K76" s="139">
        <f>IS_Others!O81</f>
        <v>0.12671850000000001</v>
      </c>
      <c r="L76" s="139">
        <f>IS_Others!P81</f>
        <v>0.12671850000000001</v>
      </c>
      <c r="M76" s="139">
        <f>IS_Others!Q81</f>
        <v>0.12671850000000001</v>
      </c>
      <c r="N76" s="139">
        <f>IS_Others!R81</f>
        <v>0.12671850000000001</v>
      </c>
      <c r="O76" s="139">
        <f>IS_Others!S81</f>
        <v>0.12671850000000001</v>
      </c>
      <c r="P76" s="139">
        <f>IS_Others!T81</f>
        <v>0.12671850000000001</v>
      </c>
      <c r="Q76" s="139">
        <f>IS_Others!U81</f>
        <v>0.12671850000000001</v>
      </c>
      <c r="R76" s="139">
        <f>IS_Others!V81</f>
        <v>0.12671850000000001</v>
      </c>
      <c r="S76" s="139">
        <f>IS_Others!W81</f>
        <v>0.12671850000000001</v>
      </c>
      <c r="T76" s="139">
        <f>IS_Others!X81</f>
        <v>0.25343700000000002</v>
      </c>
      <c r="U76" s="139">
        <f>IS_Others!Y81</f>
        <v>0.25343700000000002</v>
      </c>
      <c r="V76" s="139">
        <f>IS_Others!Z81</f>
        <v>0.25343700000000002</v>
      </c>
      <c r="W76" s="139">
        <f>IS_Others!AA81</f>
        <v>0.25343700000000002</v>
      </c>
      <c r="X76" s="139">
        <f>IS_Others!AB81</f>
        <v>0.25343700000000002</v>
      </c>
      <c r="Y76" s="139">
        <f>IS_Others!AC81</f>
        <v>0.25343700000000002</v>
      </c>
      <c r="Z76" s="139">
        <f>IS_Others!AD81</f>
        <v>0.25343700000000002</v>
      </c>
      <c r="AA76" s="139">
        <f>IS_Others!AE81</f>
        <v>0.25343700000000002</v>
      </c>
      <c r="AB76" s="139">
        <f>IS_Others!AF81</f>
        <v>0.25343700000000002</v>
      </c>
      <c r="AC76" s="139">
        <f>IS_Others!AG81</f>
        <v>0.25343700000000002</v>
      </c>
      <c r="AD76" s="139">
        <f>IS_Others!AH81</f>
        <v>0.25343700000000002</v>
      </c>
      <c r="AE76" s="139">
        <f>IS_Others!AI81</f>
        <v>0.25343700000000002</v>
      </c>
      <c r="AF76" s="139">
        <f>IS_Others!AJ81</f>
        <v>0.38015549999999998</v>
      </c>
      <c r="AG76" s="139">
        <f>IS_Others!AK81</f>
        <v>0.38015549999999998</v>
      </c>
      <c r="AH76" s="139">
        <f>IS_Others!AL81</f>
        <v>0.38015549999999998</v>
      </c>
      <c r="AI76" s="139">
        <f>IS_Others!AM81</f>
        <v>0.38015549999999998</v>
      </c>
      <c r="AJ76" s="139">
        <f>IS_Others!AN81</f>
        <v>0.38015549999999998</v>
      </c>
      <c r="AK76" s="139">
        <f>IS_Others!AO81</f>
        <v>0.38015549999999998</v>
      </c>
      <c r="AL76" s="139">
        <f>IS_Others!AP81</f>
        <v>0.38015549999999998</v>
      </c>
      <c r="AM76" s="139">
        <f>IS_Others!AQ81</f>
        <v>0.38015549999999998</v>
      </c>
      <c r="AN76" s="139">
        <f>IS_Others!AR81</f>
        <v>0.38015549999999998</v>
      </c>
      <c r="AO76" s="139">
        <f>IS_Others!AS81</f>
        <v>0.38015549999999998</v>
      </c>
      <c r="AP76" s="139">
        <f>IS_Others!AT81</f>
        <v>0.38015549999999998</v>
      </c>
      <c r="AQ76" s="139">
        <f>IS_Others!AU81</f>
        <v>0.38015549999999998</v>
      </c>
      <c r="AR76" s="139">
        <f>IS_Others!AV81</f>
        <v>0.50687400000000005</v>
      </c>
      <c r="AS76" s="139">
        <f>IS_Others!AW81</f>
        <v>0.50687400000000005</v>
      </c>
      <c r="AT76" s="139">
        <f>IS_Others!AX81</f>
        <v>0.50687400000000005</v>
      </c>
      <c r="AU76" s="139">
        <f>IS_Others!AY81</f>
        <v>0.50687400000000005</v>
      </c>
      <c r="AV76" s="139">
        <f>IS_Others!AZ81</f>
        <v>0.50687400000000005</v>
      </c>
      <c r="AW76" s="139">
        <f>IS_Others!BA81</f>
        <v>0.50687400000000005</v>
      </c>
      <c r="AX76" s="139">
        <f>IS_Others!BB81</f>
        <v>0.50687400000000005</v>
      </c>
      <c r="AY76" s="139">
        <f>IS_Others!BC81</f>
        <v>0.50687400000000005</v>
      </c>
      <c r="AZ76" s="139">
        <f>IS_Others!BD81</f>
        <v>0.50687400000000005</v>
      </c>
      <c r="BA76" s="139">
        <f>IS_Others!BE81</f>
        <v>0.50687400000000005</v>
      </c>
      <c r="BB76" s="139">
        <f>IS_Others!BF81</f>
        <v>0.50687400000000005</v>
      </c>
      <c r="BC76" s="139">
        <f>IS_Others!BG81</f>
        <v>0.50687400000000005</v>
      </c>
      <c r="BD76" s="139">
        <f>IS_Others!BH81</f>
        <v>0.50687400000000005</v>
      </c>
      <c r="BE76" s="139">
        <f>IS_Others!BI81</f>
        <v>0.50687400000000005</v>
      </c>
      <c r="BF76" s="139">
        <f>IS_Others!BJ81</f>
        <v>0.50687400000000005</v>
      </c>
      <c r="BG76" s="139">
        <f>IS_Others!BK81</f>
        <v>0.50687400000000005</v>
      </c>
      <c r="BH76" s="139">
        <f>IS_Others!BL81</f>
        <v>0.50687400000000005</v>
      </c>
      <c r="BI76" s="139">
        <f>IS_Others!BM81</f>
        <v>0.50687400000000005</v>
      </c>
      <c r="BJ76" s="139">
        <f>IS_Others!BN81</f>
        <v>0.50687400000000005</v>
      </c>
      <c r="BK76" s="139">
        <f>IS_Others!BO81</f>
        <v>0.50687400000000005</v>
      </c>
      <c r="BL76" s="139">
        <f>IS_Others!BP81</f>
        <v>0.50687400000000005</v>
      </c>
      <c r="BM76" s="139">
        <f>IS_Others!BQ81</f>
        <v>0.50687400000000005</v>
      </c>
      <c r="BN76" s="139">
        <f>IS_Others!BR81</f>
        <v>0.50687400000000005</v>
      </c>
      <c r="BO76" s="139">
        <f>IS_Others!BS81</f>
        <v>0.50687400000000005</v>
      </c>
      <c r="BX76" s="456"/>
      <c r="BY76" s="456"/>
      <c r="BZ76" s="456"/>
      <c r="CA76" s="456"/>
    </row>
    <row r="77" spans="3:79" s="155" customFormat="1">
      <c r="C77" s="155" t="s">
        <v>108</v>
      </c>
      <c r="H77" s="155">
        <f>SUBTOTAL(9,H78:H80)</f>
        <v>3.3332999999999999</v>
      </c>
      <c r="I77" s="155">
        <f t="shared" ref="I77:BO77" si="40">SUBTOTAL(9,I78:I80)</f>
        <v>3.3332999999999999</v>
      </c>
      <c r="J77" s="155">
        <f t="shared" si="40"/>
        <v>3.3332999999999999</v>
      </c>
      <c r="K77" s="155">
        <f t="shared" si="40"/>
        <v>3.3332999999999999</v>
      </c>
      <c r="L77" s="155">
        <f t="shared" si="40"/>
        <v>3.3332999999999999</v>
      </c>
      <c r="M77" s="155">
        <f t="shared" si="40"/>
        <v>3.3332999999999999</v>
      </c>
      <c r="N77" s="155">
        <f t="shared" si="40"/>
        <v>68.333299999999994</v>
      </c>
      <c r="O77" s="155">
        <f t="shared" si="40"/>
        <v>68.333299999999994</v>
      </c>
      <c r="P77" s="155">
        <f t="shared" si="40"/>
        <v>68.333299999999994</v>
      </c>
      <c r="Q77" s="155">
        <f t="shared" si="40"/>
        <v>68.333299999999994</v>
      </c>
      <c r="R77" s="155">
        <f t="shared" si="40"/>
        <v>68.333299999999994</v>
      </c>
      <c r="S77" s="155">
        <f t="shared" si="40"/>
        <v>68.333299999999994</v>
      </c>
      <c r="T77" s="155">
        <f t="shared" si="40"/>
        <v>81.666633333333337</v>
      </c>
      <c r="U77" s="155">
        <f t="shared" si="40"/>
        <v>81.666633333333337</v>
      </c>
      <c r="V77" s="155">
        <f t="shared" si="40"/>
        <v>81.666633333333337</v>
      </c>
      <c r="W77" s="155">
        <f t="shared" si="40"/>
        <v>81.666633333333337</v>
      </c>
      <c r="X77" s="155">
        <f t="shared" si="40"/>
        <v>81.666633333333337</v>
      </c>
      <c r="Y77" s="155">
        <f t="shared" si="40"/>
        <v>81.666633333333337</v>
      </c>
      <c r="Z77" s="155">
        <f t="shared" si="40"/>
        <v>106.66663333333334</v>
      </c>
      <c r="AA77" s="155">
        <f t="shared" si="40"/>
        <v>106.66663333333334</v>
      </c>
      <c r="AB77" s="155">
        <f t="shared" si="40"/>
        <v>106.66663333333334</v>
      </c>
      <c r="AC77" s="155">
        <f t="shared" si="40"/>
        <v>106.66663333333334</v>
      </c>
      <c r="AD77" s="155">
        <f t="shared" si="40"/>
        <v>106.66663333333334</v>
      </c>
      <c r="AE77" s="155">
        <f t="shared" si="40"/>
        <v>106.66663333333334</v>
      </c>
      <c r="AF77" s="155">
        <f t="shared" si="40"/>
        <v>119.99996666666667</v>
      </c>
      <c r="AG77" s="155">
        <f t="shared" si="40"/>
        <v>119.99996666666667</v>
      </c>
      <c r="AH77" s="155">
        <f t="shared" si="40"/>
        <v>119.99996666666667</v>
      </c>
      <c r="AI77" s="155">
        <f t="shared" si="40"/>
        <v>119.99996666666667</v>
      </c>
      <c r="AJ77" s="155">
        <f t="shared" si="40"/>
        <v>119.99996666666667</v>
      </c>
      <c r="AK77" s="155">
        <f t="shared" si="40"/>
        <v>119.99996666666667</v>
      </c>
      <c r="AL77" s="155">
        <f t="shared" si="40"/>
        <v>144.99996666666669</v>
      </c>
      <c r="AM77" s="155">
        <f t="shared" si="40"/>
        <v>144.99996666666669</v>
      </c>
      <c r="AN77" s="155">
        <f t="shared" si="40"/>
        <v>144.99996666666669</v>
      </c>
      <c r="AO77" s="155">
        <f t="shared" si="40"/>
        <v>144.99996666666669</v>
      </c>
      <c r="AP77" s="155">
        <f t="shared" si="40"/>
        <v>144.99996666666669</v>
      </c>
      <c r="AQ77" s="155">
        <f t="shared" si="40"/>
        <v>144.99996666666669</v>
      </c>
      <c r="AR77" s="155">
        <f t="shared" si="40"/>
        <v>169.99996666666669</v>
      </c>
      <c r="AS77" s="155">
        <f t="shared" si="40"/>
        <v>169.99996666666669</v>
      </c>
      <c r="AT77" s="155">
        <f t="shared" si="40"/>
        <v>169.99996666666669</v>
      </c>
      <c r="AU77" s="155">
        <f t="shared" si="40"/>
        <v>169.99996666666669</v>
      </c>
      <c r="AV77" s="155">
        <f t="shared" si="40"/>
        <v>169.99996666666669</v>
      </c>
      <c r="AW77" s="155">
        <f t="shared" si="40"/>
        <v>169.99996666666669</v>
      </c>
      <c r="AX77" s="155">
        <f t="shared" si="40"/>
        <v>194.99996666666669</v>
      </c>
      <c r="AY77" s="155">
        <f t="shared" si="40"/>
        <v>194.99996666666669</v>
      </c>
      <c r="AZ77" s="155">
        <f t="shared" si="40"/>
        <v>194.99996666666669</v>
      </c>
      <c r="BA77" s="155">
        <f t="shared" si="40"/>
        <v>194.99996666666669</v>
      </c>
      <c r="BB77" s="155">
        <f t="shared" si="40"/>
        <v>194.99996666666669</v>
      </c>
      <c r="BC77" s="155">
        <f t="shared" si="40"/>
        <v>194.99996666666669</v>
      </c>
      <c r="BD77" s="155">
        <f t="shared" si="40"/>
        <v>194.99996666666669</v>
      </c>
      <c r="BE77" s="155">
        <f t="shared" si="40"/>
        <v>194.99996666666669</v>
      </c>
      <c r="BF77" s="155">
        <f t="shared" si="40"/>
        <v>194.99996666666669</v>
      </c>
      <c r="BG77" s="155">
        <f t="shared" si="40"/>
        <v>194.99996666666669</v>
      </c>
      <c r="BH77" s="155">
        <f t="shared" si="40"/>
        <v>194.99996666666669</v>
      </c>
      <c r="BI77" s="155">
        <f t="shared" si="40"/>
        <v>194.99996666666669</v>
      </c>
      <c r="BJ77" s="155">
        <f t="shared" si="40"/>
        <v>194.99996666666669</v>
      </c>
      <c r="BK77" s="155">
        <f t="shared" si="40"/>
        <v>194.99996666666669</v>
      </c>
      <c r="BL77" s="155">
        <f t="shared" si="40"/>
        <v>194.99996666666669</v>
      </c>
      <c r="BM77" s="155">
        <f t="shared" si="40"/>
        <v>194.99996666666669</v>
      </c>
      <c r="BN77" s="155">
        <f t="shared" si="40"/>
        <v>194.99996666666669</v>
      </c>
      <c r="BO77" s="155">
        <f t="shared" si="40"/>
        <v>194.99996666666669</v>
      </c>
      <c r="BQ77" s="155">
        <f>SUM(H77:S77)</f>
        <v>429.99960000000004</v>
      </c>
      <c r="BR77" s="155">
        <f>SUM(T77:AE77)</f>
        <v>1129.9996000000001</v>
      </c>
      <c r="BS77" s="155">
        <f>SUM(AF77:AQ77)</f>
        <v>1589.9996000000003</v>
      </c>
      <c r="BT77" s="155">
        <f>SUM(AR77:BC77)</f>
        <v>2189.9996000000006</v>
      </c>
      <c r="BU77" s="155">
        <f>SUM(BD77:BO77)</f>
        <v>2339.9996000000006</v>
      </c>
      <c r="BX77" s="454">
        <f t="shared" si="34"/>
        <v>1.6279084910776662</v>
      </c>
      <c r="BY77" s="454">
        <f t="shared" si="35"/>
        <v>0.40707979011674</v>
      </c>
      <c r="BZ77" s="454">
        <f t="shared" si="36"/>
        <v>0.37735858549901535</v>
      </c>
      <c r="CA77" s="454">
        <f t="shared" si="37"/>
        <v>6.8493163195098239E-2</v>
      </c>
    </row>
    <row r="78" spans="3:79" outlineLevel="1">
      <c r="D78" s="139" t="s">
        <v>178</v>
      </c>
      <c r="H78" s="139">
        <f>IS_Others!L83</f>
        <v>1.3332999999999999</v>
      </c>
      <c r="I78" s="139">
        <f>IS_Others!M83</f>
        <v>1.3332999999999999</v>
      </c>
      <c r="J78" s="139">
        <f>IS_Others!N83</f>
        <v>1.3332999999999999</v>
      </c>
      <c r="K78" s="139">
        <f>IS_Others!O83</f>
        <v>1.3332999999999999</v>
      </c>
      <c r="L78" s="139">
        <f>IS_Others!P83</f>
        <v>1.3332999999999999</v>
      </c>
      <c r="M78" s="139">
        <f>IS_Others!Q83</f>
        <v>1.3332999999999999</v>
      </c>
      <c r="N78" s="139">
        <f>IS_Others!R83</f>
        <v>1.3332999999999999</v>
      </c>
      <c r="O78" s="139">
        <f>IS_Others!S83</f>
        <v>1.3332999999999999</v>
      </c>
      <c r="P78" s="139">
        <f>IS_Others!T83</f>
        <v>1.3332999999999999</v>
      </c>
      <c r="Q78" s="139">
        <f>IS_Others!U83</f>
        <v>1.3332999999999999</v>
      </c>
      <c r="R78" s="139">
        <f>IS_Others!V83</f>
        <v>1.3332999999999999</v>
      </c>
      <c r="S78" s="139">
        <f>IS_Others!W83</f>
        <v>1.3332999999999999</v>
      </c>
      <c r="T78" s="139">
        <f>IS_Others!X83</f>
        <v>1.3332999999999999</v>
      </c>
      <c r="U78" s="139">
        <f>IS_Others!Y83</f>
        <v>1.3332999999999999</v>
      </c>
      <c r="V78" s="139">
        <f>IS_Others!Z83</f>
        <v>1.3332999999999999</v>
      </c>
      <c r="W78" s="139">
        <f>IS_Others!AA83</f>
        <v>1.3332999999999999</v>
      </c>
      <c r="X78" s="139">
        <f>IS_Others!AB83</f>
        <v>1.3332999999999999</v>
      </c>
      <c r="Y78" s="139">
        <f>IS_Others!AC83</f>
        <v>1.3332999999999999</v>
      </c>
      <c r="Z78" s="139">
        <f>IS_Others!AD83</f>
        <v>1.3332999999999999</v>
      </c>
      <c r="AA78" s="139">
        <f>IS_Others!AE83</f>
        <v>1.3332999999999999</v>
      </c>
      <c r="AB78" s="139">
        <f>IS_Others!AF83</f>
        <v>1.3332999999999999</v>
      </c>
      <c r="AC78" s="139">
        <f>IS_Others!AG83</f>
        <v>1.3332999999999999</v>
      </c>
      <c r="AD78" s="139">
        <f>IS_Others!AH83</f>
        <v>1.3332999999999999</v>
      </c>
      <c r="AE78" s="139">
        <f>IS_Others!AI83</f>
        <v>1.3332999999999999</v>
      </c>
      <c r="AF78" s="139">
        <f>IS_Others!AJ83</f>
        <v>1.3332999999999999</v>
      </c>
      <c r="AG78" s="139">
        <f>IS_Others!AK83</f>
        <v>1.3332999999999999</v>
      </c>
      <c r="AH78" s="139">
        <f>IS_Others!AL83</f>
        <v>1.3332999999999999</v>
      </c>
      <c r="AI78" s="139">
        <f>IS_Others!AM83</f>
        <v>1.3332999999999999</v>
      </c>
      <c r="AJ78" s="139">
        <f>IS_Others!AN83</f>
        <v>1.3332999999999999</v>
      </c>
      <c r="AK78" s="139">
        <f>IS_Others!AO83</f>
        <v>1.3332999999999999</v>
      </c>
      <c r="AL78" s="139">
        <f>IS_Others!AP83</f>
        <v>1.3332999999999999</v>
      </c>
      <c r="AM78" s="139">
        <f>IS_Others!AQ83</f>
        <v>1.3332999999999999</v>
      </c>
      <c r="AN78" s="139">
        <f>IS_Others!AR83</f>
        <v>1.3332999999999999</v>
      </c>
      <c r="AO78" s="139">
        <f>IS_Others!AS83</f>
        <v>1.3332999999999999</v>
      </c>
      <c r="AP78" s="139">
        <f>IS_Others!AT83</f>
        <v>1.3332999999999999</v>
      </c>
      <c r="AQ78" s="139">
        <f>IS_Others!AU83</f>
        <v>1.3332999999999999</v>
      </c>
      <c r="AR78" s="139">
        <f>IS_Others!AV83</f>
        <v>1.3332999999999999</v>
      </c>
      <c r="AS78" s="139">
        <f>IS_Others!AW83</f>
        <v>1.3332999999999999</v>
      </c>
      <c r="AT78" s="139">
        <f>IS_Others!AX83</f>
        <v>1.3332999999999999</v>
      </c>
      <c r="AU78" s="139">
        <f>IS_Others!AY83</f>
        <v>1.3332999999999999</v>
      </c>
      <c r="AV78" s="139">
        <f>IS_Others!AZ83</f>
        <v>1.3332999999999999</v>
      </c>
      <c r="AW78" s="139">
        <f>IS_Others!BA83</f>
        <v>1.3332999999999999</v>
      </c>
      <c r="AX78" s="139">
        <f>IS_Others!BB83</f>
        <v>1.3332999999999999</v>
      </c>
      <c r="AY78" s="139">
        <f>IS_Others!BC83</f>
        <v>1.3332999999999999</v>
      </c>
      <c r="AZ78" s="139">
        <f>IS_Others!BD83</f>
        <v>1.3332999999999999</v>
      </c>
      <c r="BA78" s="139">
        <f>IS_Others!BE83</f>
        <v>1.3332999999999999</v>
      </c>
      <c r="BB78" s="139">
        <f>IS_Others!BF83</f>
        <v>1.3332999999999999</v>
      </c>
      <c r="BC78" s="139">
        <f>IS_Others!BG83</f>
        <v>1.3332999999999999</v>
      </c>
      <c r="BD78" s="139">
        <f>IS_Others!BH83</f>
        <v>1.3332999999999999</v>
      </c>
      <c r="BE78" s="139">
        <f>IS_Others!BI83</f>
        <v>1.3332999999999999</v>
      </c>
      <c r="BF78" s="139">
        <f>IS_Others!BJ83</f>
        <v>1.3332999999999999</v>
      </c>
      <c r="BG78" s="139">
        <f>IS_Others!BK83</f>
        <v>1.3332999999999999</v>
      </c>
      <c r="BH78" s="139">
        <f>IS_Others!BL83</f>
        <v>1.3332999999999999</v>
      </c>
      <c r="BI78" s="139">
        <f>IS_Others!BM83</f>
        <v>1.3332999999999999</v>
      </c>
      <c r="BJ78" s="139">
        <f>IS_Others!BN83</f>
        <v>1.3332999999999999</v>
      </c>
      <c r="BK78" s="139">
        <f>IS_Others!BO83</f>
        <v>1.3332999999999999</v>
      </c>
      <c r="BL78" s="139">
        <f>IS_Others!BP83</f>
        <v>1.3332999999999999</v>
      </c>
      <c r="BM78" s="139">
        <f>IS_Others!BQ83</f>
        <v>1.3332999999999999</v>
      </c>
      <c r="BN78" s="139">
        <f>IS_Others!BR83</f>
        <v>1.3332999999999999</v>
      </c>
      <c r="BO78" s="139">
        <f>IS_Others!BS83</f>
        <v>1.3332999999999999</v>
      </c>
      <c r="BX78" s="456"/>
      <c r="BY78" s="456"/>
      <c r="BZ78" s="456"/>
      <c r="CA78" s="456"/>
    </row>
    <row r="79" spans="3:79" outlineLevel="1">
      <c r="D79" s="139" t="s">
        <v>63</v>
      </c>
      <c r="H79" s="139">
        <f>IS_Others!L84</f>
        <v>0</v>
      </c>
      <c r="I79" s="139">
        <f>IS_Others!M84</f>
        <v>0</v>
      </c>
      <c r="J79" s="139">
        <f>IS_Others!N84</f>
        <v>0</v>
      </c>
      <c r="K79" s="139">
        <f>IS_Others!O84</f>
        <v>0</v>
      </c>
      <c r="L79" s="139">
        <f>IS_Others!P84</f>
        <v>0</v>
      </c>
      <c r="M79" s="139">
        <f>IS_Others!Q84</f>
        <v>0</v>
      </c>
      <c r="N79" s="139">
        <f>IS_Others!R84</f>
        <v>65</v>
      </c>
      <c r="O79" s="139">
        <f>IS_Others!S84</f>
        <v>65</v>
      </c>
      <c r="P79" s="139">
        <f>IS_Others!T84</f>
        <v>65</v>
      </c>
      <c r="Q79" s="139">
        <f>IS_Others!U84</f>
        <v>65</v>
      </c>
      <c r="R79" s="139">
        <f>IS_Others!V84</f>
        <v>65</v>
      </c>
      <c r="S79" s="139">
        <f>IS_Others!W84</f>
        <v>65</v>
      </c>
      <c r="T79" s="139">
        <f>IS_Others!X84</f>
        <v>78.333333333333343</v>
      </c>
      <c r="U79" s="139">
        <f>IS_Others!Y84</f>
        <v>78.333333333333343</v>
      </c>
      <c r="V79" s="139">
        <f>IS_Others!Z84</f>
        <v>78.333333333333343</v>
      </c>
      <c r="W79" s="139">
        <f>IS_Others!AA84</f>
        <v>78.333333333333343</v>
      </c>
      <c r="X79" s="139">
        <f>IS_Others!AB84</f>
        <v>78.333333333333343</v>
      </c>
      <c r="Y79" s="139">
        <f>IS_Others!AC84</f>
        <v>78.333333333333343</v>
      </c>
      <c r="Z79" s="139">
        <f>IS_Others!AD84</f>
        <v>103.33333333333334</v>
      </c>
      <c r="AA79" s="139">
        <f>IS_Others!AE84</f>
        <v>103.33333333333334</v>
      </c>
      <c r="AB79" s="139">
        <f>IS_Others!AF84</f>
        <v>103.33333333333334</v>
      </c>
      <c r="AC79" s="139">
        <f>IS_Others!AG84</f>
        <v>103.33333333333334</v>
      </c>
      <c r="AD79" s="139">
        <f>IS_Others!AH84</f>
        <v>103.33333333333334</v>
      </c>
      <c r="AE79" s="139">
        <f>IS_Others!AI84</f>
        <v>103.33333333333334</v>
      </c>
      <c r="AF79" s="139">
        <f>IS_Others!AJ84</f>
        <v>116.66666666666667</v>
      </c>
      <c r="AG79" s="139">
        <f>IS_Others!AK84</f>
        <v>116.66666666666667</v>
      </c>
      <c r="AH79" s="139">
        <f>IS_Others!AL84</f>
        <v>116.66666666666667</v>
      </c>
      <c r="AI79" s="139">
        <f>IS_Others!AM84</f>
        <v>116.66666666666667</v>
      </c>
      <c r="AJ79" s="139">
        <f>IS_Others!AN84</f>
        <v>116.66666666666667</v>
      </c>
      <c r="AK79" s="139">
        <f>IS_Others!AO84</f>
        <v>116.66666666666667</v>
      </c>
      <c r="AL79" s="139">
        <f>IS_Others!AP84</f>
        <v>141.66666666666669</v>
      </c>
      <c r="AM79" s="139">
        <f>IS_Others!AQ84</f>
        <v>141.66666666666669</v>
      </c>
      <c r="AN79" s="139">
        <f>IS_Others!AR84</f>
        <v>141.66666666666669</v>
      </c>
      <c r="AO79" s="139">
        <f>IS_Others!AS84</f>
        <v>141.66666666666669</v>
      </c>
      <c r="AP79" s="139">
        <f>IS_Others!AT84</f>
        <v>141.66666666666669</v>
      </c>
      <c r="AQ79" s="139">
        <f>IS_Others!AU84</f>
        <v>141.66666666666669</v>
      </c>
      <c r="AR79" s="139">
        <f>IS_Others!AV84</f>
        <v>166.66666666666669</v>
      </c>
      <c r="AS79" s="139">
        <f>IS_Others!AW84</f>
        <v>166.66666666666669</v>
      </c>
      <c r="AT79" s="139">
        <f>IS_Others!AX84</f>
        <v>166.66666666666669</v>
      </c>
      <c r="AU79" s="139">
        <f>IS_Others!AY84</f>
        <v>166.66666666666669</v>
      </c>
      <c r="AV79" s="139">
        <f>IS_Others!AZ84</f>
        <v>166.66666666666669</v>
      </c>
      <c r="AW79" s="139">
        <f>IS_Others!BA84</f>
        <v>166.66666666666669</v>
      </c>
      <c r="AX79" s="139">
        <f>IS_Others!BB84</f>
        <v>191.66666666666669</v>
      </c>
      <c r="AY79" s="139">
        <f>IS_Others!BC84</f>
        <v>191.66666666666669</v>
      </c>
      <c r="AZ79" s="139">
        <f>IS_Others!BD84</f>
        <v>191.66666666666669</v>
      </c>
      <c r="BA79" s="139">
        <f>IS_Others!BE84</f>
        <v>191.66666666666669</v>
      </c>
      <c r="BB79" s="139">
        <f>IS_Others!BF84</f>
        <v>191.66666666666669</v>
      </c>
      <c r="BC79" s="139">
        <f>IS_Others!BG84</f>
        <v>191.66666666666669</v>
      </c>
      <c r="BD79" s="139">
        <f>IS_Others!BH84</f>
        <v>191.66666666666669</v>
      </c>
      <c r="BE79" s="139">
        <f>IS_Others!BI84</f>
        <v>191.66666666666669</v>
      </c>
      <c r="BF79" s="139">
        <f>IS_Others!BJ84</f>
        <v>191.66666666666669</v>
      </c>
      <c r="BG79" s="139">
        <f>IS_Others!BK84</f>
        <v>191.66666666666669</v>
      </c>
      <c r="BH79" s="139">
        <f>IS_Others!BL84</f>
        <v>191.66666666666669</v>
      </c>
      <c r="BI79" s="139">
        <f>IS_Others!BM84</f>
        <v>191.66666666666669</v>
      </c>
      <c r="BJ79" s="139">
        <f>IS_Others!BN84</f>
        <v>191.66666666666669</v>
      </c>
      <c r="BK79" s="139">
        <f>IS_Others!BO84</f>
        <v>191.66666666666669</v>
      </c>
      <c r="BL79" s="139">
        <f>IS_Others!BP84</f>
        <v>191.66666666666669</v>
      </c>
      <c r="BM79" s="139">
        <f>IS_Others!BQ84</f>
        <v>191.66666666666669</v>
      </c>
      <c r="BN79" s="139">
        <f>IS_Others!BR84</f>
        <v>191.66666666666669</v>
      </c>
      <c r="BO79" s="139">
        <f>IS_Others!BS84</f>
        <v>191.66666666666669</v>
      </c>
      <c r="BX79" s="456"/>
      <c r="BY79" s="456"/>
      <c r="BZ79" s="456"/>
      <c r="CA79" s="456"/>
    </row>
    <row r="80" spans="3:79" outlineLevel="1">
      <c r="D80" s="139" t="s">
        <v>179</v>
      </c>
      <c r="H80" s="139">
        <f>IS_Others!L85</f>
        <v>2</v>
      </c>
      <c r="I80" s="139">
        <f>IS_Others!M85</f>
        <v>2</v>
      </c>
      <c r="J80" s="139">
        <f>IS_Others!N85</f>
        <v>2</v>
      </c>
      <c r="K80" s="139">
        <f>IS_Others!O85</f>
        <v>2</v>
      </c>
      <c r="L80" s="139">
        <f>IS_Others!P85</f>
        <v>2</v>
      </c>
      <c r="M80" s="139">
        <f>IS_Others!Q85</f>
        <v>2</v>
      </c>
      <c r="N80" s="139">
        <f>IS_Others!R85</f>
        <v>2</v>
      </c>
      <c r="O80" s="139">
        <f>IS_Others!S85</f>
        <v>2</v>
      </c>
      <c r="P80" s="139">
        <f>IS_Others!T85</f>
        <v>2</v>
      </c>
      <c r="Q80" s="139">
        <f>IS_Others!U85</f>
        <v>2</v>
      </c>
      <c r="R80" s="139">
        <f>IS_Others!V85</f>
        <v>2</v>
      </c>
      <c r="S80" s="139">
        <f>IS_Others!W85</f>
        <v>2</v>
      </c>
      <c r="T80" s="139">
        <f>IS_Others!X85</f>
        <v>2</v>
      </c>
      <c r="U80" s="139">
        <f>IS_Others!Y85</f>
        <v>2</v>
      </c>
      <c r="V80" s="139">
        <f>IS_Others!Z85</f>
        <v>2</v>
      </c>
      <c r="W80" s="139">
        <f>IS_Others!AA85</f>
        <v>2</v>
      </c>
      <c r="X80" s="139">
        <f>IS_Others!AB85</f>
        <v>2</v>
      </c>
      <c r="Y80" s="139">
        <f>IS_Others!AC85</f>
        <v>2</v>
      </c>
      <c r="Z80" s="139">
        <f>IS_Others!AD85</f>
        <v>2</v>
      </c>
      <c r="AA80" s="139">
        <f>IS_Others!AE85</f>
        <v>2</v>
      </c>
      <c r="AB80" s="139">
        <f>IS_Others!AF85</f>
        <v>2</v>
      </c>
      <c r="AC80" s="139">
        <f>IS_Others!AG85</f>
        <v>2</v>
      </c>
      <c r="AD80" s="139">
        <f>IS_Others!AH85</f>
        <v>2</v>
      </c>
      <c r="AE80" s="139">
        <f>IS_Others!AI85</f>
        <v>2</v>
      </c>
      <c r="AF80" s="139">
        <f>IS_Others!AJ85</f>
        <v>2</v>
      </c>
      <c r="AG80" s="139">
        <f>IS_Others!AK85</f>
        <v>2</v>
      </c>
      <c r="AH80" s="139">
        <f>IS_Others!AL85</f>
        <v>2</v>
      </c>
      <c r="AI80" s="139">
        <f>IS_Others!AM85</f>
        <v>2</v>
      </c>
      <c r="AJ80" s="139">
        <f>IS_Others!AN85</f>
        <v>2</v>
      </c>
      <c r="AK80" s="139">
        <f>IS_Others!AO85</f>
        <v>2</v>
      </c>
      <c r="AL80" s="139">
        <f>IS_Others!AP85</f>
        <v>2</v>
      </c>
      <c r="AM80" s="139">
        <f>IS_Others!AQ85</f>
        <v>2</v>
      </c>
      <c r="AN80" s="139">
        <f>IS_Others!AR85</f>
        <v>2</v>
      </c>
      <c r="AO80" s="139">
        <f>IS_Others!AS85</f>
        <v>2</v>
      </c>
      <c r="AP80" s="139">
        <f>IS_Others!AT85</f>
        <v>2</v>
      </c>
      <c r="AQ80" s="139">
        <f>IS_Others!AU85</f>
        <v>2</v>
      </c>
      <c r="AR80" s="139">
        <f>IS_Others!AV85</f>
        <v>2</v>
      </c>
      <c r="AS80" s="139">
        <f>IS_Others!AW85</f>
        <v>2</v>
      </c>
      <c r="AT80" s="139">
        <f>IS_Others!AX85</f>
        <v>2</v>
      </c>
      <c r="AU80" s="139">
        <f>IS_Others!AY85</f>
        <v>2</v>
      </c>
      <c r="AV80" s="139">
        <f>IS_Others!AZ85</f>
        <v>2</v>
      </c>
      <c r="AW80" s="139">
        <f>IS_Others!BA85</f>
        <v>2</v>
      </c>
      <c r="AX80" s="139">
        <f>IS_Others!BB85</f>
        <v>2</v>
      </c>
      <c r="AY80" s="139">
        <f>IS_Others!BC85</f>
        <v>2</v>
      </c>
      <c r="AZ80" s="139">
        <f>IS_Others!BD85</f>
        <v>2</v>
      </c>
      <c r="BA80" s="139">
        <f>IS_Others!BE85</f>
        <v>2</v>
      </c>
      <c r="BB80" s="139">
        <f>IS_Others!BF85</f>
        <v>2</v>
      </c>
      <c r="BC80" s="139">
        <f>IS_Others!BG85</f>
        <v>2</v>
      </c>
      <c r="BD80" s="139">
        <f>IS_Others!BH85</f>
        <v>2</v>
      </c>
      <c r="BE80" s="139">
        <f>IS_Others!BI85</f>
        <v>2</v>
      </c>
      <c r="BF80" s="139">
        <f>IS_Others!BJ85</f>
        <v>2</v>
      </c>
      <c r="BG80" s="139">
        <f>IS_Others!BK85</f>
        <v>2</v>
      </c>
      <c r="BH80" s="139">
        <f>IS_Others!BL85</f>
        <v>2</v>
      </c>
      <c r="BI80" s="139">
        <f>IS_Others!BM85</f>
        <v>2</v>
      </c>
      <c r="BJ80" s="139">
        <f>IS_Others!BN85</f>
        <v>2</v>
      </c>
      <c r="BK80" s="139">
        <f>IS_Others!BO85</f>
        <v>2</v>
      </c>
      <c r="BL80" s="139">
        <f>IS_Others!BP85</f>
        <v>2</v>
      </c>
      <c r="BM80" s="139">
        <f>IS_Others!BQ85</f>
        <v>2</v>
      </c>
      <c r="BN80" s="139">
        <f>IS_Others!BR85</f>
        <v>2</v>
      </c>
      <c r="BO80" s="139">
        <f>IS_Others!BS85</f>
        <v>2</v>
      </c>
      <c r="BX80" s="456"/>
      <c r="BY80" s="456"/>
      <c r="BZ80" s="456"/>
      <c r="CA80" s="456"/>
    </row>
    <row r="81" spans="3:79" s="155" customFormat="1">
      <c r="C81" s="155" t="s">
        <v>106</v>
      </c>
      <c r="H81" s="155">
        <f>SUBTOTAL(9,H82:H83)</f>
        <v>0</v>
      </c>
      <c r="I81" s="155">
        <f t="shared" ref="I81:BO81" si="41">SUBTOTAL(9,I82:I83)</f>
        <v>0</v>
      </c>
      <c r="J81" s="155">
        <f t="shared" si="41"/>
        <v>0</v>
      </c>
      <c r="K81" s="155">
        <f t="shared" si="41"/>
        <v>0</v>
      </c>
      <c r="L81" s="155">
        <f t="shared" si="41"/>
        <v>0</v>
      </c>
      <c r="M81" s="155">
        <f t="shared" si="41"/>
        <v>0</v>
      </c>
      <c r="N81" s="155">
        <f t="shared" si="41"/>
        <v>968.65000000000009</v>
      </c>
      <c r="O81" s="155">
        <f t="shared" si="41"/>
        <v>968.65000000000009</v>
      </c>
      <c r="P81" s="155">
        <f t="shared" si="41"/>
        <v>968.65000000000009</v>
      </c>
      <c r="Q81" s="155">
        <f t="shared" si="41"/>
        <v>968.65000000000009</v>
      </c>
      <c r="R81" s="155">
        <f t="shared" si="41"/>
        <v>968.65000000000009</v>
      </c>
      <c r="S81" s="155">
        <f t="shared" si="41"/>
        <v>968.65000000000009</v>
      </c>
      <c r="T81" s="155">
        <f t="shared" si="41"/>
        <v>1196.6500000000001</v>
      </c>
      <c r="U81" s="155">
        <f t="shared" si="41"/>
        <v>1196.6500000000001</v>
      </c>
      <c r="V81" s="155">
        <f t="shared" si="41"/>
        <v>1196.6500000000001</v>
      </c>
      <c r="W81" s="155">
        <f t="shared" si="41"/>
        <v>1196.6500000000001</v>
      </c>
      <c r="X81" s="155">
        <f t="shared" si="41"/>
        <v>1196.6500000000001</v>
      </c>
      <c r="Y81" s="155">
        <f t="shared" si="41"/>
        <v>1196.6500000000001</v>
      </c>
      <c r="Z81" s="155">
        <f t="shared" si="41"/>
        <v>1481.3000000000002</v>
      </c>
      <c r="AA81" s="155">
        <f t="shared" si="41"/>
        <v>1481.3000000000002</v>
      </c>
      <c r="AB81" s="155">
        <f t="shared" si="41"/>
        <v>1481.3000000000002</v>
      </c>
      <c r="AC81" s="155">
        <f t="shared" si="41"/>
        <v>1481.3000000000002</v>
      </c>
      <c r="AD81" s="155">
        <f t="shared" si="41"/>
        <v>1481.3000000000002</v>
      </c>
      <c r="AE81" s="155">
        <f t="shared" si="41"/>
        <v>1481.3000000000002</v>
      </c>
      <c r="AF81" s="155">
        <f t="shared" si="41"/>
        <v>1709.3</v>
      </c>
      <c r="AG81" s="155">
        <f t="shared" si="41"/>
        <v>1709.3</v>
      </c>
      <c r="AH81" s="155">
        <f t="shared" si="41"/>
        <v>1709.3</v>
      </c>
      <c r="AI81" s="155">
        <f t="shared" si="41"/>
        <v>1709.3</v>
      </c>
      <c r="AJ81" s="155">
        <f t="shared" si="41"/>
        <v>1709.3</v>
      </c>
      <c r="AK81" s="155">
        <f t="shared" si="41"/>
        <v>1709.3</v>
      </c>
      <c r="AL81" s="155">
        <f t="shared" si="41"/>
        <v>1993.95</v>
      </c>
      <c r="AM81" s="155">
        <f t="shared" si="41"/>
        <v>1993.95</v>
      </c>
      <c r="AN81" s="155">
        <f t="shared" si="41"/>
        <v>1993.95</v>
      </c>
      <c r="AO81" s="155">
        <f t="shared" si="41"/>
        <v>1993.95</v>
      </c>
      <c r="AP81" s="155">
        <f t="shared" si="41"/>
        <v>1993.95</v>
      </c>
      <c r="AQ81" s="155">
        <f t="shared" si="41"/>
        <v>1993.95</v>
      </c>
      <c r="AR81" s="155">
        <f t="shared" si="41"/>
        <v>2278.6</v>
      </c>
      <c r="AS81" s="155">
        <f t="shared" si="41"/>
        <v>2278.6</v>
      </c>
      <c r="AT81" s="155">
        <f t="shared" si="41"/>
        <v>2278.6</v>
      </c>
      <c r="AU81" s="155">
        <f t="shared" si="41"/>
        <v>2278.6</v>
      </c>
      <c r="AV81" s="155">
        <f t="shared" si="41"/>
        <v>2278.6</v>
      </c>
      <c r="AW81" s="155">
        <f t="shared" si="41"/>
        <v>2278.6</v>
      </c>
      <c r="AX81" s="155">
        <f t="shared" si="41"/>
        <v>2563.25</v>
      </c>
      <c r="AY81" s="155">
        <f t="shared" si="41"/>
        <v>2563.25</v>
      </c>
      <c r="AZ81" s="155">
        <f t="shared" si="41"/>
        <v>2563.25</v>
      </c>
      <c r="BA81" s="155">
        <f t="shared" si="41"/>
        <v>2563.25</v>
      </c>
      <c r="BB81" s="155">
        <f t="shared" si="41"/>
        <v>2563.25</v>
      </c>
      <c r="BC81" s="155">
        <f t="shared" si="41"/>
        <v>2563.25</v>
      </c>
      <c r="BD81" s="155">
        <f t="shared" si="41"/>
        <v>2563.25</v>
      </c>
      <c r="BE81" s="155">
        <f t="shared" si="41"/>
        <v>2563.25</v>
      </c>
      <c r="BF81" s="155">
        <f t="shared" si="41"/>
        <v>2563.25</v>
      </c>
      <c r="BG81" s="155">
        <f t="shared" si="41"/>
        <v>2563.25</v>
      </c>
      <c r="BH81" s="155">
        <f t="shared" si="41"/>
        <v>2563.25</v>
      </c>
      <c r="BI81" s="155">
        <f t="shared" si="41"/>
        <v>2563.25</v>
      </c>
      <c r="BJ81" s="155">
        <f t="shared" si="41"/>
        <v>2563.25</v>
      </c>
      <c r="BK81" s="155">
        <f t="shared" si="41"/>
        <v>2563.25</v>
      </c>
      <c r="BL81" s="155">
        <f t="shared" si="41"/>
        <v>2563.25</v>
      </c>
      <c r="BM81" s="155">
        <f t="shared" si="41"/>
        <v>2563.25</v>
      </c>
      <c r="BN81" s="155">
        <f t="shared" si="41"/>
        <v>2563.25</v>
      </c>
      <c r="BO81" s="155">
        <f t="shared" si="41"/>
        <v>2563.25</v>
      </c>
      <c r="BQ81" s="155">
        <f>SUM(H81:S81)</f>
        <v>5811.9</v>
      </c>
      <c r="BR81" s="155">
        <f>SUM(T81:AE81)</f>
        <v>16067.699999999997</v>
      </c>
      <c r="BS81" s="155">
        <f>SUM(AF81:AQ81)</f>
        <v>22219.500000000004</v>
      </c>
      <c r="BT81" s="155">
        <f>SUM(AR81:BC81)</f>
        <v>29051.1</v>
      </c>
      <c r="BU81" s="155">
        <f>SUM(BD81:BO81)</f>
        <v>30759</v>
      </c>
      <c r="BX81" s="454">
        <f t="shared" si="34"/>
        <v>1.7646208640891961</v>
      </c>
      <c r="BY81" s="454">
        <f t="shared" si="35"/>
        <v>0.38286749192479363</v>
      </c>
      <c r="BZ81" s="454">
        <f t="shared" si="36"/>
        <v>0.30745966380881629</v>
      </c>
      <c r="CA81" s="454">
        <f t="shared" si="37"/>
        <v>5.8789512273201394E-2</v>
      </c>
    </row>
    <row r="82" spans="3:79" outlineLevel="1">
      <c r="D82" s="139" t="s">
        <v>180</v>
      </c>
      <c r="H82" s="139">
        <f>IS_Others!L87</f>
        <v>0</v>
      </c>
      <c r="I82" s="139">
        <f>IS_Others!M87</f>
        <v>0</v>
      </c>
      <c r="J82" s="139">
        <f>IS_Others!N87</f>
        <v>0</v>
      </c>
      <c r="K82" s="139">
        <f>IS_Others!O87</f>
        <v>0</v>
      </c>
      <c r="L82" s="139">
        <f>IS_Others!P87</f>
        <v>0</v>
      </c>
      <c r="M82" s="139">
        <f>IS_Others!Q87</f>
        <v>0</v>
      </c>
      <c r="N82" s="139">
        <f>IS_Others!R87</f>
        <v>963.05000000000007</v>
      </c>
      <c r="O82" s="139">
        <f>IS_Others!S87</f>
        <v>963.05000000000007</v>
      </c>
      <c r="P82" s="139">
        <f>IS_Others!T87</f>
        <v>963.05000000000007</v>
      </c>
      <c r="Q82" s="139">
        <f>IS_Others!U87</f>
        <v>963.05000000000007</v>
      </c>
      <c r="R82" s="139">
        <f>IS_Others!V87</f>
        <v>963.05000000000007</v>
      </c>
      <c r="S82" s="139">
        <f>IS_Others!W87</f>
        <v>963.05000000000007</v>
      </c>
      <c r="T82" s="139">
        <f>IS_Others!X87</f>
        <v>1189.6500000000001</v>
      </c>
      <c r="U82" s="139">
        <f>IS_Others!Y87</f>
        <v>1189.6500000000001</v>
      </c>
      <c r="V82" s="139">
        <f>IS_Others!Z87</f>
        <v>1189.6500000000001</v>
      </c>
      <c r="W82" s="139">
        <f>IS_Others!AA87</f>
        <v>1189.6500000000001</v>
      </c>
      <c r="X82" s="139">
        <f>IS_Others!AB87</f>
        <v>1189.6500000000001</v>
      </c>
      <c r="Y82" s="139">
        <f>IS_Others!AC87</f>
        <v>1189.6500000000001</v>
      </c>
      <c r="Z82" s="139">
        <f>IS_Others!AD87</f>
        <v>1472.9</v>
      </c>
      <c r="AA82" s="139">
        <f>IS_Others!AE87</f>
        <v>1472.9</v>
      </c>
      <c r="AB82" s="139">
        <f>IS_Others!AF87</f>
        <v>1472.9</v>
      </c>
      <c r="AC82" s="139">
        <f>IS_Others!AG87</f>
        <v>1472.9</v>
      </c>
      <c r="AD82" s="139">
        <f>IS_Others!AH87</f>
        <v>1472.9</v>
      </c>
      <c r="AE82" s="139">
        <f>IS_Others!AI87</f>
        <v>1472.9</v>
      </c>
      <c r="AF82" s="139">
        <f>IS_Others!AJ87</f>
        <v>1699.5</v>
      </c>
      <c r="AG82" s="139">
        <f>IS_Others!AK87</f>
        <v>1699.5</v>
      </c>
      <c r="AH82" s="139">
        <f>IS_Others!AL87</f>
        <v>1699.5</v>
      </c>
      <c r="AI82" s="139">
        <f>IS_Others!AM87</f>
        <v>1699.5</v>
      </c>
      <c r="AJ82" s="139">
        <f>IS_Others!AN87</f>
        <v>1699.5</v>
      </c>
      <c r="AK82" s="139">
        <f>IS_Others!AO87</f>
        <v>1699.5</v>
      </c>
      <c r="AL82" s="139">
        <f>IS_Others!AP87</f>
        <v>1982.75</v>
      </c>
      <c r="AM82" s="139">
        <f>IS_Others!AQ87</f>
        <v>1982.75</v>
      </c>
      <c r="AN82" s="139">
        <f>IS_Others!AR87</f>
        <v>1982.75</v>
      </c>
      <c r="AO82" s="139">
        <f>IS_Others!AS87</f>
        <v>1982.75</v>
      </c>
      <c r="AP82" s="139">
        <f>IS_Others!AT87</f>
        <v>1982.75</v>
      </c>
      <c r="AQ82" s="139">
        <f>IS_Others!AU87</f>
        <v>1982.75</v>
      </c>
      <c r="AR82" s="139">
        <f>IS_Others!AV87</f>
        <v>2266</v>
      </c>
      <c r="AS82" s="139">
        <f>IS_Others!AW87</f>
        <v>2266</v>
      </c>
      <c r="AT82" s="139">
        <f>IS_Others!AX87</f>
        <v>2266</v>
      </c>
      <c r="AU82" s="139">
        <f>IS_Others!AY87</f>
        <v>2266</v>
      </c>
      <c r="AV82" s="139">
        <f>IS_Others!AZ87</f>
        <v>2266</v>
      </c>
      <c r="AW82" s="139">
        <f>IS_Others!BA87</f>
        <v>2266</v>
      </c>
      <c r="AX82" s="139">
        <f>IS_Others!BB87</f>
        <v>2549.25</v>
      </c>
      <c r="AY82" s="139">
        <f>IS_Others!BC87</f>
        <v>2549.25</v>
      </c>
      <c r="AZ82" s="139">
        <f>IS_Others!BD87</f>
        <v>2549.25</v>
      </c>
      <c r="BA82" s="139">
        <f>IS_Others!BE87</f>
        <v>2549.25</v>
      </c>
      <c r="BB82" s="139">
        <f>IS_Others!BF87</f>
        <v>2549.25</v>
      </c>
      <c r="BC82" s="139">
        <f>IS_Others!BG87</f>
        <v>2549.25</v>
      </c>
      <c r="BD82" s="139">
        <f>IS_Others!BH87</f>
        <v>2549.25</v>
      </c>
      <c r="BE82" s="139">
        <f>IS_Others!BI87</f>
        <v>2549.25</v>
      </c>
      <c r="BF82" s="139">
        <f>IS_Others!BJ87</f>
        <v>2549.25</v>
      </c>
      <c r="BG82" s="139">
        <f>IS_Others!BK87</f>
        <v>2549.25</v>
      </c>
      <c r="BH82" s="139">
        <f>IS_Others!BL87</f>
        <v>2549.25</v>
      </c>
      <c r="BI82" s="139">
        <f>IS_Others!BM87</f>
        <v>2549.25</v>
      </c>
      <c r="BJ82" s="139">
        <f>IS_Others!BN87</f>
        <v>2549.25</v>
      </c>
      <c r="BK82" s="139">
        <f>IS_Others!BO87</f>
        <v>2549.25</v>
      </c>
      <c r="BL82" s="139">
        <f>IS_Others!BP87</f>
        <v>2549.25</v>
      </c>
      <c r="BM82" s="139">
        <f>IS_Others!BQ87</f>
        <v>2549.25</v>
      </c>
      <c r="BN82" s="139">
        <f>IS_Others!BR87</f>
        <v>2549.25</v>
      </c>
      <c r="BO82" s="139">
        <f>IS_Others!BS87</f>
        <v>2549.25</v>
      </c>
      <c r="BX82" s="456"/>
      <c r="BY82" s="456"/>
      <c r="BZ82" s="456"/>
      <c r="CA82" s="456"/>
    </row>
    <row r="83" spans="3:79" outlineLevel="1">
      <c r="D83" s="139" t="s">
        <v>181</v>
      </c>
      <c r="H83" s="139">
        <f>IS_Others!L89</f>
        <v>0</v>
      </c>
      <c r="I83" s="139">
        <f>IS_Others!M89</f>
        <v>0</v>
      </c>
      <c r="J83" s="139">
        <f>IS_Others!N89</f>
        <v>0</v>
      </c>
      <c r="K83" s="139">
        <f>IS_Others!O89</f>
        <v>0</v>
      </c>
      <c r="L83" s="139">
        <f>IS_Others!P89</f>
        <v>0</v>
      </c>
      <c r="M83" s="139">
        <f>IS_Others!Q89</f>
        <v>0</v>
      </c>
      <c r="N83" s="139">
        <f>IS_Others!R89</f>
        <v>5.6</v>
      </c>
      <c r="O83" s="139">
        <f>IS_Others!S89</f>
        <v>5.6</v>
      </c>
      <c r="P83" s="139">
        <f>IS_Others!T89</f>
        <v>5.6</v>
      </c>
      <c r="Q83" s="139">
        <f>IS_Others!U89</f>
        <v>5.6</v>
      </c>
      <c r="R83" s="139">
        <f>IS_Others!V89</f>
        <v>5.6</v>
      </c>
      <c r="S83" s="139">
        <f>IS_Others!W89</f>
        <v>5.6</v>
      </c>
      <c r="T83" s="139">
        <f>IS_Others!X89</f>
        <v>7</v>
      </c>
      <c r="U83" s="139">
        <f>IS_Others!Y89</f>
        <v>7</v>
      </c>
      <c r="V83" s="139">
        <f>IS_Others!Z89</f>
        <v>7</v>
      </c>
      <c r="W83" s="139">
        <f>IS_Others!AA89</f>
        <v>7</v>
      </c>
      <c r="X83" s="139">
        <f>IS_Others!AB89</f>
        <v>7</v>
      </c>
      <c r="Y83" s="139">
        <f>IS_Others!AC89</f>
        <v>7</v>
      </c>
      <c r="Z83" s="139">
        <f>IS_Others!AD89</f>
        <v>8.3999999999999986</v>
      </c>
      <c r="AA83" s="139">
        <f>IS_Others!AE89</f>
        <v>8.3999999999999986</v>
      </c>
      <c r="AB83" s="139">
        <f>IS_Others!AF89</f>
        <v>8.3999999999999986</v>
      </c>
      <c r="AC83" s="139">
        <f>IS_Others!AG89</f>
        <v>8.3999999999999986</v>
      </c>
      <c r="AD83" s="139">
        <f>IS_Others!AH89</f>
        <v>8.3999999999999986</v>
      </c>
      <c r="AE83" s="139">
        <f>IS_Others!AI89</f>
        <v>8.3999999999999986</v>
      </c>
      <c r="AF83" s="139">
        <f>IS_Others!AJ89</f>
        <v>9.7999999999999989</v>
      </c>
      <c r="AG83" s="139">
        <f>IS_Others!AK89</f>
        <v>9.7999999999999989</v>
      </c>
      <c r="AH83" s="139">
        <f>IS_Others!AL89</f>
        <v>9.7999999999999989</v>
      </c>
      <c r="AI83" s="139">
        <f>IS_Others!AM89</f>
        <v>9.7999999999999989</v>
      </c>
      <c r="AJ83" s="139">
        <f>IS_Others!AN89</f>
        <v>9.7999999999999989</v>
      </c>
      <c r="AK83" s="139">
        <f>IS_Others!AO89</f>
        <v>9.7999999999999989</v>
      </c>
      <c r="AL83" s="139">
        <f>IS_Others!AP89</f>
        <v>11.2</v>
      </c>
      <c r="AM83" s="139">
        <f>IS_Others!AQ89</f>
        <v>11.2</v>
      </c>
      <c r="AN83" s="139">
        <f>IS_Others!AR89</f>
        <v>11.2</v>
      </c>
      <c r="AO83" s="139">
        <f>IS_Others!AS89</f>
        <v>11.2</v>
      </c>
      <c r="AP83" s="139">
        <f>IS_Others!AT89</f>
        <v>11.2</v>
      </c>
      <c r="AQ83" s="139">
        <f>IS_Others!AU89</f>
        <v>11.2</v>
      </c>
      <c r="AR83" s="139">
        <f>IS_Others!AV89</f>
        <v>12.6</v>
      </c>
      <c r="AS83" s="139">
        <f>IS_Others!AW89</f>
        <v>12.6</v>
      </c>
      <c r="AT83" s="139">
        <f>IS_Others!AX89</f>
        <v>12.6</v>
      </c>
      <c r="AU83" s="139">
        <f>IS_Others!AY89</f>
        <v>12.6</v>
      </c>
      <c r="AV83" s="139">
        <f>IS_Others!AZ89</f>
        <v>12.6</v>
      </c>
      <c r="AW83" s="139">
        <f>IS_Others!BA89</f>
        <v>12.6</v>
      </c>
      <c r="AX83" s="139">
        <f>IS_Others!BB89</f>
        <v>14</v>
      </c>
      <c r="AY83" s="139">
        <f>IS_Others!BC89</f>
        <v>14</v>
      </c>
      <c r="AZ83" s="139">
        <f>IS_Others!BD89</f>
        <v>14</v>
      </c>
      <c r="BA83" s="139">
        <f>IS_Others!BE89</f>
        <v>14</v>
      </c>
      <c r="BB83" s="139">
        <f>IS_Others!BF89</f>
        <v>14</v>
      </c>
      <c r="BC83" s="139">
        <f>IS_Others!BG89</f>
        <v>14</v>
      </c>
      <c r="BD83" s="139">
        <f>IS_Others!BH89</f>
        <v>14</v>
      </c>
      <c r="BE83" s="139">
        <f>IS_Others!BI89</f>
        <v>14</v>
      </c>
      <c r="BF83" s="139">
        <f>IS_Others!BJ89</f>
        <v>14</v>
      </c>
      <c r="BG83" s="139">
        <f>IS_Others!BK89</f>
        <v>14</v>
      </c>
      <c r="BH83" s="139">
        <f>IS_Others!BL89</f>
        <v>14</v>
      </c>
      <c r="BI83" s="139">
        <f>IS_Others!BM89</f>
        <v>14</v>
      </c>
      <c r="BJ83" s="139">
        <f>IS_Others!BN89</f>
        <v>14</v>
      </c>
      <c r="BK83" s="139">
        <f>IS_Others!BO89</f>
        <v>14</v>
      </c>
      <c r="BL83" s="139">
        <f>IS_Others!BP89</f>
        <v>14</v>
      </c>
      <c r="BM83" s="139">
        <f>IS_Others!BQ89</f>
        <v>14</v>
      </c>
      <c r="BN83" s="139">
        <f>IS_Others!BR89</f>
        <v>14</v>
      </c>
      <c r="BO83" s="139">
        <f>IS_Others!BS89</f>
        <v>14</v>
      </c>
      <c r="BX83" s="456"/>
      <c r="BY83" s="456"/>
      <c r="BZ83" s="456"/>
      <c r="CA83" s="456"/>
    </row>
    <row r="84" spans="3:79" s="155" customFormat="1">
      <c r="C84" s="155" t="s">
        <v>188</v>
      </c>
      <c r="H84" s="155">
        <f>SUBTOTAL(9,H85:H89)</f>
        <v>0</v>
      </c>
      <c r="I84" s="155">
        <f t="shared" ref="I84:BO84" si="42">SUBTOTAL(9,I85:I89)</f>
        <v>0</v>
      </c>
      <c r="J84" s="155">
        <f t="shared" si="42"/>
        <v>0</v>
      </c>
      <c r="K84" s="155">
        <f t="shared" si="42"/>
        <v>0</v>
      </c>
      <c r="L84" s="155">
        <f t="shared" si="42"/>
        <v>0</v>
      </c>
      <c r="M84" s="155">
        <f t="shared" si="42"/>
        <v>0</v>
      </c>
      <c r="N84" s="155">
        <f t="shared" si="42"/>
        <v>0</v>
      </c>
      <c r="O84" s="155">
        <f t="shared" si="42"/>
        <v>0</v>
      </c>
      <c r="P84" s="155">
        <f t="shared" si="42"/>
        <v>0</v>
      </c>
      <c r="Q84" s="155">
        <f t="shared" si="42"/>
        <v>0</v>
      </c>
      <c r="R84" s="155">
        <f t="shared" si="42"/>
        <v>0</v>
      </c>
      <c r="S84" s="155">
        <f t="shared" si="42"/>
        <v>0</v>
      </c>
      <c r="T84" s="155">
        <f t="shared" si="42"/>
        <v>0</v>
      </c>
      <c r="U84" s="155">
        <f t="shared" si="42"/>
        <v>0</v>
      </c>
      <c r="V84" s="155">
        <f t="shared" si="42"/>
        <v>0</v>
      </c>
      <c r="W84" s="155">
        <f t="shared" si="42"/>
        <v>0</v>
      </c>
      <c r="X84" s="155">
        <f t="shared" si="42"/>
        <v>0</v>
      </c>
      <c r="Y84" s="155">
        <f t="shared" si="42"/>
        <v>0</v>
      </c>
      <c r="Z84" s="155">
        <f t="shared" si="42"/>
        <v>0</v>
      </c>
      <c r="AA84" s="155">
        <f t="shared" si="42"/>
        <v>0</v>
      </c>
      <c r="AB84" s="155">
        <f t="shared" si="42"/>
        <v>0</v>
      </c>
      <c r="AC84" s="155">
        <f t="shared" si="42"/>
        <v>0</v>
      </c>
      <c r="AD84" s="155">
        <f t="shared" si="42"/>
        <v>0</v>
      </c>
      <c r="AE84" s="155">
        <f t="shared" si="42"/>
        <v>0</v>
      </c>
      <c r="AF84" s="155">
        <f t="shared" si="42"/>
        <v>0</v>
      </c>
      <c r="AG84" s="155">
        <f t="shared" si="42"/>
        <v>0</v>
      </c>
      <c r="AH84" s="155">
        <f t="shared" si="42"/>
        <v>0</v>
      </c>
      <c r="AI84" s="155">
        <f t="shared" si="42"/>
        <v>0</v>
      </c>
      <c r="AJ84" s="155">
        <f t="shared" si="42"/>
        <v>0</v>
      </c>
      <c r="AK84" s="155">
        <f t="shared" si="42"/>
        <v>0</v>
      </c>
      <c r="AL84" s="155">
        <f t="shared" si="42"/>
        <v>0</v>
      </c>
      <c r="AM84" s="155">
        <f t="shared" si="42"/>
        <v>0</v>
      </c>
      <c r="AN84" s="155">
        <f t="shared" si="42"/>
        <v>0</v>
      </c>
      <c r="AO84" s="155">
        <f t="shared" si="42"/>
        <v>0</v>
      </c>
      <c r="AP84" s="155">
        <f t="shared" si="42"/>
        <v>0</v>
      </c>
      <c r="AQ84" s="155">
        <f t="shared" si="42"/>
        <v>0</v>
      </c>
      <c r="AR84" s="155">
        <f t="shared" si="42"/>
        <v>0</v>
      </c>
      <c r="AS84" s="155">
        <f t="shared" si="42"/>
        <v>0</v>
      </c>
      <c r="AT84" s="155">
        <f t="shared" si="42"/>
        <v>0</v>
      </c>
      <c r="AU84" s="155">
        <f t="shared" si="42"/>
        <v>0</v>
      </c>
      <c r="AV84" s="155">
        <f t="shared" si="42"/>
        <v>0</v>
      </c>
      <c r="AW84" s="155">
        <f t="shared" si="42"/>
        <v>0</v>
      </c>
      <c r="AX84" s="155">
        <f t="shared" si="42"/>
        <v>0</v>
      </c>
      <c r="AY84" s="155">
        <f t="shared" si="42"/>
        <v>0</v>
      </c>
      <c r="AZ84" s="155">
        <f t="shared" si="42"/>
        <v>0</v>
      </c>
      <c r="BA84" s="155">
        <f t="shared" si="42"/>
        <v>0</v>
      </c>
      <c r="BB84" s="155">
        <f t="shared" si="42"/>
        <v>0</v>
      </c>
      <c r="BC84" s="155">
        <f t="shared" si="42"/>
        <v>0</v>
      </c>
      <c r="BD84" s="155">
        <f t="shared" si="42"/>
        <v>0</v>
      </c>
      <c r="BE84" s="155">
        <f t="shared" si="42"/>
        <v>0</v>
      </c>
      <c r="BF84" s="155">
        <f t="shared" si="42"/>
        <v>0</v>
      </c>
      <c r="BG84" s="155">
        <f t="shared" si="42"/>
        <v>0</v>
      </c>
      <c r="BH84" s="155">
        <f t="shared" si="42"/>
        <v>0</v>
      </c>
      <c r="BI84" s="155">
        <f t="shared" si="42"/>
        <v>0</v>
      </c>
      <c r="BJ84" s="155">
        <f t="shared" si="42"/>
        <v>0</v>
      </c>
      <c r="BK84" s="155">
        <f t="shared" si="42"/>
        <v>0</v>
      </c>
      <c r="BL84" s="155">
        <f t="shared" si="42"/>
        <v>0</v>
      </c>
      <c r="BM84" s="155">
        <f t="shared" si="42"/>
        <v>0</v>
      </c>
      <c r="BN84" s="155">
        <f t="shared" si="42"/>
        <v>0</v>
      </c>
      <c r="BO84" s="155">
        <f t="shared" si="42"/>
        <v>0</v>
      </c>
      <c r="BQ84" s="155">
        <f>SUM(H84:S84)</f>
        <v>0</v>
      </c>
      <c r="BR84" s="155">
        <f>SUM(T84:AE84)</f>
        <v>0</v>
      </c>
      <c r="BS84" s="155">
        <f>SUM(AF84:AQ84)</f>
        <v>0</v>
      </c>
      <c r="BT84" s="155">
        <f>SUM(AR84:BC84)</f>
        <v>0</v>
      </c>
      <c r="BU84" s="155">
        <f>SUM(BD84:BO84)</f>
        <v>0</v>
      </c>
      <c r="BX84" s="454"/>
      <c r="BY84" s="454"/>
      <c r="BZ84" s="454"/>
      <c r="CA84" s="454"/>
    </row>
    <row r="85" spans="3:79" outlineLevel="1">
      <c r="D85" s="139" t="s">
        <v>189</v>
      </c>
      <c r="H85" s="155">
        <f>IS_Others!L91</f>
        <v>0</v>
      </c>
      <c r="I85" s="155">
        <f>IS_Others!M91</f>
        <v>0</v>
      </c>
      <c r="J85" s="155">
        <f>IS_Others!N91</f>
        <v>0</v>
      </c>
      <c r="K85" s="155">
        <f>IS_Others!O91</f>
        <v>0</v>
      </c>
      <c r="L85" s="155">
        <f>IS_Others!P91</f>
        <v>0</v>
      </c>
      <c r="M85" s="155">
        <f>IS_Others!Q91</f>
        <v>0</v>
      </c>
      <c r="N85" s="155">
        <f>IS_Others!R91</f>
        <v>0</v>
      </c>
      <c r="O85" s="155">
        <f>IS_Others!S91</f>
        <v>0</v>
      </c>
      <c r="P85" s="155">
        <f>IS_Others!T91</f>
        <v>0</v>
      </c>
      <c r="Q85" s="155">
        <f>IS_Others!U91</f>
        <v>0</v>
      </c>
      <c r="R85" s="155">
        <f>IS_Others!V91</f>
        <v>0</v>
      </c>
      <c r="S85" s="155">
        <f>IS_Others!W91</f>
        <v>0</v>
      </c>
      <c r="T85" s="155">
        <f>IS_Others!X91</f>
        <v>0</v>
      </c>
      <c r="U85" s="155">
        <f>IS_Others!Y91</f>
        <v>0</v>
      </c>
      <c r="V85" s="155">
        <f>IS_Others!Z91</f>
        <v>0</v>
      </c>
      <c r="W85" s="155">
        <f>IS_Others!AA91</f>
        <v>0</v>
      </c>
      <c r="X85" s="155">
        <f>IS_Others!AB91</f>
        <v>0</v>
      </c>
      <c r="Y85" s="155">
        <f>IS_Others!AC91</f>
        <v>0</v>
      </c>
      <c r="Z85" s="155">
        <f>IS_Others!AD91</f>
        <v>0</v>
      </c>
      <c r="AA85" s="155">
        <f>IS_Others!AE91</f>
        <v>0</v>
      </c>
      <c r="AB85" s="155">
        <f>IS_Others!AF91</f>
        <v>0</v>
      </c>
      <c r="AC85" s="155">
        <f>IS_Others!AG91</f>
        <v>0</v>
      </c>
      <c r="AD85" s="155">
        <f>IS_Others!AH91</f>
        <v>0</v>
      </c>
      <c r="AE85" s="155">
        <f>IS_Others!AI91</f>
        <v>0</v>
      </c>
      <c r="AF85" s="155">
        <f>IS_Others!AJ91</f>
        <v>0</v>
      </c>
      <c r="AG85" s="155">
        <f>IS_Others!AK91</f>
        <v>0</v>
      </c>
      <c r="AH85" s="155">
        <f>IS_Others!AL91</f>
        <v>0</v>
      </c>
      <c r="AI85" s="155">
        <f>IS_Others!AM91</f>
        <v>0</v>
      </c>
      <c r="AJ85" s="155">
        <f>IS_Others!AN91</f>
        <v>0</v>
      </c>
      <c r="AK85" s="155">
        <f>IS_Others!AO91</f>
        <v>0</v>
      </c>
      <c r="AL85" s="155">
        <f>IS_Others!AP91</f>
        <v>0</v>
      </c>
      <c r="AM85" s="155">
        <f>IS_Others!AQ91</f>
        <v>0</v>
      </c>
      <c r="AN85" s="155">
        <f>IS_Others!AR91</f>
        <v>0</v>
      </c>
      <c r="AO85" s="155">
        <f>IS_Others!AS91</f>
        <v>0</v>
      </c>
      <c r="AP85" s="155">
        <f>IS_Others!AT91</f>
        <v>0</v>
      </c>
      <c r="AQ85" s="155">
        <f>IS_Others!AU91</f>
        <v>0</v>
      </c>
      <c r="AR85" s="155">
        <f>IS_Others!AV91</f>
        <v>0</v>
      </c>
      <c r="AS85" s="155">
        <f>IS_Others!AW91</f>
        <v>0</v>
      </c>
      <c r="AT85" s="155">
        <f>IS_Others!AX91</f>
        <v>0</v>
      </c>
      <c r="AU85" s="155">
        <f>IS_Others!AY91</f>
        <v>0</v>
      </c>
      <c r="AV85" s="155">
        <f>IS_Others!AZ91</f>
        <v>0</v>
      </c>
      <c r="AW85" s="155">
        <f>IS_Others!BA91</f>
        <v>0</v>
      </c>
      <c r="AX85" s="155">
        <f>IS_Others!BB91</f>
        <v>0</v>
      </c>
      <c r="AY85" s="155">
        <f>IS_Others!BC91</f>
        <v>0</v>
      </c>
      <c r="AZ85" s="155">
        <f>IS_Others!BD91</f>
        <v>0</v>
      </c>
      <c r="BA85" s="155">
        <f>IS_Others!BE91</f>
        <v>0</v>
      </c>
      <c r="BB85" s="155">
        <f>IS_Others!BF91</f>
        <v>0</v>
      </c>
      <c r="BC85" s="155">
        <f>IS_Others!BG91</f>
        <v>0</v>
      </c>
      <c r="BD85" s="155">
        <f>IS_Others!BH91</f>
        <v>0</v>
      </c>
      <c r="BE85" s="155">
        <f>IS_Others!BI91</f>
        <v>0</v>
      </c>
      <c r="BF85" s="155">
        <f>IS_Others!BJ91</f>
        <v>0</v>
      </c>
      <c r="BG85" s="155">
        <f>IS_Others!BK91</f>
        <v>0</v>
      </c>
      <c r="BH85" s="155">
        <f>IS_Others!BL91</f>
        <v>0</v>
      </c>
      <c r="BI85" s="155">
        <f>IS_Others!BM91</f>
        <v>0</v>
      </c>
      <c r="BJ85" s="155">
        <f>IS_Others!BN91</f>
        <v>0</v>
      </c>
      <c r="BK85" s="155">
        <f>IS_Others!BO91</f>
        <v>0</v>
      </c>
      <c r="BL85" s="155">
        <f>IS_Others!BP91</f>
        <v>0</v>
      </c>
      <c r="BM85" s="155">
        <f>IS_Others!BQ91</f>
        <v>0</v>
      </c>
      <c r="BN85" s="155">
        <f>IS_Others!BR91</f>
        <v>0</v>
      </c>
      <c r="BO85" s="155">
        <f>IS_Others!BS91</f>
        <v>0</v>
      </c>
      <c r="BX85" s="456"/>
      <c r="BY85" s="456"/>
      <c r="BZ85" s="456"/>
      <c r="CA85" s="456"/>
    </row>
    <row r="86" spans="3:79" outlineLevel="1">
      <c r="D86" s="139" t="s">
        <v>190</v>
      </c>
      <c r="H86" s="155">
        <f>IS_Others!L92</f>
        <v>0</v>
      </c>
      <c r="I86" s="155">
        <f>IS_Others!M92</f>
        <v>0</v>
      </c>
      <c r="J86" s="155">
        <f>IS_Others!N92</f>
        <v>0</v>
      </c>
      <c r="K86" s="155">
        <f>IS_Others!O92</f>
        <v>0</v>
      </c>
      <c r="L86" s="155">
        <f>IS_Others!P92</f>
        <v>0</v>
      </c>
      <c r="M86" s="155">
        <f>IS_Others!Q92</f>
        <v>0</v>
      </c>
      <c r="N86" s="155">
        <f>IS_Others!R92</f>
        <v>0</v>
      </c>
      <c r="O86" s="155">
        <f>IS_Others!S92</f>
        <v>0</v>
      </c>
      <c r="P86" s="155">
        <f>IS_Others!T92</f>
        <v>0</v>
      </c>
      <c r="Q86" s="155">
        <f>IS_Others!U92</f>
        <v>0</v>
      </c>
      <c r="R86" s="155">
        <f>IS_Others!V92</f>
        <v>0</v>
      </c>
      <c r="S86" s="155">
        <f>IS_Others!W92</f>
        <v>0</v>
      </c>
      <c r="T86" s="155">
        <f>IS_Others!X92</f>
        <v>0</v>
      </c>
      <c r="U86" s="155">
        <f>IS_Others!Y92</f>
        <v>0</v>
      </c>
      <c r="V86" s="155">
        <f>IS_Others!Z92</f>
        <v>0</v>
      </c>
      <c r="W86" s="155">
        <f>IS_Others!AA92</f>
        <v>0</v>
      </c>
      <c r="X86" s="155">
        <f>IS_Others!AB92</f>
        <v>0</v>
      </c>
      <c r="Y86" s="155">
        <f>IS_Others!AC92</f>
        <v>0</v>
      </c>
      <c r="Z86" s="155">
        <f>IS_Others!AD92</f>
        <v>0</v>
      </c>
      <c r="AA86" s="155">
        <f>IS_Others!AE92</f>
        <v>0</v>
      </c>
      <c r="AB86" s="155">
        <f>IS_Others!AF92</f>
        <v>0</v>
      </c>
      <c r="AC86" s="155">
        <f>IS_Others!AG92</f>
        <v>0</v>
      </c>
      <c r="AD86" s="155">
        <f>IS_Others!AH92</f>
        <v>0</v>
      </c>
      <c r="AE86" s="155">
        <f>IS_Others!AI92</f>
        <v>0</v>
      </c>
      <c r="AF86" s="155">
        <f>IS_Others!AJ92</f>
        <v>0</v>
      </c>
      <c r="AG86" s="155">
        <f>IS_Others!AK92</f>
        <v>0</v>
      </c>
      <c r="AH86" s="155">
        <f>IS_Others!AL92</f>
        <v>0</v>
      </c>
      <c r="AI86" s="155">
        <f>IS_Others!AM92</f>
        <v>0</v>
      </c>
      <c r="AJ86" s="155">
        <f>IS_Others!AN92</f>
        <v>0</v>
      </c>
      <c r="AK86" s="155">
        <f>IS_Others!AO92</f>
        <v>0</v>
      </c>
      <c r="AL86" s="155">
        <f>IS_Others!AP92</f>
        <v>0</v>
      </c>
      <c r="AM86" s="155">
        <f>IS_Others!AQ92</f>
        <v>0</v>
      </c>
      <c r="AN86" s="155">
        <f>IS_Others!AR92</f>
        <v>0</v>
      </c>
      <c r="AO86" s="155">
        <f>IS_Others!AS92</f>
        <v>0</v>
      </c>
      <c r="AP86" s="155">
        <f>IS_Others!AT92</f>
        <v>0</v>
      </c>
      <c r="AQ86" s="155">
        <f>IS_Others!AU92</f>
        <v>0</v>
      </c>
      <c r="AR86" s="155">
        <f>IS_Others!AV92</f>
        <v>0</v>
      </c>
      <c r="AS86" s="155">
        <f>IS_Others!AW92</f>
        <v>0</v>
      </c>
      <c r="AT86" s="155">
        <f>IS_Others!AX92</f>
        <v>0</v>
      </c>
      <c r="AU86" s="155">
        <f>IS_Others!AY92</f>
        <v>0</v>
      </c>
      <c r="AV86" s="155">
        <f>IS_Others!AZ92</f>
        <v>0</v>
      </c>
      <c r="AW86" s="155">
        <f>IS_Others!BA92</f>
        <v>0</v>
      </c>
      <c r="AX86" s="155">
        <f>IS_Others!BB92</f>
        <v>0</v>
      </c>
      <c r="AY86" s="155">
        <f>IS_Others!BC92</f>
        <v>0</v>
      </c>
      <c r="AZ86" s="155">
        <f>IS_Others!BD92</f>
        <v>0</v>
      </c>
      <c r="BA86" s="155">
        <f>IS_Others!BE92</f>
        <v>0</v>
      </c>
      <c r="BB86" s="155">
        <f>IS_Others!BF92</f>
        <v>0</v>
      </c>
      <c r="BC86" s="155">
        <f>IS_Others!BG92</f>
        <v>0</v>
      </c>
      <c r="BD86" s="155">
        <f>IS_Others!BH92</f>
        <v>0</v>
      </c>
      <c r="BE86" s="155">
        <f>IS_Others!BI92</f>
        <v>0</v>
      </c>
      <c r="BF86" s="155">
        <f>IS_Others!BJ92</f>
        <v>0</v>
      </c>
      <c r="BG86" s="155">
        <f>IS_Others!BK92</f>
        <v>0</v>
      </c>
      <c r="BH86" s="155">
        <f>IS_Others!BL92</f>
        <v>0</v>
      </c>
      <c r="BI86" s="155">
        <f>IS_Others!BM92</f>
        <v>0</v>
      </c>
      <c r="BJ86" s="155">
        <f>IS_Others!BN92</f>
        <v>0</v>
      </c>
      <c r="BK86" s="155">
        <f>IS_Others!BO92</f>
        <v>0</v>
      </c>
      <c r="BL86" s="155">
        <f>IS_Others!BP92</f>
        <v>0</v>
      </c>
      <c r="BM86" s="155">
        <f>IS_Others!BQ92</f>
        <v>0</v>
      </c>
      <c r="BN86" s="155">
        <f>IS_Others!BR92</f>
        <v>0</v>
      </c>
      <c r="BO86" s="155">
        <f>IS_Others!BS92</f>
        <v>0</v>
      </c>
      <c r="BX86" s="456"/>
      <c r="BY86" s="456"/>
      <c r="BZ86" s="456"/>
      <c r="CA86" s="456"/>
    </row>
    <row r="87" spans="3:79" outlineLevel="1">
      <c r="D87" s="139" t="s">
        <v>191</v>
      </c>
      <c r="H87" s="155">
        <f>IS_Others!L93</f>
        <v>0</v>
      </c>
      <c r="I87" s="155">
        <f>IS_Others!M93</f>
        <v>0</v>
      </c>
      <c r="J87" s="155">
        <f>IS_Others!N93</f>
        <v>0</v>
      </c>
      <c r="K87" s="155">
        <f>IS_Others!O93</f>
        <v>0</v>
      </c>
      <c r="L87" s="155">
        <f>IS_Others!P93</f>
        <v>0</v>
      </c>
      <c r="M87" s="155">
        <f>IS_Others!Q93</f>
        <v>0</v>
      </c>
      <c r="N87" s="155">
        <f>IS_Others!R93</f>
        <v>0</v>
      </c>
      <c r="O87" s="155">
        <f>IS_Others!S93</f>
        <v>0</v>
      </c>
      <c r="P87" s="155">
        <f>IS_Others!T93</f>
        <v>0</v>
      </c>
      <c r="Q87" s="155">
        <f>IS_Others!U93</f>
        <v>0</v>
      </c>
      <c r="R87" s="155">
        <f>IS_Others!V93</f>
        <v>0</v>
      </c>
      <c r="S87" s="155">
        <f>IS_Others!W93</f>
        <v>0</v>
      </c>
      <c r="T87" s="155">
        <f>IS_Others!X93</f>
        <v>0</v>
      </c>
      <c r="U87" s="155">
        <f>IS_Others!Y93</f>
        <v>0</v>
      </c>
      <c r="V87" s="155">
        <f>IS_Others!Z93</f>
        <v>0</v>
      </c>
      <c r="W87" s="155">
        <f>IS_Others!AA93</f>
        <v>0</v>
      </c>
      <c r="X87" s="155">
        <f>IS_Others!AB93</f>
        <v>0</v>
      </c>
      <c r="Y87" s="155">
        <f>IS_Others!AC93</f>
        <v>0</v>
      </c>
      <c r="Z87" s="155">
        <f>IS_Others!AD93</f>
        <v>0</v>
      </c>
      <c r="AA87" s="155">
        <f>IS_Others!AE93</f>
        <v>0</v>
      </c>
      <c r="AB87" s="155">
        <f>IS_Others!AF93</f>
        <v>0</v>
      </c>
      <c r="AC87" s="155">
        <f>IS_Others!AG93</f>
        <v>0</v>
      </c>
      <c r="AD87" s="155">
        <f>IS_Others!AH93</f>
        <v>0</v>
      </c>
      <c r="AE87" s="155">
        <f>IS_Others!AI93</f>
        <v>0</v>
      </c>
      <c r="AF87" s="155">
        <f>IS_Others!AJ93</f>
        <v>0</v>
      </c>
      <c r="AG87" s="155">
        <f>IS_Others!AK93</f>
        <v>0</v>
      </c>
      <c r="AH87" s="155">
        <f>IS_Others!AL93</f>
        <v>0</v>
      </c>
      <c r="AI87" s="155">
        <f>IS_Others!AM93</f>
        <v>0</v>
      </c>
      <c r="AJ87" s="155">
        <f>IS_Others!AN93</f>
        <v>0</v>
      </c>
      <c r="AK87" s="155">
        <f>IS_Others!AO93</f>
        <v>0</v>
      </c>
      <c r="AL87" s="155">
        <f>IS_Others!AP93</f>
        <v>0</v>
      </c>
      <c r="AM87" s="155">
        <f>IS_Others!AQ93</f>
        <v>0</v>
      </c>
      <c r="AN87" s="155">
        <f>IS_Others!AR93</f>
        <v>0</v>
      </c>
      <c r="AO87" s="155">
        <f>IS_Others!AS93</f>
        <v>0</v>
      </c>
      <c r="AP87" s="155">
        <f>IS_Others!AT93</f>
        <v>0</v>
      </c>
      <c r="AQ87" s="155">
        <f>IS_Others!AU93</f>
        <v>0</v>
      </c>
      <c r="AR87" s="155">
        <f>IS_Others!AV93</f>
        <v>0</v>
      </c>
      <c r="AS87" s="155">
        <f>IS_Others!AW93</f>
        <v>0</v>
      </c>
      <c r="AT87" s="155">
        <f>IS_Others!AX93</f>
        <v>0</v>
      </c>
      <c r="AU87" s="155">
        <f>IS_Others!AY93</f>
        <v>0</v>
      </c>
      <c r="AV87" s="155">
        <f>IS_Others!AZ93</f>
        <v>0</v>
      </c>
      <c r="AW87" s="155">
        <f>IS_Others!BA93</f>
        <v>0</v>
      </c>
      <c r="AX87" s="155">
        <f>IS_Others!BB93</f>
        <v>0</v>
      </c>
      <c r="AY87" s="155">
        <f>IS_Others!BC93</f>
        <v>0</v>
      </c>
      <c r="AZ87" s="155">
        <f>IS_Others!BD93</f>
        <v>0</v>
      </c>
      <c r="BA87" s="155">
        <f>IS_Others!BE93</f>
        <v>0</v>
      </c>
      <c r="BB87" s="155">
        <f>IS_Others!BF93</f>
        <v>0</v>
      </c>
      <c r="BC87" s="155">
        <f>IS_Others!BG93</f>
        <v>0</v>
      </c>
      <c r="BD87" s="155">
        <f>IS_Others!BH93</f>
        <v>0</v>
      </c>
      <c r="BE87" s="155">
        <f>IS_Others!BI93</f>
        <v>0</v>
      </c>
      <c r="BF87" s="155">
        <f>IS_Others!BJ93</f>
        <v>0</v>
      </c>
      <c r="BG87" s="155">
        <f>IS_Others!BK93</f>
        <v>0</v>
      </c>
      <c r="BH87" s="155">
        <f>IS_Others!BL93</f>
        <v>0</v>
      </c>
      <c r="BI87" s="155">
        <f>IS_Others!BM93</f>
        <v>0</v>
      </c>
      <c r="BJ87" s="155">
        <f>IS_Others!BN93</f>
        <v>0</v>
      </c>
      <c r="BK87" s="155">
        <f>IS_Others!BO93</f>
        <v>0</v>
      </c>
      <c r="BL87" s="155">
        <f>IS_Others!BP93</f>
        <v>0</v>
      </c>
      <c r="BM87" s="155">
        <f>IS_Others!BQ93</f>
        <v>0</v>
      </c>
      <c r="BN87" s="155">
        <f>IS_Others!BR93</f>
        <v>0</v>
      </c>
      <c r="BO87" s="155">
        <f>IS_Others!BS93</f>
        <v>0</v>
      </c>
      <c r="BX87" s="456"/>
      <c r="BY87" s="456"/>
      <c r="BZ87" s="456"/>
      <c r="CA87" s="456"/>
    </row>
    <row r="88" spans="3:79" outlineLevel="1">
      <c r="D88" s="139" t="s">
        <v>192</v>
      </c>
      <c r="H88" s="155">
        <f>IS_Others!L94</f>
        <v>0</v>
      </c>
      <c r="I88" s="155">
        <f>IS_Others!M94</f>
        <v>0</v>
      </c>
      <c r="J88" s="155">
        <f>IS_Others!N94</f>
        <v>0</v>
      </c>
      <c r="K88" s="155">
        <f>IS_Others!O94</f>
        <v>0</v>
      </c>
      <c r="L88" s="155">
        <f>IS_Others!P94</f>
        <v>0</v>
      </c>
      <c r="M88" s="155">
        <f>IS_Others!Q94</f>
        <v>0</v>
      </c>
      <c r="N88" s="155">
        <f>IS_Others!R94</f>
        <v>0</v>
      </c>
      <c r="O88" s="155">
        <f>IS_Others!S94</f>
        <v>0</v>
      </c>
      <c r="P88" s="155">
        <f>IS_Others!T94</f>
        <v>0</v>
      </c>
      <c r="Q88" s="155">
        <f>IS_Others!U94</f>
        <v>0</v>
      </c>
      <c r="R88" s="155">
        <f>IS_Others!V94</f>
        <v>0</v>
      </c>
      <c r="S88" s="155">
        <f>IS_Others!W94</f>
        <v>0</v>
      </c>
      <c r="T88" s="155">
        <f>IS_Others!X94</f>
        <v>0</v>
      </c>
      <c r="U88" s="155">
        <f>IS_Others!Y94</f>
        <v>0</v>
      </c>
      <c r="V88" s="155">
        <f>IS_Others!Z94</f>
        <v>0</v>
      </c>
      <c r="W88" s="155">
        <f>IS_Others!AA94</f>
        <v>0</v>
      </c>
      <c r="X88" s="155">
        <f>IS_Others!AB94</f>
        <v>0</v>
      </c>
      <c r="Y88" s="155">
        <f>IS_Others!AC94</f>
        <v>0</v>
      </c>
      <c r="Z88" s="155">
        <f>IS_Others!AD94</f>
        <v>0</v>
      </c>
      <c r="AA88" s="155">
        <f>IS_Others!AE94</f>
        <v>0</v>
      </c>
      <c r="AB88" s="155">
        <f>IS_Others!AF94</f>
        <v>0</v>
      </c>
      <c r="AC88" s="155">
        <f>IS_Others!AG94</f>
        <v>0</v>
      </c>
      <c r="AD88" s="155">
        <f>IS_Others!AH94</f>
        <v>0</v>
      </c>
      <c r="AE88" s="155">
        <f>IS_Others!AI94</f>
        <v>0</v>
      </c>
      <c r="AF88" s="155">
        <f>IS_Others!AJ94</f>
        <v>0</v>
      </c>
      <c r="AG88" s="155">
        <f>IS_Others!AK94</f>
        <v>0</v>
      </c>
      <c r="AH88" s="155">
        <f>IS_Others!AL94</f>
        <v>0</v>
      </c>
      <c r="AI88" s="155">
        <f>IS_Others!AM94</f>
        <v>0</v>
      </c>
      <c r="AJ88" s="155">
        <f>IS_Others!AN94</f>
        <v>0</v>
      </c>
      <c r="AK88" s="155">
        <f>IS_Others!AO94</f>
        <v>0</v>
      </c>
      <c r="AL88" s="155">
        <f>IS_Others!AP94</f>
        <v>0</v>
      </c>
      <c r="AM88" s="155">
        <f>IS_Others!AQ94</f>
        <v>0</v>
      </c>
      <c r="AN88" s="155">
        <f>IS_Others!AR94</f>
        <v>0</v>
      </c>
      <c r="AO88" s="155">
        <f>IS_Others!AS94</f>
        <v>0</v>
      </c>
      <c r="AP88" s="155">
        <f>IS_Others!AT94</f>
        <v>0</v>
      </c>
      <c r="AQ88" s="155">
        <f>IS_Others!AU94</f>
        <v>0</v>
      </c>
      <c r="AR88" s="155">
        <f>IS_Others!AV94</f>
        <v>0</v>
      </c>
      <c r="AS88" s="155">
        <f>IS_Others!AW94</f>
        <v>0</v>
      </c>
      <c r="AT88" s="155">
        <f>IS_Others!AX94</f>
        <v>0</v>
      </c>
      <c r="AU88" s="155">
        <f>IS_Others!AY94</f>
        <v>0</v>
      </c>
      <c r="AV88" s="155">
        <f>IS_Others!AZ94</f>
        <v>0</v>
      </c>
      <c r="AW88" s="155">
        <f>IS_Others!BA94</f>
        <v>0</v>
      </c>
      <c r="AX88" s="155">
        <f>IS_Others!BB94</f>
        <v>0</v>
      </c>
      <c r="AY88" s="155">
        <f>IS_Others!BC94</f>
        <v>0</v>
      </c>
      <c r="AZ88" s="155">
        <f>IS_Others!BD94</f>
        <v>0</v>
      </c>
      <c r="BA88" s="155">
        <f>IS_Others!BE94</f>
        <v>0</v>
      </c>
      <c r="BB88" s="155">
        <f>IS_Others!BF94</f>
        <v>0</v>
      </c>
      <c r="BC88" s="155">
        <f>IS_Others!BG94</f>
        <v>0</v>
      </c>
      <c r="BD88" s="155">
        <f>IS_Others!BH94</f>
        <v>0</v>
      </c>
      <c r="BE88" s="155">
        <f>IS_Others!BI94</f>
        <v>0</v>
      </c>
      <c r="BF88" s="155">
        <f>IS_Others!BJ94</f>
        <v>0</v>
      </c>
      <c r="BG88" s="155">
        <f>IS_Others!BK94</f>
        <v>0</v>
      </c>
      <c r="BH88" s="155">
        <f>IS_Others!BL94</f>
        <v>0</v>
      </c>
      <c r="BI88" s="155">
        <f>IS_Others!BM94</f>
        <v>0</v>
      </c>
      <c r="BJ88" s="155">
        <f>IS_Others!BN94</f>
        <v>0</v>
      </c>
      <c r="BK88" s="155">
        <f>IS_Others!BO94</f>
        <v>0</v>
      </c>
      <c r="BL88" s="155">
        <f>IS_Others!BP94</f>
        <v>0</v>
      </c>
      <c r="BM88" s="155">
        <f>IS_Others!BQ94</f>
        <v>0</v>
      </c>
      <c r="BN88" s="155">
        <f>IS_Others!BR94</f>
        <v>0</v>
      </c>
      <c r="BO88" s="155">
        <f>IS_Others!BS94</f>
        <v>0</v>
      </c>
      <c r="BX88" s="456"/>
      <c r="BY88" s="456"/>
      <c r="BZ88" s="456"/>
      <c r="CA88" s="456"/>
    </row>
    <row r="89" spans="3:79" outlineLevel="1">
      <c r="D89" s="139" t="s">
        <v>167</v>
      </c>
      <c r="H89" s="155">
        <f>IS_Others!L95</f>
        <v>0</v>
      </c>
      <c r="I89" s="155">
        <f>IS_Others!M95</f>
        <v>0</v>
      </c>
      <c r="J89" s="155">
        <f>IS_Others!N95</f>
        <v>0</v>
      </c>
      <c r="K89" s="155">
        <f>IS_Others!O95</f>
        <v>0</v>
      </c>
      <c r="L89" s="155">
        <f>IS_Others!P95</f>
        <v>0</v>
      </c>
      <c r="M89" s="155">
        <f>IS_Others!Q95</f>
        <v>0</v>
      </c>
      <c r="N89" s="155">
        <f>IS_Others!R95</f>
        <v>0</v>
      </c>
      <c r="O89" s="155">
        <f>IS_Others!S95</f>
        <v>0</v>
      </c>
      <c r="P89" s="155">
        <f>IS_Others!T95</f>
        <v>0</v>
      </c>
      <c r="Q89" s="155">
        <f>IS_Others!U95</f>
        <v>0</v>
      </c>
      <c r="R89" s="155">
        <f>IS_Others!V95</f>
        <v>0</v>
      </c>
      <c r="S89" s="155">
        <f>IS_Others!W95</f>
        <v>0</v>
      </c>
      <c r="T89" s="155">
        <f>IS_Others!X95</f>
        <v>0</v>
      </c>
      <c r="U89" s="155">
        <f>IS_Others!Y95</f>
        <v>0</v>
      </c>
      <c r="V89" s="155">
        <f>IS_Others!Z95</f>
        <v>0</v>
      </c>
      <c r="W89" s="155">
        <f>IS_Others!AA95</f>
        <v>0</v>
      </c>
      <c r="X89" s="155">
        <f>IS_Others!AB95</f>
        <v>0</v>
      </c>
      <c r="Y89" s="155">
        <f>IS_Others!AC95</f>
        <v>0</v>
      </c>
      <c r="Z89" s="155">
        <f>IS_Others!AD95</f>
        <v>0</v>
      </c>
      <c r="AA89" s="155">
        <f>IS_Others!AE95</f>
        <v>0</v>
      </c>
      <c r="AB89" s="155">
        <f>IS_Others!AF95</f>
        <v>0</v>
      </c>
      <c r="AC89" s="155">
        <f>IS_Others!AG95</f>
        <v>0</v>
      </c>
      <c r="AD89" s="155">
        <f>IS_Others!AH95</f>
        <v>0</v>
      </c>
      <c r="AE89" s="155">
        <f>IS_Others!AI95</f>
        <v>0</v>
      </c>
      <c r="AF89" s="155">
        <f>IS_Others!AJ95</f>
        <v>0</v>
      </c>
      <c r="AG89" s="155">
        <f>IS_Others!AK95</f>
        <v>0</v>
      </c>
      <c r="AH89" s="155">
        <f>IS_Others!AL95</f>
        <v>0</v>
      </c>
      <c r="AI89" s="155">
        <f>IS_Others!AM95</f>
        <v>0</v>
      </c>
      <c r="AJ89" s="155">
        <f>IS_Others!AN95</f>
        <v>0</v>
      </c>
      <c r="AK89" s="155">
        <f>IS_Others!AO95</f>
        <v>0</v>
      </c>
      <c r="AL89" s="155">
        <f>IS_Others!AP95</f>
        <v>0</v>
      </c>
      <c r="AM89" s="155">
        <f>IS_Others!AQ95</f>
        <v>0</v>
      </c>
      <c r="AN89" s="155">
        <f>IS_Others!AR95</f>
        <v>0</v>
      </c>
      <c r="AO89" s="155">
        <f>IS_Others!AS95</f>
        <v>0</v>
      </c>
      <c r="AP89" s="155">
        <f>IS_Others!AT95</f>
        <v>0</v>
      </c>
      <c r="AQ89" s="155">
        <f>IS_Others!AU95</f>
        <v>0</v>
      </c>
      <c r="AR89" s="155">
        <f>IS_Others!AV95</f>
        <v>0</v>
      </c>
      <c r="AS89" s="155">
        <f>IS_Others!AW95</f>
        <v>0</v>
      </c>
      <c r="AT89" s="155">
        <f>IS_Others!AX95</f>
        <v>0</v>
      </c>
      <c r="AU89" s="155">
        <f>IS_Others!AY95</f>
        <v>0</v>
      </c>
      <c r="AV89" s="155">
        <f>IS_Others!AZ95</f>
        <v>0</v>
      </c>
      <c r="AW89" s="155">
        <f>IS_Others!BA95</f>
        <v>0</v>
      </c>
      <c r="AX89" s="155">
        <f>IS_Others!BB95</f>
        <v>0</v>
      </c>
      <c r="AY89" s="155">
        <f>IS_Others!BC95</f>
        <v>0</v>
      </c>
      <c r="AZ89" s="155">
        <f>IS_Others!BD95</f>
        <v>0</v>
      </c>
      <c r="BA89" s="155">
        <f>IS_Others!BE95</f>
        <v>0</v>
      </c>
      <c r="BB89" s="155">
        <f>IS_Others!BF95</f>
        <v>0</v>
      </c>
      <c r="BC89" s="155">
        <f>IS_Others!BG95</f>
        <v>0</v>
      </c>
      <c r="BD89" s="155">
        <f>IS_Others!BH95</f>
        <v>0</v>
      </c>
      <c r="BE89" s="155">
        <f>IS_Others!BI95</f>
        <v>0</v>
      </c>
      <c r="BF89" s="155">
        <f>IS_Others!BJ95</f>
        <v>0</v>
      </c>
      <c r="BG89" s="155">
        <f>IS_Others!BK95</f>
        <v>0</v>
      </c>
      <c r="BH89" s="155">
        <f>IS_Others!BL95</f>
        <v>0</v>
      </c>
      <c r="BI89" s="155">
        <f>IS_Others!BM95</f>
        <v>0</v>
      </c>
      <c r="BJ89" s="155">
        <f>IS_Others!BN95</f>
        <v>0</v>
      </c>
      <c r="BK89" s="155">
        <f>IS_Others!BO95</f>
        <v>0</v>
      </c>
      <c r="BL89" s="155">
        <f>IS_Others!BP95</f>
        <v>0</v>
      </c>
      <c r="BM89" s="155">
        <f>IS_Others!BQ95</f>
        <v>0</v>
      </c>
      <c r="BN89" s="155">
        <f>IS_Others!BR95</f>
        <v>0</v>
      </c>
      <c r="BO89" s="155">
        <f>IS_Others!BS95</f>
        <v>0</v>
      </c>
      <c r="BX89" s="456"/>
      <c r="BY89" s="456"/>
      <c r="BZ89" s="456"/>
      <c r="CA89" s="456"/>
    </row>
    <row r="90" spans="3:79" s="155" customFormat="1">
      <c r="C90" s="155" t="s">
        <v>193</v>
      </c>
      <c r="H90" s="155">
        <f>SUBTOTAL(9,H91:H93)</f>
        <v>12</v>
      </c>
      <c r="I90" s="155">
        <f t="shared" ref="I90:BO90" si="43">SUBTOTAL(9,I91:I93)</f>
        <v>0</v>
      </c>
      <c r="J90" s="155">
        <f t="shared" si="43"/>
        <v>0</v>
      </c>
      <c r="K90" s="155">
        <f t="shared" si="43"/>
        <v>100</v>
      </c>
      <c r="L90" s="155">
        <f t="shared" si="43"/>
        <v>0</v>
      </c>
      <c r="M90" s="155">
        <f t="shared" si="43"/>
        <v>0</v>
      </c>
      <c r="N90" s="155">
        <f t="shared" si="43"/>
        <v>0</v>
      </c>
      <c r="O90" s="155">
        <f t="shared" si="43"/>
        <v>0</v>
      </c>
      <c r="P90" s="155">
        <f t="shared" si="43"/>
        <v>0</v>
      </c>
      <c r="Q90" s="155">
        <f t="shared" si="43"/>
        <v>0</v>
      </c>
      <c r="R90" s="155">
        <f t="shared" si="43"/>
        <v>0</v>
      </c>
      <c r="S90" s="155">
        <f t="shared" si="43"/>
        <v>0</v>
      </c>
      <c r="T90" s="155">
        <f t="shared" si="43"/>
        <v>0</v>
      </c>
      <c r="U90" s="155">
        <f t="shared" si="43"/>
        <v>0</v>
      </c>
      <c r="V90" s="155">
        <f t="shared" si="43"/>
        <v>0</v>
      </c>
      <c r="W90" s="155">
        <f t="shared" si="43"/>
        <v>0</v>
      </c>
      <c r="X90" s="155">
        <f t="shared" si="43"/>
        <v>0</v>
      </c>
      <c r="Y90" s="155">
        <f t="shared" si="43"/>
        <v>0</v>
      </c>
      <c r="Z90" s="155">
        <f t="shared" si="43"/>
        <v>0</v>
      </c>
      <c r="AA90" s="155">
        <f t="shared" si="43"/>
        <v>0</v>
      </c>
      <c r="AB90" s="155">
        <f t="shared" si="43"/>
        <v>0</v>
      </c>
      <c r="AC90" s="155">
        <f t="shared" si="43"/>
        <v>0</v>
      </c>
      <c r="AD90" s="155">
        <f t="shared" si="43"/>
        <v>0</v>
      </c>
      <c r="AE90" s="155">
        <f t="shared" si="43"/>
        <v>0</v>
      </c>
      <c r="AF90" s="155">
        <f t="shared" si="43"/>
        <v>0</v>
      </c>
      <c r="AG90" s="155">
        <f t="shared" si="43"/>
        <v>0</v>
      </c>
      <c r="AH90" s="155">
        <f t="shared" si="43"/>
        <v>0</v>
      </c>
      <c r="AI90" s="155">
        <f t="shared" si="43"/>
        <v>0</v>
      </c>
      <c r="AJ90" s="155">
        <f t="shared" si="43"/>
        <v>0</v>
      </c>
      <c r="AK90" s="155">
        <f t="shared" si="43"/>
        <v>0</v>
      </c>
      <c r="AL90" s="155">
        <f t="shared" si="43"/>
        <v>0</v>
      </c>
      <c r="AM90" s="155">
        <f t="shared" si="43"/>
        <v>0</v>
      </c>
      <c r="AN90" s="155">
        <f t="shared" si="43"/>
        <v>0</v>
      </c>
      <c r="AO90" s="155">
        <f t="shared" si="43"/>
        <v>0</v>
      </c>
      <c r="AP90" s="155">
        <f t="shared" si="43"/>
        <v>0</v>
      </c>
      <c r="AQ90" s="155">
        <f t="shared" si="43"/>
        <v>0</v>
      </c>
      <c r="AR90" s="155">
        <f t="shared" si="43"/>
        <v>0</v>
      </c>
      <c r="AS90" s="155">
        <f t="shared" si="43"/>
        <v>0</v>
      </c>
      <c r="AT90" s="155">
        <f t="shared" si="43"/>
        <v>0</v>
      </c>
      <c r="AU90" s="155">
        <f t="shared" si="43"/>
        <v>0</v>
      </c>
      <c r="AV90" s="155">
        <f t="shared" si="43"/>
        <v>0</v>
      </c>
      <c r="AW90" s="155">
        <f t="shared" si="43"/>
        <v>0</v>
      </c>
      <c r="AX90" s="155">
        <f t="shared" si="43"/>
        <v>0</v>
      </c>
      <c r="AY90" s="155">
        <f t="shared" si="43"/>
        <v>0</v>
      </c>
      <c r="AZ90" s="155">
        <f t="shared" si="43"/>
        <v>0</v>
      </c>
      <c r="BA90" s="155">
        <f t="shared" si="43"/>
        <v>0</v>
      </c>
      <c r="BB90" s="155">
        <f t="shared" si="43"/>
        <v>0</v>
      </c>
      <c r="BC90" s="155">
        <f t="shared" si="43"/>
        <v>0</v>
      </c>
      <c r="BD90" s="155">
        <f t="shared" si="43"/>
        <v>0</v>
      </c>
      <c r="BE90" s="155">
        <f t="shared" si="43"/>
        <v>0</v>
      </c>
      <c r="BF90" s="155">
        <f t="shared" si="43"/>
        <v>0</v>
      </c>
      <c r="BG90" s="155">
        <f t="shared" si="43"/>
        <v>0</v>
      </c>
      <c r="BH90" s="155">
        <f t="shared" si="43"/>
        <v>0</v>
      </c>
      <c r="BI90" s="155">
        <f t="shared" si="43"/>
        <v>0</v>
      </c>
      <c r="BJ90" s="155">
        <f t="shared" si="43"/>
        <v>0</v>
      </c>
      <c r="BK90" s="155">
        <f t="shared" si="43"/>
        <v>0</v>
      </c>
      <c r="BL90" s="155">
        <f t="shared" si="43"/>
        <v>0</v>
      </c>
      <c r="BM90" s="155">
        <f t="shared" si="43"/>
        <v>0</v>
      </c>
      <c r="BN90" s="155">
        <f t="shared" si="43"/>
        <v>0</v>
      </c>
      <c r="BO90" s="155">
        <f t="shared" si="43"/>
        <v>0</v>
      </c>
      <c r="BQ90" s="155">
        <f>SUM(H90:S90)</f>
        <v>112</v>
      </c>
      <c r="BR90" s="155">
        <f>SUM(T90:AE90)</f>
        <v>0</v>
      </c>
      <c r="BS90" s="155">
        <f>SUM(AF90:AQ90)</f>
        <v>0</v>
      </c>
      <c r="BT90" s="155">
        <f>SUM(AR90:BC90)</f>
        <v>0</v>
      </c>
      <c r="BU90" s="155">
        <f>SUM(BD90:BO90)</f>
        <v>0</v>
      </c>
      <c r="BX90" s="454"/>
      <c r="BY90" s="454"/>
      <c r="BZ90" s="454"/>
      <c r="CA90" s="454"/>
    </row>
    <row r="91" spans="3:79" outlineLevel="1">
      <c r="D91" s="139" t="s">
        <v>194</v>
      </c>
      <c r="H91" s="139">
        <f>IS_Others!L97</f>
        <v>0</v>
      </c>
      <c r="I91" s="139">
        <f>IS_Others!M97</f>
        <v>0</v>
      </c>
      <c r="J91" s="139">
        <f>IS_Others!N97</f>
        <v>0</v>
      </c>
      <c r="K91" s="139">
        <f>IS_Others!O97</f>
        <v>100</v>
      </c>
      <c r="L91" s="139">
        <f>IS_Others!P97</f>
        <v>0</v>
      </c>
      <c r="M91" s="139">
        <f>IS_Others!Q97</f>
        <v>0</v>
      </c>
      <c r="N91" s="139">
        <f>IS_Others!R97</f>
        <v>0</v>
      </c>
      <c r="O91" s="139">
        <f>IS_Others!S97</f>
        <v>0</v>
      </c>
      <c r="P91" s="139">
        <f>IS_Others!T97</f>
        <v>0</v>
      </c>
      <c r="Q91" s="139">
        <f>IS_Others!U97</f>
        <v>0</v>
      </c>
      <c r="R91" s="139">
        <f>IS_Others!V97</f>
        <v>0</v>
      </c>
      <c r="S91" s="139">
        <f>IS_Others!W97</f>
        <v>0</v>
      </c>
      <c r="T91" s="139">
        <f>IS_Others!X97</f>
        <v>0</v>
      </c>
      <c r="U91" s="139">
        <f>IS_Others!Y97</f>
        <v>0</v>
      </c>
      <c r="V91" s="139">
        <f>IS_Others!Z97</f>
        <v>0</v>
      </c>
      <c r="W91" s="139">
        <f>IS_Others!AA97</f>
        <v>0</v>
      </c>
      <c r="X91" s="139">
        <f>IS_Others!AB97</f>
        <v>0</v>
      </c>
      <c r="Y91" s="139">
        <f>IS_Others!AC97</f>
        <v>0</v>
      </c>
      <c r="Z91" s="139">
        <f>IS_Others!AD97</f>
        <v>0</v>
      </c>
      <c r="AA91" s="139">
        <f>IS_Others!AE97</f>
        <v>0</v>
      </c>
      <c r="AB91" s="139">
        <f>IS_Others!AF97</f>
        <v>0</v>
      </c>
      <c r="AC91" s="139">
        <f>IS_Others!AG97</f>
        <v>0</v>
      </c>
      <c r="AD91" s="139">
        <f>IS_Others!AH97</f>
        <v>0</v>
      </c>
      <c r="AE91" s="139">
        <f>IS_Others!AI97</f>
        <v>0</v>
      </c>
      <c r="AF91" s="139">
        <f>IS_Others!AJ97</f>
        <v>0</v>
      </c>
      <c r="AG91" s="139">
        <f>IS_Others!AK97</f>
        <v>0</v>
      </c>
      <c r="AH91" s="139">
        <f>IS_Others!AL97</f>
        <v>0</v>
      </c>
      <c r="AI91" s="139">
        <f>IS_Others!AM97</f>
        <v>0</v>
      </c>
      <c r="AJ91" s="139">
        <f>IS_Others!AN97</f>
        <v>0</v>
      </c>
      <c r="AK91" s="139">
        <f>IS_Others!AO97</f>
        <v>0</v>
      </c>
      <c r="AL91" s="139">
        <f>IS_Others!AP97</f>
        <v>0</v>
      </c>
      <c r="AM91" s="139">
        <f>IS_Others!AQ97</f>
        <v>0</v>
      </c>
      <c r="AN91" s="139">
        <f>IS_Others!AR97</f>
        <v>0</v>
      </c>
      <c r="AO91" s="139">
        <f>IS_Others!AS97</f>
        <v>0</v>
      </c>
      <c r="AP91" s="139">
        <f>IS_Others!AT97</f>
        <v>0</v>
      </c>
      <c r="AQ91" s="139">
        <f>IS_Others!AU97</f>
        <v>0</v>
      </c>
      <c r="AR91" s="139">
        <f>IS_Others!AV97</f>
        <v>0</v>
      </c>
      <c r="AS91" s="139">
        <f>IS_Others!AW97</f>
        <v>0</v>
      </c>
      <c r="AT91" s="139">
        <f>IS_Others!AX97</f>
        <v>0</v>
      </c>
      <c r="AU91" s="139">
        <f>IS_Others!AY97</f>
        <v>0</v>
      </c>
      <c r="AV91" s="139">
        <f>IS_Others!AZ97</f>
        <v>0</v>
      </c>
      <c r="AW91" s="139">
        <f>IS_Others!BA97</f>
        <v>0</v>
      </c>
      <c r="AX91" s="139">
        <f>IS_Others!BB97</f>
        <v>0</v>
      </c>
      <c r="AY91" s="139">
        <f>IS_Others!BC97</f>
        <v>0</v>
      </c>
      <c r="AZ91" s="139">
        <f>IS_Others!BD97</f>
        <v>0</v>
      </c>
      <c r="BA91" s="139">
        <f>IS_Others!BE97</f>
        <v>0</v>
      </c>
      <c r="BB91" s="139">
        <f>IS_Others!BF97</f>
        <v>0</v>
      </c>
      <c r="BC91" s="139">
        <f>IS_Others!BG97</f>
        <v>0</v>
      </c>
      <c r="BD91" s="139">
        <f>IS_Others!BH97</f>
        <v>0</v>
      </c>
      <c r="BE91" s="139">
        <f>IS_Others!BI97</f>
        <v>0</v>
      </c>
      <c r="BF91" s="139">
        <f>IS_Others!BJ97</f>
        <v>0</v>
      </c>
      <c r="BG91" s="139">
        <f>IS_Others!BK97</f>
        <v>0</v>
      </c>
      <c r="BH91" s="139">
        <f>IS_Others!BL97</f>
        <v>0</v>
      </c>
      <c r="BI91" s="139">
        <f>IS_Others!BM97</f>
        <v>0</v>
      </c>
      <c r="BJ91" s="139">
        <f>IS_Others!BN97</f>
        <v>0</v>
      </c>
      <c r="BK91" s="139">
        <f>IS_Others!BO97</f>
        <v>0</v>
      </c>
      <c r="BL91" s="139">
        <f>IS_Others!BP97</f>
        <v>0</v>
      </c>
      <c r="BM91" s="139">
        <f>IS_Others!BQ97</f>
        <v>0</v>
      </c>
      <c r="BN91" s="139">
        <f>IS_Others!BR97</f>
        <v>0</v>
      </c>
      <c r="BO91" s="139">
        <f>IS_Others!BS97</f>
        <v>0</v>
      </c>
      <c r="BX91" s="456"/>
      <c r="BY91" s="456"/>
      <c r="BZ91" s="456"/>
      <c r="CA91" s="456"/>
    </row>
    <row r="92" spans="3:79" outlineLevel="1">
      <c r="D92" s="139" t="s">
        <v>195</v>
      </c>
      <c r="H92" s="139">
        <f>IS_Others!L98</f>
        <v>12</v>
      </c>
      <c r="I92" s="139">
        <f>IS_Others!M98</f>
        <v>0</v>
      </c>
      <c r="J92" s="139">
        <f>IS_Others!N98</f>
        <v>0</v>
      </c>
      <c r="K92" s="139">
        <f>IS_Others!O98</f>
        <v>0</v>
      </c>
      <c r="L92" s="139">
        <f>IS_Others!P98</f>
        <v>0</v>
      </c>
      <c r="M92" s="139">
        <f>IS_Others!Q98</f>
        <v>0</v>
      </c>
      <c r="N92" s="139">
        <f>IS_Others!R98</f>
        <v>0</v>
      </c>
      <c r="O92" s="139">
        <f>IS_Others!S98</f>
        <v>0</v>
      </c>
      <c r="P92" s="139">
        <f>IS_Others!T98</f>
        <v>0</v>
      </c>
      <c r="Q92" s="139">
        <f>IS_Others!U98</f>
        <v>0</v>
      </c>
      <c r="R92" s="139">
        <f>IS_Others!V98</f>
        <v>0</v>
      </c>
      <c r="S92" s="139">
        <f>IS_Others!W98</f>
        <v>0</v>
      </c>
      <c r="T92" s="139">
        <f>IS_Others!X98</f>
        <v>0</v>
      </c>
      <c r="U92" s="139">
        <f>IS_Others!Y98</f>
        <v>0</v>
      </c>
      <c r="V92" s="139">
        <f>IS_Others!Z98</f>
        <v>0</v>
      </c>
      <c r="W92" s="139">
        <f>IS_Others!AA98</f>
        <v>0</v>
      </c>
      <c r="X92" s="139">
        <f>IS_Others!AB98</f>
        <v>0</v>
      </c>
      <c r="Y92" s="139">
        <f>IS_Others!AC98</f>
        <v>0</v>
      </c>
      <c r="Z92" s="139">
        <f>IS_Others!AD98</f>
        <v>0</v>
      </c>
      <c r="AA92" s="139">
        <f>IS_Others!AE98</f>
        <v>0</v>
      </c>
      <c r="AB92" s="139">
        <f>IS_Others!AF98</f>
        <v>0</v>
      </c>
      <c r="AC92" s="139">
        <f>IS_Others!AG98</f>
        <v>0</v>
      </c>
      <c r="AD92" s="139">
        <f>IS_Others!AH98</f>
        <v>0</v>
      </c>
      <c r="AE92" s="139">
        <f>IS_Others!AI98</f>
        <v>0</v>
      </c>
      <c r="AF92" s="139">
        <f>IS_Others!AJ98</f>
        <v>0</v>
      </c>
      <c r="AG92" s="139">
        <f>IS_Others!AK98</f>
        <v>0</v>
      </c>
      <c r="AH92" s="139">
        <f>IS_Others!AL98</f>
        <v>0</v>
      </c>
      <c r="AI92" s="139">
        <f>IS_Others!AM98</f>
        <v>0</v>
      </c>
      <c r="AJ92" s="139">
        <f>IS_Others!AN98</f>
        <v>0</v>
      </c>
      <c r="AK92" s="139">
        <f>IS_Others!AO98</f>
        <v>0</v>
      </c>
      <c r="AL92" s="139">
        <f>IS_Others!AP98</f>
        <v>0</v>
      </c>
      <c r="AM92" s="139">
        <f>IS_Others!AQ98</f>
        <v>0</v>
      </c>
      <c r="AN92" s="139">
        <f>IS_Others!AR98</f>
        <v>0</v>
      </c>
      <c r="AO92" s="139">
        <f>IS_Others!AS98</f>
        <v>0</v>
      </c>
      <c r="AP92" s="139">
        <f>IS_Others!AT98</f>
        <v>0</v>
      </c>
      <c r="AQ92" s="139">
        <f>IS_Others!AU98</f>
        <v>0</v>
      </c>
      <c r="AR92" s="139">
        <f>IS_Others!AV98</f>
        <v>0</v>
      </c>
      <c r="AS92" s="139">
        <f>IS_Others!AW98</f>
        <v>0</v>
      </c>
      <c r="AT92" s="139">
        <f>IS_Others!AX98</f>
        <v>0</v>
      </c>
      <c r="AU92" s="139">
        <f>IS_Others!AY98</f>
        <v>0</v>
      </c>
      <c r="AV92" s="139">
        <f>IS_Others!AZ98</f>
        <v>0</v>
      </c>
      <c r="AW92" s="139">
        <f>IS_Others!BA98</f>
        <v>0</v>
      </c>
      <c r="AX92" s="139">
        <f>IS_Others!BB98</f>
        <v>0</v>
      </c>
      <c r="AY92" s="139">
        <f>IS_Others!BC98</f>
        <v>0</v>
      </c>
      <c r="AZ92" s="139">
        <f>IS_Others!BD98</f>
        <v>0</v>
      </c>
      <c r="BA92" s="139">
        <f>IS_Others!BE98</f>
        <v>0</v>
      </c>
      <c r="BB92" s="139">
        <f>IS_Others!BF98</f>
        <v>0</v>
      </c>
      <c r="BC92" s="139">
        <f>IS_Others!BG98</f>
        <v>0</v>
      </c>
      <c r="BD92" s="139">
        <f>IS_Others!BH98</f>
        <v>0</v>
      </c>
      <c r="BE92" s="139">
        <f>IS_Others!BI98</f>
        <v>0</v>
      </c>
      <c r="BF92" s="139">
        <f>IS_Others!BJ98</f>
        <v>0</v>
      </c>
      <c r="BG92" s="139">
        <f>IS_Others!BK98</f>
        <v>0</v>
      </c>
      <c r="BH92" s="139">
        <f>IS_Others!BL98</f>
        <v>0</v>
      </c>
      <c r="BI92" s="139">
        <f>IS_Others!BM98</f>
        <v>0</v>
      </c>
      <c r="BJ92" s="139">
        <f>IS_Others!BN98</f>
        <v>0</v>
      </c>
      <c r="BK92" s="139">
        <f>IS_Others!BO98</f>
        <v>0</v>
      </c>
      <c r="BL92" s="139">
        <f>IS_Others!BP98</f>
        <v>0</v>
      </c>
      <c r="BM92" s="139">
        <f>IS_Others!BQ98</f>
        <v>0</v>
      </c>
      <c r="BN92" s="139">
        <f>IS_Others!BR98</f>
        <v>0</v>
      </c>
      <c r="BO92" s="139">
        <f>IS_Others!BS98</f>
        <v>0</v>
      </c>
      <c r="BX92" s="456"/>
      <c r="BY92" s="456"/>
      <c r="BZ92" s="456"/>
      <c r="CA92" s="456"/>
    </row>
    <row r="93" spans="3:79" outlineLevel="1">
      <c r="D93" s="139" t="s">
        <v>196</v>
      </c>
      <c r="H93" s="139">
        <f>IS_Others!L99</f>
        <v>0</v>
      </c>
      <c r="I93" s="139">
        <f>IS_Others!M99</f>
        <v>0</v>
      </c>
      <c r="J93" s="139">
        <f>IS_Others!N99</f>
        <v>0</v>
      </c>
      <c r="K93" s="139">
        <f>IS_Others!O99</f>
        <v>0</v>
      </c>
      <c r="L93" s="139">
        <f>IS_Others!P99</f>
        <v>0</v>
      </c>
      <c r="M93" s="139">
        <f>IS_Others!Q99</f>
        <v>0</v>
      </c>
      <c r="N93" s="139">
        <f>IS_Others!R99</f>
        <v>0</v>
      </c>
      <c r="O93" s="139">
        <f>IS_Others!S99</f>
        <v>0</v>
      </c>
      <c r="P93" s="139">
        <f>IS_Others!T99</f>
        <v>0</v>
      </c>
      <c r="Q93" s="139">
        <f>IS_Others!U99</f>
        <v>0</v>
      </c>
      <c r="R93" s="139">
        <f>IS_Others!V99</f>
        <v>0</v>
      </c>
      <c r="S93" s="139">
        <f>IS_Others!W99</f>
        <v>0</v>
      </c>
      <c r="T93" s="139">
        <f>IS_Others!X99</f>
        <v>0</v>
      </c>
      <c r="U93" s="139">
        <f>IS_Others!Y99</f>
        <v>0</v>
      </c>
      <c r="V93" s="139">
        <f>IS_Others!Z99</f>
        <v>0</v>
      </c>
      <c r="W93" s="139">
        <f>IS_Others!AA99</f>
        <v>0</v>
      </c>
      <c r="X93" s="139">
        <f>IS_Others!AB99</f>
        <v>0</v>
      </c>
      <c r="Y93" s="139">
        <f>IS_Others!AC99</f>
        <v>0</v>
      </c>
      <c r="Z93" s="139">
        <f>IS_Others!AD99</f>
        <v>0</v>
      </c>
      <c r="AA93" s="139">
        <f>IS_Others!AE99</f>
        <v>0</v>
      </c>
      <c r="AB93" s="139">
        <f>IS_Others!AF99</f>
        <v>0</v>
      </c>
      <c r="AC93" s="139">
        <f>IS_Others!AG99</f>
        <v>0</v>
      </c>
      <c r="AD93" s="139">
        <f>IS_Others!AH99</f>
        <v>0</v>
      </c>
      <c r="AE93" s="139">
        <f>IS_Others!AI99</f>
        <v>0</v>
      </c>
      <c r="AF93" s="139">
        <f>IS_Others!AJ99</f>
        <v>0</v>
      </c>
      <c r="AG93" s="139">
        <f>IS_Others!AK99</f>
        <v>0</v>
      </c>
      <c r="AH93" s="139">
        <f>IS_Others!AL99</f>
        <v>0</v>
      </c>
      <c r="AI93" s="139">
        <f>IS_Others!AM99</f>
        <v>0</v>
      </c>
      <c r="AJ93" s="139">
        <f>IS_Others!AN99</f>
        <v>0</v>
      </c>
      <c r="AK93" s="139">
        <f>IS_Others!AO99</f>
        <v>0</v>
      </c>
      <c r="AL93" s="139">
        <f>IS_Others!AP99</f>
        <v>0</v>
      </c>
      <c r="AM93" s="139">
        <f>IS_Others!AQ99</f>
        <v>0</v>
      </c>
      <c r="AN93" s="139">
        <f>IS_Others!AR99</f>
        <v>0</v>
      </c>
      <c r="AO93" s="139">
        <f>IS_Others!AS99</f>
        <v>0</v>
      </c>
      <c r="AP93" s="139">
        <f>IS_Others!AT99</f>
        <v>0</v>
      </c>
      <c r="AQ93" s="139">
        <f>IS_Others!AU99</f>
        <v>0</v>
      </c>
      <c r="AR93" s="139">
        <f>IS_Others!AV99</f>
        <v>0</v>
      </c>
      <c r="AS93" s="139">
        <f>IS_Others!AW99</f>
        <v>0</v>
      </c>
      <c r="AT93" s="139">
        <f>IS_Others!AX99</f>
        <v>0</v>
      </c>
      <c r="AU93" s="139">
        <f>IS_Others!AY99</f>
        <v>0</v>
      </c>
      <c r="AV93" s="139">
        <f>IS_Others!AZ99</f>
        <v>0</v>
      </c>
      <c r="AW93" s="139">
        <f>IS_Others!BA99</f>
        <v>0</v>
      </c>
      <c r="AX93" s="139">
        <f>IS_Others!BB99</f>
        <v>0</v>
      </c>
      <c r="AY93" s="139">
        <f>IS_Others!BC99</f>
        <v>0</v>
      </c>
      <c r="AZ93" s="139">
        <f>IS_Others!BD99</f>
        <v>0</v>
      </c>
      <c r="BA93" s="139">
        <f>IS_Others!BE99</f>
        <v>0</v>
      </c>
      <c r="BB93" s="139">
        <f>IS_Others!BF99</f>
        <v>0</v>
      </c>
      <c r="BC93" s="139">
        <f>IS_Others!BG99</f>
        <v>0</v>
      </c>
      <c r="BD93" s="139">
        <f>IS_Others!BH99</f>
        <v>0</v>
      </c>
      <c r="BE93" s="139">
        <f>IS_Others!BI99</f>
        <v>0</v>
      </c>
      <c r="BF93" s="139">
        <f>IS_Others!BJ99</f>
        <v>0</v>
      </c>
      <c r="BG93" s="139">
        <f>IS_Others!BK99</f>
        <v>0</v>
      </c>
      <c r="BH93" s="139">
        <f>IS_Others!BL99</f>
        <v>0</v>
      </c>
      <c r="BI93" s="139">
        <f>IS_Others!BM99</f>
        <v>0</v>
      </c>
      <c r="BJ93" s="139">
        <f>IS_Others!BN99</f>
        <v>0</v>
      </c>
      <c r="BK93" s="139">
        <f>IS_Others!BO99</f>
        <v>0</v>
      </c>
      <c r="BL93" s="139">
        <f>IS_Others!BP99</f>
        <v>0</v>
      </c>
      <c r="BM93" s="139">
        <f>IS_Others!BQ99</f>
        <v>0</v>
      </c>
      <c r="BN93" s="139">
        <f>IS_Others!BR99</f>
        <v>0</v>
      </c>
      <c r="BO93" s="139">
        <f>IS_Others!BS99</f>
        <v>0</v>
      </c>
      <c r="BX93" s="456"/>
      <c r="BY93" s="456"/>
      <c r="BZ93" s="456"/>
      <c r="CA93" s="456"/>
    </row>
    <row r="94" spans="3:79" s="155" customFormat="1">
      <c r="C94" s="155" t="s">
        <v>167</v>
      </c>
      <c r="H94" s="155">
        <f>SUBTOTAL(9,H95:H110)</f>
        <v>6</v>
      </c>
      <c r="I94" s="155">
        <f t="shared" ref="I94:BO94" si="44">SUBTOTAL(9,I95:I110)</f>
        <v>6</v>
      </c>
      <c r="J94" s="155">
        <f t="shared" si="44"/>
        <v>6</v>
      </c>
      <c r="K94" s="155">
        <f t="shared" si="44"/>
        <v>6</v>
      </c>
      <c r="L94" s="155">
        <f t="shared" si="44"/>
        <v>6</v>
      </c>
      <c r="M94" s="155">
        <f t="shared" si="44"/>
        <v>6</v>
      </c>
      <c r="N94" s="155">
        <f t="shared" si="44"/>
        <v>17.100000000000001</v>
      </c>
      <c r="O94" s="155">
        <f t="shared" si="44"/>
        <v>17.100000000000001</v>
      </c>
      <c r="P94" s="155">
        <f t="shared" si="44"/>
        <v>17.100000000000001</v>
      </c>
      <c r="Q94" s="155">
        <f t="shared" si="44"/>
        <v>17.100000000000001</v>
      </c>
      <c r="R94" s="155">
        <f t="shared" si="44"/>
        <v>17.100000000000001</v>
      </c>
      <c r="S94" s="155">
        <f t="shared" si="44"/>
        <v>17.100000000000001</v>
      </c>
      <c r="T94" s="155">
        <f t="shared" si="44"/>
        <v>17.2</v>
      </c>
      <c r="U94" s="155">
        <f t="shared" si="44"/>
        <v>17.2</v>
      </c>
      <c r="V94" s="155">
        <f t="shared" si="44"/>
        <v>17.2</v>
      </c>
      <c r="W94" s="155">
        <f t="shared" si="44"/>
        <v>17.2</v>
      </c>
      <c r="X94" s="155">
        <f t="shared" si="44"/>
        <v>17.2</v>
      </c>
      <c r="Y94" s="155">
        <f t="shared" si="44"/>
        <v>17.2</v>
      </c>
      <c r="Z94" s="155">
        <f t="shared" si="44"/>
        <v>17.2</v>
      </c>
      <c r="AA94" s="155">
        <f t="shared" si="44"/>
        <v>17.2</v>
      </c>
      <c r="AB94" s="155">
        <f t="shared" si="44"/>
        <v>17.2</v>
      </c>
      <c r="AC94" s="155">
        <f t="shared" si="44"/>
        <v>17.2</v>
      </c>
      <c r="AD94" s="155">
        <f t="shared" si="44"/>
        <v>17.2</v>
      </c>
      <c r="AE94" s="155">
        <f t="shared" si="44"/>
        <v>17.2</v>
      </c>
      <c r="AF94" s="155">
        <f t="shared" si="44"/>
        <v>45.6</v>
      </c>
      <c r="AG94" s="155">
        <f t="shared" si="44"/>
        <v>45.6</v>
      </c>
      <c r="AH94" s="155">
        <f t="shared" si="44"/>
        <v>45.6</v>
      </c>
      <c r="AI94" s="155">
        <f t="shared" si="44"/>
        <v>45.6</v>
      </c>
      <c r="AJ94" s="155">
        <f t="shared" si="44"/>
        <v>45.6</v>
      </c>
      <c r="AK94" s="155">
        <f t="shared" si="44"/>
        <v>45.6</v>
      </c>
      <c r="AL94" s="155">
        <f t="shared" si="44"/>
        <v>45.6</v>
      </c>
      <c r="AM94" s="155">
        <f t="shared" si="44"/>
        <v>45.6</v>
      </c>
      <c r="AN94" s="155">
        <f t="shared" si="44"/>
        <v>45.6</v>
      </c>
      <c r="AO94" s="155">
        <f t="shared" si="44"/>
        <v>45.6</v>
      </c>
      <c r="AP94" s="155">
        <f t="shared" si="44"/>
        <v>45.6</v>
      </c>
      <c r="AQ94" s="155">
        <f t="shared" si="44"/>
        <v>45.6</v>
      </c>
      <c r="AR94" s="155">
        <f t="shared" si="44"/>
        <v>62.8</v>
      </c>
      <c r="AS94" s="155">
        <f t="shared" si="44"/>
        <v>62.8</v>
      </c>
      <c r="AT94" s="155">
        <f t="shared" si="44"/>
        <v>62.8</v>
      </c>
      <c r="AU94" s="155">
        <f t="shared" si="44"/>
        <v>62.8</v>
      </c>
      <c r="AV94" s="155">
        <f t="shared" si="44"/>
        <v>62.8</v>
      </c>
      <c r="AW94" s="155">
        <f t="shared" si="44"/>
        <v>62.8</v>
      </c>
      <c r="AX94" s="155">
        <f t="shared" si="44"/>
        <v>62.8</v>
      </c>
      <c r="AY94" s="155">
        <f t="shared" si="44"/>
        <v>62.8</v>
      </c>
      <c r="AZ94" s="155">
        <f t="shared" si="44"/>
        <v>62.8</v>
      </c>
      <c r="BA94" s="155">
        <f t="shared" si="44"/>
        <v>62.8</v>
      </c>
      <c r="BB94" s="155">
        <f t="shared" si="44"/>
        <v>62.8</v>
      </c>
      <c r="BC94" s="155">
        <f t="shared" si="44"/>
        <v>62.8</v>
      </c>
      <c r="BD94" s="155">
        <f t="shared" si="44"/>
        <v>74</v>
      </c>
      <c r="BE94" s="155">
        <f t="shared" si="44"/>
        <v>74</v>
      </c>
      <c r="BF94" s="155">
        <f t="shared" si="44"/>
        <v>74</v>
      </c>
      <c r="BG94" s="155">
        <f t="shared" si="44"/>
        <v>74</v>
      </c>
      <c r="BH94" s="155">
        <f t="shared" si="44"/>
        <v>74</v>
      </c>
      <c r="BI94" s="155">
        <f t="shared" si="44"/>
        <v>74</v>
      </c>
      <c r="BJ94" s="155">
        <f t="shared" si="44"/>
        <v>74</v>
      </c>
      <c r="BK94" s="155">
        <f t="shared" si="44"/>
        <v>74</v>
      </c>
      <c r="BL94" s="155">
        <f t="shared" si="44"/>
        <v>74</v>
      </c>
      <c r="BM94" s="155">
        <f t="shared" si="44"/>
        <v>74</v>
      </c>
      <c r="BN94" s="155">
        <f t="shared" si="44"/>
        <v>74</v>
      </c>
      <c r="BO94" s="155">
        <f t="shared" si="44"/>
        <v>74</v>
      </c>
      <c r="BQ94" s="155">
        <f>SUM(H94:S94)</f>
        <v>138.6</v>
      </c>
      <c r="BR94" s="155">
        <f>SUM(T94:AE94)</f>
        <v>206.39999999999995</v>
      </c>
      <c r="BS94" s="155">
        <f>SUM(AF94:AQ94)</f>
        <v>547.20000000000016</v>
      </c>
      <c r="BT94" s="155">
        <f>SUM(AR94:BC94)</f>
        <v>753.59999999999991</v>
      </c>
      <c r="BU94" s="155">
        <f>SUM(BD94:BO94)</f>
        <v>888</v>
      </c>
      <c r="BX94" s="454">
        <f t="shared" si="34"/>
        <v>0.48917748917748893</v>
      </c>
      <c r="BY94" s="454">
        <f t="shared" si="35"/>
        <v>1.651162790697676</v>
      </c>
      <c r="BZ94" s="454">
        <f t="shared" si="36"/>
        <v>0.37719298245613975</v>
      </c>
      <c r="CA94" s="454">
        <f t="shared" si="37"/>
        <v>0.17834394904458617</v>
      </c>
    </row>
    <row r="95" spans="3:79" outlineLevel="1">
      <c r="D95" s="139" t="s">
        <v>97</v>
      </c>
      <c r="H95" s="155">
        <f>IS_Others!L101</f>
        <v>0</v>
      </c>
      <c r="I95" s="155">
        <f>IS_Others!M101</f>
        <v>0</v>
      </c>
      <c r="J95" s="155">
        <f>IS_Others!N101</f>
        <v>0</v>
      </c>
      <c r="K95" s="155">
        <f>IS_Others!O101</f>
        <v>0</v>
      </c>
      <c r="L95" s="155">
        <f>IS_Others!P101</f>
        <v>0</v>
      </c>
      <c r="M95" s="155">
        <f>IS_Others!Q101</f>
        <v>0</v>
      </c>
      <c r="N95" s="155">
        <f>IS_Others!R101</f>
        <v>0</v>
      </c>
      <c r="O95" s="155">
        <f>IS_Others!S101</f>
        <v>0</v>
      </c>
      <c r="P95" s="155">
        <f>IS_Others!T101</f>
        <v>0</v>
      </c>
      <c r="Q95" s="155">
        <f>IS_Others!U101</f>
        <v>0</v>
      </c>
      <c r="R95" s="155">
        <f>IS_Others!V101</f>
        <v>0</v>
      </c>
      <c r="S95" s="155">
        <f>IS_Others!W101</f>
        <v>0</v>
      </c>
      <c r="T95" s="155">
        <f>IS_Others!X101</f>
        <v>0</v>
      </c>
      <c r="U95" s="155">
        <f>IS_Others!Y101</f>
        <v>0</v>
      </c>
      <c r="V95" s="155">
        <f>IS_Others!Z101</f>
        <v>0</v>
      </c>
      <c r="W95" s="155">
        <f>IS_Others!AA101</f>
        <v>0</v>
      </c>
      <c r="X95" s="155">
        <f>IS_Others!AB101</f>
        <v>0</v>
      </c>
      <c r="Y95" s="155">
        <f>IS_Others!AC101</f>
        <v>0</v>
      </c>
      <c r="Z95" s="155">
        <f>IS_Others!AD101</f>
        <v>0</v>
      </c>
      <c r="AA95" s="155">
        <f>IS_Others!AE101</f>
        <v>0</v>
      </c>
      <c r="AB95" s="155">
        <f>IS_Others!AF101</f>
        <v>0</v>
      </c>
      <c r="AC95" s="155">
        <f>IS_Others!AG101</f>
        <v>0</v>
      </c>
      <c r="AD95" s="155">
        <f>IS_Others!AH101</f>
        <v>0</v>
      </c>
      <c r="AE95" s="155">
        <f>IS_Others!AI101</f>
        <v>0</v>
      </c>
      <c r="AF95" s="155">
        <f>IS_Others!AJ101</f>
        <v>0</v>
      </c>
      <c r="AG95" s="155">
        <f>IS_Others!AK101</f>
        <v>0</v>
      </c>
      <c r="AH95" s="155">
        <f>IS_Others!AL101</f>
        <v>0</v>
      </c>
      <c r="AI95" s="155">
        <f>IS_Others!AM101</f>
        <v>0</v>
      </c>
      <c r="AJ95" s="155">
        <f>IS_Others!AN101</f>
        <v>0</v>
      </c>
      <c r="AK95" s="155">
        <f>IS_Others!AO101</f>
        <v>0</v>
      </c>
      <c r="AL95" s="155">
        <f>IS_Others!AP101</f>
        <v>0</v>
      </c>
      <c r="AM95" s="155">
        <f>IS_Others!AQ101</f>
        <v>0</v>
      </c>
      <c r="AN95" s="155">
        <f>IS_Others!AR101</f>
        <v>0</v>
      </c>
      <c r="AO95" s="155">
        <f>IS_Others!AS101</f>
        <v>0</v>
      </c>
      <c r="AP95" s="155">
        <f>IS_Others!AT101</f>
        <v>0</v>
      </c>
      <c r="AQ95" s="155">
        <f>IS_Others!AU101</f>
        <v>0</v>
      </c>
      <c r="AR95" s="155">
        <f>IS_Others!AV101</f>
        <v>0</v>
      </c>
      <c r="AS95" s="155">
        <f>IS_Others!AW101</f>
        <v>0</v>
      </c>
      <c r="AT95" s="155">
        <f>IS_Others!AX101</f>
        <v>0</v>
      </c>
      <c r="AU95" s="155">
        <f>IS_Others!AY101</f>
        <v>0</v>
      </c>
      <c r="AV95" s="155">
        <f>IS_Others!AZ101</f>
        <v>0</v>
      </c>
      <c r="AW95" s="155">
        <f>IS_Others!BA101</f>
        <v>0</v>
      </c>
      <c r="AX95" s="155">
        <f>IS_Others!BB101</f>
        <v>0</v>
      </c>
      <c r="AY95" s="155">
        <f>IS_Others!BC101</f>
        <v>0</v>
      </c>
      <c r="AZ95" s="155">
        <f>IS_Others!BD101</f>
        <v>0</v>
      </c>
      <c r="BA95" s="155">
        <f>IS_Others!BE101</f>
        <v>0</v>
      </c>
      <c r="BB95" s="155">
        <f>IS_Others!BF101</f>
        <v>0</v>
      </c>
      <c r="BC95" s="155">
        <f>IS_Others!BG101</f>
        <v>0</v>
      </c>
      <c r="BD95" s="155">
        <f>IS_Others!BH101</f>
        <v>0</v>
      </c>
      <c r="BE95" s="155">
        <f>IS_Others!BI101</f>
        <v>0</v>
      </c>
      <c r="BF95" s="155">
        <f>IS_Others!BJ101</f>
        <v>0</v>
      </c>
      <c r="BG95" s="155">
        <f>IS_Others!BK101</f>
        <v>0</v>
      </c>
      <c r="BH95" s="155">
        <f>IS_Others!BL101</f>
        <v>0</v>
      </c>
      <c r="BI95" s="155">
        <f>IS_Others!BM101</f>
        <v>0</v>
      </c>
      <c r="BJ95" s="155">
        <f>IS_Others!BN101</f>
        <v>0</v>
      </c>
      <c r="BK95" s="155">
        <f>IS_Others!BO101</f>
        <v>0</v>
      </c>
      <c r="BL95" s="155">
        <f>IS_Others!BP101</f>
        <v>0</v>
      </c>
      <c r="BM95" s="155">
        <f>IS_Others!BQ101</f>
        <v>0</v>
      </c>
      <c r="BN95" s="155">
        <f>IS_Others!BR101</f>
        <v>0</v>
      </c>
      <c r="BO95" s="155">
        <f>IS_Others!BS101</f>
        <v>0</v>
      </c>
      <c r="BX95" s="456"/>
      <c r="BY95" s="456"/>
      <c r="BZ95" s="456"/>
      <c r="CA95" s="456"/>
    </row>
    <row r="96" spans="3:79" outlineLevel="1">
      <c r="D96" s="139" t="s">
        <v>197</v>
      </c>
      <c r="H96" s="155">
        <f>IS_Others!L102</f>
        <v>3</v>
      </c>
      <c r="I96" s="155">
        <f>IS_Others!M102</f>
        <v>3</v>
      </c>
      <c r="J96" s="155">
        <f>IS_Others!N102</f>
        <v>3</v>
      </c>
      <c r="K96" s="155">
        <f>IS_Others!O102</f>
        <v>3</v>
      </c>
      <c r="L96" s="155">
        <f>IS_Others!P102</f>
        <v>3</v>
      </c>
      <c r="M96" s="155">
        <f>IS_Others!Q102</f>
        <v>3</v>
      </c>
      <c r="N96" s="155">
        <f>IS_Others!R102</f>
        <v>3</v>
      </c>
      <c r="O96" s="155">
        <f>IS_Others!S102</f>
        <v>3</v>
      </c>
      <c r="P96" s="155">
        <f>IS_Others!T102</f>
        <v>3</v>
      </c>
      <c r="Q96" s="155">
        <f>IS_Others!U102</f>
        <v>3</v>
      </c>
      <c r="R96" s="155">
        <f>IS_Others!V102</f>
        <v>3</v>
      </c>
      <c r="S96" s="155">
        <f>IS_Others!W102</f>
        <v>3</v>
      </c>
      <c r="T96" s="155">
        <f>IS_Others!X102</f>
        <v>3</v>
      </c>
      <c r="U96" s="155">
        <f>IS_Others!Y102</f>
        <v>3</v>
      </c>
      <c r="V96" s="155">
        <f>IS_Others!Z102</f>
        <v>3</v>
      </c>
      <c r="W96" s="155">
        <f>IS_Others!AA102</f>
        <v>3</v>
      </c>
      <c r="X96" s="155">
        <f>IS_Others!AB102</f>
        <v>3</v>
      </c>
      <c r="Y96" s="155">
        <f>IS_Others!AC102</f>
        <v>3</v>
      </c>
      <c r="Z96" s="155">
        <f>IS_Others!AD102</f>
        <v>3</v>
      </c>
      <c r="AA96" s="155">
        <f>IS_Others!AE102</f>
        <v>3</v>
      </c>
      <c r="AB96" s="155">
        <f>IS_Others!AF102</f>
        <v>3</v>
      </c>
      <c r="AC96" s="155">
        <f>IS_Others!AG102</f>
        <v>3</v>
      </c>
      <c r="AD96" s="155">
        <f>IS_Others!AH102</f>
        <v>3</v>
      </c>
      <c r="AE96" s="155">
        <f>IS_Others!AI102</f>
        <v>3</v>
      </c>
      <c r="AF96" s="155">
        <f>IS_Others!AJ102</f>
        <v>3</v>
      </c>
      <c r="AG96" s="155">
        <f>IS_Others!AK102</f>
        <v>3</v>
      </c>
      <c r="AH96" s="155">
        <f>IS_Others!AL102</f>
        <v>3</v>
      </c>
      <c r="AI96" s="155">
        <f>IS_Others!AM102</f>
        <v>3</v>
      </c>
      <c r="AJ96" s="155">
        <f>IS_Others!AN102</f>
        <v>3</v>
      </c>
      <c r="AK96" s="155">
        <f>IS_Others!AO102</f>
        <v>3</v>
      </c>
      <c r="AL96" s="155">
        <f>IS_Others!AP102</f>
        <v>3</v>
      </c>
      <c r="AM96" s="155">
        <f>IS_Others!AQ102</f>
        <v>3</v>
      </c>
      <c r="AN96" s="155">
        <f>IS_Others!AR102</f>
        <v>3</v>
      </c>
      <c r="AO96" s="155">
        <f>IS_Others!AS102</f>
        <v>3</v>
      </c>
      <c r="AP96" s="155">
        <f>IS_Others!AT102</f>
        <v>3</v>
      </c>
      <c r="AQ96" s="155">
        <f>IS_Others!AU102</f>
        <v>3</v>
      </c>
      <c r="AR96" s="155">
        <f>IS_Others!AV102</f>
        <v>3</v>
      </c>
      <c r="AS96" s="155">
        <f>IS_Others!AW102</f>
        <v>3</v>
      </c>
      <c r="AT96" s="155">
        <f>IS_Others!AX102</f>
        <v>3</v>
      </c>
      <c r="AU96" s="155">
        <f>IS_Others!AY102</f>
        <v>3</v>
      </c>
      <c r="AV96" s="155">
        <f>IS_Others!AZ102</f>
        <v>3</v>
      </c>
      <c r="AW96" s="155">
        <f>IS_Others!BA102</f>
        <v>3</v>
      </c>
      <c r="AX96" s="155">
        <f>IS_Others!BB102</f>
        <v>3</v>
      </c>
      <c r="AY96" s="155">
        <f>IS_Others!BC102</f>
        <v>3</v>
      </c>
      <c r="AZ96" s="155">
        <f>IS_Others!BD102</f>
        <v>3</v>
      </c>
      <c r="BA96" s="155">
        <f>IS_Others!BE102</f>
        <v>3</v>
      </c>
      <c r="BB96" s="155">
        <f>IS_Others!BF102</f>
        <v>3</v>
      </c>
      <c r="BC96" s="155">
        <f>IS_Others!BG102</f>
        <v>3</v>
      </c>
      <c r="BD96" s="155">
        <f>IS_Others!BH102</f>
        <v>3</v>
      </c>
      <c r="BE96" s="155">
        <f>IS_Others!BI102</f>
        <v>3</v>
      </c>
      <c r="BF96" s="155">
        <f>IS_Others!BJ102</f>
        <v>3</v>
      </c>
      <c r="BG96" s="155">
        <f>IS_Others!BK102</f>
        <v>3</v>
      </c>
      <c r="BH96" s="155">
        <f>IS_Others!BL102</f>
        <v>3</v>
      </c>
      <c r="BI96" s="155">
        <f>IS_Others!BM102</f>
        <v>3</v>
      </c>
      <c r="BJ96" s="155">
        <f>IS_Others!BN102</f>
        <v>3</v>
      </c>
      <c r="BK96" s="155">
        <f>IS_Others!BO102</f>
        <v>3</v>
      </c>
      <c r="BL96" s="155">
        <f>IS_Others!BP102</f>
        <v>3</v>
      </c>
      <c r="BM96" s="155">
        <f>IS_Others!BQ102</f>
        <v>3</v>
      </c>
      <c r="BN96" s="155">
        <f>IS_Others!BR102</f>
        <v>3</v>
      </c>
      <c r="BO96" s="155">
        <f>IS_Others!BS102</f>
        <v>3</v>
      </c>
      <c r="BX96" s="456"/>
      <c r="BY96" s="456"/>
      <c r="BZ96" s="456"/>
      <c r="CA96" s="456"/>
    </row>
    <row r="97" spans="2:79" outlineLevel="1">
      <c r="D97" s="139" t="s">
        <v>198</v>
      </c>
      <c r="H97" s="155">
        <f>IS_Others!L103</f>
        <v>0.5</v>
      </c>
      <c r="I97" s="155">
        <f>IS_Others!M103</f>
        <v>0.5</v>
      </c>
      <c r="J97" s="155">
        <f>IS_Others!N103</f>
        <v>0.5</v>
      </c>
      <c r="K97" s="155">
        <f>IS_Others!O103</f>
        <v>0.5</v>
      </c>
      <c r="L97" s="155">
        <f>IS_Others!P103</f>
        <v>0.5</v>
      </c>
      <c r="M97" s="155">
        <f>IS_Others!Q103</f>
        <v>0.5</v>
      </c>
      <c r="N97" s="155">
        <f>IS_Others!R103</f>
        <v>0.5</v>
      </c>
      <c r="O97" s="155">
        <f>IS_Others!S103</f>
        <v>0.5</v>
      </c>
      <c r="P97" s="155">
        <f>IS_Others!T103</f>
        <v>0.5</v>
      </c>
      <c r="Q97" s="155">
        <f>IS_Others!U103</f>
        <v>0.5</v>
      </c>
      <c r="R97" s="155">
        <f>IS_Others!V103</f>
        <v>0.5</v>
      </c>
      <c r="S97" s="155">
        <f>IS_Others!W103</f>
        <v>0.5</v>
      </c>
      <c r="T97" s="155">
        <f>IS_Others!X103</f>
        <v>0.5</v>
      </c>
      <c r="U97" s="155">
        <f>IS_Others!Y103</f>
        <v>0.5</v>
      </c>
      <c r="V97" s="155">
        <f>IS_Others!Z103</f>
        <v>0.5</v>
      </c>
      <c r="W97" s="155">
        <f>IS_Others!AA103</f>
        <v>0.5</v>
      </c>
      <c r="X97" s="155">
        <f>IS_Others!AB103</f>
        <v>0.5</v>
      </c>
      <c r="Y97" s="155">
        <f>IS_Others!AC103</f>
        <v>0.5</v>
      </c>
      <c r="Z97" s="155">
        <f>IS_Others!AD103</f>
        <v>0.5</v>
      </c>
      <c r="AA97" s="155">
        <f>IS_Others!AE103</f>
        <v>0.5</v>
      </c>
      <c r="AB97" s="155">
        <f>IS_Others!AF103</f>
        <v>0.5</v>
      </c>
      <c r="AC97" s="155">
        <f>IS_Others!AG103</f>
        <v>0.5</v>
      </c>
      <c r="AD97" s="155">
        <f>IS_Others!AH103</f>
        <v>0.5</v>
      </c>
      <c r="AE97" s="155">
        <f>IS_Others!AI103</f>
        <v>0.5</v>
      </c>
      <c r="AF97" s="155">
        <f>IS_Others!AJ103</f>
        <v>0.5</v>
      </c>
      <c r="AG97" s="155">
        <f>IS_Others!AK103</f>
        <v>0.5</v>
      </c>
      <c r="AH97" s="155">
        <f>IS_Others!AL103</f>
        <v>0.5</v>
      </c>
      <c r="AI97" s="155">
        <f>IS_Others!AM103</f>
        <v>0.5</v>
      </c>
      <c r="AJ97" s="155">
        <f>IS_Others!AN103</f>
        <v>0.5</v>
      </c>
      <c r="AK97" s="155">
        <f>IS_Others!AO103</f>
        <v>0.5</v>
      </c>
      <c r="AL97" s="155">
        <f>IS_Others!AP103</f>
        <v>0.5</v>
      </c>
      <c r="AM97" s="155">
        <f>IS_Others!AQ103</f>
        <v>0.5</v>
      </c>
      <c r="AN97" s="155">
        <f>IS_Others!AR103</f>
        <v>0.5</v>
      </c>
      <c r="AO97" s="155">
        <f>IS_Others!AS103</f>
        <v>0.5</v>
      </c>
      <c r="AP97" s="155">
        <f>IS_Others!AT103</f>
        <v>0.5</v>
      </c>
      <c r="AQ97" s="155">
        <f>IS_Others!AU103</f>
        <v>0.5</v>
      </c>
      <c r="AR97" s="155">
        <f>IS_Others!AV103</f>
        <v>0.5</v>
      </c>
      <c r="AS97" s="155">
        <f>IS_Others!AW103</f>
        <v>0.5</v>
      </c>
      <c r="AT97" s="155">
        <f>IS_Others!AX103</f>
        <v>0.5</v>
      </c>
      <c r="AU97" s="155">
        <f>IS_Others!AY103</f>
        <v>0.5</v>
      </c>
      <c r="AV97" s="155">
        <f>IS_Others!AZ103</f>
        <v>0.5</v>
      </c>
      <c r="AW97" s="155">
        <f>IS_Others!BA103</f>
        <v>0.5</v>
      </c>
      <c r="AX97" s="155">
        <f>IS_Others!BB103</f>
        <v>0.5</v>
      </c>
      <c r="AY97" s="155">
        <f>IS_Others!BC103</f>
        <v>0.5</v>
      </c>
      <c r="AZ97" s="155">
        <f>IS_Others!BD103</f>
        <v>0.5</v>
      </c>
      <c r="BA97" s="155">
        <f>IS_Others!BE103</f>
        <v>0.5</v>
      </c>
      <c r="BB97" s="155">
        <f>IS_Others!BF103</f>
        <v>0.5</v>
      </c>
      <c r="BC97" s="155">
        <f>IS_Others!BG103</f>
        <v>0.5</v>
      </c>
      <c r="BD97" s="155">
        <f>IS_Others!BH103</f>
        <v>0.5</v>
      </c>
      <c r="BE97" s="155">
        <f>IS_Others!BI103</f>
        <v>0.5</v>
      </c>
      <c r="BF97" s="155">
        <f>IS_Others!BJ103</f>
        <v>0.5</v>
      </c>
      <c r="BG97" s="155">
        <f>IS_Others!BK103</f>
        <v>0.5</v>
      </c>
      <c r="BH97" s="155">
        <f>IS_Others!BL103</f>
        <v>0.5</v>
      </c>
      <c r="BI97" s="155">
        <f>IS_Others!BM103</f>
        <v>0.5</v>
      </c>
      <c r="BJ97" s="155">
        <f>IS_Others!BN103</f>
        <v>0.5</v>
      </c>
      <c r="BK97" s="155">
        <f>IS_Others!BO103</f>
        <v>0.5</v>
      </c>
      <c r="BL97" s="155">
        <f>IS_Others!BP103</f>
        <v>0.5</v>
      </c>
      <c r="BM97" s="155">
        <f>IS_Others!BQ103</f>
        <v>0.5</v>
      </c>
      <c r="BN97" s="155">
        <f>IS_Others!BR103</f>
        <v>0.5</v>
      </c>
      <c r="BO97" s="155">
        <f>IS_Others!BS103</f>
        <v>0.5</v>
      </c>
      <c r="BX97" s="456"/>
      <c r="BY97" s="456"/>
      <c r="BZ97" s="456"/>
      <c r="CA97" s="456"/>
    </row>
    <row r="98" spans="2:79" outlineLevel="1">
      <c r="D98" s="139" t="s">
        <v>199</v>
      </c>
      <c r="H98" s="155">
        <f>IS_Others!L104</f>
        <v>0.5</v>
      </c>
      <c r="I98" s="155">
        <f>IS_Others!M104</f>
        <v>0.5</v>
      </c>
      <c r="J98" s="155">
        <f>IS_Others!N104</f>
        <v>0.5</v>
      </c>
      <c r="K98" s="155">
        <f>IS_Others!O104</f>
        <v>0.5</v>
      </c>
      <c r="L98" s="155">
        <f>IS_Others!P104</f>
        <v>0.5</v>
      </c>
      <c r="M98" s="155">
        <f>IS_Others!Q104</f>
        <v>0.5</v>
      </c>
      <c r="N98" s="155">
        <f>IS_Others!R104</f>
        <v>0.5</v>
      </c>
      <c r="O98" s="155">
        <f>IS_Others!S104</f>
        <v>0.5</v>
      </c>
      <c r="P98" s="155">
        <f>IS_Others!T104</f>
        <v>0.5</v>
      </c>
      <c r="Q98" s="155">
        <f>IS_Others!U104</f>
        <v>0.5</v>
      </c>
      <c r="R98" s="155">
        <f>IS_Others!V104</f>
        <v>0.5</v>
      </c>
      <c r="S98" s="155">
        <f>IS_Others!W104</f>
        <v>0.5</v>
      </c>
      <c r="T98" s="155">
        <f>IS_Others!X104</f>
        <v>0.5</v>
      </c>
      <c r="U98" s="155">
        <f>IS_Others!Y104</f>
        <v>0.5</v>
      </c>
      <c r="V98" s="155">
        <f>IS_Others!Z104</f>
        <v>0.5</v>
      </c>
      <c r="W98" s="155">
        <f>IS_Others!AA104</f>
        <v>0.5</v>
      </c>
      <c r="X98" s="155">
        <f>IS_Others!AB104</f>
        <v>0.5</v>
      </c>
      <c r="Y98" s="155">
        <f>IS_Others!AC104</f>
        <v>0.5</v>
      </c>
      <c r="Z98" s="155">
        <f>IS_Others!AD104</f>
        <v>0.5</v>
      </c>
      <c r="AA98" s="155">
        <f>IS_Others!AE104</f>
        <v>0.5</v>
      </c>
      <c r="AB98" s="155">
        <f>IS_Others!AF104</f>
        <v>0.5</v>
      </c>
      <c r="AC98" s="155">
        <f>IS_Others!AG104</f>
        <v>0.5</v>
      </c>
      <c r="AD98" s="155">
        <f>IS_Others!AH104</f>
        <v>0.5</v>
      </c>
      <c r="AE98" s="155">
        <f>IS_Others!AI104</f>
        <v>0.5</v>
      </c>
      <c r="AF98" s="155">
        <f>IS_Others!AJ104</f>
        <v>0.5</v>
      </c>
      <c r="AG98" s="155">
        <f>IS_Others!AK104</f>
        <v>0.5</v>
      </c>
      <c r="AH98" s="155">
        <f>IS_Others!AL104</f>
        <v>0.5</v>
      </c>
      <c r="AI98" s="155">
        <f>IS_Others!AM104</f>
        <v>0.5</v>
      </c>
      <c r="AJ98" s="155">
        <f>IS_Others!AN104</f>
        <v>0.5</v>
      </c>
      <c r="AK98" s="155">
        <f>IS_Others!AO104</f>
        <v>0.5</v>
      </c>
      <c r="AL98" s="155">
        <f>IS_Others!AP104</f>
        <v>0.5</v>
      </c>
      <c r="AM98" s="155">
        <f>IS_Others!AQ104</f>
        <v>0.5</v>
      </c>
      <c r="AN98" s="155">
        <f>IS_Others!AR104</f>
        <v>0.5</v>
      </c>
      <c r="AO98" s="155">
        <f>IS_Others!AS104</f>
        <v>0.5</v>
      </c>
      <c r="AP98" s="155">
        <f>IS_Others!AT104</f>
        <v>0.5</v>
      </c>
      <c r="AQ98" s="155">
        <f>IS_Others!AU104</f>
        <v>0.5</v>
      </c>
      <c r="AR98" s="155">
        <f>IS_Others!AV104</f>
        <v>0.5</v>
      </c>
      <c r="AS98" s="155">
        <f>IS_Others!AW104</f>
        <v>0.5</v>
      </c>
      <c r="AT98" s="155">
        <f>IS_Others!AX104</f>
        <v>0.5</v>
      </c>
      <c r="AU98" s="155">
        <f>IS_Others!AY104</f>
        <v>0.5</v>
      </c>
      <c r="AV98" s="155">
        <f>IS_Others!AZ104</f>
        <v>0.5</v>
      </c>
      <c r="AW98" s="155">
        <f>IS_Others!BA104</f>
        <v>0.5</v>
      </c>
      <c r="AX98" s="155">
        <f>IS_Others!BB104</f>
        <v>0.5</v>
      </c>
      <c r="AY98" s="155">
        <f>IS_Others!BC104</f>
        <v>0.5</v>
      </c>
      <c r="AZ98" s="155">
        <f>IS_Others!BD104</f>
        <v>0.5</v>
      </c>
      <c r="BA98" s="155">
        <f>IS_Others!BE104</f>
        <v>0.5</v>
      </c>
      <c r="BB98" s="155">
        <f>IS_Others!BF104</f>
        <v>0.5</v>
      </c>
      <c r="BC98" s="155">
        <f>IS_Others!BG104</f>
        <v>0.5</v>
      </c>
      <c r="BD98" s="155">
        <f>IS_Others!BH104</f>
        <v>0.5</v>
      </c>
      <c r="BE98" s="155">
        <f>IS_Others!BI104</f>
        <v>0.5</v>
      </c>
      <c r="BF98" s="155">
        <f>IS_Others!BJ104</f>
        <v>0.5</v>
      </c>
      <c r="BG98" s="155">
        <f>IS_Others!BK104</f>
        <v>0.5</v>
      </c>
      <c r="BH98" s="155">
        <f>IS_Others!BL104</f>
        <v>0.5</v>
      </c>
      <c r="BI98" s="155">
        <f>IS_Others!BM104</f>
        <v>0.5</v>
      </c>
      <c r="BJ98" s="155">
        <f>IS_Others!BN104</f>
        <v>0.5</v>
      </c>
      <c r="BK98" s="155">
        <f>IS_Others!BO104</f>
        <v>0.5</v>
      </c>
      <c r="BL98" s="155">
        <f>IS_Others!BP104</f>
        <v>0.5</v>
      </c>
      <c r="BM98" s="155">
        <f>IS_Others!BQ104</f>
        <v>0.5</v>
      </c>
      <c r="BN98" s="155">
        <f>IS_Others!BR104</f>
        <v>0.5</v>
      </c>
      <c r="BO98" s="155">
        <f>IS_Others!BS104</f>
        <v>0.5</v>
      </c>
      <c r="BX98" s="456"/>
      <c r="BY98" s="456"/>
      <c r="BZ98" s="456"/>
      <c r="CA98" s="456"/>
    </row>
    <row r="99" spans="2:79" outlineLevel="1">
      <c r="D99" s="139" t="s">
        <v>200</v>
      </c>
      <c r="H99" s="155">
        <f>IS_Others!L105</f>
        <v>0.5</v>
      </c>
      <c r="I99" s="155">
        <f>IS_Others!M105</f>
        <v>0.5</v>
      </c>
      <c r="J99" s="155">
        <f>IS_Others!N105</f>
        <v>0.5</v>
      </c>
      <c r="K99" s="155">
        <f>IS_Others!O105</f>
        <v>0.5</v>
      </c>
      <c r="L99" s="155">
        <f>IS_Others!P105</f>
        <v>0.5</v>
      </c>
      <c r="M99" s="155">
        <f>IS_Others!Q105</f>
        <v>0.5</v>
      </c>
      <c r="N99" s="155">
        <f>IS_Others!R105</f>
        <v>0.5</v>
      </c>
      <c r="O99" s="155">
        <f>IS_Others!S105</f>
        <v>0.5</v>
      </c>
      <c r="P99" s="155">
        <f>IS_Others!T105</f>
        <v>0.5</v>
      </c>
      <c r="Q99" s="155">
        <f>IS_Others!U105</f>
        <v>0.5</v>
      </c>
      <c r="R99" s="155">
        <f>IS_Others!V105</f>
        <v>0.5</v>
      </c>
      <c r="S99" s="155">
        <f>IS_Others!W105</f>
        <v>0.5</v>
      </c>
      <c r="T99" s="155">
        <f>IS_Others!X105</f>
        <v>0.5</v>
      </c>
      <c r="U99" s="155">
        <f>IS_Others!Y105</f>
        <v>0.5</v>
      </c>
      <c r="V99" s="155">
        <f>IS_Others!Z105</f>
        <v>0.5</v>
      </c>
      <c r="W99" s="155">
        <f>IS_Others!AA105</f>
        <v>0.5</v>
      </c>
      <c r="X99" s="155">
        <f>IS_Others!AB105</f>
        <v>0.5</v>
      </c>
      <c r="Y99" s="155">
        <f>IS_Others!AC105</f>
        <v>0.5</v>
      </c>
      <c r="Z99" s="155">
        <f>IS_Others!AD105</f>
        <v>0.5</v>
      </c>
      <c r="AA99" s="155">
        <f>IS_Others!AE105</f>
        <v>0.5</v>
      </c>
      <c r="AB99" s="155">
        <f>IS_Others!AF105</f>
        <v>0.5</v>
      </c>
      <c r="AC99" s="155">
        <f>IS_Others!AG105</f>
        <v>0.5</v>
      </c>
      <c r="AD99" s="155">
        <f>IS_Others!AH105</f>
        <v>0.5</v>
      </c>
      <c r="AE99" s="155">
        <f>IS_Others!AI105</f>
        <v>0.5</v>
      </c>
      <c r="AF99" s="155">
        <f>IS_Others!AJ105</f>
        <v>0.5</v>
      </c>
      <c r="AG99" s="155">
        <f>IS_Others!AK105</f>
        <v>0.5</v>
      </c>
      <c r="AH99" s="155">
        <f>IS_Others!AL105</f>
        <v>0.5</v>
      </c>
      <c r="AI99" s="155">
        <f>IS_Others!AM105</f>
        <v>0.5</v>
      </c>
      <c r="AJ99" s="155">
        <f>IS_Others!AN105</f>
        <v>0.5</v>
      </c>
      <c r="AK99" s="155">
        <f>IS_Others!AO105</f>
        <v>0.5</v>
      </c>
      <c r="AL99" s="155">
        <f>IS_Others!AP105</f>
        <v>0.5</v>
      </c>
      <c r="AM99" s="155">
        <f>IS_Others!AQ105</f>
        <v>0.5</v>
      </c>
      <c r="AN99" s="155">
        <f>IS_Others!AR105</f>
        <v>0.5</v>
      </c>
      <c r="AO99" s="155">
        <f>IS_Others!AS105</f>
        <v>0.5</v>
      </c>
      <c r="AP99" s="155">
        <f>IS_Others!AT105</f>
        <v>0.5</v>
      </c>
      <c r="AQ99" s="155">
        <f>IS_Others!AU105</f>
        <v>0.5</v>
      </c>
      <c r="AR99" s="155">
        <f>IS_Others!AV105</f>
        <v>0.5</v>
      </c>
      <c r="AS99" s="155">
        <f>IS_Others!AW105</f>
        <v>0.5</v>
      </c>
      <c r="AT99" s="155">
        <f>IS_Others!AX105</f>
        <v>0.5</v>
      </c>
      <c r="AU99" s="155">
        <f>IS_Others!AY105</f>
        <v>0.5</v>
      </c>
      <c r="AV99" s="155">
        <f>IS_Others!AZ105</f>
        <v>0.5</v>
      </c>
      <c r="AW99" s="155">
        <f>IS_Others!BA105</f>
        <v>0.5</v>
      </c>
      <c r="AX99" s="155">
        <f>IS_Others!BB105</f>
        <v>0.5</v>
      </c>
      <c r="AY99" s="155">
        <f>IS_Others!BC105</f>
        <v>0.5</v>
      </c>
      <c r="AZ99" s="155">
        <f>IS_Others!BD105</f>
        <v>0.5</v>
      </c>
      <c r="BA99" s="155">
        <f>IS_Others!BE105</f>
        <v>0.5</v>
      </c>
      <c r="BB99" s="155">
        <f>IS_Others!BF105</f>
        <v>0.5</v>
      </c>
      <c r="BC99" s="155">
        <f>IS_Others!BG105</f>
        <v>0.5</v>
      </c>
      <c r="BD99" s="155">
        <f>IS_Others!BH105</f>
        <v>0.5</v>
      </c>
      <c r="BE99" s="155">
        <f>IS_Others!BI105</f>
        <v>0.5</v>
      </c>
      <c r="BF99" s="155">
        <f>IS_Others!BJ105</f>
        <v>0.5</v>
      </c>
      <c r="BG99" s="155">
        <f>IS_Others!BK105</f>
        <v>0.5</v>
      </c>
      <c r="BH99" s="155">
        <f>IS_Others!BL105</f>
        <v>0.5</v>
      </c>
      <c r="BI99" s="155">
        <f>IS_Others!BM105</f>
        <v>0.5</v>
      </c>
      <c r="BJ99" s="155">
        <f>IS_Others!BN105</f>
        <v>0.5</v>
      </c>
      <c r="BK99" s="155">
        <f>IS_Others!BO105</f>
        <v>0.5</v>
      </c>
      <c r="BL99" s="155">
        <f>IS_Others!BP105</f>
        <v>0.5</v>
      </c>
      <c r="BM99" s="155">
        <f>IS_Others!BQ105</f>
        <v>0.5</v>
      </c>
      <c r="BN99" s="155">
        <f>IS_Others!BR105</f>
        <v>0.5</v>
      </c>
      <c r="BO99" s="155">
        <f>IS_Others!BS105</f>
        <v>0.5</v>
      </c>
      <c r="BX99" s="456"/>
      <c r="BY99" s="456"/>
      <c r="BZ99" s="456"/>
      <c r="CA99" s="456"/>
    </row>
    <row r="100" spans="2:79" outlineLevel="1">
      <c r="D100" s="139" t="s">
        <v>201</v>
      </c>
      <c r="H100" s="155">
        <f>IS_Others!L106</f>
        <v>0</v>
      </c>
      <c r="I100" s="155">
        <f>IS_Others!M106</f>
        <v>0</v>
      </c>
      <c r="J100" s="155">
        <f>IS_Others!N106</f>
        <v>0</v>
      </c>
      <c r="K100" s="155">
        <f>IS_Others!O106</f>
        <v>0</v>
      </c>
      <c r="L100" s="155">
        <f>IS_Others!P106</f>
        <v>0</v>
      </c>
      <c r="M100" s="155">
        <f>IS_Others!Q106</f>
        <v>0</v>
      </c>
      <c r="N100" s="155">
        <f>IS_Others!R106</f>
        <v>11.1</v>
      </c>
      <c r="O100" s="155">
        <f>IS_Others!S106</f>
        <v>11.1</v>
      </c>
      <c r="P100" s="155">
        <f>IS_Others!T106</f>
        <v>11.1</v>
      </c>
      <c r="Q100" s="155">
        <f>IS_Others!U106</f>
        <v>11.1</v>
      </c>
      <c r="R100" s="155">
        <f>IS_Others!V106</f>
        <v>11.1</v>
      </c>
      <c r="S100" s="155">
        <f>IS_Others!W106</f>
        <v>11.1</v>
      </c>
      <c r="T100" s="155">
        <f>IS_Others!X106</f>
        <v>11.2</v>
      </c>
      <c r="U100" s="155">
        <f>IS_Others!Y106</f>
        <v>11.2</v>
      </c>
      <c r="V100" s="155">
        <f>IS_Others!Z106</f>
        <v>11.2</v>
      </c>
      <c r="W100" s="155">
        <f>IS_Others!AA106</f>
        <v>11.2</v>
      </c>
      <c r="X100" s="155">
        <f>IS_Others!AB106</f>
        <v>11.2</v>
      </c>
      <c r="Y100" s="155">
        <f>IS_Others!AC106</f>
        <v>11.2</v>
      </c>
      <c r="Z100" s="155">
        <f>IS_Others!AD106</f>
        <v>11.2</v>
      </c>
      <c r="AA100" s="155">
        <f>IS_Others!AE106</f>
        <v>11.2</v>
      </c>
      <c r="AB100" s="155">
        <f>IS_Others!AF106</f>
        <v>11.2</v>
      </c>
      <c r="AC100" s="155">
        <f>IS_Others!AG106</f>
        <v>11.2</v>
      </c>
      <c r="AD100" s="155">
        <f>IS_Others!AH106</f>
        <v>11.2</v>
      </c>
      <c r="AE100" s="155">
        <f>IS_Others!AI106</f>
        <v>11.2</v>
      </c>
      <c r="AF100" s="155">
        <f>IS_Others!AJ106</f>
        <v>39.6</v>
      </c>
      <c r="AG100" s="155">
        <f>IS_Others!AK106</f>
        <v>39.6</v>
      </c>
      <c r="AH100" s="155">
        <f>IS_Others!AL106</f>
        <v>39.6</v>
      </c>
      <c r="AI100" s="155">
        <f>IS_Others!AM106</f>
        <v>39.6</v>
      </c>
      <c r="AJ100" s="155">
        <f>IS_Others!AN106</f>
        <v>39.6</v>
      </c>
      <c r="AK100" s="155">
        <f>IS_Others!AO106</f>
        <v>39.6</v>
      </c>
      <c r="AL100" s="155">
        <f>IS_Others!AP106</f>
        <v>39.6</v>
      </c>
      <c r="AM100" s="155">
        <f>IS_Others!AQ106</f>
        <v>39.6</v>
      </c>
      <c r="AN100" s="155">
        <f>IS_Others!AR106</f>
        <v>39.6</v>
      </c>
      <c r="AO100" s="155">
        <f>IS_Others!AS106</f>
        <v>39.6</v>
      </c>
      <c r="AP100" s="155">
        <f>IS_Others!AT106</f>
        <v>39.6</v>
      </c>
      <c r="AQ100" s="155">
        <f>IS_Others!AU106</f>
        <v>39.6</v>
      </c>
      <c r="AR100" s="155">
        <f>IS_Others!AV106</f>
        <v>56.8</v>
      </c>
      <c r="AS100" s="155">
        <f>IS_Others!AW106</f>
        <v>56.8</v>
      </c>
      <c r="AT100" s="155">
        <f>IS_Others!AX106</f>
        <v>56.8</v>
      </c>
      <c r="AU100" s="155">
        <f>IS_Others!AY106</f>
        <v>56.8</v>
      </c>
      <c r="AV100" s="155">
        <f>IS_Others!AZ106</f>
        <v>56.8</v>
      </c>
      <c r="AW100" s="155">
        <f>IS_Others!BA106</f>
        <v>56.8</v>
      </c>
      <c r="AX100" s="155">
        <f>IS_Others!BB106</f>
        <v>56.8</v>
      </c>
      <c r="AY100" s="155">
        <f>IS_Others!BC106</f>
        <v>56.8</v>
      </c>
      <c r="AZ100" s="155">
        <f>IS_Others!BD106</f>
        <v>56.8</v>
      </c>
      <c r="BA100" s="155">
        <f>IS_Others!BE106</f>
        <v>56.8</v>
      </c>
      <c r="BB100" s="155">
        <f>IS_Others!BF106</f>
        <v>56.8</v>
      </c>
      <c r="BC100" s="155">
        <f>IS_Others!BG106</f>
        <v>56.8</v>
      </c>
      <c r="BD100" s="155">
        <f>IS_Others!BH106</f>
        <v>68</v>
      </c>
      <c r="BE100" s="155">
        <f>IS_Others!BI106</f>
        <v>68</v>
      </c>
      <c r="BF100" s="155">
        <f>IS_Others!BJ106</f>
        <v>68</v>
      </c>
      <c r="BG100" s="155">
        <f>IS_Others!BK106</f>
        <v>68</v>
      </c>
      <c r="BH100" s="155">
        <f>IS_Others!BL106</f>
        <v>68</v>
      </c>
      <c r="BI100" s="155">
        <f>IS_Others!BM106</f>
        <v>68</v>
      </c>
      <c r="BJ100" s="155">
        <f>IS_Others!BN106</f>
        <v>68</v>
      </c>
      <c r="BK100" s="155">
        <f>IS_Others!BO106</f>
        <v>68</v>
      </c>
      <c r="BL100" s="155">
        <f>IS_Others!BP106</f>
        <v>68</v>
      </c>
      <c r="BM100" s="155">
        <f>IS_Others!BQ106</f>
        <v>68</v>
      </c>
      <c r="BN100" s="155">
        <f>IS_Others!BR106</f>
        <v>68</v>
      </c>
      <c r="BO100" s="155">
        <f>IS_Others!BS106</f>
        <v>68</v>
      </c>
      <c r="BX100" s="456"/>
      <c r="BY100" s="456"/>
      <c r="BZ100" s="456"/>
      <c r="CA100" s="456"/>
    </row>
    <row r="101" spans="2:79" outlineLevel="1">
      <c r="D101" s="139" t="s">
        <v>202</v>
      </c>
      <c r="H101" s="155">
        <f>IS_Others!L107</f>
        <v>0.5</v>
      </c>
      <c r="I101" s="155">
        <f>IS_Others!M107</f>
        <v>0.5</v>
      </c>
      <c r="J101" s="155">
        <f>IS_Others!N107</f>
        <v>0.5</v>
      </c>
      <c r="K101" s="155">
        <f>IS_Others!O107</f>
        <v>0.5</v>
      </c>
      <c r="L101" s="155">
        <f>IS_Others!P107</f>
        <v>0.5</v>
      </c>
      <c r="M101" s="155">
        <f>IS_Others!Q107</f>
        <v>0.5</v>
      </c>
      <c r="N101" s="155">
        <f>IS_Others!R107</f>
        <v>0.5</v>
      </c>
      <c r="O101" s="155">
        <f>IS_Others!S107</f>
        <v>0.5</v>
      </c>
      <c r="P101" s="155">
        <f>IS_Others!T107</f>
        <v>0.5</v>
      </c>
      <c r="Q101" s="155">
        <f>IS_Others!U107</f>
        <v>0.5</v>
      </c>
      <c r="R101" s="155">
        <f>IS_Others!V107</f>
        <v>0.5</v>
      </c>
      <c r="S101" s="155">
        <f>IS_Others!W107</f>
        <v>0.5</v>
      </c>
      <c r="T101" s="155">
        <f>IS_Others!X107</f>
        <v>0.5</v>
      </c>
      <c r="U101" s="155">
        <f>IS_Others!Y107</f>
        <v>0.5</v>
      </c>
      <c r="V101" s="155">
        <f>IS_Others!Z107</f>
        <v>0.5</v>
      </c>
      <c r="W101" s="155">
        <f>IS_Others!AA107</f>
        <v>0.5</v>
      </c>
      <c r="X101" s="155">
        <f>IS_Others!AB107</f>
        <v>0.5</v>
      </c>
      <c r="Y101" s="155">
        <f>IS_Others!AC107</f>
        <v>0.5</v>
      </c>
      <c r="Z101" s="155">
        <f>IS_Others!AD107</f>
        <v>0.5</v>
      </c>
      <c r="AA101" s="155">
        <f>IS_Others!AE107</f>
        <v>0.5</v>
      </c>
      <c r="AB101" s="155">
        <f>IS_Others!AF107</f>
        <v>0.5</v>
      </c>
      <c r="AC101" s="155">
        <f>IS_Others!AG107</f>
        <v>0.5</v>
      </c>
      <c r="AD101" s="155">
        <f>IS_Others!AH107</f>
        <v>0.5</v>
      </c>
      <c r="AE101" s="155">
        <f>IS_Others!AI107</f>
        <v>0.5</v>
      </c>
      <c r="AF101" s="155">
        <f>IS_Others!AJ107</f>
        <v>0.5</v>
      </c>
      <c r="AG101" s="155">
        <f>IS_Others!AK107</f>
        <v>0.5</v>
      </c>
      <c r="AH101" s="155">
        <f>IS_Others!AL107</f>
        <v>0.5</v>
      </c>
      <c r="AI101" s="155">
        <f>IS_Others!AM107</f>
        <v>0.5</v>
      </c>
      <c r="AJ101" s="155">
        <f>IS_Others!AN107</f>
        <v>0.5</v>
      </c>
      <c r="AK101" s="155">
        <f>IS_Others!AO107</f>
        <v>0.5</v>
      </c>
      <c r="AL101" s="155">
        <f>IS_Others!AP107</f>
        <v>0.5</v>
      </c>
      <c r="AM101" s="155">
        <f>IS_Others!AQ107</f>
        <v>0.5</v>
      </c>
      <c r="AN101" s="155">
        <f>IS_Others!AR107</f>
        <v>0.5</v>
      </c>
      <c r="AO101" s="155">
        <f>IS_Others!AS107</f>
        <v>0.5</v>
      </c>
      <c r="AP101" s="155">
        <f>IS_Others!AT107</f>
        <v>0.5</v>
      </c>
      <c r="AQ101" s="155">
        <f>IS_Others!AU107</f>
        <v>0.5</v>
      </c>
      <c r="AR101" s="155">
        <f>IS_Others!AV107</f>
        <v>0.5</v>
      </c>
      <c r="AS101" s="155">
        <f>IS_Others!AW107</f>
        <v>0.5</v>
      </c>
      <c r="AT101" s="155">
        <f>IS_Others!AX107</f>
        <v>0.5</v>
      </c>
      <c r="AU101" s="155">
        <f>IS_Others!AY107</f>
        <v>0.5</v>
      </c>
      <c r="AV101" s="155">
        <f>IS_Others!AZ107</f>
        <v>0.5</v>
      </c>
      <c r="AW101" s="155">
        <f>IS_Others!BA107</f>
        <v>0.5</v>
      </c>
      <c r="AX101" s="155">
        <f>IS_Others!BB107</f>
        <v>0.5</v>
      </c>
      <c r="AY101" s="155">
        <f>IS_Others!BC107</f>
        <v>0.5</v>
      </c>
      <c r="AZ101" s="155">
        <f>IS_Others!BD107</f>
        <v>0.5</v>
      </c>
      <c r="BA101" s="155">
        <f>IS_Others!BE107</f>
        <v>0.5</v>
      </c>
      <c r="BB101" s="155">
        <f>IS_Others!BF107</f>
        <v>0.5</v>
      </c>
      <c r="BC101" s="155">
        <f>IS_Others!BG107</f>
        <v>0.5</v>
      </c>
      <c r="BD101" s="155">
        <f>IS_Others!BH107</f>
        <v>0.5</v>
      </c>
      <c r="BE101" s="155">
        <f>IS_Others!BI107</f>
        <v>0.5</v>
      </c>
      <c r="BF101" s="155">
        <f>IS_Others!BJ107</f>
        <v>0.5</v>
      </c>
      <c r="BG101" s="155">
        <f>IS_Others!BK107</f>
        <v>0.5</v>
      </c>
      <c r="BH101" s="155">
        <f>IS_Others!BL107</f>
        <v>0.5</v>
      </c>
      <c r="BI101" s="155">
        <f>IS_Others!BM107</f>
        <v>0.5</v>
      </c>
      <c r="BJ101" s="155">
        <f>IS_Others!BN107</f>
        <v>0.5</v>
      </c>
      <c r="BK101" s="155">
        <f>IS_Others!BO107</f>
        <v>0.5</v>
      </c>
      <c r="BL101" s="155">
        <f>IS_Others!BP107</f>
        <v>0.5</v>
      </c>
      <c r="BM101" s="155">
        <f>IS_Others!BQ107</f>
        <v>0.5</v>
      </c>
      <c r="BN101" s="155">
        <f>IS_Others!BR107</f>
        <v>0.5</v>
      </c>
      <c r="BO101" s="155">
        <f>IS_Others!BS107</f>
        <v>0.5</v>
      </c>
      <c r="BX101" s="456"/>
      <c r="BY101" s="456"/>
      <c r="BZ101" s="456"/>
      <c r="CA101" s="456"/>
    </row>
    <row r="102" spans="2:79" outlineLevel="1">
      <c r="D102" s="139" t="s">
        <v>203</v>
      </c>
      <c r="H102" s="155">
        <f>IS_Others!L108</f>
        <v>0</v>
      </c>
      <c r="I102" s="155">
        <f>IS_Others!M108</f>
        <v>0</v>
      </c>
      <c r="J102" s="155">
        <f>IS_Others!N108</f>
        <v>0</v>
      </c>
      <c r="K102" s="155">
        <f>IS_Others!O108</f>
        <v>0</v>
      </c>
      <c r="L102" s="155">
        <f>IS_Others!P108</f>
        <v>0</v>
      </c>
      <c r="M102" s="155">
        <f>IS_Others!Q108</f>
        <v>0</v>
      </c>
      <c r="N102" s="155">
        <f>IS_Others!R108</f>
        <v>0</v>
      </c>
      <c r="O102" s="155">
        <f>IS_Others!S108</f>
        <v>0</v>
      </c>
      <c r="P102" s="155">
        <f>IS_Others!T108</f>
        <v>0</v>
      </c>
      <c r="Q102" s="155">
        <f>IS_Others!U108</f>
        <v>0</v>
      </c>
      <c r="R102" s="155">
        <f>IS_Others!V108</f>
        <v>0</v>
      </c>
      <c r="S102" s="155">
        <f>IS_Others!W108</f>
        <v>0</v>
      </c>
      <c r="T102" s="155">
        <f>IS_Others!X108</f>
        <v>0</v>
      </c>
      <c r="U102" s="155">
        <f>IS_Others!Y108</f>
        <v>0</v>
      </c>
      <c r="V102" s="155">
        <f>IS_Others!Z108</f>
        <v>0</v>
      </c>
      <c r="W102" s="155">
        <f>IS_Others!AA108</f>
        <v>0</v>
      </c>
      <c r="X102" s="155">
        <f>IS_Others!AB108</f>
        <v>0</v>
      </c>
      <c r="Y102" s="155">
        <f>IS_Others!AC108</f>
        <v>0</v>
      </c>
      <c r="Z102" s="155">
        <f>IS_Others!AD108</f>
        <v>0</v>
      </c>
      <c r="AA102" s="155">
        <f>IS_Others!AE108</f>
        <v>0</v>
      </c>
      <c r="AB102" s="155">
        <f>IS_Others!AF108</f>
        <v>0</v>
      </c>
      <c r="AC102" s="155">
        <f>IS_Others!AG108</f>
        <v>0</v>
      </c>
      <c r="AD102" s="155">
        <f>IS_Others!AH108</f>
        <v>0</v>
      </c>
      <c r="AE102" s="155">
        <f>IS_Others!AI108</f>
        <v>0</v>
      </c>
      <c r="AF102" s="155">
        <f>IS_Others!AJ108</f>
        <v>0</v>
      </c>
      <c r="AG102" s="155">
        <f>IS_Others!AK108</f>
        <v>0</v>
      </c>
      <c r="AH102" s="155">
        <f>IS_Others!AL108</f>
        <v>0</v>
      </c>
      <c r="AI102" s="155">
        <f>IS_Others!AM108</f>
        <v>0</v>
      </c>
      <c r="AJ102" s="155">
        <f>IS_Others!AN108</f>
        <v>0</v>
      </c>
      <c r="AK102" s="155">
        <f>IS_Others!AO108</f>
        <v>0</v>
      </c>
      <c r="AL102" s="155">
        <f>IS_Others!AP108</f>
        <v>0</v>
      </c>
      <c r="AM102" s="155">
        <f>IS_Others!AQ108</f>
        <v>0</v>
      </c>
      <c r="AN102" s="155">
        <f>IS_Others!AR108</f>
        <v>0</v>
      </c>
      <c r="AO102" s="155">
        <f>IS_Others!AS108</f>
        <v>0</v>
      </c>
      <c r="AP102" s="155">
        <f>IS_Others!AT108</f>
        <v>0</v>
      </c>
      <c r="AQ102" s="155">
        <f>IS_Others!AU108</f>
        <v>0</v>
      </c>
      <c r="AR102" s="155">
        <f>IS_Others!AV108</f>
        <v>0</v>
      </c>
      <c r="AS102" s="155">
        <f>IS_Others!AW108</f>
        <v>0</v>
      </c>
      <c r="AT102" s="155">
        <f>IS_Others!AX108</f>
        <v>0</v>
      </c>
      <c r="AU102" s="155">
        <f>IS_Others!AY108</f>
        <v>0</v>
      </c>
      <c r="AV102" s="155">
        <f>IS_Others!AZ108</f>
        <v>0</v>
      </c>
      <c r="AW102" s="155">
        <f>IS_Others!BA108</f>
        <v>0</v>
      </c>
      <c r="AX102" s="155">
        <f>IS_Others!BB108</f>
        <v>0</v>
      </c>
      <c r="AY102" s="155">
        <f>IS_Others!BC108</f>
        <v>0</v>
      </c>
      <c r="AZ102" s="155">
        <f>IS_Others!BD108</f>
        <v>0</v>
      </c>
      <c r="BA102" s="155">
        <f>IS_Others!BE108</f>
        <v>0</v>
      </c>
      <c r="BB102" s="155">
        <f>IS_Others!BF108</f>
        <v>0</v>
      </c>
      <c r="BC102" s="155">
        <f>IS_Others!BG108</f>
        <v>0</v>
      </c>
      <c r="BD102" s="155">
        <f>IS_Others!BH108</f>
        <v>0</v>
      </c>
      <c r="BE102" s="155">
        <f>IS_Others!BI108</f>
        <v>0</v>
      </c>
      <c r="BF102" s="155">
        <f>IS_Others!BJ108</f>
        <v>0</v>
      </c>
      <c r="BG102" s="155">
        <f>IS_Others!BK108</f>
        <v>0</v>
      </c>
      <c r="BH102" s="155">
        <f>IS_Others!BL108</f>
        <v>0</v>
      </c>
      <c r="BI102" s="155">
        <f>IS_Others!BM108</f>
        <v>0</v>
      </c>
      <c r="BJ102" s="155">
        <f>IS_Others!BN108</f>
        <v>0</v>
      </c>
      <c r="BK102" s="155">
        <f>IS_Others!BO108</f>
        <v>0</v>
      </c>
      <c r="BL102" s="155">
        <f>IS_Others!BP108</f>
        <v>0</v>
      </c>
      <c r="BM102" s="155">
        <f>IS_Others!BQ108</f>
        <v>0</v>
      </c>
      <c r="BN102" s="155">
        <f>IS_Others!BR108</f>
        <v>0</v>
      </c>
      <c r="BO102" s="155">
        <f>IS_Others!BS108</f>
        <v>0</v>
      </c>
      <c r="BX102" s="456"/>
      <c r="BY102" s="456"/>
      <c r="BZ102" s="456"/>
      <c r="CA102" s="456"/>
    </row>
    <row r="103" spans="2:79" outlineLevel="1">
      <c r="D103" s="139" t="s">
        <v>204</v>
      </c>
      <c r="H103" s="155">
        <f>IS_Others!L109</f>
        <v>0</v>
      </c>
      <c r="I103" s="155">
        <f>IS_Others!M109</f>
        <v>0</v>
      </c>
      <c r="J103" s="155">
        <f>IS_Others!N109</f>
        <v>0</v>
      </c>
      <c r="K103" s="155">
        <f>IS_Others!O109</f>
        <v>0</v>
      </c>
      <c r="L103" s="155">
        <f>IS_Others!P109</f>
        <v>0</v>
      </c>
      <c r="M103" s="155">
        <f>IS_Others!Q109</f>
        <v>0</v>
      </c>
      <c r="N103" s="155">
        <f>IS_Others!R109</f>
        <v>0</v>
      </c>
      <c r="O103" s="155">
        <f>IS_Others!S109</f>
        <v>0</v>
      </c>
      <c r="P103" s="155">
        <f>IS_Others!T109</f>
        <v>0</v>
      </c>
      <c r="Q103" s="155">
        <f>IS_Others!U109</f>
        <v>0</v>
      </c>
      <c r="R103" s="155">
        <f>IS_Others!V109</f>
        <v>0</v>
      </c>
      <c r="S103" s="155">
        <f>IS_Others!W109</f>
        <v>0</v>
      </c>
      <c r="T103" s="155">
        <f>IS_Others!X109</f>
        <v>0</v>
      </c>
      <c r="U103" s="155">
        <f>IS_Others!Y109</f>
        <v>0</v>
      </c>
      <c r="V103" s="155">
        <f>IS_Others!Z109</f>
        <v>0</v>
      </c>
      <c r="W103" s="155">
        <f>IS_Others!AA109</f>
        <v>0</v>
      </c>
      <c r="X103" s="155">
        <f>IS_Others!AB109</f>
        <v>0</v>
      </c>
      <c r="Y103" s="155">
        <f>IS_Others!AC109</f>
        <v>0</v>
      </c>
      <c r="Z103" s="155">
        <f>IS_Others!AD109</f>
        <v>0</v>
      </c>
      <c r="AA103" s="155">
        <f>IS_Others!AE109</f>
        <v>0</v>
      </c>
      <c r="AB103" s="155">
        <f>IS_Others!AF109</f>
        <v>0</v>
      </c>
      <c r="AC103" s="155">
        <f>IS_Others!AG109</f>
        <v>0</v>
      </c>
      <c r="AD103" s="155">
        <f>IS_Others!AH109</f>
        <v>0</v>
      </c>
      <c r="AE103" s="155">
        <f>IS_Others!AI109</f>
        <v>0</v>
      </c>
      <c r="AF103" s="155">
        <f>IS_Others!AJ109</f>
        <v>0</v>
      </c>
      <c r="AG103" s="155">
        <f>IS_Others!AK109</f>
        <v>0</v>
      </c>
      <c r="AH103" s="155">
        <f>IS_Others!AL109</f>
        <v>0</v>
      </c>
      <c r="AI103" s="155">
        <f>IS_Others!AM109</f>
        <v>0</v>
      </c>
      <c r="AJ103" s="155">
        <f>IS_Others!AN109</f>
        <v>0</v>
      </c>
      <c r="AK103" s="155">
        <f>IS_Others!AO109</f>
        <v>0</v>
      </c>
      <c r="AL103" s="155">
        <f>IS_Others!AP109</f>
        <v>0</v>
      </c>
      <c r="AM103" s="155">
        <f>IS_Others!AQ109</f>
        <v>0</v>
      </c>
      <c r="AN103" s="155">
        <f>IS_Others!AR109</f>
        <v>0</v>
      </c>
      <c r="AO103" s="155">
        <f>IS_Others!AS109</f>
        <v>0</v>
      </c>
      <c r="AP103" s="155">
        <f>IS_Others!AT109</f>
        <v>0</v>
      </c>
      <c r="AQ103" s="155">
        <f>IS_Others!AU109</f>
        <v>0</v>
      </c>
      <c r="AR103" s="155">
        <f>IS_Others!AV109</f>
        <v>0</v>
      </c>
      <c r="AS103" s="155">
        <f>IS_Others!AW109</f>
        <v>0</v>
      </c>
      <c r="AT103" s="155">
        <f>IS_Others!AX109</f>
        <v>0</v>
      </c>
      <c r="AU103" s="155">
        <f>IS_Others!AY109</f>
        <v>0</v>
      </c>
      <c r="AV103" s="155">
        <f>IS_Others!AZ109</f>
        <v>0</v>
      </c>
      <c r="AW103" s="155">
        <f>IS_Others!BA109</f>
        <v>0</v>
      </c>
      <c r="AX103" s="155">
        <f>IS_Others!BB109</f>
        <v>0</v>
      </c>
      <c r="AY103" s="155">
        <f>IS_Others!BC109</f>
        <v>0</v>
      </c>
      <c r="AZ103" s="155">
        <f>IS_Others!BD109</f>
        <v>0</v>
      </c>
      <c r="BA103" s="155">
        <f>IS_Others!BE109</f>
        <v>0</v>
      </c>
      <c r="BB103" s="155">
        <f>IS_Others!BF109</f>
        <v>0</v>
      </c>
      <c r="BC103" s="155">
        <f>IS_Others!BG109</f>
        <v>0</v>
      </c>
      <c r="BD103" s="155">
        <f>IS_Others!BH109</f>
        <v>0</v>
      </c>
      <c r="BE103" s="155">
        <f>IS_Others!BI109</f>
        <v>0</v>
      </c>
      <c r="BF103" s="155">
        <f>IS_Others!BJ109</f>
        <v>0</v>
      </c>
      <c r="BG103" s="155">
        <f>IS_Others!BK109</f>
        <v>0</v>
      </c>
      <c r="BH103" s="155">
        <f>IS_Others!BL109</f>
        <v>0</v>
      </c>
      <c r="BI103" s="155">
        <f>IS_Others!BM109</f>
        <v>0</v>
      </c>
      <c r="BJ103" s="155">
        <f>IS_Others!BN109</f>
        <v>0</v>
      </c>
      <c r="BK103" s="155">
        <f>IS_Others!BO109</f>
        <v>0</v>
      </c>
      <c r="BL103" s="155">
        <f>IS_Others!BP109</f>
        <v>0</v>
      </c>
      <c r="BM103" s="155">
        <f>IS_Others!BQ109</f>
        <v>0</v>
      </c>
      <c r="BN103" s="155">
        <f>IS_Others!BR109</f>
        <v>0</v>
      </c>
      <c r="BO103" s="155">
        <f>IS_Others!BS109</f>
        <v>0</v>
      </c>
      <c r="BX103" s="456"/>
      <c r="BY103" s="456"/>
      <c r="BZ103" s="456"/>
      <c r="CA103" s="456"/>
    </row>
    <row r="104" spans="2:79" outlineLevel="1">
      <c r="D104" s="139" t="s">
        <v>205</v>
      </c>
      <c r="H104" s="155">
        <f>IS_Others!L110</f>
        <v>0</v>
      </c>
      <c r="I104" s="155">
        <f>IS_Others!M110</f>
        <v>0</v>
      </c>
      <c r="J104" s="155">
        <f>IS_Others!N110</f>
        <v>0</v>
      </c>
      <c r="K104" s="155">
        <f>IS_Others!O110</f>
        <v>0</v>
      </c>
      <c r="L104" s="155">
        <f>IS_Others!P110</f>
        <v>0</v>
      </c>
      <c r="M104" s="155">
        <f>IS_Others!Q110</f>
        <v>0</v>
      </c>
      <c r="N104" s="155">
        <f>IS_Others!R110</f>
        <v>0</v>
      </c>
      <c r="O104" s="155">
        <f>IS_Others!S110</f>
        <v>0</v>
      </c>
      <c r="P104" s="155">
        <f>IS_Others!T110</f>
        <v>0</v>
      </c>
      <c r="Q104" s="155">
        <f>IS_Others!U110</f>
        <v>0</v>
      </c>
      <c r="R104" s="155">
        <f>IS_Others!V110</f>
        <v>0</v>
      </c>
      <c r="S104" s="155">
        <f>IS_Others!W110</f>
        <v>0</v>
      </c>
      <c r="T104" s="155">
        <f>IS_Others!X110</f>
        <v>0</v>
      </c>
      <c r="U104" s="155">
        <f>IS_Others!Y110</f>
        <v>0</v>
      </c>
      <c r="V104" s="155">
        <f>IS_Others!Z110</f>
        <v>0</v>
      </c>
      <c r="W104" s="155">
        <f>IS_Others!AA110</f>
        <v>0</v>
      </c>
      <c r="X104" s="155">
        <f>IS_Others!AB110</f>
        <v>0</v>
      </c>
      <c r="Y104" s="155">
        <f>IS_Others!AC110</f>
        <v>0</v>
      </c>
      <c r="Z104" s="155">
        <f>IS_Others!AD110</f>
        <v>0</v>
      </c>
      <c r="AA104" s="155">
        <f>IS_Others!AE110</f>
        <v>0</v>
      </c>
      <c r="AB104" s="155">
        <f>IS_Others!AF110</f>
        <v>0</v>
      </c>
      <c r="AC104" s="155">
        <f>IS_Others!AG110</f>
        <v>0</v>
      </c>
      <c r="AD104" s="155">
        <f>IS_Others!AH110</f>
        <v>0</v>
      </c>
      <c r="AE104" s="155">
        <f>IS_Others!AI110</f>
        <v>0</v>
      </c>
      <c r="AF104" s="155">
        <f>IS_Others!AJ110</f>
        <v>0</v>
      </c>
      <c r="AG104" s="155">
        <f>IS_Others!AK110</f>
        <v>0</v>
      </c>
      <c r="AH104" s="155">
        <f>IS_Others!AL110</f>
        <v>0</v>
      </c>
      <c r="AI104" s="155">
        <f>IS_Others!AM110</f>
        <v>0</v>
      </c>
      <c r="AJ104" s="155">
        <f>IS_Others!AN110</f>
        <v>0</v>
      </c>
      <c r="AK104" s="155">
        <f>IS_Others!AO110</f>
        <v>0</v>
      </c>
      <c r="AL104" s="155">
        <f>IS_Others!AP110</f>
        <v>0</v>
      </c>
      <c r="AM104" s="155">
        <f>IS_Others!AQ110</f>
        <v>0</v>
      </c>
      <c r="AN104" s="155">
        <f>IS_Others!AR110</f>
        <v>0</v>
      </c>
      <c r="AO104" s="155">
        <f>IS_Others!AS110</f>
        <v>0</v>
      </c>
      <c r="AP104" s="155">
        <f>IS_Others!AT110</f>
        <v>0</v>
      </c>
      <c r="AQ104" s="155">
        <f>IS_Others!AU110</f>
        <v>0</v>
      </c>
      <c r="AR104" s="155">
        <f>IS_Others!AV110</f>
        <v>0</v>
      </c>
      <c r="AS104" s="155">
        <f>IS_Others!AW110</f>
        <v>0</v>
      </c>
      <c r="AT104" s="155">
        <f>IS_Others!AX110</f>
        <v>0</v>
      </c>
      <c r="AU104" s="155">
        <f>IS_Others!AY110</f>
        <v>0</v>
      </c>
      <c r="AV104" s="155">
        <f>IS_Others!AZ110</f>
        <v>0</v>
      </c>
      <c r="AW104" s="155">
        <f>IS_Others!BA110</f>
        <v>0</v>
      </c>
      <c r="AX104" s="155">
        <f>IS_Others!BB110</f>
        <v>0</v>
      </c>
      <c r="AY104" s="155">
        <f>IS_Others!BC110</f>
        <v>0</v>
      </c>
      <c r="AZ104" s="155">
        <f>IS_Others!BD110</f>
        <v>0</v>
      </c>
      <c r="BA104" s="155">
        <f>IS_Others!BE110</f>
        <v>0</v>
      </c>
      <c r="BB104" s="155">
        <f>IS_Others!BF110</f>
        <v>0</v>
      </c>
      <c r="BC104" s="155">
        <f>IS_Others!BG110</f>
        <v>0</v>
      </c>
      <c r="BD104" s="155">
        <f>IS_Others!BH110</f>
        <v>0</v>
      </c>
      <c r="BE104" s="155">
        <f>IS_Others!BI110</f>
        <v>0</v>
      </c>
      <c r="BF104" s="155">
        <f>IS_Others!BJ110</f>
        <v>0</v>
      </c>
      <c r="BG104" s="155">
        <f>IS_Others!BK110</f>
        <v>0</v>
      </c>
      <c r="BH104" s="155">
        <f>IS_Others!BL110</f>
        <v>0</v>
      </c>
      <c r="BI104" s="155">
        <f>IS_Others!BM110</f>
        <v>0</v>
      </c>
      <c r="BJ104" s="155">
        <f>IS_Others!BN110</f>
        <v>0</v>
      </c>
      <c r="BK104" s="155">
        <f>IS_Others!BO110</f>
        <v>0</v>
      </c>
      <c r="BL104" s="155">
        <f>IS_Others!BP110</f>
        <v>0</v>
      </c>
      <c r="BM104" s="155">
        <f>IS_Others!BQ110</f>
        <v>0</v>
      </c>
      <c r="BN104" s="155">
        <f>IS_Others!BR110</f>
        <v>0</v>
      </c>
      <c r="BO104" s="155">
        <f>IS_Others!BS110</f>
        <v>0</v>
      </c>
      <c r="BX104" s="456"/>
      <c r="BY104" s="456"/>
      <c r="BZ104" s="456"/>
      <c r="CA104" s="456"/>
    </row>
    <row r="105" spans="2:79" outlineLevel="1">
      <c r="D105" s="139" t="s">
        <v>206</v>
      </c>
      <c r="H105" s="155">
        <f>IS_Others!L111</f>
        <v>0</v>
      </c>
      <c r="I105" s="155">
        <f>IS_Others!M111</f>
        <v>0</v>
      </c>
      <c r="J105" s="155">
        <f>IS_Others!N111</f>
        <v>0</v>
      </c>
      <c r="K105" s="155">
        <f>IS_Others!O111</f>
        <v>0</v>
      </c>
      <c r="L105" s="155">
        <f>IS_Others!P111</f>
        <v>0</v>
      </c>
      <c r="M105" s="155">
        <f>IS_Others!Q111</f>
        <v>0</v>
      </c>
      <c r="N105" s="155">
        <f>IS_Others!R111</f>
        <v>0</v>
      </c>
      <c r="O105" s="155">
        <f>IS_Others!S111</f>
        <v>0</v>
      </c>
      <c r="P105" s="155">
        <f>IS_Others!T111</f>
        <v>0</v>
      </c>
      <c r="Q105" s="155">
        <f>IS_Others!U111</f>
        <v>0</v>
      </c>
      <c r="R105" s="155">
        <f>IS_Others!V111</f>
        <v>0</v>
      </c>
      <c r="S105" s="155">
        <f>IS_Others!W111</f>
        <v>0</v>
      </c>
      <c r="T105" s="155">
        <f>IS_Others!X111</f>
        <v>0</v>
      </c>
      <c r="U105" s="155">
        <f>IS_Others!Y111</f>
        <v>0</v>
      </c>
      <c r="V105" s="155">
        <f>IS_Others!Z111</f>
        <v>0</v>
      </c>
      <c r="W105" s="155">
        <f>IS_Others!AA111</f>
        <v>0</v>
      </c>
      <c r="X105" s="155">
        <f>IS_Others!AB111</f>
        <v>0</v>
      </c>
      <c r="Y105" s="155">
        <f>IS_Others!AC111</f>
        <v>0</v>
      </c>
      <c r="Z105" s="155">
        <f>IS_Others!AD111</f>
        <v>0</v>
      </c>
      <c r="AA105" s="155">
        <f>IS_Others!AE111</f>
        <v>0</v>
      </c>
      <c r="AB105" s="155">
        <f>IS_Others!AF111</f>
        <v>0</v>
      </c>
      <c r="AC105" s="155">
        <f>IS_Others!AG111</f>
        <v>0</v>
      </c>
      <c r="AD105" s="155">
        <f>IS_Others!AH111</f>
        <v>0</v>
      </c>
      <c r="AE105" s="155">
        <f>IS_Others!AI111</f>
        <v>0</v>
      </c>
      <c r="AF105" s="155">
        <f>IS_Others!AJ111</f>
        <v>0</v>
      </c>
      <c r="AG105" s="155">
        <f>IS_Others!AK111</f>
        <v>0</v>
      </c>
      <c r="AH105" s="155">
        <f>IS_Others!AL111</f>
        <v>0</v>
      </c>
      <c r="AI105" s="155">
        <f>IS_Others!AM111</f>
        <v>0</v>
      </c>
      <c r="AJ105" s="155">
        <f>IS_Others!AN111</f>
        <v>0</v>
      </c>
      <c r="AK105" s="155">
        <f>IS_Others!AO111</f>
        <v>0</v>
      </c>
      <c r="AL105" s="155">
        <f>IS_Others!AP111</f>
        <v>0</v>
      </c>
      <c r="AM105" s="155">
        <f>IS_Others!AQ111</f>
        <v>0</v>
      </c>
      <c r="AN105" s="155">
        <f>IS_Others!AR111</f>
        <v>0</v>
      </c>
      <c r="AO105" s="155">
        <f>IS_Others!AS111</f>
        <v>0</v>
      </c>
      <c r="AP105" s="155">
        <f>IS_Others!AT111</f>
        <v>0</v>
      </c>
      <c r="AQ105" s="155">
        <f>IS_Others!AU111</f>
        <v>0</v>
      </c>
      <c r="AR105" s="155">
        <f>IS_Others!AV111</f>
        <v>0</v>
      </c>
      <c r="AS105" s="155">
        <f>IS_Others!AW111</f>
        <v>0</v>
      </c>
      <c r="AT105" s="155">
        <f>IS_Others!AX111</f>
        <v>0</v>
      </c>
      <c r="AU105" s="155">
        <f>IS_Others!AY111</f>
        <v>0</v>
      </c>
      <c r="AV105" s="155">
        <f>IS_Others!AZ111</f>
        <v>0</v>
      </c>
      <c r="AW105" s="155">
        <f>IS_Others!BA111</f>
        <v>0</v>
      </c>
      <c r="AX105" s="155">
        <f>IS_Others!BB111</f>
        <v>0</v>
      </c>
      <c r="AY105" s="155">
        <f>IS_Others!BC111</f>
        <v>0</v>
      </c>
      <c r="AZ105" s="155">
        <f>IS_Others!BD111</f>
        <v>0</v>
      </c>
      <c r="BA105" s="155">
        <f>IS_Others!BE111</f>
        <v>0</v>
      </c>
      <c r="BB105" s="155">
        <f>IS_Others!BF111</f>
        <v>0</v>
      </c>
      <c r="BC105" s="155">
        <f>IS_Others!BG111</f>
        <v>0</v>
      </c>
      <c r="BD105" s="155">
        <f>IS_Others!BH111</f>
        <v>0</v>
      </c>
      <c r="BE105" s="155">
        <f>IS_Others!BI111</f>
        <v>0</v>
      </c>
      <c r="BF105" s="155">
        <f>IS_Others!BJ111</f>
        <v>0</v>
      </c>
      <c r="BG105" s="155">
        <f>IS_Others!BK111</f>
        <v>0</v>
      </c>
      <c r="BH105" s="155">
        <f>IS_Others!BL111</f>
        <v>0</v>
      </c>
      <c r="BI105" s="155">
        <f>IS_Others!BM111</f>
        <v>0</v>
      </c>
      <c r="BJ105" s="155">
        <f>IS_Others!BN111</f>
        <v>0</v>
      </c>
      <c r="BK105" s="155">
        <f>IS_Others!BO111</f>
        <v>0</v>
      </c>
      <c r="BL105" s="155">
        <f>IS_Others!BP111</f>
        <v>0</v>
      </c>
      <c r="BM105" s="155">
        <f>IS_Others!BQ111</f>
        <v>0</v>
      </c>
      <c r="BN105" s="155">
        <f>IS_Others!BR111</f>
        <v>0</v>
      </c>
      <c r="BO105" s="155">
        <f>IS_Others!BS111</f>
        <v>0</v>
      </c>
      <c r="BX105" s="456"/>
      <c r="BY105" s="456"/>
      <c r="BZ105" s="456"/>
      <c r="CA105" s="456"/>
    </row>
    <row r="106" spans="2:79" outlineLevel="1">
      <c r="D106" s="139" t="s">
        <v>207</v>
      </c>
      <c r="H106" s="155">
        <f>IS_Others!L112</f>
        <v>0</v>
      </c>
      <c r="I106" s="155">
        <f>IS_Others!M112</f>
        <v>0</v>
      </c>
      <c r="J106" s="155">
        <f>IS_Others!N112</f>
        <v>0</v>
      </c>
      <c r="K106" s="155">
        <f>IS_Others!O112</f>
        <v>0</v>
      </c>
      <c r="L106" s="155">
        <f>IS_Others!P112</f>
        <v>0</v>
      </c>
      <c r="M106" s="155">
        <f>IS_Others!Q112</f>
        <v>0</v>
      </c>
      <c r="N106" s="155">
        <f>IS_Others!R112</f>
        <v>0</v>
      </c>
      <c r="O106" s="155">
        <f>IS_Others!S112</f>
        <v>0</v>
      </c>
      <c r="P106" s="155">
        <f>IS_Others!T112</f>
        <v>0</v>
      </c>
      <c r="Q106" s="155">
        <f>IS_Others!U112</f>
        <v>0</v>
      </c>
      <c r="R106" s="155">
        <f>IS_Others!V112</f>
        <v>0</v>
      </c>
      <c r="S106" s="155">
        <f>IS_Others!W112</f>
        <v>0</v>
      </c>
      <c r="T106" s="155">
        <f>IS_Others!X112</f>
        <v>0</v>
      </c>
      <c r="U106" s="155">
        <f>IS_Others!Y112</f>
        <v>0</v>
      </c>
      <c r="V106" s="155">
        <f>IS_Others!Z112</f>
        <v>0</v>
      </c>
      <c r="W106" s="155">
        <f>IS_Others!AA112</f>
        <v>0</v>
      </c>
      <c r="X106" s="155">
        <f>IS_Others!AB112</f>
        <v>0</v>
      </c>
      <c r="Y106" s="155">
        <f>IS_Others!AC112</f>
        <v>0</v>
      </c>
      <c r="Z106" s="155">
        <f>IS_Others!AD112</f>
        <v>0</v>
      </c>
      <c r="AA106" s="155">
        <f>IS_Others!AE112</f>
        <v>0</v>
      </c>
      <c r="AB106" s="155">
        <f>IS_Others!AF112</f>
        <v>0</v>
      </c>
      <c r="AC106" s="155">
        <f>IS_Others!AG112</f>
        <v>0</v>
      </c>
      <c r="AD106" s="155">
        <f>IS_Others!AH112</f>
        <v>0</v>
      </c>
      <c r="AE106" s="155">
        <f>IS_Others!AI112</f>
        <v>0</v>
      </c>
      <c r="AF106" s="155">
        <f>IS_Others!AJ112</f>
        <v>0</v>
      </c>
      <c r="AG106" s="155">
        <f>IS_Others!AK112</f>
        <v>0</v>
      </c>
      <c r="AH106" s="155">
        <f>IS_Others!AL112</f>
        <v>0</v>
      </c>
      <c r="AI106" s="155">
        <f>IS_Others!AM112</f>
        <v>0</v>
      </c>
      <c r="AJ106" s="155">
        <f>IS_Others!AN112</f>
        <v>0</v>
      </c>
      <c r="AK106" s="155">
        <f>IS_Others!AO112</f>
        <v>0</v>
      </c>
      <c r="AL106" s="155">
        <f>IS_Others!AP112</f>
        <v>0</v>
      </c>
      <c r="AM106" s="155">
        <f>IS_Others!AQ112</f>
        <v>0</v>
      </c>
      <c r="AN106" s="155">
        <f>IS_Others!AR112</f>
        <v>0</v>
      </c>
      <c r="AO106" s="155">
        <f>IS_Others!AS112</f>
        <v>0</v>
      </c>
      <c r="AP106" s="155">
        <f>IS_Others!AT112</f>
        <v>0</v>
      </c>
      <c r="AQ106" s="155">
        <f>IS_Others!AU112</f>
        <v>0</v>
      </c>
      <c r="AR106" s="155">
        <f>IS_Others!AV112</f>
        <v>0</v>
      </c>
      <c r="AS106" s="155">
        <f>IS_Others!AW112</f>
        <v>0</v>
      </c>
      <c r="AT106" s="155">
        <f>IS_Others!AX112</f>
        <v>0</v>
      </c>
      <c r="AU106" s="155">
        <f>IS_Others!AY112</f>
        <v>0</v>
      </c>
      <c r="AV106" s="155">
        <f>IS_Others!AZ112</f>
        <v>0</v>
      </c>
      <c r="AW106" s="155">
        <f>IS_Others!BA112</f>
        <v>0</v>
      </c>
      <c r="AX106" s="155">
        <f>IS_Others!BB112</f>
        <v>0</v>
      </c>
      <c r="AY106" s="155">
        <f>IS_Others!BC112</f>
        <v>0</v>
      </c>
      <c r="AZ106" s="155">
        <f>IS_Others!BD112</f>
        <v>0</v>
      </c>
      <c r="BA106" s="155">
        <f>IS_Others!BE112</f>
        <v>0</v>
      </c>
      <c r="BB106" s="155">
        <f>IS_Others!BF112</f>
        <v>0</v>
      </c>
      <c r="BC106" s="155">
        <f>IS_Others!BG112</f>
        <v>0</v>
      </c>
      <c r="BD106" s="155">
        <f>IS_Others!BH112</f>
        <v>0</v>
      </c>
      <c r="BE106" s="155">
        <f>IS_Others!BI112</f>
        <v>0</v>
      </c>
      <c r="BF106" s="155">
        <f>IS_Others!BJ112</f>
        <v>0</v>
      </c>
      <c r="BG106" s="155">
        <f>IS_Others!BK112</f>
        <v>0</v>
      </c>
      <c r="BH106" s="155">
        <f>IS_Others!BL112</f>
        <v>0</v>
      </c>
      <c r="BI106" s="155">
        <f>IS_Others!BM112</f>
        <v>0</v>
      </c>
      <c r="BJ106" s="155">
        <f>IS_Others!BN112</f>
        <v>0</v>
      </c>
      <c r="BK106" s="155">
        <f>IS_Others!BO112</f>
        <v>0</v>
      </c>
      <c r="BL106" s="155">
        <f>IS_Others!BP112</f>
        <v>0</v>
      </c>
      <c r="BM106" s="155">
        <f>IS_Others!BQ112</f>
        <v>0</v>
      </c>
      <c r="BN106" s="155">
        <f>IS_Others!BR112</f>
        <v>0</v>
      </c>
      <c r="BO106" s="155">
        <f>IS_Others!BS112</f>
        <v>0</v>
      </c>
      <c r="BX106" s="456"/>
      <c r="BY106" s="456"/>
      <c r="BZ106" s="456"/>
      <c r="CA106" s="456"/>
    </row>
    <row r="107" spans="2:79" outlineLevel="1">
      <c r="D107" s="139" t="s">
        <v>208</v>
      </c>
      <c r="H107" s="155">
        <f>IS_Others!L113</f>
        <v>0</v>
      </c>
      <c r="I107" s="155">
        <f>IS_Others!M113</f>
        <v>0</v>
      </c>
      <c r="J107" s="155">
        <f>IS_Others!N113</f>
        <v>0</v>
      </c>
      <c r="K107" s="155">
        <f>IS_Others!O113</f>
        <v>0</v>
      </c>
      <c r="L107" s="155">
        <f>IS_Others!P113</f>
        <v>0</v>
      </c>
      <c r="M107" s="155">
        <f>IS_Others!Q113</f>
        <v>0</v>
      </c>
      <c r="N107" s="155">
        <f>IS_Others!R113</f>
        <v>0</v>
      </c>
      <c r="O107" s="155">
        <f>IS_Others!S113</f>
        <v>0</v>
      </c>
      <c r="P107" s="155">
        <f>IS_Others!T113</f>
        <v>0</v>
      </c>
      <c r="Q107" s="155">
        <f>IS_Others!U113</f>
        <v>0</v>
      </c>
      <c r="R107" s="155">
        <f>IS_Others!V113</f>
        <v>0</v>
      </c>
      <c r="S107" s="155">
        <f>IS_Others!W113</f>
        <v>0</v>
      </c>
      <c r="T107" s="155">
        <f>IS_Others!X113</f>
        <v>0</v>
      </c>
      <c r="U107" s="155">
        <f>IS_Others!Y113</f>
        <v>0</v>
      </c>
      <c r="V107" s="155">
        <f>IS_Others!Z113</f>
        <v>0</v>
      </c>
      <c r="W107" s="155">
        <f>IS_Others!AA113</f>
        <v>0</v>
      </c>
      <c r="X107" s="155">
        <f>IS_Others!AB113</f>
        <v>0</v>
      </c>
      <c r="Y107" s="155">
        <f>IS_Others!AC113</f>
        <v>0</v>
      </c>
      <c r="Z107" s="155">
        <f>IS_Others!AD113</f>
        <v>0</v>
      </c>
      <c r="AA107" s="155">
        <f>IS_Others!AE113</f>
        <v>0</v>
      </c>
      <c r="AB107" s="155">
        <f>IS_Others!AF113</f>
        <v>0</v>
      </c>
      <c r="AC107" s="155">
        <f>IS_Others!AG113</f>
        <v>0</v>
      </c>
      <c r="AD107" s="155">
        <f>IS_Others!AH113</f>
        <v>0</v>
      </c>
      <c r="AE107" s="155">
        <f>IS_Others!AI113</f>
        <v>0</v>
      </c>
      <c r="AF107" s="155">
        <f>IS_Others!AJ113</f>
        <v>0</v>
      </c>
      <c r="AG107" s="155">
        <f>IS_Others!AK113</f>
        <v>0</v>
      </c>
      <c r="AH107" s="155">
        <f>IS_Others!AL113</f>
        <v>0</v>
      </c>
      <c r="AI107" s="155">
        <f>IS_Others!AM113</f>
        <v>0</v>
      </c>
      <c r="AJ107" s="155">
        <f>IS_Others!AN113</f>
        <v>0</v>
      </c>
      <c r="AK107" s="155">
        <f>IS_Others!AO113</f>
        <v>0</v>
      </c>
      <c r="AL107" s="155">
        <f>IS_Others!AP113</f>
        <v>0</v>
      </c>
      <c r="AM107" s="155">
        <f>IS_Others!AQ113</f>
        <v>0</v>
      </c>
      <c r="AN107" s="155">
        <f>IS_Others!AR113</f>
        <v>0</v>
      </c>
      <c r="AO107" s="155">
        <f>IS_Others!AS113</f>
        <v>0</v>
      </c>
      <c r="AP107" s="155">
        <f>IS_Others!AT113</f>
        <v>0</v>
      </c>
      <c r="AQ107" s="155">
        <f>IS_Others!AU113</f>
        <v>0</v>
      </c>
      <c r="AR107" s="155">
        <f>IS_Others!AV113</f>
        <v>0</v>
      </c>
      <c r="AS107" s="155">
        <f>IS_Others!AW113</f>
        <v>0</v>
      </c>
      <c r="AT107" s="155">
        <f>IS_Others!AX113</f>
        <v>0</v>
      </c>
      <c r="AU107" s="155">
        <f>IS_Others!AY113</f>
        <v>0</v>
      </c>
      <c r="AV107" s="155">
        <f>IS_Others!AZ113</f>
        <v>0</v>
      </c>
      <c r="AW107" s="155">
        <f>IS_Others!BA113</f>
        <v>0</v>
      </c>
      <c r="AX107" s="155">
        <f>IS_Others!BB113</f>
        <v>0</v>
      </c>
      <c r="AY107" s="155">
        <f>IS_Others!BC113</f>
        <v>0</v>
      </c>
      <c r="AZ107" s="155">
        <f>IS_Others!BD113</f>
        <v>0</v>
      </c>
      <c r="BA107" s="155">
        <f>IS_Others!BE113</f>
        <v>0</v>
      </c>
      <c r="BB107" s="155">
        <f>IS_Others!BF113</f>
        <v>0</v>
      </c>
      <c r="BC107" s="155">
        <f>IS_Others!BG113</f>
        <v>0</v>
      </c>
      <c r="BD107" s="155">
        <f>IS_Others!BH113</f>
        <v>0</v>
      </c>
      <c r="BE107" s="155">
        <f>IS_Others!BI113</f>
        <v>0</v>
      </c>
      <c r="BF107" s="155">
        <f>IS_Others!BJ113</f>
        <v>0</v>
      </c>
      <c r="BG107" s="155">
        <f>IS_Others!BK113</f>
        <v>0</v>
      </c>
      <c r="BH107" s="155">
        <f>IS_Others!BL113</f>
        <v>0</v>
      </c>
      <c r="BI107" s="155">
        <f>IS_Others!BM113</f>
        <v>0</v>
      </c>
      <c r="BJ107" s="155">
        <f>IS_Others!BN113</f>
        <v>0</v>
      </c>
      <c r="BK107" s="155">
        <f>IS_Others!BO113</f>
        <v>0</v>
      </c>
      <c r="BL107" s="155">
        <f>IS_Others!BP113</f>
        <v>0</v>
      </c>
      <c r="BM107" s="155">
        <f>IS_Others!BQ113</f>
        <v>0</v>
      </c>
      <c r="BN107" s="155">
        <f>IS_Others!BR113</f>
        <v>0</v>
      </c>
      <c r="BO107" s="155">
        <f>IS_Others!BS113</f>
        <v>0</v>
      </c>
      <c r="BX107" s="456"/>
      <c r="BY107" s="456"/>
      <c r="BZ107" s="456"/>
      <c r="CA107" s="456"/>
    </row>
    <row r="108" spans="2:79" outlineLevel="1">
      <c r="D108" s="139" t="s">
        <v>209</v>
      </c>
      <c r="H108" s="155">
        <f>IS_Others!L114</f>
        <v>0</v>
      </c>
      <c r="I108" s="155">
        <f>IS_Others!M114</f>
        <v>0</v>
      </c>
      <c r="J108" s="155">
        <f>IS_Others!N114</f>
        <v>0</v>
      </c>
      <c r="K108" s="155">
        <f>IS_Others!O114</f>
        <v>0</v>
      </c>
      <c r="L108" s="155">
        <f>IS_Others!P114</f>
        <v>0</v>
      </c>
      <c r="M108" s="155">
        <f>IS_Others!Q114</f>
        <v>0</v>
      </c>
      <c r="N108" s="155">
        <f>IS_Others!R114</f>
        <v>0</v>
      </c>
      <c r="O108" s="155">
        <f>IS_Others!S114</f>
        <v>0</v>
      </c>
      <c r="P108" s="155">
        <f>IS_Others!T114</f>
        <v>0</v>
      </c>
      <c r="Q108" s="155">
        <f>IS_Others!U114</f>
        <v>0</v>
      </c>
      <c r="R108" s="155">
        <f>IS_Others!V114</f>
        <v>0</v>
      </c>
      <c r="S108" s="155">
        <f>IS_Others!W114</f>
        <v>0</v>
      </c>
      <c r="T108" s="155">
        <f>IS_Others!X114</f>
        <v>0</v>
      </c>
      <c r="U108" s="155">
        <f>IS_Others!Y114</f>
        <v>0</v>
      </c>
      <c r="V108" s="155">
        <f>IS_Others!Z114</f>
        <v>0</v>
      </c>
      <c r="W108" s="155">
        <f>IS_Others!AA114</f>
        <v>0</v>
      </c>
      <c r="X108" s="155">
        <f>IS_Others!AB114</f>
        <v>0</v>
      </c>
      <c r="Y108" s="155">
        <f>IS_Others!AC114</f>
        <v>0</v>
      </c>
      <c r="Z108" s="155">
        <f>IS_Others!AD114</f>
        <v>0</v>
      </c>
      <c r="AA108" s="155">
        <f>IS_Others!AE114</f>
        <v>0</v>
      </c>
      <c r="AB108" s="155">
        <f>IS_Others!AF114</f>
        <v>0</v>
      </c>
      <c r="AC108" s="155">
        <f>IS_Others!AG114</f>
        <v>0</v>
      </c>
      <c r="AD108" s="155">
        <f>IS_Others!AH114</f>
        <v>0</v>
      </c>
      <c r="AE108" s="155">
        <f>IS_Others!AI114</f>
        <v>0</v>
      </c>
      <c r="AF108" s="155">
        <f>IS_Others!AJ114</f>
        <v>0</v>
      </c>
      <c r="AG108" s="155">
        <f>IS_Others!AK114</f>
        <v>0</v>
      </c>
      <c r="AH108" s="155">
        <f>IS_Others!AL114</f>
        <v>0</v>
      </c>
      <c r="AI108" s="155">
        <f>IS_Others!AM114</f>
        <v>0</v>
      </c>
      <c r="AJ108" s="155">
        <f>IS_Others!AN114</f>
        <v>0</v>
      </c>
      <c r="AK108" s="155">
        <f>IS_Others!AO114</f>
        <v>0</v>
      </c>
      <c r="AL108" s="155">
        <f>IS_Others!AP114</f>
        <v>0</v>
      </c>
      <c r="AM108" s="155">
        <f>IS_Others!AQ114</f>
        <v>0</v>
      </c>
      <c r="AN108" s="155">
        <f>IS_Others!AR114</f>
        <v>0</v>
      </c>
      <c r="AO108" s="155">
        <f>IS_Others!AS114</f>
        <v>0</v>
      </c>
      <c r="AP108" s="155">
        <f>IS_Others!AT114</f>
        <v>0</v>
      </c>
      <c r="AQ108" s="155">
        <f>IS_Others!AU114</f>
        <v>0</v>
      </c>
      <c r="AR108" s="155">
        <f>IS_Others!AV114</f>
        <v>0</v>
      </c>
      <c r="AS108" s="155">
        <f>IS_Others!AW114</f>
        <v>0</v>
      </c>
      <c r="AT108" s="155">
        <f>IS_Others!AX114</f>
        <v>0</v>
      </c>
      <c r="AU108" s="155">
        <f>IS_Others!AY114</f>
        <v>0</v>
      </c>
      <c r="AV108" s="155">
        <f>IS_Others!AZ114</f>
        <v>0</v>
      </c>
      <c r="AW108" s="155">
        <f>IS_Others!BA114</f>
        <v>0</v>
      </c>
      <c r="AX108" s="155">
        <f>IS_Others!BB114</f>
        <v>0</v>
      </c>
      <c r="AY108" s="155">
        <f>IS_Others!BC114</f>
        <v>0</v>
      </c>
      <c r="AZ108" s="155">
        <f>IS_Others!BD114</f>
        <v>0</v>
      </c>
      <c r="BA108" s="155">
        <f>IS_Others!BE114</f>
        <v>0</v>
      </c>
      <c r="BB108" s="155">
        <f>IS_Others!BF114</f>
        <v>0</v>
      </c>
      <c r="BC108" s="155">
        <f>IS_Others!BG114</f>
        <v>0</v>
      </c>
      <c r="BD108" s="155">
        <f>IS_Others!BH114</f>
        <v>0</v>
      </c>
      <c r="BE108" s="155">
        <f>IS_Others!BI114</f>
        <v>0</v>
      </c>
      <c r="BF108" s="155">
        <f>IS_Others!BJ114</f>
        <v>0</v>
      </c>
      <c r="BG108" s="155">
        <f>IS_Others!BK114</f>
        <v>0</v>
      </c>
      <c r="BH108" s="155">
        <f>IS_Others!BL114</f>
        <v>0</v>
      </c>
      <c r="BI108" s="155">
        <f>IS_Others!BM114</f>
        <v>0</v>
      </c>
      <c r="BJ108" s="155">
        <f>IS_Others!BN114</f>
        <v>0</v>
      </c>
      <c r="BK108" s="155">
        <f>IS_Others!BO114</f>
        <v>0</v>
      </c>
      <c r="BL108" s="155">
        <f>IS_Others!BP114</f>
        <v>0</v>
      </c>
      <c r="BM108" s="155">
        <f>IS_Others!BQ114</f>
        <v>0</v>
      </c>
      <c r="BN108" s="155">
        <f>IS_Others!BR114</f>
        <v>0</v>
      </c>
      <c r="BO108" s="155">
        <f>IS_Others!BS114</f>
        <v>0</v>
      </c>
      <c r="BX108" s="456"/>
      <c r="BY108" s="456"/>
      <c r="BZ108" s="456"/>
      <c r="CA108" s="456"/>
    </row>
    <row r="109" spans="2:79" outlineLevel="1">
      <c r="D109" s="139" t="s">
        <v>210</v>
      </c>
      <c r="H109" s="155">
        <f>IS_Others!L115</f>
        <v>1</v>
      </c>
      <c r="I109" s="155">
        <f>IS_Others!M115</f>
        <v>1</v>
      </c>
      <c r="J109" s="155">
        <f>IS_Others!N115</f>
        <v>1</v>
      </c>
      <c r="K109" s="155">
        <f>IS_Others!O115</f>
        <v>1</v>
      </c>
      <c r="L109" s="155">
        <f>IS_Others!P115</f>
        <v>1</v>
      </c>
      <c r="M109" s="155">
        <f>IS_Others!Q115</f>
        <v>1</v>
      </c>
      <c r="N109" s="155">
        <f>IS_Others!R115</f>
        <v>1</v>
      </c>
      <c r="O109" s="155">
        <f>IS_Others!S115</f>
        <v>1</v>
      </c>
      <c r="P109" s="155">
        <f>IS_Others!T115</f>
        <v>1</v>
      </c>
      <c r="Q109" s="155">
        <f>IS_Others!U115</f>
        <v>1</v>
      </c>
      <c r="R109" s="155">
        <f>IS_Others!V115</f>
        <v>1</v>
      </c>
      <c r="S109" s="155">
        <f>IS_Others!W115</f>
        <v>1</v>
      </c>
      <c r="T109" s="155">
        <f>IS_Others!X115</f>
        <v>1</v>
      </c>
      <c r="U109" s="155">
        <f>IS_Others!Y115</f>
        <v>1</v>
      </c>
      <c r="V109" s="155">
        <f>IS_Others!Z115</f>
        <v>1</v>
      </c>
      <c r="W109" s="155">
        <f>IS_Others!AA115</f>
        <v>1</v>
      </c>
      <c r="X109" s="155">
        <f>IS_Others!AB115</f>
        <v>1</v>
      </c>
      <c r="Y109" s="155">
        <f>IS_Others!AC115</f>
        <v>1</v>
      </c>
      <c r="Z109" s="155">
        <f>IS_Others!AD115</f>
        <v>1</v>
      </c>
      <c r="AA109" s="155">
        <f>IS_Others!AE115</f>
        <v>1</v>
      </c>
      <c r="AB109" s="155">
        <f>IS_Others!AF115</f>
        <v>1</v>
      </c>
      <c r="AC109" s="155">
        <f>IS_Others!AG115</f>
        <v>1</v>
      </c>
      <c r="AD109" s="155">
        <f>IS_Others!AH115</f>
        <v>1</v>
      </c>
      <c r="AE109" s="155">
        <f>IS_Others!AI115</f>
        <v>1</v>
      </c>
      <c r="AF109" s="155">
        <f>IS_Others!AJ115</f>
        <v>1</v>
      </c>
      <c r="AG109" s="155">
        <f>IS_Others!AK115</f>
        <v>1</v>
      </c>
      <c r="AH109" s="155">
        <f>IS_Others!AL115</f>
        <v>1</v>
      </c>
      <c r="AI109" s="155">
        <f>IS_Others!AM115</f>
        <v>1</v>
      </c>
      <c r="AJ109" s="155">
        <f>IS_Others!AN115</f>
        <v>1</v>
      </c>
      <c r="AK109" s="155">
        <f>IS_Others!AO115</f>
        <v>1</v>
      </c>
      <c r="AL109" s="155">
        <f>IS_Others!AP115</f>
        <v>1</v>
      </c>
      <c r="AM109" s="155">
        <f>IS_Others!AQ115</f>
        <v>1</v>
      </c>
      <c r="AN109" s="155">
        <f>IS_Others!AR115</f>
        <v>1</v>
      </c>
      <c r="AO109" s="155">
        <f>IS_Others!AS115</f>
        <v>1</v>
      </c>
      <c r="AP109" s="155">
        <f>IS_Others!AT115</f>
        <v>1</v>
      </c>
      <c r="AQ109" s="155">
        <f>IS_Others!AU115</f>
        <v>1</v>
      </c>
      <c r="AR109" s="155">
        <f>IS_Others!AV115</f>
        <v>1</v>
      </c>
      <c r="AS109" s="155">
        <f>IS_Others!AW115</f>
        <v>1</v>
      </c>
      <c r="AT109" s="155">
        <f>IS_Others!AX115</f>
        <v>1</v>
      </c>
      <c r="AU109" s="155">
        <f>IS_Others!AY115</f>
        <v>1</v>
      </c>
      <c r="AV109" s="155">
        <f>IS_Others!AZ115</f>
        <v>1</v>
      </c>
      <c r="AW109" s="155">
        <f>IS_Others!BA115</f>
        <v>1</v>
      </c>
      <c r="AX109" s="155">
        <f>IS_Others!BB115</f>
        <v>1</v>
      </c>
      <c r="AY109" s="155">
        <f>IS_Others!BC115</f>
        <v>1</v>
      </c>
      <c r="AZ109" s="155">
        <f>IS_Others!BD115</f>
        <v>1</v>
      </c>
      <c r="BA109" s="155">
        <f>IS_Others!BE115</f>
        <v>1</v>
      </c>
      <c r="BB109" s="155">
        <f>IS_Others!BF115</f>
        <v>1</v>
      </c>
      <c r="BC109" s="155">
        <f>IS_Others!BG115</f>
        <v>1</v>
      </c>
      <c r="BD109" s="155">
        <f>IS_Others!BH115</f>
        <v>1</v>
      </c>
      <c r="BE109" s="155">
        <f>IS_Others!BI115</f>
        <v>1</v>
      </c>
      <c r="BF109" s="155">
        <f>IS_Others!BJ115</f>
        <v>1</v>
      </c>
      <c r="BG109" s="155">
        <f>IS_Others!BK115</f>
        <v>1</v>
      </c>
      <c r="BH109" s="155">
        <f>IS_Others!BL115</f>
        <v>1</v>
      </c>
      <c r="BI109" s="155">
        <f>IS_Others!BM115</f>
        <v>1</v>
      </c>
      <c r="BJ109" s="155">
        <f>IS_Others!BN115</f>
        <v>1</v>
      </c>
      <c r="BK109" s="155">
        <f>IS_Others!BO115</f>
        <v>1</v>
      </c>
      <c r="BL109" s="155">
        <f>IS_Others!BP115</f>
        <v>1</v>
      </c>
      <c r="BM109" s="155">
        <f>IS_Others!BQ115</f>
        <v>1</v>
      </c>
      <c r="BN109" s="155">
        <f>IS_Others!BR115</f>
        <v>1</v>
      </c>
      <c r="BO109" s="155">
        <f>IS_Others!BS115</f>
        <v>1</v>
      </c>
      <c r="BX109" s="456"/>
      <c r="BY109" s="456"/>
      <c r="BZ109" s="456"/>
      <c r="CA109" s="456"/>
    </row>
    <row r="110" spans="2:79" outlineLevel="1">
      <c r="D110" s="139" t="s">
        <v>211</v>
      </c>
      <c r="H110" s="155">
        <f>IS_Others!L116</f>
        <v>0</v>
      </c>
      <c r="I110" s="155">
        <f>IS_Others!M116</f>
        <v>0</v>
      </c>
      <c r="J110" s="155">
        <f>IS_Others!N116</f>
        <v>0</v>
      </c>
      <c r="K110" s="155">
        <f>IS_Others!O116</f>
        <v>0</v>
      </c>
      <c r="L110" s="155">
        <f>IS_Others!P116</f>
        <v>0</v>
      </c>
      <c r="M110" s="155">
        <f>IS_Others!Q116</f>
        <v>0</v>
      </c>
      <c r="N110" s="155">
        <f>IS_Others!R116</f>
        <v>0</v>
      </c>
      <c r="O110" s="155">
        <f>IS_Others!S116</f>
        <v>0</v>
      </c>
      <c r="P110" s="155">
        <f>IS_Others!T116</f>
        <v>0</v>
      </c>
      <c r="Q110" s="155">
        <f>IS_Others!U116</f>
        <v>0</v>
      </c>
      <c r="R110" s="155">
        <f>IS_Others!V116</f>
        <v>0</v>
      </c>
      <c r="S110" s="155">
        <f>IS_Others!W116</f>
        <v>0</v>
      </c>
      <c r="T110" s="155">
        <f>IS_Others!X116</f>
        <v>0</v>
      </c>
      <c r="U110" s="155">
        <f>IS_Others!Y116</f>
        <v>0</v>
      </c>
      <c r="V110" s="155">
        <f>IS_Others!Z116</f>
        <v>0</v>
      </c>
      <c r="W110" s="155">
        <f>IS_Others!AA116</f>
        <v>0</v>
      </c>
      <c r="X110" s="155">
        <f>IS_Others!AB116</f>
        <v>0</v>
      </c>
      <c r="Y110" s="155">
        <f>IS_Others!AC116</f>
        <v>0</v>
      </c>
      <c r="Z110" s="155">
        <f>IS_Others!AD116</f>
        <v>0</v>
      </c>
      <c r="AA110" s="155">
        <f>IS_Others!AE116</f>
        <v>0</v>
      </c>
      <c r="AB110" s="155">
        <f>IS_Others!AF116</f>
        <v>0</v>
      </c>
      <c r="AC110" s="155">
        <f>IS_Others!AG116</f>
        <v>0</v>
      </c>
      <c r="AD110" s="155">
        <f>IS_Others!AH116</f>
        <v>0</v>
      </c>
      <c r="AE110" s="155">
        <f>IS_Others!AI116</f>
        <v>0</v>
      </c>
      <c r="AF110" s="155">
        <f>IS_Others!AJ116</f>
        <v>0</v>
      </c>
      <c r="AG110" s="155">
        <f>IS_Others!AK116</f>
        <v>0</v>
      </c>
      <c r="AH110" s="155">
        <f>IS_Others!AL116</f>
        <v>0</v>
      </c>
      <c r="AI110" s="155">
        <f>IS_Others!AM116</f>
        <v>0</v>
      </c>
      <c r="AJ110" s="155">
        <f>IS_Others!AN116</f>
        <v>0</v>
      </c>
      <c r="AK110" s="155">
        <f>IS_Others!AO116</f>
        <v>0</v>
      </c>
      <c r="AL110" s="155">
        <f>IS_Others!AP116</f>
        <v>0</v>
      </c>
      <c r="AM110" s="155">
        <f>IS_Others!AQ116</f>
        <v>0</v>
      </c>
      <c r="AN110" s="155">
        <f>IS_Others!AR116</f>
        <v>0</v>
      </c>
      <c r="AO110" s="155">
        <f>IS_Others!AS116</f>
        <v>0</v>
      </c>
      <c r="AP110" s="155">
        <f>IS_Others!AT116</f>
        <v>0</v>
      </c>
      <c r="AQ110" s="155">
        <f>IS_Others!AU116</f>
        <v>0</v>
      </c>
      <c r="AR110" s="155">
        <f>IS_Others!AV116</f>
        <v>0</v>
      </c>
      <c r="AS110" s="155">
        <f>IS_Others!AW116</f>
        <v>0</v>
      </c>
      <c r="AT110" s="155">
        <f>IS_Others!AX116</f>
        <v>0</v>
      </c>
      <c r="AU110" s="155">
        <f>IS_Others!AY116</f>
        <v>0</v>
      </c>
      <c r="AV110" s="155">
        <f>IS_Others!AZ116</f>
        <v>0</v>
      </c>
      <c r="AW110" s="155">
        <f>IS_Others!BA116</f>
        <v>0</v>
      </c>
      <c r="AX110" s="155">
        <f>IS_Others!BB116</f>
        <v>0</v>
      </c>
      <c r="AY110" s="155">
        <f>IS_Others!BC116</f>
        <v>0</v>
      </c>
      <c r="AZ110" s="155">
        <f>IS_Others!BD116</f>
        <v>0</v>
      </c>
      <c r="BA110" s="155">
        <f>IS_Others!BE116</f>
        <v>0</v>
      </c>
      <c r="BB110" s="155">
        <f>IS_Others!BF116</f>
        <v>0</v>
      </c>
      <c r="BC110" s="155">
        <f>IS_Others!BG116</f>
        <v>0</v>
      </c>
      <c r="BD110" s="155">
        <f>IS_Others!BH116</f>
        <v>0</v>
      </c>
      <c r="BE110" s="155">
        <f>IS_Others!BI116</f>
        <v>0</v>
      </c>
      <c r="BF110" s="155">
        <f>IS_Others!BJ116</f>
        <v>0</v>
      </c>
      <c r="BG110" s="155">
        <f>IS_Others!BK116</f>
        <v>0</v>
      </c>
      <c r="BH110" s="155">
        <f>IS_Others!BL116</f>
        <v>0</v>
      </c>
      <c r="BI110" s="155">
        <f>IS_Others!BM116</f>
        <v>0</v>
      </c>
      <c r="BJ110" s="155">
        <f>IS_Others!BN116</f>
        <v>0</v>
      </c>
      <c r="BK110" s="155">
        <f>IS_Others!BO116</f>
        <v>0</v>
      </c>
      <c r="BL110" s="155">
        <f>IS_Others!BP116</f>
        <v>0</v>
      </c>
      <c r="BM110" s="155">
        <f>IS_Others!BQ116</f>
        <v>0</v>
      </c>
      <c r="BN110" s="155">
        <f>IS_Others!BR116</f>
        <v>0</v>
      </c>
      <c r="BO110" s="155">
        <f>IS_Others!BS116</f>
        <v>0</v>
      </c>
      <c r="BX110" s="456"/>
      <c r="BY110" s="456"/>
      <c r="BZ110" s="456"/>
      <c r="CA110" s="456"/>
    </row>
    <row r="111" spans="2:79" s="155" customFormat="1">
      <c r="BX111" s="454"/>
      <c r="BY111" s="454"/>
      <c r="BZ111" s="454"/>
      <c r="CA111" s="454"/>
    </row>
    <row r="112" spans="2:79" s="155" customFormat="1">
      <c r="B112" s="155" t="s">
        <v>632</v>
      </c>
      <c r="BX112" s="454"/>
      <c r="BY112" s="454"/>
      <c r="BZ112" s="454"/>
      <c r="CA112" s="454"/>
    </row>
    <row r="113" spans="2:79" s="155" customFormat="1">
      <c r="C113" s="155" t="s">
        <v>633</v>
      </c>
      <c r="BX113" s="454"/>
      <c r="BY113" s="454"/>
      <c r="BZ113" s="454"/>
      <c r="CA113" s="454"/>
    </row>
    <row r="114" spans="2:79" s="155" customFormat="1">
      <c r="BX114" s="454"/>
      <c r="BY114" s="454"/>
      <c r="BZ114" s="454"/>
      <c r="CA114" s="454"/>
    </row>
    <row r="115" spans="2:79" s="155" customFormat="1">
      <c r="C115" s="155" t="s">
        <v>634</v>
      </c>
      <c r="BX115" s="454"/>
      <c r="BY115" s="454"/>
      <c r="BZ115" s="454"/>
      <c r="CA115" s="454"/>
    </row>
    <row r="116" spans="2:79" s="155" customFormat="1"/>
    <row r="117" spans="2:79" s="155" customFormat="1"/>
    <row r="118" spans="2:79" s="155" customFormat="1"/>
    <row r="119" spans="2:79" s="155" customFormat="1">
      <c r="B119" s="155" t="s">
        <v>628</v>
      </c>
      <c r="H119" s="155">
        <f>H35-H48-H53</f>
        <v>-65.243873966666683</v>
      </c>
      <c r="I119" s="155">
        <f t="shared" ref="I119:BO119" si="45">I35-I48-I53</f>
        <v>-53.243873966666676</v>
      </c>
      <c r="J119" s="155">
        <f t="shared" si="45"/>
        <v>-53.243873966666676</v>
      </c>
      <c r="K119" s="155">
        <f t="shared" si="45"/>
        <v>-153.24387396666668</v>
      </c>
      <c r="L119" s="155">
        <f t="shared" si="45"/>
        <v>-53.243873966666676</v>
      </c>
      <c r="M119" s="155">
        <f t="shared" si="45"/>
        <v>-53.243873966666676</v>
      </c>
      <c r="N119" s="155">
        <f t="shared" si="45"/>
        <v>2263.416527522636</v>
      </c>
      <c r="O119" s="155">
        <f t="shared" si="45"/>
        <v>3500.59741956163</v>
      </c>
      <c r="P119" s="155">
        <f t="shared" si="45"/>
        <v>2263.416527522636</v>
      </c>
      <c r="Q119" s="155">
        <f t="shared" si="45"/>
        <v>3500.59741956163</v>
      </c>
      <c r="R119" s="155">
        <f t="shared" si="45"/>
        <v>2263.416527522636</v>
      </c>
      <c r="S119" s="155">
        <f t="shared" si="45"/>
        <v>2263.416527522636</v>
      </c>
      <c r="T119" s="155">
        <f t="shared" si="45"/>
        <v>3168.3462901789967</v>
      </c>
      <c r="U119" s="155">
        <f t="shared" si="45"/>
        <v>1852.1906961231975</v>
      </c>
      <c r="V119" s="155">
        <f t="shared" si="45"/>
        <v>1852.1906961231975</v>
      </c>
      <c r="W119" s="155">
        <f t="shared" si="45"/>
        <v>1852.1906961231975</v>
      </c>
      <c r="X119" s="155">
        <f t="shared" si="45"/>
        <v>3168.3462901789967</v>
      </c>
      <c r="Y119" s="155">
        <f t="shared" si="45"/>
        <v>1852.1906961231975</v>
      </c>
      <c r="Z119" s="155">
        <f t="shared" si="45"/>
        <v>2873.5519859216888</v>
      </c>
      <c r="AA119" s="155">
        <f t="shared" si="45"/>
        <v>4640.2337774271127</v>
      </c>
      <c r="AB119" s="155">
        <f t="shared" si="45"/>
        <v>2873.5519859216888</v>
      </c>
      <c r="AC119" s="155">
        <f t="shared" si="45"/>
        <v>4640.2337774271127</v>
      </c>
      <c r="AD119" s="155">
        <f t="shared" si="45"/>
        <v>2873.5519859216888</v>
      </c>
      <c r="AE119" s="155">
        <f t="shared" si="45"/>
        <v>2873.5519859216888</v>
      </c>
      <c r="AF119" s="155">
        <f t="shared" si="45"/>
        <v>7080.8450258764096</v>
      </c>
      <c r="AG119" s="155">
        <f t="shared" si="45"/>
        <v>4667.038582387795</v>
      </c>
      <c r="AH119" s="155">
        <f t="shared" si="45"/>
        <v>4667.038582387795</v>
      </c>
      <c r="AI119" s="155">
        <f t="shared" si="45"/>
        <v>4667.038582387795</v>
      </c>
      <c r="AJ119" s="155">
        <f t="shared" si="45"/>
        <v>7080.8450258764096</v>
      </c>
      <c r="AK119" s="155">
        <f t="shared" si="45"/>
        <v>4667.038582387795</v>
      </c>
      <c r="AL119" s="155">
        <f t="shared" si="45"/>
        <v>11613.450859978268</v>
      </c>
      <c r="AM119" s="155">
        <f t="shared" si="45"/>
        <v>15978.819945781173</v>
      </c>
      <c r="AN119" s="155">
        <f t="shared" si="45"/>
        <v>11613.450859978268</v>
      </c>
      <c r="AO119" s="155">
        <f t="shared" si="45"/>
        <v>15978.819945781173</v>
      </c>
      <c r="AP119" s="155">
        <f t="shared" si="45"/>
        <v>11613.450859978268</v>
      </c>
      <c r="AQ119" s="155">
        <f t="shared" si="45"/>
        <v>11613.450859978268</v>
      </c>
      <c r="AR119" s="155">
        <f t="shared" si="45"/>
        <v>19930.719997257365</v>
      </c>
      <c r="AS119" s="155">
        <f t="shared" si="45"/>
        <v>14609.329899125893</v>
      </c>
      <c r="AT119" s="155">
        <f t="shared" si="45"/>
        <v>14609.329899125893</v>
      </c>
      <c r="AU119" s="155">
        <f t="shared" si="45"/>
        <v>14609.329899125893</v>
      </c>
      <c r="AV119" s="155">
        <f t="shared" si="45"/>
        <v>19930.719997257365</v>
      </c>
      <c r="AW119" s="155">
        <f t="shared" si="45"/>
        <v>14609.329899125893</v>
      </c>
      <c r="AX119" s="155">
        <f t="shared" si="45"/>
        <v>16418.535813676372</v>
      </c>
      <c r="AY119" s="155">
        <f t="shared" si="45"/>
        <v>22419.426963362133</v>
      </c>
      <c r="AZ119" s="155">
        <f t="shared" si="45"/>
        <v>16418.535813676372</v>
      </c>
      <c r="BA119" s="155">
        <f t="shared" si="45"/>
        <v>22419.426963362133</v>
      </c>
      <c r="BB119" s="155">
        <f t="shared" si="45"/>
        <v>16418.535813676372</v>
      </c>
      <c r="BC119" s="155">
        <f t="shared" si="45"/>
        <v>16418.535813676372</v>
      </c>
      <c r="BD119" s="155">
        <f t="shared" si="45"/>
        <v>22408.226963362133</v>
      </c>
      <c r="BE119" s="155">
        <f t="shared" si="45"/>
        <v>16407.335813676371</v>
      </c>
      <c r="BF119" s="155">
        <f t="shared" si="45"/>
        <v>16407.335813676371</v>
      </c>
      <c r="BG119" s="155">
        <f t="shared" si="45"/>
        <v>16407.335813676371</v>
      </c>
      <c r="BH119" s="155">
        <f t="shared" si="45"/>
        <v>22408.226963362133</v>
      </c>
      <c r="BI119" s="155">
        <f t="shared" si="45"/>
        <v>16407.335813676371</v>
      </c>
      <c r="BJ119" s="155">
        <f t="shared" si="45"/>
        <v>16407.335813676371</v>
      </c>
      <c r="BK119" s="155">
        <f t="shared" si="45"/>
        <v>22408.226963362133</v>
      </c>
      <c r="BL119" s="155">
        <f t="shared" si="45"/>
        <v>16407.335813676371</v>
      </c>
      <c r="BM119" s="155">
        <f t="shared" si="45"/>
        <v>22408.226963362133</v>
      </c>
      <c r="BN119" s="155">
        <f t="shared" si="45"/>
        <v>16407.335813676371</v>
      </c>
      <c r="BO119" s="155">
        <f t="shared" si="45"/>
        <v>16407.335813676371</v>
      </c>
      <c r="BQ119" s="155">
        <f>SUM(H119:S119)</f>
        <v>15623.397705413805</v>
      </c>
      <c r="BR119" s="155">
        <f>SUM(T119:AE119)</f>
        <v>34520.130863391765</v>
      </c>
      <c r="BS119" s="155">
        <f>SUM(AF119:AQ119)</f>
        <v>111241.28771277942</v>
      </c>
      <c r="BT119" s="155">
        <f>SUM(AR119:BC119)</f>
        <v>208811.75677244805</v>
      </c>
      <c r="BU119" s="155">
        <f>SUM(BD119:BO119)</f>
        <v>220891.59436285944</v>
      </c>
      <c r="BW119" s="155">
        <f>BQ35-BQ48-BQ53-BQ119</f>
        <v>0</v>
      </c>
      <c r="BX119" s="155">
        <f>BR35-BR48-BR53-BR119</f>
        <v>0</v>
      </c>
      <c r="BY119" s="155">
        <f>BS35-BS48-BS53-BS119</f>
        <v>0</v>
      </c>
      <c r="BZ119" s="155">
        <f>BT35-BT48-BT53-BT119</f>
        <v>0</v>
      </c>
      <c r="CA119" s="155">
        <f>BU35-BU48-BU53-BU119</f>
        <v>0</v>
      </c>
    </row>
    <row r="123" spans="2:79" outlineLevel="1">
      <c r="B123" s="155" t="s">
        <v>1060</v>
      </c>
    </row>
    <row r="124" spans="2:79" s="155" customFormat="1">
      <c r="B124" s="455" t="s">
        <v>631</v>
      </c>
      <c r="C124" s="455"/>
      <c r="D124" s="455"/>
      <c r="E124" s="455"/>
      <c r="F124" s="455"/>
      <c r="G124" s="455"/>
      <c r="H124" s="455">
        <f>SUBTOTAL(9,H125:H189)</f>
        <v>320</v>
      </c>
      <c r="I124" s="455">
        <f t="shared" ref="I124:BO124" si="46">SUBTOTAL(9,I125:I189)</f>
        <v>0</v>
      </c>
      <c r="J124" s="455">
        <f t="shared" si="46"/>
        <v>0</v>
      </c>
      <c r="K124" s="455">
        <f t="shared" si="46"/>
        <v>0</v>
      </c>
      <c r="L124" s="455">
        <f t="shared" si="46"/>
        <v>0</v>
      </c>
      <c r="M124" s="455">
        <f t="shared" si="46"/>
        <v>0</v>
      </c>
      <c r="N124" s="455">
        <f t="shared" si="46"/>
        <v>0</v>
      </c>
      <c r="O124" s="455">
        <f t="shared" si="46"/>
        <v>0</v>
      </c>
      <c r="P124" s="455">
        <f t="shared" si="46"/>
        <v>0</v>
      </c>
      <c r="Q124" s="455">
        <f t="shared" si="46"/>
        <v>0</v>
      </c>
      <c r="R124" s="455">
        <f t="shared" si="46"/>
        <v>0</v>
      </c>
      <c r="S124" s="455">
        <f t="shared" si="46"/>
        <v>0</v>
      </c>
      <c r="T124" s="455">
        <f t="shared" si="46"/>
        <v>83.333333333333343</v>
      </c>
      <c r="U124" s="455">
        <f t="shared" si="46"/>
        <v>83.333333333333343</v>
      </c>
      <c r="V124" s="455">
        <f t="shared" si="46"/>
        <v>83.333333333333343</v>
      </c>
      <c r="W124" s="455">
        <f t="shared" si="46"/>
        <v>83.333333333333343</v>
      </c>
      <c r="X124" s="455">
        <f t="shared" si="46"/>
        <v>83.333333333333343</v>
      </c>
      <c r="Y124" s="455">
        <f t="shared" si="46"/>
        <v>83.333333333333343</v>
      </c>
      <c r="Z124" s="455">
        <f t="shared" si="46"/>
        <v>83.333333333333343</v>
      </c>
      <c r="AA124" s="455">
        <f t="shared" si="46"/>
        <v>83.333333333333343</v>
      </c>
      <c r="AB124" s="455">
        <f t="shared" si="46"/>
        <v>83.333333333333343</v>
      </c>
      <c r="AC124" s="455">
        <f t="shared" si="46"/>
        <v>83.333333333333343</v>
      </c>
      <c r="AD124" s="455">
        <f t="shared" si="46"/>
        <v>83.333333333333343</v>
      </c>
      <c r="AE124" s="455">
        <f t="shared" si="46"/>
        <v>83.333333333333343</v>
      </c>
      <c r="AF124" s="455">
        <f t="shared" si="46"/>
        <v>83.333333333333343</v>
      </c>
      <c r="AG124" s="455">
        <f t="shared" si="46"/>
        <v>83.333333333333343</v>
      </c>
      <c r="AH124" s="455">
        <f t="shared" si="46"/>
        <v>83.333333333333343</v>
      </c>
      <c r="AI124" s="455">
        <f t="shared" si="46"/>
        <v>83.333333333333343</v>
      </c>
      <c r="AJ124" s="455">
        <f t="shared" si="46"/>
        <v>83.333333333333343</v>
      </c>
      <c r="AK124" s="455">
        <f t="shared" si="46"/>
        <v>83.333333333333343</v>
      </c>
      <c r="AL124" s="455">
        <f t="shared" si="46"/>
        <v>83.333333333333343</v>
      </c>
      <c r="AM124" s="455">
        <f t="shared" si="46"/>
        <v>83.333333333333343</v>
      </c>
      <c r="AN124" s="455">
        <f t="shared" si="46"/>
        <v>83.333333333333343</v>
      </c>
      <c r="AO124" s="455">
        <f t="shared" si="46"/>
        <v>83.333333333333343</v>
      </c>
      <c r="AP124" s="455">
        <f t="shared" si="46"/>
        <v>83.333333333333343</v>
      </c>
      <c r="AQ124" s="455">
        <f t="shared" si="46"/>
        <v>83.333333333333343</v>
      </c>
      <c r="AR124" s="455">
        <f t="shared" si="46"/>
        <v>83.333333333333343</v>
      </c>
      <c r="AS124" s="455">
        <f t="shared" si="46"/>
        <v>83.333333333333343</v>
      </c>
      <c r="AT124" s="455">
        <f t="shared" si="46"/>
        <v>83.333333333333343</v>
      </c>
      <c r="AU124" s="455">
        <f t="shared" si="46"/>
        <v>83.333333333333343</v>
      </c>
      <c r="AV124" s="455">
        <f t="shared" si="46"/>
        <v>83.333333333333343</v>
      </c>
      <c r="AW124" s="455">
        <f t="shared" si="46"/>
        <v>83.333333333333343</v>
      </c>
      <c r="AX124" s="455">
        <f t="shared" si="46"/>
        <v>83.333333333333343</v>
      </c>
      <c r="AY124" s="455">
        <f t="shared" si="46"/>
        <v>83.333333333333343</v>
      </c>
      <c r="AZ124" s="455">
        <f t="shared" si="46"/>
        <v>83.333333333333343</v>
      </c>
      <c r="BA124" s="455">
        <f t="shared" si="46"/>
        <v>83.333333333333343</v>
      </c>
      <c r="BB124" s="455">
        <f t="shared" si="46"/>
        <v>83.333333333333343</v>
      </c>
      <c r="BC124" s="455">
        <f t="shared" si="46"/>
        <v>83.333333333333343</v>
      </c>
      <c r="BD124" s="455">
        <f t="shared" si="46"/>
        <v>83.333333333333343</v>
      </c>
      <c r="BE124" s="455">
        <f t="shared" si="46"/>
        <v>83.333333333333343</v>
      </c>
      <c r="BF124" s="455">
        <f t="shared" si="46"/>
        <v>83.333333333333343</v>
      </c>
      <c r="BG124" s="455">
        <f t="shared" si="46"/>
        <v>83.333333333333343</v>
      </c>
      <c r="BH124" s="455">
        <f t="shared" si="46"/>
        <v>83.333333333333343</v>
      </c>
      <c r="BI124" s="455">
        <f t="shared" si="46"/>
        <v>83.333333333333343</v>
      </c>
      <c r="BJ124" s="455">
        <f t="shared" si="46"/>
        <v>83.333333333333343</v>
      </c>
      <c r="BK124" s="455">
        <f t="shared" si="46"/>
        <v>83.333333333333343</v>
      </c>
      <c r="BL124" s="455">
        <f t="shared" si="46"/>
        <v>83.333333333333343</v>
      </c>
      <c r="BM124" s="455">
        <f t="shared" si="46"/>
        <v>83.333333333333343</v>
      </c>
      <c r="BN124" s="455">
        <f t="shared" si="46"/>
        <v>83.333333333333343</v>
      </c>
      <c r="BO124" s="455">
        <f t="shared" si="46"/>
        <v>83.333333333333343</v>
      </c>
      <c r="BQ124" s="155">
        <f>SUM(H124:S124)</f>
        <v>320</v>
      </c>
      <c r="BR124" s="155">
        <f>SUM(T124:AE124)</f>
        <v>1000.0000000000003</v>
      </c>
      <c r="BS124" s="155">
        <f>SUM(AF124:AQ124)</f>
        <v>1000.0000000000003</v>
      </c>
      <c r="BT124" s="155">
        <f>SUM(AR124:BC124)</f>
        <v>1000.0000000000003</v>
      </c>
      <c r="BU124" s="155">
        <f>SUM(BD124:BO124)</f>
        <v>1000.0000000000003</v>
      </c>
      <c r="BW124" s="155">
        <f>BQ124-SUM(BQ125:BQ189)</f>
        <v>0</v>
      </c>
      <c r="BX124" s="155">
        <f>BR124-SUM(BR125:BR189)</f>
        <v>0</v>
      </c>
      <c r="BY124" s="155">
        <f>BS124-SUM(BS125:BS189)</f>
        <v>0</v>
      </c>
      <c r="BZ124" s="155">
        <f>BT124-SUM(BT125:BT189)</f>
        <v>0</v>
      </c>
      <c r="CA124" s="155">
        <f>BU124-SUM(BU125:BU189)</f>
        <v>0</v>
      </c>
    </row>
    <row r="125" spans="2:79" s="155" customFormat="1">
      <c r="C125" s="155" t="s">
        <v>482</v>
      </c>
      <c r="H125" s="155">
        <f>SUBTOTAL(9,H126:H131)</f>
        <v>320</v>
      </c>
      <c r="I125" s="155">
        <f t="shared" ref="I125:BO125" si="47">SUBTOTAL(9,I126:I131)</f>
        <v>0</v>
      </c>
      <c r="J125" s="155">
        <f t="shared" si="47"/>
        <v>0</v>
      </c>
      <c r="K125" s="155">
        <f t="shared" si="47"/>
        <v>0</v>
      </c>
      <c r="L125" s="155">
        <f t="shared" si="47"/>
        <v>0</v>
      </c>
      <c r="M125" s="155">
        <f t="shared" si="47"/>
        <v>0</v>
      </c>
      <c r="N125" s="155">
        <f t="shared" si="47"/>
        <v>0</v>
      </c>
      <c r="O125" s="155">
        <f t="shared" si="47"/>
        <v>0</v>
      </c>
      <c r="P125" s="155">
        <f t="shared" si="47"/>
        <v>0</v>
      </c>
      <c r="Q125" s="155">
        <f t="shared" si="47"/>
        <v>0</v>
      </c>
      <c r="R125" s="155">
        <f t="shared" si="47"/>
        <v>0</v>
      </c>
      <c r="S125" s="155">
        <f t="shared" si="47"/>
        <v>0</v>
      </c>
      <c r="T125" s="155">
        <f t="shared" si="47"/>
        <v>83.333333333333343</v>
      </c>
      <c r="U125" s="155">
        <f t="shared" si="47"/>
        <v>83.333333333333343</v>
      </c>
      <c r="V125" s="155">
        <f t="shared" si="47"/>
        <v>83.333333333333343</v>
      </c>
      <c r="W125" s="155">
        <f t="shared" si="47"/>
        <v>83.333333333333343</v>
      </c>
      <c r="X125" s="155">
        <f t="shared" si="47"/>
        <v>83.333333333333343</v>
      </c>
      <c r="Y125" s="155">
        <f t="shared" si="47"/>
        <v>83.333333333333343</v>
      </c>
      <c r="Z125" s="155">
        <f t="shared" si="47"/>
        <v>83.333333333333343</v>
      </c>
      <c r="AA125" s="155">
        <f t="shared" si="47"/>
        <v>83.333333333333343</v>
      </c>
      <c r="AB125" s="155">
        <f t="shared" si="47"/>
        <v>83.333333333333343</v>
      </c>
      <c r="AC125" s="155">
        <f t="shared" si="47"/>
        <v>83.333333333333343</v>
      </c>
      <c r="AD125" s="155">
        <f t="shared" si="47"/>
        <v>83.333333333333343</v>
      </c>
      <c r="AE125" s="155">
        <f t="shared" si="47"/>
        <v>83.333333333333343</v>
      </c>
      <c r="AF125" s="155">
        <f t="shared" si="47"/>
        <v>83.333333333333343</v>
      </c>
      <c r="AG125" s="155">
        <f t="shared" si="47"/>
        <v>83.333333333333343</v>
      </c>
      <c r="AH125" s="155">
        <f t="shared" si="47"/>
        <v>83.333333333333343</v>
      </c>
      <c r="AI125" s="155">
        <f t="shared" si="47"/>
        <v>83.333333333333343</v>
      </c>
      <c r="AJ125" s="155">
        <f t="shared" si="47"/>
        <v>83.333333333333343</v>
      </c>
      <c r="AK125" s="155">
        <f t="shared" si="47"/>
        <v>83.333333333333343</v>
      </c>
      <c r="AL125" s="155">
        <f t="shared" si="47"/>
        <v>83.333333333333343</v>
      </c>
      <c r="AM125" s="155">
        <f t="shared" si="47"/>
        <v>83.333333333333343</v>
      </c>
      <c r="AN125" s="155">
        <f t="shared" si="47"/>
        <v>83.333333333333343</v>
      </c>
      <c r="AO125" s="155">
        <f t="shared" si="47"/>
        <v>83.333333333333343</v>
      </c>
      <c r="AP125" s="155">
        <f t="shared" si="47"/>
        <v>83.333333333333343</v>
      </c>
      <c r="AQ125" s="155">
        <f t="shared" si="47"/>
        <v>83.333333333333343</v>
      </c>
      <c r="AR125" s="155">
        <f t="shared" si="47"/>
        <v>83.333333333333343</v>
      </c>
      <c r="AS125" s="155">
        <f t="shared" si="47"/>
        <v>83.333333333333343</v>
      </c>
      <c r="AT125" s="155">
        <f t="shared" si="47"/>
        <v>83.333333333333343</v>
      </c>
      <c r="AU125" s="155">
        <f t="shared" si="47"/>
        <v>83.333333333333343</v>
      </c>
      <c r="AV125" s="155">
        <f t="shared" si="47"/>
        <v>83.333333333333343</v>
      </c>
      <c r="AW125" s="155">
        <f t="shared" si="47"/>
        <v>83.333333333333343</v>
      </c>
      <c r="AX125" s="155">
        <f t="shared" si="47"/>
        <v>83.333333333333343</v>
      </c>
      <c r="AY125" s="155">
        <f t="shared" si="47"/>
        <v>83.333333333333343</v>
      </c>
      <c r="AZ125" s="155">
        <f t="shared" si="47"/>
        <v>83.333333333333343</v>
      </c>
      <c r="BA125" s="155">
        <f t="shared" si="47"/>
        <v>83.333333333333343</v>
      </c>
      <c r="BB125" s="155">
        <f t="shared" si="47"/>
        <v>83.333333333333343</v>
      </c>
      <c r="BC125" s="155">
        <f t="shared" si="47"/>
        <v>83.333333333333343</v>
      </c>
      <c r="BD125" s="155">
        <f t="shared" si="47"/>
        <v>83.333333333333343</v>
      </c>
      <c r="BE125" s="155">
        <f t="shared" si="47"/>
        <v>83.333333333333343</v>
      </c>
      <c r="BF125" s="155">
        <f t="shared" si="47"/>
        <v>83.333333333333343</v>
      </c>
      <c r="BG125" s="155">
        <f t="shared" si="47"/>
        <v>83.333333333333343</v>
      </c>
      <c r="BH125" s="155">
        <f t="shared" si="47"/>
        <v>83.333333333333343</v>
      </c>
      <c r="BI125" s="155">
        <f t="shared" si="47"/>
        <v>83.333333333333343</v>
      </c>
      <c r="BJ125" s="155">
        <f t="shared" si="47"/>
        <v>83.333333333333343</v>
      </c>
      <c r="BK125" s="155">
        <f t="shared" si="47"/>
        <v>83.333333333333343</v>
      </c>
      <c r="BL125" s="155">
        <f t="shared" si="47"/>
        <v>83.333333333333343</v>
      </c>
      <c r="BM125" s="155">
        <f t="shared" si="47"/>
        <v>83.333333333333343</v>
      </c>
      <c r="BN125" s="155">
        <f t="shared" si="47"/>
        <v>83.333333333333343</v>
      </c>
      <c r="BO125" s="155">
        <f t="shared" si="47"/>
        <v>83.333333333333343</v>
      </c>
      <c r="BQ125" s="155">
        <f>SUM(H125:S125)</f>
        <v>320</v>
      </c>
      <c r="BR125" s="155">
        <f>SUM(T125:AE125)</f>
        <v>1000.0000000000003</v>
      </c>
      <c r="BS125" s="155">
        <f>SUM(AF125:AQ125)</f>
        <v>1000.0000000000003</v>
      </c>
      <c r="BT125" s="155">
        <f>SUM(AR125:BC125)</f>
        <v>1000.0000000000003</v>
      </c>
      <c r="BU125" s="155">
        <f>SUM(BD125:BO125)</f>
        <v>1000.0000000000003</v>
      </c>
    </row>
    <row r="126" spans="2:79" outlineLevel="1">
      <c r="D126" s="139" t="s">
        <v>483</v>
      </c>
      <c r="H126" s="139">
        <f>IS_Others!L95</f>
        <v>0</v>
      </c>
      <c r="I126" s="139">
        <f>IS_Others!M95</f>
        <v>0</v>
      </c>
      <c r="J126" s="139">
        <f>IS_Others!N95</f>
        <v>0</v>
      </c>
      <c r="K126" s="139">
        <f>IS_Others!O95</f>
        <v>0</v>
      </c>
      <c r="L126" s="139">
        <f>IS_Others!P95</f>
        <v>0</v>
      </c>
      <c r="M126" s="139">
        <f>IS_Others!Q95</f>
        <v>0</v>
      </c>
      <c r="N126" s="139">
        <f>IS_Others!R95</f>
        <v>0</v>
      </c>
      <c r="O126" s="139">
        <f>IS_Others!S95</f>
        <v>0</v>
      </c>
      <c r="P126" s="139">
        <f>IS_Others!T95</f>
        <v>0</v>
      </c>
      <c r="Q126" s="139">
        <f>IS_Others!U95</f>
        <v>0</v>
      </c>
      <c r="R126" s="139">
        <f>IS_Others!V95</f>
        <v>0</v>
      </c>
      <c r="S126" s="139">
        <f>IS_Others!W95</f>
        <v>0</v>
      </c>
      <c r="T126" s="139">
        <f>IS_Others!X95</f>
        <v>0</v>
      </c>
      <c r="U126" s="139">
        <f>IS_Others!Y95</f>
        <v>0</v>
      </c>
      <c r="V126" s="139">
        <f>IS_Others!Z95</f>
        <v>0</v>
      </c>
      <c r="W126" s="139">
        <f>IS_Others!AA95</f>
        <v>0</v>
      </c>
      <c r="X126" s="139">
        <f>IS_Others!AB95</f>
        <v>0</v>
      </c>
      <c r="Y126" s="139">
        <f>IS_Others!AC95</f>
        <v>0</v>
      </c>
      <c r="Z126" s="139">
        <f>IS_Others!AD95</f>
        <v>0</v>
      </c>
      <c r="AA126" s="139">
        <f>IS_Others!AE95</f>
        <v>0</v>
      </c>
      <c r="AB126" s="139">
        <f>IS_Others!AF95</f>
        <v>0</v>
      </c>
      <c r="AC126" s="139">
        <f>IS_Others!AG95</f>
        <v>0</v>
      </c>
      <c r="AD126" s="139">
        <f>IS_Others!AH95</f>
        <v>0</v>
      </c>
      <c r="AE126" s="139">
        <f>IS_Others!AI95</f>
        <v>0</v>
      </c>
      <c r="AF126" s="139">
        <f>IS_Others!AJ95</f>
        <v>0</v>
      </c>
      <c r="AG126" s="139">
        <f>IS_Others!AK95</f>
        <v>0</v>
      </c>
      <c r="AH126" s="139">
        <f>IS_Others!AL95</f>
        <v>0</v>
      </c>
      <c r="AI126" s="139">
        <f>IS_Others!AM95</f>
        <v>0</v>
      </c>
      <c r="AJ126" s="139">
        <f>IS_Others!AN95</f>
        <v>0</v>
      </c>
      <c r="AK126" s="139">
        <f>IS_Others!AO95</f>
        <v>0</v>
      </c>
      <c r="AL126" s="139">
        <f>IS_Others!AP95</f>
        <v>0</v>
      </c>
      <c r="AM126" s="139">
        <f>IS_Others!AQ95</f>
        <v>0</v>
      </c>
      <c r="AN126" s="139">
        <f>IS_Others!AR95</f>
        <v>0</v>
      </c>
      <c r="AO126" s="139">
        <f>IS_Others!AS95</f>
        <v>0</v>
      </c>
      <c r="AP126" s="139">
        <f>IS_Others!AT95</f>
        <v>0</v>
      </c>
      <c r="AQ126" s="139">
        <f>IS_Others!AU95</f>
        <v>0</v>
      </c>
      <c r="AR126" s="139">
        <f>IS_Others!AV95</f>
        <v>0</v>
      </c>
      <c r="AS126" s="139">
        <f>IS_Others!AW95</f>
        <v>0</v>
      </c>
      <c r="AT126" s="139">
        <f>IS_Others!AX95</f>
        <v>0</v>
      </c>
      <c r="AU126" s="139">
        <f>IS_Others!AY95</f>
        <v>0</v>
      </c>
      <c r="AV126" s="139">
        <f>IS_Others!AZ95</f>
        <v>0</v>
      </c>
      <c r="AW126" s="139">
        <f>IS_Others!BA95</f>
        <v>0</v>
      </c>
      <c r="AX126" s="139">
        <f>IS_Others!BB95</f>
        <v>0</v>
      </c>
      <c r="AY126" s="139">
        <f>IS_Others!BC95</f>
        <v>0</v>
      </c>
      <c r="AZ126" s="139">
        <f>IS_Others!BD95</f>
        <v>0</v>
      </c>
      <c r="BA126" s="139">
        <f>IS_Others!BE95</f>
        <v>0</v>
      </c>
      <c r="BB126" s="139">
        <f>IS_Others!BF95</f>
        <v>0</v>
      </c>
      <c r="BC126" s="139">
        <f>IS_Others!BG95</f>
        <v>0</v>
      </c>
      <c r="BD126" s="139">
        <f>IS_Others!BH95</f>
        <v>0</v>
      </c>
      <c r="BE126" s="139">
        <f>IS_Others!BI95</f>
        <v>0</v>
      </c>
      <c r="BF126" s="139">
        <f>IS_Others!BJ95</f>
        <v>0</v>
      </c>
      <c r="BG126" s="139">
        <f>IS_Others!BK95</f>
        <v>0</v>
      </c>
      <c r="BH126" s="139">
        <f>IS_Others!BL95</f>
        <v>0</v>
      </c>
      <c r="BI126" s="139">
        <f>IS_Others!BM95</f>
        <v>0</v>
      </c>
      <c r="BJ126" s="139">
        <f>IS_Others!BN95</f>
        <v>0</v>
      </c>
      <c r="BK126" s="139">
        <f>IS_Others!BO95</f>
        <v>0</v>
      </c>
      <c r="BL126" s="139">
        <f>IS_Others!BP95</f>
        <v>0</v>
      </c>
      <c r="BM126" s="139">
        <f>IS_Others!BQ95</f>
        <v>0</v>
      </c>
      <c r="BN126" s="139">
        <f>IS_Others!BR95</f>
        <v>0</v>
      </c>
      <c r="BO126" s="139">
        <f>IS_Others!BS95</f>
        <v>0</v>
      </c>
    </row>
    <row r="127" spans="2:79" outlineLevel="1">
      <c r="D127" s="139" t="s">
        <v>484</v>
      </c>
      <c r="H127" s="139">
        <f>IS_Others!L99</f>
        <v>0</v>
      </c>
      <c r="I127" s="139">
        <f>IS_Others!M99</f>
        <v>0</v>
      </c>
      <c r="J127" s="139">
        <f>IS_Others!N99</f>
        <v>0</v>
      </c>
      <c r="K127" s="139">
        <f>IS_Others!O99</f>
        <v>0</v>
      </c>
      <c r="L127" s="139">
        <f>IS_Others!P99</f>
        <v>0</v>
      </c>
      <c r="M127" s="139">
        <f>IS_Others!Q99</f>
        <v>0</v>
      </c>
      <c r="N127" s="139">
        <f>IS_Others!R99</f>
        <v>0</v>
      </c>
      <c r="O127" s="139">
        <f>IS_Others!S99</f>
        <v>0</v>
      </c>
      <c r="P127" s="139">
        <f>IS_Others!T99</f>
        <v>0</v>
      </c>
      <c r="Q127" s="139">
        <f>IS_Others!U99</f>
        <v>0</v>
      </c>
      <c r="R127" s="139">
        <f>IS_Others!V99</f>
        <v>0</v>
      </c>
      <c r="S127" s="139">
        <f>IS_Others!W99</f>
        <v>0</v>
      </c>
      <c r="T127" s="139">
        <f>IS_Others!X99</f>
        <v>0</v>
      </c>
      <c r="U127" s="139">
        <f>IS_Others!Y99</f>
        <v>0</v>
      </c>
      <c r="V127" s="139">
        <f>IS_Others!Z99</f>
        <v>0</v>
      </c>
      <c r="W127" s="139">
        <f>IS_Others!AA99</f>
        <v>0</v>
      </c>
      <c r="X127" s="139">
        <f>IS_Others!AB99</f>
        <v>0</v>
      </c>
      <c r="Y127" s="139">
        <f>IS_Others!AC99</f>
        <v>0</v>
      </c>
      <c r="Z127" s="139">
        <f>IS_Others!AD99</f>
        <v>0</v>
      </c>
      <c r="AA127" s="139">
        <f>IS_Others!AE99</f>
        <v>0</v>
      </c>
      <c r="AB127" s="139">
        <f>IS_Others!AF99</f>
        <v>0</v>
      </c>
      <c r="AC127" s="139">
        <f>IS_Others!AG99</f>
        <v>0</v>
      </c>
      <c r="AD127" s="139">
        <f>IS_Others!AH99</f>
        <v>0</v>
      </c>
      <c r="AE127" s="139">
        <f>IS_Others!AI99</f>
        <v>0</v>
      </c>
      <c r="AF127" s="139">
        <f>IS_Others!AJ99</f>
        <v>0</v>
      </c>
      <c r="AG127" s="139">
        <f>IS_Others!AK99</f>
        <v>0</v>
      </c>
      <c r="AH127" s="139">
        <f>IS_Others!AL99</f>
        <v>0</v>
      </c>
      <c r="AI127" s="139">
        <f>IS_Others!AM99</f>
        <v>0</v>
      </c>
      <c r="AJ127" s="139">
        <f>IS_Others!AN99</f>
        <v>0</v>
      </c>
      <c r="AK127" s="139">
        <f>IS_Others!AO99</f>
        <v>0</v>
      </c>
      <c r="AL127" s="139">
        <f>IS_Others!AP99</f>
        <v>0</v>
      </c>
      <c r="AM127" s="139">
        <f>IS_Others!AQ99</f>
        <v>0</v>
      </c>
      <c r="AN127" s="139">
        <f>IS_Others!AR99</f>
        <v>0</v>
      </c>
      <c r="AO127" s="139">
        <f>IS_Others!AS99</f>
        <v>0</v>
      </c>
      <c r="AP127" s="139">
        <f>IS_Others!AT99</f>
        <v>0</v>
      </c>
      <c r="AQ127" s="139">
        <f>IS_Others!AU99</f>
        <v>0</v>
      </c>
      <c r="AR127" s="139">
        <f>IS_Others!AV99</f>
        <v>0</v>
      </c>
      <c r="AS127" s="139">
        <f>IS_Others!AW99</f>
        <v>0</v>
      </c>
      <c r="AT127" s="139">
        <f>IS_Others!AX99</f>
        <v>0</v>
      </c>
      <c r="AU127" s="139">
        <f>IS_Others!AY99</f>
        <v>0</v>
      </c>
      <c r="AV127" s="139">
        <f>IS_Others!AZ99</f>
        <v>0</v>
      </c>
      <c r="AW127" s="139">
        <f>IS_Others!BA99</f>
        <v>0</v>
      </c>
      <c r="AX127" s="139">
        <f>IS_Others!BB99</f>
        <v>0</v>
      </c>
      <c r="AY127" s="139">
        <f>IS_Others!BC99</f>
        <v>0</v>
      </c>
      <c r="AZ127" s="139">
        <f>IS_Others!BD99</f>
        <v>0</v>
      </c>
      <c r="BA127" s="139">
        <f>IS_Others!BE99</f>
        <v>0</v>
      </c>
      <c r="BB127" s="139">
        <f>IS_Others!BF99</f>
        <v>0</v>
      </c>
      <c r="BC127" s="139">
        <f>IS_Others!BG99</f>
        <v>0</v>
      </c>
      <c r="BD127" s="139">
        <f>IS_Others!BH99</f>
        <v>0</v>
      </c>
      <c r="BE127" s="139">
        <f>IS_Others!BI99</f>
        <v>0</v>
      </c>
      <c r="BF127" s="139">
        <f>IS_Others!BJ99</f>
        <v>0</v>
      </c>
      <c r="BG127" s="139">
        <f>IS_Others!BK99</f>
        <v>0</v>
      </c>
      <c r="BH127" s="139">
        <f>IS_Others!BL99</f>
        <v>0</v>
      </c>
      <c r="BI127" s="139">
        <f>IS_Others!BM99</f>
        <v>0</v>
      </c>
      <c r="BJ127" s="139">
        <f>IS_Others!BN99</f>
        <v>0</v>
      </c>
      <c r="BK127" s="139">
        <f>IS_Others!BO99</f>
        <v>0</v>
      </c>
      <c r="BL127" s="139">
        <f>IS_Others!BP99</f>
        <v>0</v>
      </c>
      <c r="BM127" s="139">
        <f>IS_Others!BQ99</f>
        <v>0</v>
      </c>
      <c r="BN127" s="139">
        <f>IS_Others!BR99</f>
        <v>0</v>
      </c>
      <c r="BO127" s="139">
        <f>IS_Others!BS99</f>
        <v>0</v>
      </c>
    </row>
    <row r="128" spans="2:79" outlineLevel="1">
      <c r="D128" s="139" t="s">
        <v>485</v>
      </c>
      <c r="H128" s="139">
        <f>IS_Others!L113</f>
        <v>0</v>
      </c>
      <c r="I128" s="139">
        <f>IS_Others!M113</f>
        <v>0</v>
      </c>
      <c r="J128" s="139">
        <f>IS_Others!N113</f>
        <v>0</v>
      </c>
      <c r="K128" s="139">
        <f>IS_Others!O113</f>
        <v>0</v>
      </c>
      <c r="L128" s="139">
        <f>IS_Others!P113</f>
        <v>0</v>
      </c>
      <c r="M128" s="139">
        <f>IS_Others!Q113</f>
        <v>0</v>
      </c>
      <c r="N128" s="139">
        <f>IS_Others!R113</f>
        <v>0</v>
      </c>
      <c r="O128" s="139">
        <f>IS_Others!S113</f>
        <v>0</v>
      </c>
      <c r="P128" s="139">
        <f>IS_Others!T113</f>
        <v>0</v>
      </c>
      <c r="Q128" s="139">
        <f>IS_Others!U113</f>
        <v>0</v>
      </c>
      <c r="R128" s="139">
        <f>IS_Others!V113</f>
        <v>0</v>
      </c>
      <c r="S128" s="139">
        <f>IS_Others!W113</f>
        <v>0</v>
      </c>
      <c r="T128" s="139">
        <f>IS_Others!X113</f>
        <v>0</v>
      </c>
      <c r="U128" s="139">
        <f>IS_Others!Y113</f>
        <v>0</v>
      </c>
      <c r="V128" s="139">
        <f>IS_Others!Z113</f>
        <v>0</v>
      </c>
      <c r="W128" s="139">
        <f>IS_Others!AA113</f>
        <v>0</v>
      </c>
      <c r="X128" s="139">
        <f>IS_Others!AB113</f>
        <v>0</v>
      </c>
      <c r="Y128" s="139">
        <f>IS_Others!AC113</f>
        <v>0</v>
      </c>
      <c r="Z128" s="139">
        <f>IS_Others!AD113</f>
        <v>0</v>
      </c>
      <c r="AA128" s="139">
        <f>IS_Others!AE113</f>
        <v>0</v>
      </c>
      <c r="AB128" s="139">
        <f>IS_Others!AF113</f>
        <v>0</v>
      </c>
      <c r="AC128" s="139">
        <f>IS_Others!AG113</f>
        <v>0</v>
      </c>
      <c r="AD128" s="139">
        <f>IS_Others!AH113</f>
        <v>0</v>
      </c>
      <c r="AE128" s="139">
        <f>IS_Others!AI113</f>
        <v>0</v>
      </c>
      <c r="AF128" s="139">
        <f>IS_Others!AJ113</f>
        <v>0</v>
      </c>
      <c r="AG128" s="139">
        <f>IS_Others!AK113</f>
        <v>0</v>
      </c>
      <c r="AH128" s="139">
        <f>IS_Others!AL113</f>
        <v>0</v>
      </c>
      <c r="AI128" s="139">
        <f>IS_Others!AM113</f>
        <v>0</v>
      </c>
      <c r="AJ128" s="139">
        <f>IS_Others!AN113</f>
        <v>0</v>
      </c>
      <c r="AK128" s="139">
        <f>IS_Others!AO113</f>
        <v>0</v>
      </c>
      <c r="AL128" s="139">
        <f>IS_Others!AP113</f>
        <v>0</v>
      </c>
      <c r="AM128" s="139">
        <f>IS_Others!AQ113</f>
        <v>0</v>
      </c>
      <c r="AN128" s="139">
        <f>IS_Others!AR113</f>
        <v>0</v>
      </c>
      <c r="AO128" s="139">
        <f>IS_Others!AS113</f>
        <v>0</v>
      </c>
      <c r="AP128" s="139">
        <f>IS_Others!AT113</f>
        <v>0</v>
      </c>
      <c r="AQ128" s="139">
        <f>IS_Others!AU113</f>
        <v>0</v>
      </c>
      <c r="AR128" s="139">
        <f>IS_Others!AV113</f>
        <v>0</v>
      </c>
      <c r="AS128" s="139">
        <f>IS_Others!AW113</f>
        <v>0</v>
      </c>
      <c r="AT128" s="139">
        <f>IS_Others!AX113</f>
        <v>0</v>
      </c>
      <c r="AU128" s="139">
        <f>IS_Others!AY113</f>
        <v>0</v>
      </c>
      <c r="AV128" s="139">
        <f>IS_Others!AZ113</f>
        <v>0</v>
      </c>
      <c r="AW128" s="139">
        <f>IS_Others!BA113</f>
        <v>0</v>
      </c>
      <c r="AX128" s="139">
        <f>IS_Others!BB113</f>
        <v>0</v>
      </c>
      <c r="AY128" s="139">
        <f>IS_Others!BC113</f>
        <v>0</v>
      </c>
      <c r="AZ128" s="139">
        <f>IS_Others!BD113</f>
        <v>0</v>
      </c>
      <c r="BA128" s="139">
        <f>IS_Others!BE113</f>
        <v>0</v>
      </c>
      <c r="BB128" s="139">
        <f>IS_Others!BF113</f>
        <v>0</v>
      </c>
      <c r="BC128" s="139">
        <f>IS_Others!BG113</f>
        <v>0</v>
      </c>
      <c r="BD128" s="139">
        <f>IS_Others!BH113</f>
        <v>0</v>
      </c>
      <c r="BE128" s="139">
        <f>IS_Others!BI113</f>
        <v>0</v>
      </c>
      <c r="BF128" s="139">
        <f>IS_Others!BJ113</f>
        <v>0</v>
      </c>
      <c r="BG128" s="139">
        <f>IS_Others!BK113</f>
        <v>0</v>
      </c>
      <c r="BH128" s="139">
        <f>IS_Others!BL113</f>
        <v>0</v>
      </c>
      <c r="BI128" s="139">
        <f>IS_Others!BM113</f>
        <v>0</v>
      </c>
      <c r="BJ128" s="139">
        <f>IS_Others!BN113</f>
        <v>0</v>
      </c>
      <c r="BK128" s="139">
        <f>IS_Others!BO113</f>
        <v>0</v>
      </c>
      <c r="BL128" s="139">
        <f>IS_Others!BP113</f>
        <v>0</v>
      </c>
      <c r="BM128" s="139">
        <f>IS_Others!BQ113</f>
        <v>0</v>
      </c>
      <c r="BN128" s="139">
        <f>IS_Others!BR113</f>
        <v>0</v>
      </c>
      <c r="BO128" s="139">
        <f>IS_Others!BS113</f>
        <v>0</v>
      </c>
    </row>
    <row r="129" spans="4:67" outlineLevel="1">
      <c r="D129" s="139" t="s">
        <v>486</v>
      </c>
      <c r="H129" s="139">
        <f>IS_Others!L119</f>
        <v>0</v>
      </c>
      <c r="I129" s="139">
        <f>IS_Others!M119</f>
        <v>0</v>
      </c>
      <c r="J129" s="139">
        <f>IS_Others!N119</f>
        <v>0</v>
      </c>
      <c r="K129" s="139">
        <f>IS_Others!O119</f>
        <v>0</v>
      </c>
      <c r="L129" s="139">
        <f>IS_Others!P119</f>
        <v>0</v>
      </c>
      <c r="M129" s="139">
        <f>IS_Others!Q119</f>
        <v>0</v>
      </c>
      <c r="N129" s="139">
        <f>IS_Others!R119</f>
        <v>0</v>
      </c>
      <c r="O129" s="139">
        <f>IS_Others!S119</f>
        <v>0</v>
      </c>
      <c r="P129" s="139">
        <f>IS_Others!T119</f>
        <v>0</v>
      </c>
      <c r="Q129" s="139">
        <f>IS_Others!U119</f>
        <v>0</v>
      </c>
      <c r="R129" s="139">
        <f>IS_Others!V119</f>
        <v>0</v>
      </c>
      <c r="S129" s="139">
        <f>IS_Others!W119</f>
        <v>0</v>
      </c>
      <c r="T129" s="139">
        <f>IS_Others!X119</f>
        <v>0</v>
      </c>
      <c r="U129" s="139">
        <f>IS_Others!Y119</f>
        <v>0</v>
      </c>
      <c r="V129" s="139">
        <f>IS_Others!Z119</f>
        <v>0</v>
      </c>
      <c r="W129" s="139">
        <f>IS_Others!AA119</f>
        <v>0</v>
      </c>
      <c r="X129" s="139">
        <f>IS_Others!AB119</f>
        <v>0</v>
      </c>
      <c r="Y129" s="139">
        <f>IS_Others!AC119</f>
        <v>0</v>
      </c>
      <c r="Z129" s="139">
        <f>IS_Others!AD119</f>
        <v>0</v>
      </c>
      <c r="AA129" s="139">
        <f>IS_Others!AE119</f>
        <v>0</v>
      </c>
      <c r="AB129" s="139">
        <f>IS_Others!AF119</f>
        <v>0</v>
      </c>
      <c r="AC129" s="139">
        <f>IS_Others!AG119</f>
        <v>0</v>
      </c>
      <c r="AD129" s="139">
        <f>IS_Others!AH119</f>
        <v>0</v>
      </c>
      <c r="AE129" s="139">
        <f>IS_Others!AI119</f>
        <v>0</v>
      </c>
      <c r="AF129" s="139">
        <f>IS_Others!AJ119</f>
        <v>0</v>
      </c>
      <c r="AG129" s="139">
        <f>IS_Others!AK119</f>
        <v>0</v>
      </c>
      <c r="AH129" s="139">
        <f>IS_Others!AL119</f>
        <v>0</v>
      </c>
      <c r="AI129" s="139">
        <f>IS_Others!AM119</f>
        <v>0</v>
      </c>
      <c r="AJ129" s="139">
        <f>IS_Others!AN119</f>
        <v>0</v>
      </c>
      <c r="AK129" s="139">
        <f>IS_Others!AO119</f>
        <v>0</v>
      </c>
      <c r="AL129" s="139">
        <f>IS_Others!AP119</f>
        <v>0</v>
      </c>
      <c r="AM129" s="139">
        <f>IS_Others!AQ119</f>
        <v>0</v>
      </c>
      <c r="AN129" s="139">
        <f>IS_Others!AR119</f>
        <v>0</v>
      </c>
      <c r="AO129" s="139">
        <f>IS_Others!AS119</f>
        <v>0</v>
      </c>
      <c r="AP129" s="139">
        <f>IS_Others!AT119</f>
        <v>0</v>
      </c>
      <c r="AQ129" s="139">
        <f>IS_Others!AU119</f>
        <v>0</v>
      </c>
      <c r="AR129" s="139">
        <f>IS_Others!AV119</f>
        <v>0</v>
      </c>
      <c r="AS129" s="139">
        <f>IS_Others!AW119</f>
        <v>0</v>
      </c>
      <c r="AT129" s="139">
        <f>IS_Others!AX119</f>
        <v>0</v>
      </c>
      <c r="AU129" s="139">
        <f>IS_Others!AY119</f>
        <v>0</v>
      </c>
      <c r="AV129" s="139">
        <f>IS_Others!AZ119</f>
        <v>0</v>
      </c>
      <c r="AW129" s="139">
        <f>IS_Others!BA119</f>
        <v>0</v>
      </c>
      <c r="AX129" s="139">
        <f>IS_Others!BB119</f>
        <v>0</v>
      </c>
      <c r="AY129" s="139">
        <f>IS_Others!BC119</f>
        <v>0</v>
      </c>
      <c r="AZ129" s="139">
        <f>IS_Others!BD119</f>
        <v>0</v>
      </c>
      <c r="BA129" s="139">
        <f>IS_Others!BE119</f>
        <v>0</v>
      </c>
      <c r="BB129" s="139">
        <f>IS_Others!BF119</f>
        <v>0</v>
      </c>
      <c r="BC129" s="139">
        <f>IS_Others!BG119</f>
        <v>0</v>
      </c>
      <c r="BD129" s="139">
        <f>IS_Others!BH119</f>
        <v>0</v>
      </c>
      <c r="BE129" s="139">
        <f>IS_Others!BI119</f>
        <v>0</v>
      </c>
      <c r="BF129" s="139">
        <f>IS_Others!BJ119</f>
        <v>0</v>
      </c>
      <c r="BG129" s="139">
        <f>IS_Others!BK119</f>
        <v>0</v>
      </c>
      <c r="BH129" s="139">
        <f>IS_Others!BL119</f>
        <v>0</v>
      </c>
      <c r="BI129" s="139">
        <f>IS_Others!BM119</f>
        <v>0</v>
      </c>
      <c r="BJ129" s="139">
        <f>IS_Others!BN119</f>
        <v>0</v>
      </c>
      <c r="BK129" s="139">
        <f>IS_Others!BO119</f>
        <v>0</v>
      </c>
      <c r="BL129" s="139">
        <f>IS_Others!BP119</f>
        <v>0</v>
      </c>
      <c r="BM129" s="139">
        <f>IS_Others!BQ119</f>
        <v>0</v>
      </c>
      <c r="BN129" s="139">
        <f>IS_Others!BR119</f>
        <v>0</v>
      </c>
      <c r="BO129" s="139">
        <f>IS_Others!BS119</f>
        <v>0</v>
      </c>
    </row>
    <row r="130" spans="4:67" outlineLevel="1">
      <c r="D130" s="139" t="s">
        <v>487</v>
      </c>
      <c r="H130" s="139">
        <f>IS_Others!L128</f>
        <v>320</v>
      </c>
      <c r="I130" s="139">
        <f>IS_Others!M128</f>
        <v>0</v>
      </c>
      <c r="J130" s="139">
        <f>IS_Others!N128</f>
        <v>0</v>
      </c>
      <c r="K130" s="139">
        <f>IS_Others!O128</f>
        <v>0</v>
      </c>
      <c r="L130" s="139">
        <f>IS_Others!P128</f>
        <v>0</v>
      </c>
      <c r="M130" s="139">
        <f>IS_Others!Q128</f>
        <v>0</v>
      </c>
      <c r="N130" s="139">
        <f>IS_Others!R128</f>
        <v>0</v>
      </c>
      <c r="O130" s="139">
        <f>IS_Others!S128</f>
        <v>0</v>
      </c>
      <c r="P130" s="139">
        <f>IS_Others!T128</f>
        <v>0</v>
      </c>
      <c r="Q130" s="139">
        <f>IS_Others!U128</f>
        <v>0</v>
      </c>
      <c r="R130" s="139">
        <f>IS_Others!V128</f>
        <v>0</v>
      </c>
      <c r="S130" s="139">
        <f>IS_Others!W128</f>
        <v>0</v>
      </c>
      <c r="T130" s="139">
        <f>IS_Others!X128</f>
        <v>0</v>
      </c>
      <c r="U130" s="139">
        <f>IS_Others!Y128</f>
        <v>0</v>
      </c>
      <c r="V130" s="139">
        <f>IS_Others!Z128</f>
        <v>0</v>
      </c>
      <c r="W130" s="139">
        <f>IS_Others!AA128</f>
        <v>0</v>
      </c>
      <c r="X130" s="139">
        <f>IS_Others!AB128</f>
        <v>0</v>
      </c>
      <c r="Y130" s="139">
        <f>IS_Others!AC128</f>
        <v>0</v>
      </c>
      <c r="Z130" s="139">
        <f>IS_Others!AD128</f>
        <v>0</v>
      </c>
      <c r="AA130" s="139">
        <f>IS_Others!AE128</f>
        <v>0</v>
      </c>
      <c r="AB130" s="139">
        <f>IS_Others!AF128</f>
        <v>0</v>
      </c>
      <c r="AC130" s="139">
        <f>IS_Others!AG128</f>
        <v>0</v>
      </c>
      <c r="AD130" s="139">
        <f>IS_Others!AH128</f>
        <v>0</v>
      </c>
      <c r="AE130" s="139">
        <f>IS_Others!AI128</f>
        <v>0</v>
      </c>
      <c r="AF130" s="139">
        <f>IS_Others!AJ128</f>
        <v>0</v>
      </c>
      <c r="AG130" s="139">
        <f>IS_Others!AK128</f>
        <v>0</v>
      </c>
      <c r="AH130" s="139">
        <f>IS_Others!AL128</f>
        <v>0</v>
      </c>
      <c r="AI130" s="139">
        <f>IS_Others!AM128</f>
        <v>0</v>
      </c>
      <c r="AJ130" s="139">
        <f>IS_Others!AN128</f>
        <v>0</v>
      </c>
      <c r="AK130" s="139">
        <f>IS_Others!AO128</f>
        <v>0</v>
      </c>
      <c r="AL130" s="139">
        <f>IS_Others!AP128</f>
        <v>0</v>
      </c>
      <c r="AM130" s="139">
        <f>IS_Others!AQ128</f>
        <v>0</v>
      </c>
      <c r="AN130" s="139">
        <f>IS_Others!AR128</f>
        <v>0</v>
      </c>
      <c r="AO130" s="139">
        <f>IS_Others!AS128</f>
        <v>0</v>
      </c>
      <c r="AP130" s="139">
        <f>IS_Others!AT128</f>
        <v>0</v>
      </c>
      <c r="AQ130" s="139">
        <f>IS_Others!AU128</f>
        <v>0</v>
      </c>
      <c r="AR130" s="139">
        <f>IS_Others!AV128</f>
        <v>0</v>
      </c>
      <c r="AS130" s="139">
        <f>IS_Others!AW128</f>
        <v>0</v>
      </c>
      <c r="AT130" s="139">
        <f>IS_Others!AX128</f>
        <v>0</v>
      </c>
      <c r="AU130" s="139">
        <f>IS_Others!AY128</f>
        <v>0</v>
      </c>
      <c r="AV130" s="139">
        <f>IS_Others!AZ128</f>
        <v>0</v>
      </c>
      <c r="AW130" s="139">
        <f>IS_Others!BA128</f>
        <v>0</v>
      </c>
      <c r="AX130" s="139">
        <f>IS_Others!BB128</f>
        <v>0</v>
      </c>
      <c r="AY130" s="139">
        <f>IS_Others!BC128</f>
        <v>0</v>
      </c>
      <c r="AZ130" s="139">
        <f>IS_Others!BD128</f>
        <v>0</v>
      </c>
      <c r="BA130" s="139">
        <f>IS_Others!BE128</f>
        <v>0</v>
      </c>
      <c r="BB130" s="139">
        <f>IS_Others!BF128</f>
        <v>0</v>
      </c>
      <c r="BC130" s="139">
        <f>IS_Others!BG128</f>
        <v>0</v>
      </c>
      <c r="BD130" s="139">
        <f>IS_Others!BH128</f>
        <v>0</v>
      </c>
      <c r="BE130" s="139">
        <f>IS_Others!BI128</f>
        <v>0</v>
      </c>
      <c r="BF130" s="139">
        <f>IS_Others!BJ128</f>
        <v>0</v>
      </c>
      <c r="BG130" s="139">
        <f>IS_Others!BK128</f>
        <v>0</v>
      </c>
      <c r="BH130" s="139">
        <f>IS_Others!BL128</f>
        <v>0</v>
      </c>
      <c r="BI130" s="139">
        <f>IS_Others!BM128</f>
        <v>0</v>
      </c>
      <c r="BJ130" s="139">
        <f>IS_Others!BN128</f>
        <v>0</v>
      </c>
      <c r="BK130" s="139">
        <f>IS_Others!BO128</f>
        <v>0</v>
      </c>
      <c r="BL130" s="139">
        <f>IS_Others!BP128</f>
        <v>0</v>
      </c>
      <c r="BM130" s="139">
        <f>IS_Others!BQ128</f>
        <v>0</v>
      </c>
      <c r="BN130" s="139">
        <f>IS_Others!BR128</f>
        <v>0</v>
      </c>
      <c r="BO130" s="139">
        <f>IS_Others!BS128</f>
        <v>0</v>
      </c>
    </row>
    <row r="131" spans="4:67" outlineLevel="1">
      <c r="D131" s="139" t="s">
        <v>488</v>
      </c>
      <c r="H131" s="139">
        <f>IS_Others!L137</f>
        <v>0</v>
      </c>
      <c r="I131" s="139">
        <f>IS_Others!M137</f>
        <v>0</v>
      </c>
      <c r="J131" s="139">
        <f>IS_Others!N137</f>
        <v>0</v>
      </c>
      <c r="K131" s="139">
        <f>IS_Others!O137</f>
        <v>0</v>
      </c>
      <c r="L131" s="139">
        <f>IS_Others!P137</f>
        <v>0</v>
      </c>
      <c r="M131" s="139">
        <f>IS_Others!Q137</f>
        <v>0</v>
      </c>
      <c r="N131" s="139">
        <f>IS_Others!R137</f>
        <v>0</v>
      </c>
      <c r="O131" s="139">
        <f>IS_Others!S137</f>
        <v>0</v>
      </c>
      <c r="P131" s="139">
        <f>IS_Others!T137</f>
        <v>0</v>
      </c>
      <c r="Q131" s="139">
        <f>IS_Others!U137</f>
        <v>0</v>
      </c>
      <c r="R131" s="139">
        <f>IS_Others!V137</f>
        <v>0</v>
      </c>
      <c r="S131" s="139">
        <f>IS_Others!W137</f>
        <v>0</v>
      </c>
      <c r="T131" s="139">
        <f>IS_Others!X137</f>
        <v>83.333333333333343</v>
      </c>
      <c r="U131" s="139">
        <f>IS_Others!Y137</f>
        <v>83.333333333333343</v>
      </c>
      <c r="V131" s="139">
        <f>IS_Others!Z137</f>
        <v>83.333333333333343</v>
      </c>
      <c r="W131" s="139">
        <f>IS_Others!AA137</f>
        <v>83.333333333333343</v>
      </c>
      <c r="X131" s="139">
        <f>IS_Others!AB137</f>
        <v>83.333333333333343</v>
      </c>
      <c r="Y131" s="139">
        <f>IS_Others!AC137</f>
        <v>83.333333333333343</v>
      </c>
      <c r="Z131" s="139">
        <f>IS_Others!AD137</f>
        <v>83.333333333333343</v>
      </c>
      <c r="AA131" s="139">
        <f>IS_Others!AE137</f>
        <v>83.333333333333343</v>
      </c>
      <c r="AB131" s="139">
        <f>IS_Others!AF137</f>
        <v>83.333333333333343</v>
      </c>
      <c r="AC131" s="139">
        <f>IS_Others!AG137</f>
        <v>83.333333333333343</v>
      </c>
      <c r="AD131" s="139">
        <f>IS_Others!AH137</f>
        <v>83.333333333333343</v>
      </c>
      <c r="AE131" s="139">
        <f>IS_Others!AI137</f>
        <v>83.333333333333343</v>
      </c>
      <c r="AF131" s="139">
        <f>IS_Others!AJ137</f>
        <v>83.333333333333343</v>
      </c>
      <c r="AG131" s="139">
        <f>IS_Others!AK137</f>
        <v>83.333333333333343</v>
      </c>
      <c r="AH131" s="139">
        <f>IS_Others!AL137</f>
        <v>83.333333333333343</v>
      </c>
      <c r="AI131" s="139">
        <f>IS_Others!AM137</f>
        <v>83.333333333333343</v>
      </c>
      <c r="AJ131" s="139">
        <f>IS_Others!AN137</f>
        <v>83.333333333333343</v>
      </c>
      <c r="AK131" s="139">
        <f>IS_Others!AO137</f>
        <v>83.333333333333343</v>
      </c>
      <c r="AL131" s="139">
        <f>IS_Others!AP137</f>
        <v>83.333333333333343</v>
      </c>
      <c r="AM131" s="139">
        <f>IS_Others!AQ137</f>
        <v>83.333333333333343</v>
      </c>
      <c r="AN131" s="139">
        <f>IS_Others!AR137</f>
        <v>83.333333333333343</v>
      </c>
      <c r="AO131" s="139">
        <f>IS_Others!AS137</f>
        <v>83.333333333333343</v>
      </c>
      <c r="AP131" s="139">
        <f>IS_Others!AT137</f>
        <v>83.333333333333343</v>
      </c>
      <c r="AQ131" s="139">
        <f>IS_Others!AU137</f>
        <v>83.333333333333343</v>
      </c>
      <c r="AR131" s="139">
        <f>IS_Others!AV137</f>
        <v>83.333333333333343</v>
      </c>
      <c r="AS131" s="139">
        <f>IS_Others!AW137</f>
        <v>83.333333333333343</v>
      </c>
      <c r="AT131" s="139">
        <f>IS_Others!AX137</f>
        <v>83.333333333333343</v>
      </c>
      <c r="AU131" s="139">
        <f>IS_Others!AY137</f>
        <v>83.333333333333343</v>
      </c>
      <c r="AV131" s="139">
        <f>IS_Others!AZ137</f>
        <v>83.333333333333343</v>
      </c>
      <c r="AW131" s="139">
        <f>IS_Others!BA137</f>
        <v>83.333333333333343</v>
      </c>
      <c r="AX131" s="139">
        <f>IS_Others!BB137</f>
        <v>83.333333333333343</v>
      </c>
      <c r="AY131" s="139">
        <f>IS_Others!BC137</f>
        <v>83.333333333333343</v>
      </c>
      <c r="AZ131" s="139">
        <f>IS_Others!BD137</f>
        <v>83.333333333333343</v>
      </c>
      <c r="BA131" s="139">
        <f>IS_Others!BE137</f>
        <v>83.333333333333343</v>
      </c>
      <c r="BB131" s="139">
        <f>IS_Others!BF137</f>
        <v>83.333333333333343</v>
      </c>
      <c r="BC131" s="139">
        <f>IS_Others!BG137</f>
        <v>83.333333333333343</v>
      </c>
      <c r="BD131" s="139">
        <f>IS_Others!BH137</f>
        <v>83.333333333333343</v>
      </c>
      <c r="BE131" s="139">
        <f>IS_Others!BI137</f>
        <v>83.333333333333343</v>
      </c>
      <c r="BF131" s="139">
        <f>IS_Others!BJ137</f>
        <v>83.333333333333343</v>
      </c>
      <c r="BG131" s="139">
        <f>IS_Others!BK137</f>
        <v>83.333333333333343</v>
      </c>
      <c r="BH131" s="139">
        <f>IS_Others!BL137</f>
        <v>83.333333333333343</v>
      </c>
      <c r="BI131" s="139">
        <f>IS_Others!BM137</f>
        <v>83.333333333333343</v>
      </c>
      <c r="BJ131" s="139">
        <f>IS_Others!BN137</f>
        <v>83.333333333333343</v>
      </c>
      <c r="BK131" s="139">
        <f>IS_Others!BO137</f>
        <v>83.333333333333343</v>
      </c>
      <c r="BL131" s="139">
        <f>IS_Others!BP137</f>
        <v>83.333333333333343</v>
      </c>
      <c r="BM131" s="139">
        <f>IS_Others!BQ137</f>
        <v>83.333333333333343</v>
      </c>
      <c r="BN131" s="139">
        <f>IS_Others!BR137</f>
        <v>83.333333333333343</v>
      </c>
      <c r="BO131" s="139">
        <f>IS_Others!BS137</f>
        <v>83.333333333333343</v>
      </c>
    </row>
  </sheetData>
  <phoneticPr fontId="24" type="noConversion"/>
  <pageMargins left="0.6" right="0.6" top="1" bottom="1" header="0.5" footer="0.5"/>
  <pageSetup scale="29" orientation="landscape" r:id="rId1"/>
  <headerFooter>
    <oddHeader>&amp;RDraft - Work in Progress</oddHeader>
    <oddFooter>&amp;L&amp;F
&amp;D, &amp;T&amp;CPage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2060"/>
    <pageSetUpPr fitToPage="1"/>
  </sheetPr>
  <dimension ref="B1:M61"/>
  <sheetViews>
    <sheetView tabSelected="1" workbookViewId="0">
      <selection activeCell="R17" sqref="R17"/>
    </sheetView>
  </sheetViews>
  <sheetFormatPr defaultColWidth="9.125" defaultRowHeight="13.2" outlineLevelRow="1"/>
  <cols>
    <col min="1" max="1" width="2" style="139" customWidth="1"/>
    <col min="2" max="3" width="2.25" style="139" customWidth="1"/>
    <col min="4" max="4" width="6.75" style="139" bestFit="1" customWidth="1"/>
    <col min="5" max="5" width="4.875" style="139" bestFit="1" customWidth="1"/>
    <col min="6" max="7" width="9.125" style="139"/>
    <col min="8" max="9" width="8.875" style="139" bestFit="1" customWidth="1"/>
    <col min="10" max="16384" width="9.125" style="139"/>
  </cols>
  <sheetData>
    <row r="1" spans="2:13" ht="17.399999999999999">
      <c r="B1" s="153" t="s">
        <v>338</v>
      </c>
    </row>
    <row r="3" spans="2:13" ht="13.8" thickBot="1">
      <c r="B3" s="364" t="s">
        <v>266</v>
      </c>
      <c r="C3" s="364"/>
      <c r="D3" s="304"/>
      <c r="E3" s="304"/>
      <c r="F3" s="304" t="s">
        <v>65</v>
      </c>
      <c r="G3" s="304"/>
      <c r="H3" s="304">
        <v>737</v>
      </c>
      <c r="I3" s="304">
        <v>767</v>
      </c>
      <c r="K3" s="323" t="s">
        <v>153</v>
      </c>
    </row>
    <row r="4" spans="2:13">
      <c r="B4" s="139" t="s">
        <v>64</v>
      </c>
      <c r="F4" s="139" t="s">
        <v>66</v>
      </c>
      <c r="H4" s="139">
        <v>79</v>
      </c>
      <c r="I4" s="139">
        <v>130</v>
      </c>
    </row>
    <row r="5" spans="2:13">
      <c r="F5" s="139" t="s">
        <v>67</v>
      </c>
      <c r="H5" s="139">
        <v>21000</v>
      </c>
      <c r="I5" s="139">
        <v>56653.7</v>
      </c>
    </row>
    <row r="6" spans="2:13" s="155" customFormat="1">
      <c r="B6" s="155" t="s">
        <v>267</v>
      </c>
    </row>
    <row r="7" spans="2:13" s="155" customFormat="1">
      <c r="C7" s="155" t="s">
        <v>268</v>
      </c>
      <c r="F7" s="155" t="s">
        <v>95</v>
      </c>
      <c r="H7" s="337">
        <f>H10</f>
        <v>3.3071428571428569</v>
      </c>
      <c r="I7" s="337">
        <f>I10</f>
        <v>6.8821428571428571</v>
      </c>
    </row>
    <row r="8" spans="2:13" s="155" customFormat="1">
      <c r="C8" s="155" t="s">
        <v>269</v>
      </c>
      <c r="F8" s="155" t="s">
        <v>126</v>
      </c>
      <c r="H8" s="337">
        <f>H16</f>
        <v>3.0164169999999997</v>
      </c>
      <c r="I8" s="337">
        <f>I16</f>
        <v>3.2858399999999994</v>
      </c>
    </row>
    <row r="10" spans="2:13" s="155" customFormat="1">
      <c r="B10" s="155" t="s">
        <v>282</v>
      </c>
      <c r="H10" s="365">
        <f>SUBTOTAL(9,H11:H14)</f>
        <v>3.3071428571428569</v>
      </c>
      <c r="I10" s="365">
        <f>SUBTOTAL(9,I11:I14)</f>
        <v>6.8821428571428571</v>
      </c>
    </row>
    <row r="11" spans="2:13">
      <c r="C11" s="139" t="s">
        <v>288</v>
      </c>
      <c r="H11" s="366">
        <f>L11*노선구성!$E16/1000000</f>
        <v>2.5499999999999998</v>
      </c>
      <c r="I11" s="366">
        <f>M11*노선구성!$E16/1000000</f>
        <v>5.3250000000000002</v>
      </c>
      <c r="K11" s="139" t="s">
        <v>292</v>
      </c>
      <c r="L11" s="139">
        <v>850</v>
      </c>
      <c r="M11" s="139">
        <v>1775</v>
      </c>
    </row>
    <row r="12" spans="2:13">
      <c r="C12" s="139" t="s">
        <v>93</v>
      </c>
      <c r="H12" s="367">
        <v>0.7</v>
      </c>
      <c r="I12" s="367">
        <v>1.5</v>
      </c>
      <c r="K12" s="367" t="s">
        <v>449</v>
      </c>
    </row>
    <row r="13" spans="2:13">
      <c r="C13" s="139" t="s">
        <v>289</v>
      </c>
      <c r="H13" s="363">
        <f>400/7000</f>
        <v>5.7142857142857141E-2</v>
      </c>
      <c r="I13" s="363">
        <f>400/7000</f>
        <v>5.7142857142857141E-2</v>
      </c>
    </row>
    <row r="14" spans="2:13">
      <c r="C14" s="139" t="s">
        <v>291</v>
      </c>
      <c r="H14" s="363"/>
      <c r="I14" s="363"/>
      <c r="J14" s="139" t="s">
        <v>456</v>
      </c>
      <c r="K14" s="368" t="s">
        <v>349</v>
      </c>
      <c r="L14" s="369"/>
      <c r="M14" s="369"/>
    </row>
    <row r="16" spans="2:13" s="155" customFormat="1">
      <c r="B16" s="155" t="s">
        <v>322</v>
      </c>
      <c r="H16" s="337">
        <f>SUBTOTAL(9,H17:H30)</f>
        <v>3.0164169999999997</v>
      </c>
      <c r="I16" s="337">
        <f>SUBTOTAL(9,I17:I30)</f>
        <v>3.2858399999999994</v>
      </c>
    </row>
    <row r="17" spans="3:11">
      <c r="C17" s="139" t="s">
        <v>101</v>
      </c>
      <c r="H17" s="363">
        <f>SUBTOTAL(9,H18:H28)</f>
        <v>2.2764169999999999</v>
      </c>
      <c r="I17" s="363">
        <f>SUBTOTAL(9,I18:I28)</f>
        <v>2.3458399999999995</v>
      </c>
      <c r="K17" s="183" t="s">
        <v>340</v>
      </c>
    </row>
    <row r="18" spans="3:11" outlineLevel="1">
      <c r="D18" s="370" t="s">
        <v>323</v>
      </c>
      <c r="E18" s="370"/>
      <c r="F18" s="370"/>
      <c r="G18" s="370"/>
      <c r="H18" s="371">
        <v>1.2</v>
      </c>
      <c r="I18" s="371">
        <v>1.2</v>
      </c>
      <c r="K18" s="372" t="s">
        <v>344</v>
      </c>
    </row>
    <row r="19" spans="3:11" outlineLevel="1">
      <c r="D19" s="373" t="s">
        <v>290</v>
      </c>
      <c r="E19" s="373"/>
      <c r="F19" s="373"/>
      <c r="G19" s="373"/>
      <c r="H19" s="374">
        <f>0.00011*H4*2*1</f>
        <v>1.738E-2</v>
      </c>
      <c r="I19" s="374">
        <f>0.00009*I4*2*1</f>
        <v>2.3400000000000001E-2</v>
      </c>
      <c r="J19" s="139" t="s">
        <v>456</v>
      </c>
      <c r="K19" s="183" t="s">
        <v>457</v>
      </c>
    </row>
    <row r="20" spans="3:11" outlineLevel="1">
      <c r="D20" s="139" t="s">
        <v>324</v>
      </c>
      <c r="H20" s="363">
        <f>H18*0.25</f>
        <v>0.3</v>
      </c>
      <c r="I20" s="363">
        <f>I18*0.25</f>
        <v>0.3</v>
      </c>
      <c r="K20" s="183"/>
    </row>
    <row r="21" spans="3:11" outlineLevel="1">
      <c r="D21" s="370" t="s">
        <v>325</v>
      </c>
      <c r="E21" s="370"/>
      <c r="F21" s="370"/>
      <c r="G21" s="370"/>
      <c r="H21" s="371">
        <v>0.7</v>
      </c>
      <c r="I21" s="371">
        <v>0.7</v>
      </c>
      <c r="K21" s="372" t="s">
        <v>344</v>
      </c>
    </row>
    <row r="22" spans="3:11" outlineLevel="1">
      <c r="D22" s="370" t="s">
        <v>326</v>
      </c>
      <c r="E22" s="370"/>
      <c r="F22" s="370"/>
      <c r="G22" s="370"/>
      <c r="H22" s="371">
        <v>4.2867000000000002E-2</v>
      </c>
      <c r="I22" s="371">
        <v>0.10627</v>
      </c>
      <c r="K22" s="372" t="s">
        <v>344</v>
      </c>
    </row>
    <row r="23" spans="3:11" outlineLevel="1">
      <c r="D23" s="139" t="s">
        <v>327</v>
      </c>
      <c r="H23" s="363">
        <v>6.1700000000000001E-3</v>
      </c>
      <c r="I23" s="363">
        <v>6.1700000000000001E-3</v>
      </c>
      <c r="K23" s="183"/>
    </row>
    <row r="24" spans="3:11" outlineLevel="1">
      <c r="D24" s="139" t="s">
        <v>328</v>
      </c>
      <c r="H24" s="363">
        <v>0</v>
      </c>
      <c r="I24" s="363">
        <v>0</v>
      </c>
      <c r="K24" s="183" t="s">
        <v>339</v>
      </c>
    </row>
    <row r="25" spans="3:11" outlineLevel="1">
      <c r="D25" s="139" t="s">
        <v>329</v>
      </c>
      <c r="H25" s="363">
        <v>0.01</v>
      </c>
      <c r="I25" s="363">
        <v>0.01</v>
      </c>
      <c r="K25" s="183"/>
    </row>
    <row r="26" spans="3:11" outlineLevel="1">
      <c r="D26" s="139" t="s">
        <v>330</v>
      </c>
      <c r="H26" s="139">
        <v>0</v>
      </c>
      <c r="I26" s="139">
        <v>0</v>
      </c>
      <c r="K26" s="183" t="s">
        <v>339</v>
      </c>
    </row>
    <row r="27" spans="3:11" outlineLevel="1">
      <c r="D27" s="139" t="s">
        <v>331</v>
      </c>
      <c r="H27" s="139">
        <v>0</v>
      </c>
      <c r="I27" s="139">
        <v>0</v>
      </c>
      <c r="K27" s="183" t="s">
        <v>339</v>
      </c>
    </row>
    <row r="28" spans="3:11" outlineLevel="1">
      <c r="D28" s="139" t="s">
        <v>332</v>
      </c>
      <c r="H28" s="363">
        <v>0</v>
      </c>
      <c r="I28" s="363">
        <v>0</v>
      </c>
      <c r="K28" s="183" t="s">
        <v>339</v>
      </c>
    </row>
    <row r="29" spans="3:11">
      <c r="C29" s="139" t="s">
        <v>286</v>
      </c>
      <c r="H29" s="363">
        <f>800/20000</f>
        <v>0.04</v>
      </c>
      <c r="I29" s="363">
        <f>800/20000</f>
        <v>0.04</v>
      </c>
      <c r="K29" s="183"/>
    </row>
    <row r="30" spans="3:11">
      <c r="C30" s="139" t="s">
        <v>97</v>
      </c>
      <c r="H30" s="363">
        <f>'2.기초자료_정리'!H18</f>
        <v>0.7</v>
      </c>
      <c r="I30" s="363">
        <f>'2.기초자료_정리'!I18</f>
        <v>0.9</v>
      </c>
      <c r="K30" s="183"/>
    </row>
    <row r="31" spans="3:11">
      <c r="C31" s="373" t="s">
        <v>334</v>
      </c>
      <c r="D31" s="373"/>
      <c r="E31" s="373"/>
      <c r="F31" s="373"/>
      <c r="G31" s="373"/>
      <c r="H31" s="373"/>
      <c r="I31" s="373"/>
      <c r="K31" s="286" t="s">
        <v>278</v>
      </c>
    </row>
    <row r="32" spans="3:11">
      <c r="C32" s="373"/>
      <c r="D32" s="373" t="s">
        <v>335</v>
      </c>
      <c r="E32" s="373"/>
      <c r="F32" s="373"/>
      <c r="G32" s="373"/>
      <c r="H32" s="374">
        <v>1.4999999999999999E-2</v>
      </c>
      <c r="I32" s="374">
        <v>1.4999999999999999E-2</v>
      </c>
      <c r="K32" s="183" t="s">
        <v>337</v>
      </c>
    </row>
    <row r="33" spans="2:11">
      <c r="C33" s="373"/>
      <c r="D33" s="373" t="s">
        <v>336</v>
      </c>
      <c r="E33" s="373"/>
      <c r="F33" s="373"/>
      <c r="G33" s="373"/>
      <c r="H33" s="374">
        <v>0.01</v>
      </c>
      <c r="I33" s="374">
        <v>0.01</v>
      </c>
    </row>
    <row r="41" spans="2:11">
      <c r="B41" s="139" t="s">
        <v>270</v>
      </c>
    </row>
    <row r="42" spans="2:11" s="155" customFormat="1">
      <c r="C42" s="155" t="s">
        <v>271</v>
      </c>
      <c r="F42" s="155" t="s">
        <v>95</v>
      </c>
      <c r="H42" s="337">
        <f>'2.기초자료_정리'!H9</f>
        <v>3.28</v>
      </c>
      <c r="I42" s="337">
        <f>'2.기초자료_정리'!I9</f>
        <v>6.8550000000000004</v>
      </c>
    </row>
    <row r="43" spans="2:11">
      <c r="C43" s="139" t="s">
        <v>272</v>
      </c>
      <c r="E43" s="139" t="s">
        <v>113</v>
      </c>
      <c r="F43" s="139" t="s">
        <v>95</v>
      </c>
      <c r="H43" s="363">
        <f>'2.기초자료_정리'!H10</f>
        <v>2.5499999999999998</v>
      </c>
      <c r="I43" s="363">
        <f>'2.기초자료_정리'!I10</f>
        <v>5.3250000000000002</v>
      </c>
    </row>
    <row r="44" spans="2:11">
      <c r="C44" s="139" t="s">
        <v>273</v>
      </c>
      <c r="E44" s="139" t="s">
        <v>114</v>
      </c>
      <c r="F44" s="139" t="s">
        <v>95</v>
      </c>
      <c r="H44" s="363">
        <f>'2.기초자료_정리'!H11</f>
        <v>0.7</v>
      </c>
      <c r="I44" s="363">
        <f>'2.기초자료_정리'!I11</f>
        <v>1.5</v>
      </c>
    </row>
    <row r="45" spans="2:11">
      <c r="C45" s="139" t="s">
        <v>285</v>
      </c>
      <c r="E45" s="139" t="s">
        <v>114</v>
      </c>
      <c r="F45" s="139" t="s">
        <v>95</v>
      </c>
      <c r="H45" s="363">
        <f>400/7000</f>
        <v>5.7142857142857141E-2</v>
      </c>
      <c r="I45" s="363">
        <f>400/7000</f>
        <v>5.7142857142857141E-2</v>
      </c>
    </row>
    <row r="46" spans="2:11" s="221" customFormat="1">
      <c r="C46" s="221" t="s">
        <v>94</v>
      </c>
      <c r="E46" s="221" t="s">
        <v>114</v>
      </c>
      <c r="F46" s="221" t="s">
        <v>274</v>
      </c>
      <c r="H46" s="375">
        <f>'2.기초자료_정리'!H12</f>
        <v>0.03</v>
      </c>
      <c r="I46" s="375">
        <f>'2.기초자료_정리'!I12</f>
        <v>0.03</v>
      </c>
      <c r="K46" s="221" t="s">
        <v>283</v>
      </c>
    </row>
    <row r="48" spans="2:11">
      <c r="B48" s="155"/>
      <c r="C48" s="155" t="s">
        <v>269</v>
      </c>
      <c r="D48" s="155"/>
      <c r="E48" s="155"/>
      <c r="F48" s="155" t="s">
        <v>275</v>
      </c>
      <c r="H48" s="337">
        <f>H50+H53</f>
        <v>2.9590370000000004</v>
      </c>
      <c r="I48" s="337">
        <f>I50+I53</f>
        <v>3.2224399999999997</v>
      </c>
    </row>
    <row r="49" spans="2:11">
      <c r="C49" s="139" t="s">
        <v>276</v>
      </c>
      <c r="H49" s="363"/>
      <c r="I49" s="363"/>
    </row>
    <row r="50" spans="2:11">
      <c r="D50" s="139" t="s">
        <v>103</v>
      </c>
      <c r="E50" s="139" t="s">
        <v>114</v>
      </c>
      <c r="F50" s="139" t="s">
        <v>127</v>
      </c>
      <c r="H50" s="363">
        <f>'2.기초자료_정리'!H16</f>
        <v>2.2590370000000002</v>
      </c>
      <c r="I50" s="363">
        <f>'2.기초자료_정리'!I16</f>
        <v>2.3224399999999998</v>
      </c>
    </row>
    <row r="51" spans="2:11">
      <c r="D51" s="139" t="s">
        <v>277</v>
      </c>
      <c r="E51" s="139" t="s">
        <v>114</v>
      </c>
      <c r="F51" s="139" t="s">
        <v>126</v>
      </c>
      <c r="H51" s="363">
        <f>'2.기초자료_정리'!H17</f>
        <v>2.2590370000000002</v>
      </c>
      <c r="I51" s="363">
        <f>'2.기초자료_정리'!I17</f>
        <v>2.3224399999999998</v>
      </c>
    </row>
    <row r="52" spans="2:11">
      <c r="C52" s="139" t="s">
        <v>287</v>
      </c>
      <c r="F52" s="139" t="s">
        <v>126</v>
      </c>
      <c r="H52" s="363">
        <f>800/20000</f>
        <v>0.04</v>
      </c>
      <c r="I52" s="363">
        <f>800/20000</f>
        <v>0.04</v>
      </c>
    </row>
    <row r="53" spans="2:11">
      <c r="C53" s="139" t="s">
        <v>97</v>
      </c>
      <c r="E53" s="139" t="s">
        <v>113</v>
      </c>
      <c r="F53" s="139" t="s">
        <v>126</v>
      </c>
      <c r="H53" s="363">
        <f>'2.기초자료_정리'!H18</f>
        <v>0.7</v>
      </c>
      <c r="I53" s="363">
        <f>'2.기초자료_정리'!I18</f>
        <v>0.9</v>
      </c>
    </row>
    <row r="54" spans="2:11">
      <c r="H54" s="363"/>
      <c r="I54" s="363"/>
    </row>
    <row r="55" spans="2:11">
      <c r="C55" s="139" t="s">
        <v>100</v>
      </c>
      <c r="H55" s="363"/>
      <c r="I55" s="363"/>
      <c r="K55" s="139" t="s">
        <v>278</v>
      </c>
    </row>
    <row r="56" spans="2:11">
      <c r="D56" s="139" t="s">
        <v>98</v>
      </c>
      <c r="E56" s="139" t="s">
        <v>113</v>
      </c>
      <c r="F56" s="139" t="s">
        <v>126</v>
      </c>
      <c r="H56" s="374">
        <f>'2.기초자료_정리'!H20</f>
        <v>1.4999999999999999E-2</v>
      </c>
      <c r="I56" s="374">
        <f>'2.기초자료_정리'!I20</f>
        <v>1.4999999999999999E-2</v>
      </c>
    </row>
    <row r="57" spans="2:11">
      <c r="D57" s="139" t="s">
        <v>99</v>
      </c>
      <c r="E57" s="139" t="s">
        <v>113</v>
      </c>
      <c r="F57" s="139" t="s">
        <v>126</v>
      </c>
      <c r="H57" s="374">
        <f>'2.기초자료_정리'!H21</f>
        <v>0.01</v>
      </c>
      <c r="I57" s="374">
        <f>'2.기초자료_정리'!I21</f>
        <v>0.01</v>
      </c>
    </row>
    <row r="59" spans="2:11">
      <c r="B59" s="155"/>
      <c r="C59" s="155" t="s">
        <v>279</v>
      </c>
      <c r="D59" s="155"/>
      <c r="E59" s="155"/>
      <c r="F59" s="155" t="s">
        <v>129</v>
      </c>
    </row>
    <row r="60" spans="2:11">
      <c r="C60" s="139" t="s">
        <v>280</v>
      </c>
      <c r="E60" s="139" t="s">
        <v>111</v>
      </c>
      <c r="F60" s="139" t="s">
        <v>281</v>
      </c>
      <c r="H60" s="363">
        <f>'2.기초자료_정리'!H24</f>
        <v>226.6</v>
      </c>
      <c r="I60" s="363">
        <f>'2.기초자료_정리'!I24</f>
        <v>283.25</v>
      </c>
    </row>
    <row r="61" spans="2:11">
      <c r="C61" s="139" t="s">
        <v>109</v>
      </c>
      <c r="E61" s="139" t="s">
        <v>112</v>
      </c>
      <c r="F61" s="139" t="s">
        <v>128</v>
      </c>
      <c r="H61" s="363">
        <f>'2.기초자료_정리'!H25</f>
        <v>13.3</v>
      </c>
      <c r="I61" s="363">
        <f>'2.기초자료_정리'!I25</f>
        <v>25</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2060"/>
    <pageSetUpPr fitToPage="1"/>
  </sheetPr>
  <dimension ref="B1:X53"/>
  <sheetViews>
    <sheetView tabSelected="1" workbookViewId="0">
      <selection activeCell="R17" sqref="R17"/>
    </sheetView>
  </sheetViews>
  <sheetFormatPr defaultColWidth="9.125" defaultRowHeight="13.2" outlineLevelRow="1"/>
  <cols>
    <col min="1" max="1" width="2" style="139" customWidth="1"/>
    <col min="2" max="6" width="2.25" style="139" customWidth="1"/>
    <col min="7" max="8" width="9.125" style="139"/>
    <col min="9" max="9" width="8.75" style="139" customWidth="1"/>
    <col min="10" max="14" width="11" style="139" customWidth="1"/>
    <col min="15" max="15" width="2.25" style="139" customWidth="1"/>
    <col min="16" max="16" width="11" style="139" customWidth="1"/>
    <col min="17" max="17" width="9.125" style="139"/>
    <col min="18" max="18" width="9.25" style="139" bestFit="1" customWidth="1"/>
    <col min="19" max="19" width="10.75" style="139" bestFit="1" customWidth="1"/>
    <col min="20" max="23" width="11.125" style="139" bestFit="1" customWidth="1"/>
    <col min="24" max="24" width="10.75" style="139" bestFit="1" customWidth="1"/>
    <col min="25" max="16384" width="9.125" style="139"/>
  </cols>
  <sheetData>
    <row r="1" spans="2:16" ht="17.399999999999999">
      <c r="B1" s="153" t="s">
        <v>741</v>
      </c>
    </row>
    <row r="3" spans="2:16" s="509" customFormat="1">
      <c r="B3" s="509" t="s">
        <v>742</v>
      </c>
    </row>
    <row r="6" spans="2:16" ht="13.8" thickBot="1">
      <c r="B6" s="157" t="s">
        <v>384</v>
      </c>
      <c r="C6" s="154"/>
      <c r="D6" s="154"/>
      <c r="E6" s="154"/>
      <c r="F6" s="154"/>
      <c r="G6" s="154"/>
      <c r="H6" s="154"/>
      <c r="I6" s="154"/>
      <c r="J6" s="154" t="s">
        <v>379</v>
      </c>
      <c r="K6" s="154" t="s">
        <v>380</v>
      </c>
      <c r="L6" s="154" t="s">
        <v>381</v>
      </c>
      <c r="M6" s="154" t="s">
        <v>382</v>
      </c>
      <c r="N6" s="154" t="s">
        <v>383</v>
      </c>
      <c r="P6" s="154" t="s">
        <v>775</v>
      </c>
    </row>
    <row r="7" spans="2:16" s="155" customFormat="1">
      <c r="B7" s="155" t="s">
        <v>747</v>
      </c>
      <c r="J7" s="155">
        <f>IS!BQ7</f>
        <v>76660.000672442373</v>
      </c>
      <c r="K7" s="155">
        <f>IS!BR7</f>
        <v>204774.97274344892</v>
      </c>
      <c r="L7" s="155">
        <f>IS!BS7</f>
        <v>351501.44967243657</v>
      </c>
      <c r="M7" s="155">
        <f>IS!BT7</f>
        <v>531288.29546267656</v>
      </c>
      <c r="N7" s="155">
        <f>IS!BU7</f>
        <v>565495.98081451666</v>
      </c>
      <c r="P7" s="510">
        <f>N7*(1+P8)</f>
        <v>585138.43248128833</v>
      </c>
    </row>
    <row r="8" spans="2:16" s="183" customFormat="1">
      <c r="C8" s="183" t="s">
        <v>743</v>
      </c>
      <c r="J8" s="511" t="s">
        <v>746</v>
      </c>
      <c r="K8" s="256">
        <f>IFERROR((K7/J7-1),"n.a.")</f>
        <v>1.6712101610646233</v>
      </c>
      <c r="L8" s="256">
        <f t="shared" ref="L8:N8" si="0">IFERROR((L7/K7-1),"n.a.")</f>
        <v>0.71652543747527697</v>
      </c>
      <c r="M8" s="256">
        <f t="shared" si="0"/>
        <v>0.5114825158126175</v>
      </c>
      <c r="N8" s="256">
        <f t="shared" si="0"/>
        <v>6.4386295809603755E-2</v>
      </c>
      <c r="P8" s="256">
        <f>$U$32</f>
        <v>3.4734909412582331E-2</v>
      </c>
    </row>
    <row r="9" spans="2:16" s="155" customFormat="1">
      <c r="B9" s="139" t="s">
        <v>745</v>
      </c>
      <c r="D9" s="139"/>
      <c r="E9" s="139"/>
      <c r="F9" s="139"/>
      <c r="G9" s="139"/>
      <c r="H9" s="139"/>
      <c r="I9" s="139"/>
      <c r="J9" s="139">
        <f>IS!BQ21</f>
        <v>44493.297479428576</v>
      </c>
      <c r="K9" s="139">
        <f>IS!BR21</f>
        <v>124621.20071885714</v>
      </c>
      <c r="L9" s="139">
        <f>IS!BS21</f>
        <v>175242.88591085715</v>
      </c>
      <c r="M9" s="139">
        <f>IS!BT21</f>
        <v>236908.98301942853</v>
      </c>
      <c r="N9" s="139">
        <f>IS!BU21</f>
        <v>253449.64103085711</v>
      </c>
      <c r="P9" s="139">
        <f>N9*(1+$P$8)</f>
        <v>262253.19135271548</v>
      </c>
    </row>
    <row r="10" spans="2:16">
      <c r="B10" s="168" t="s">
        <v>748</v>
      </c>
      <c r="C10" s="168"/>
      <c r="D10" s="168"/>
      <c r="E10" s="168"/>
      <c r="F10" s="168"/>
      <c r="G10" s="168"/>
      <c r="H10" s="168"/>
      <c r="I10" s="168"/>
      <c r="J10" s="168">
        <f>J7-J9</f>
        <v>32166.703193013796</v>
      </c>
      <c r="K10" s="168">
        <f t="shared" ref="K10:P10" si="1">K7-K9</f>
        <v>80153.772024591774</v>
      </c>
      <c r="L10" s="168">
        <f t="shared" si="1"/>
        <v>176258.56376157943</v>
      </c>
      <c r="M10" s="168">
        <f t="shared" si="1"/>
        <v>294379.312443248</v>
      </c>
      <c r="N10" s="168">
        <f t="shared" si="1"/>
        <v>312046.33978365955</v>
      </c>
      <c r="P10" s="168">
        <f t="shared" si="1"/>
        <v>322885.24112857284</v>
      </c>
    </row>
    <row r="11" spans="2:16" s="183" customFormat="1">
      <c r="C11" s="183" t="s">
        <v>749</v>
      </c>
      <c r="J11" s="223">
        <f>J10/J$7</f>
        <v>0.4196021772874447</v>
      </c>
      <c r="K11" s="223">
        <f t="shared" ref="K11:P11" si="2">K10/K$7</f>
        <v>0.3914236732679825</v>
      </c>
      <c r="L11" s="223">
        <f t="shared" si="2"/>
        <v>0.50144477050047553</v>
      </c>
      <c r="M11" s="223">
        <f t="shared" si="2"/>
        <v>0.55408582300290554</v>
      </c>
      <c r="N11" s="223">
        <f t="shared" si="2"/>
        <v>0.55181000461612673</v>
      </c>
      <c r="P11" s="223">
        <f t="shared" si="2"/>
        <v>0.55181000461612673</v>
      </c>
    </row>
    <row r="12" spans="2:16">
      <c r="B12" s="139" t="s">
        <v>750</v>
      </c>
      <c r="J12" s="139">
        <f>SUBTOTAL(9,J13:J17)</f>
        <v>17503.305487600002</v>
      </c>
      <c r="K12" s="139">
        <f t="shared" ref="K12:P12" si="3">SUBTOTAL(9,K13:K17)</f>
        <v>47813.641161199979</v>
      </c>
      <c r="L12" s="139">
        <f t="shared" si="3"/>
        <v>68677.276048799991</v>
      </c>
      <c r="M12" s="139">
        <f t="shared" si="3"/>
        <v>90967.555670800008</v>
      </c>
      <c r="N12" s="139">
        <f t="shared" si="3"/>
        <v>98754.745420799984</v>
      </c>
      <c r="P12" s="139">
        <f t="shared" si="3"/>
        <v>102184.98255705411</v>
      </c>
    </row>
    <row r="13" spans="2:16">
      <c r="C13" s="139" t="s">
        <v>751</v>
      </c>
      <c r="J13" s="139">
        <f>IS!BQ48</f>
        <v>4268.6336000000001</v>
      </c>
      <c r="K13" s="139">
        <f>IS!BR48</f>
        <v>13077.942399999994</v>
      </c>
      <c r="L13" s="139">
        <f>IS!BS48</f>
        <v>20132.975999999999</v>
      </c>
      <c r="M13" s="139">
        <f>IS!BT48</f>
        <v>27788.48959999999</v>
      </c>
      <c r="N13" s="139">
        <f>IS!BU48</f>
        <v>30069.567999999988</v>
      </c>
      <c r="P13" s="139">
        <f>N13*(1+$P$8)</f>
        <v>31114.031720555475</v>
      </c>
    </row>
    <row r="14" spans="2:16">
      <c r="C14" s="139" t="s">
        <v>752</v>
      </c>
      <c r="J14" s="139">
        <f>IS!BQ53</f>
        <v>12274.671887600001</v>
      </c>
      <c r="K14" s="139">
        <f>IS!BR53</f>
        <v>32555.698761199987</v>
      </c>
      <c r="L14" s="139">
        <f>IS!BS53</f>
        <v>44884.300048799996</v>
      </c>
      <c r="M14" s="139">
        <f>IS!BT53</f>
        <v>57779.066070800014</v>
      </c>
      <c r="N14" s="139">
        <f>IS!BU53</f>
        <v>61085.177420799999</v>
      </c>
      <c r="P14" s="139">
        <f>N14*(1+$P$8)</f>
        <v>63206.965524963009</v>
      </c>
    </row>
    <row r="15" spans="2:16">
      <c r="C15" s="139" t="s">
        <v>757</v>
      </c>
      <c r="J15" s="139">
        <f>SUBTOTAL(9,J16:J17)</f>
        <v>960</v>
      </c>
      <c r="K15" s="139">
        <f t="shared" ref="K15:P15" si="4">SUBTOTAL(9,K16:K17)</f>
        <v>2180</v>
      </c>
      <c r="L15" s="139">
        <f t="shared" si="4"/>
        <v>3660</v>
      </c>
      <c r="M15" s="139">
        <f t="shared" si="4"/>
        <v>5400</v>
      </c>
      <c r="N15" s="139">
        <f t="shared" si="4"/>
        <v>7600</v>
      </c>
      <c r="P15" s="139">
        <f t="shared" si="4"/>
        <v>7863.9853115356264</v>
      </c>
    </row>
    <row r="16" spans="2:16" outlineLevel="1">
      <c r="D16" s="139" t="s">
        <v>753</v>
      </c>
      <c r="J16" s="139">
        <f>Others!J12</f>
        <v>340</v>
      </c>
      <c r="K16" s="139">
        <f>Others!K12</f>
        <v>460</v>
      </c>
      <c r="L16" s="139">
        <f>Others!L12</f>
        <v>540</v>
      </c>
      <c r="M16" s="139">
        <f>Others!M12</f>
        <v>580</v>
      </c>
      <c r="N16" s="139">
        <f>Others!N12</f>
        <v>780</v>
      </c>
      <c r="P16" s="139">
        <f>N16*(1+$P$8)</f>
        <v>807.09322934181432</v>
      </c>
    </row>
    <row r="17" spans="2:21" outlineLevel="1">
      <c r="D17" s="139" t="s">
        <v>754</v>
      </c>
      <c r="J17" s="139">
        <f>Others!J15</f>
        <v>620</v>
      </c>
      <c r="K17" s="139">
        <f>Others!K15</f>
        <v>1720</v>
      </c>
      <c r="L17" s="139">
        <f>Others!L15</f>
        <v>3120</v>
      </c>
      <c r="M17" s="139">
        <f>Others!M15</f>
        <v>4820</v>
      </c>
      <c r="N17" s="139">
        <f>Others!N15</f>
        <v>6820</v>
      </c>
      <c r="P17" s="139">
        <f>N17*(1+$P$8)</f>
        <v>7056.8920821938118</v>
      </c>
    </row>
    <row r="18" spans="2:21">
      <c r="B18" s="168" t="s">
        <v>755</v>
      </c>
      <c r="C18" s="168"/>
      <c r="D18" s="168"/>
      <c r="E18" s="168"/>
      <c r="F18" s="168"/>
      <c r="G18" s="168"/>
      <c r="H18" s="168"/>
      <c r="I18" s="168"/>
      <c r="J18" s="168">
        <f>J10-J12</f>
        <v>14663.397705413794</v>
      </c>
      <c r="K18" s="168">
        <f t="shared" ref="K18:P18" si="5">K10-K12</f>
        <v>32340.130863391794</v>
      </c>
      <c r="L18" s="168">
        <f t="shared" si="5"/>
        <v>107581.28771277943</v>
      </c>
      <c r="M18" s="168">
        <f t="shared" si="5"/>
        <v>203411.75677244799</v>
      </c>
      <c r="N18" s="168">
        <f t="shared" si="5"/>
        <v>213291.59436285956</v>
      </c>
      <c r="P18" s="168">
        <f t="shared" si="5"/>
        <v>220700.25857151873</v>
      </c>
    </row>
    <row r="19" spans="2:21" s="183" customFormat="1">
      <c r="C19" s="183" t="s">
        <v>756</v>
      </c>
      <c r="J19" s="223">
        <f>J18/J$7</f>
        <v>0.19127834042251673</v>
      </c>
      <c r="K19" s="223">
        <f>K18/K$7</f>
        <v>0.15793009482613352</v>
      </c>
      <c r="L19" s="223">
        <f>L18/L$7</f>
        <v>0.30606214515767771</v>
      </c>
      <c r="M19" s="223">
        <f>M18/M$7</f>
        <v>0.38286511957750785</v>
      </c>
      <c r="N19" s="223">
        <f>N18/N$7</f>
        <v>0.37717614554155326</v>
      </c>
      <c r="P19" s="223">
        <f>P18/P$7</f>
        <v>0.37717614554155326</v>
      </c>
    </row>
    <row r="20" spans="2:21" ht="13.8" thickBot="1">
      <c r="B20" s="139" t="s">
        <v>757</v>
      </c>
      <c r="J20" s="139">
        <f>J15</f>
        <v>960</v>
      </c>
      <c r="K20" s="139">
        <f t="shared" ref="K20:P20" si="6">K15</f>
        <v>2180</v>
      </c>
      <c r="L20" s="139">
        <f t="shared" si="6"/>
        <v>3660</v>
      </c>
      <c r="M20" s="139">
        <f t="shared" si="6"/>
        <v>5400</v>
      </c>
      <c r="N20" s="139">
        <f t="shared" si="6"/>
        <v>7600</v>
      </c>
      <c r="P20" s="139">
        <f t="shared" si="6"/>
        <v>7863.9853115356264</v>
      </c>
    </row>
    <row r="21" spans="2:21" ht="13.8" thickBot="1">
      <c r="B21" s="168" t="s">
        <v>758</v>
      </c>
      <c r="C21" s="168"/>
      <c r="D21" s="168"/>
      <c r="E21" s="168"/>
      <c r="F21" s="168"/>
      <c r="G21" s="168"/>
      <c r="H21" s="168"/>
      <c r="I21" s="168"/>
      <c r="J21" s="168">
        <f>J18+J20</f>
        <v>15623.397705413794</v>
      </c>
      <c r="K21" s="168">
        <f t="shared" ref="K21:P21" si="7">K18+K20</f>
        <v>34520.130863391794</v>
      </c>
      <c r="L21" s="168">
        <f t="shared" si="7"/>
        <v>111241.28771277943</v>
      </c>
      <c r="M21" s="168">
        <f t="shared" si="7"/>
        <v>208811.75677244799</v>
      </c>
      <c r="N21" s="168">
        <f t="shared" si="7"/>
        <v>220891.59436285956</v>
      </c>
      <c r="P21" s="168">
        <f t="shared" si="7"/>
        <v>228564.24388305435</v>
      </c>
      <c r="R21" s="512" t="s">
        <v>707</v>
      </c>
      <c r="S21" s="513" t="s">
        <v>708</v>
      </c>
      <c r="T21" s="514" t="s">
        <v>709</v>
      </c>
    </row>
    <row r="22" spans="2:21" s="183" customFormat="1">
      <c r="C22" s="183" t="s">
        <v>759</v>
      </c>
      <c r="J22" s="223">
        <f>J21/J$7</f>
        <v>0.20380116838467588</v>
      </c>
      <c r="K22" s="223">
        <f>K21/K$7</f>
        <v>0.16857592703303703</v>
      </c>
      <c r="L22" s="223">
        <f>L21/L$7</f>
        <v>0.31647461999500981</v>
      </c>
      <c r="M22" s="223">
        <f>M21/M$7</f>
        <v>0.39302909278398962</v>
      </c>
      <c r="N22" s="223">
        <f>N21/N$7</f>
        <v>0.39061567518958595</v>
      </c>
      <c r="P22" s="223">
        <f>P21/P$7</f>
        <v>0.3906156751895859</v>
      </c>
      <c r="R22" s="280">
        <v>0</v>
      </c>
      <c r="S22" s="281">
        <v>0.11</v>
      </c>
      <c r="T22" s="282">
        <v>0</v>
      </c>
    </row>
    <row r="23" spans="2:21">
      <c r="B23" s="515" t="s">
        <v>760</v>
      </c>
      <c r="C23" s="515"/>
      <c r="D23" s="515"/>
      <c r="E23" s="515"/>
      <c r="F23" s="515"/>
      <c r="G23" s="515"/>
      <c r="H23" s="515"/>
      <c r="I23" s="515"/>
      <c r="J23" s="515">
        <f>J18*J24-VLOOKUP(J24,$S$21:$T$25,2,0)</f>
        <v>3203.9474951910347</v>
      </c>
      <c r="K23" s="515">
        <f t="shared" ref="K23:P23" si="8">K18*K24-VLOOKUP(K24,$S$21:$T$25,2,0)</f>
        <v>7364.3116689408143</v>
      </c>
      <c r="L23" s="515">
        <f t="shared" si="8"/>
        <v>25572.671626492622</v>
      </c>
      <c r="M23" s="515">
        <f t="shared" si="8"/>
        <v>48763.645138932414</v>
      </c>
      <c r="N23" s="515">
        <f t="shared" si="8"/>
        <v>51154.565835812013</v>
      </c>
      <c r="P23" s="515">
        <f t="shared" si="8"/>
        <v>52947.46257430753</v>
      </c>
      <c r="R23" s="283">
        <v>200</v>
      </c>
      <c r="S23" s="284">
        <v>0.22</v>
      </c>
      <c r="T23" s="285">
        <f>R23*(S23-S22)</f>
        <v>22</v>
      </c>
    </row>
    <row r="24" spans="2:21">
      <c r="C24" s="183" t="s">
        <v>761</v>
      </c>
      <c r="D24" s="183"/>
      <c r="E24" s="183"/>
      <c r="F24" s="183"/>
      <c r="G24" s="183"/>
      <c r="H24" s="183"/>
      <c r="I24" s="183"/>
      <c r="J24" s="223">
        <f>IF(J18&lt;=$R$23,$S$22,IF(J18&lt;=$R$24,$S$23,IF(J18&lt;=$R$25,$S$24,$S$25)))</f>
        <v>0.22</v>
      </c>
      <c r="K24" s="223">
        <f>IF(K18&lt;=$R$23,$S$22,IF(K18&lt;=$R$24,$S$23,IF(K18&lt;=$R$25,$S$24,$S$25)))</f>
        <v>0.24199999999999999</v>
      </c>
      <c r="L24" s="223">
        <f>IF(L18&lt;=$R$23,$S$22,IF(L18&lt;=$R$24,$S$23,IF(L18&lt;=$R$25,$S$24,$S$25)))</f>
        <v>0.24199999999999999</v>
      </c>
      <c r="M24" s="223">
        <f>IF(M18&lt;=$R$23,$S$22,IF(M18&lt;=$R$24,$S$23,IF(M18&lt;=$R$25,$S$24,$S$25)))</f>
        <v>0.24199999999999999</v>
      </c>
      <c r="N24" s="223">
        <f>IF(N18&lt;=$R$23,$S$22,IF(N18&lt;=$R$24,$S$23,IF(N18&lt;=$R$25,$S$24,$S$25)))</f>
        <v>0.24199999999999999</v>
      </c>
      <c r="P24" s="223">
        <f>IF(P18&lt;=$R$23,$S$22,IF(P18&lt;=$R$24,$S$23,IF(P18&lt;=$R$25,$S$24,$S$25)))</f>
        <v>0.24199999999999999</v>
      </c>
      <c r="R24" s="283">
        <v>20000</v>
      </c>
      <c r="S24" s="284">
        <v>0.24199999999999999</v>
      </c>
      <c r="T24" s="285">
        <f>R23*(S24-S22)+(R24-R23)*(S24-S23)</f>
        <v>461.99999999999983</v>
      </c>
    </row>
    <row r="25" spans="2:21">
      <c r="B25" s="168" t="s">
        <v>762</v>
      </c>
      <c r="C25" s="168"/>
      <c r="D25" s="168"/>
      <c r="E25" s="168"/>
      <c r="F25" s="168"/>
      <c r="G25" s="168"/>
      <c r="H25" s="168"/>
      <c r="I25" s="168"/>
      <c r="J25" s="168">
        <f>J21-J23</f>
        <v>12419.45021022276</v>
      </c>
      <c r="K25" s="168">
        <f t="shared" ref="K25:P25" si="9">K21-K23</f>
        <v>27155.819194450982</v>
      </c>
      <c r="L25" s="168">
        <f t="shared" si="9"/>
        <v>85668.616086286813</v>
      </c>
      <c r="M25" s="168">
        <f t="shared" si="9"/>
        <v>160048.11163351557</v>
      </c>
      <c r="N25" s="168">
        <f t="shared" si="9"/>
        <v>169737.02852704754</v>
      </c>
      <c r="P25" s="168">
        <f t="shared" si="9"/>
        <v>175616.78130874684</v>
      </c>
      <c r="R25" s="283">
        <v>300000</v>
      </c>
      <c r="S25" s="284">
        <v>0.27500000000000002</v>
      </c>
      <c r="T25" s="285">
        <f>(R24-R23)*(S25-S23)+(R25-R24)*(S25-S24)+R23*(S25-S22)</f>
        <v>10362.000000000009</v>
      </c>
    </row>
    <row r="26" spans="2:21">
      <c r="C26" s="139" t="s">
        <v>763</v>
      </c>
      <c r="J26" s="139">
        <f>J15</f>
        <v>960</v>
      </c>
      <c r="K26" s="139">
        <f t="shared" ref="K26:P26" si="10">K15</f>
        <v>2180</v>
      </c>
      <c r="L26" s="139">
        <f t="shared" si="10"/>
        <v>3660</v>
      </c>
      <c r="M26" s="139">
        <f t="shared" si="10"/>
        <v>5400</v>
      </c>
      <c r="N26" s="139">
        <f t="shared" si="10"/>
        <v>7600</v>
      </c>
      <c r="P26" s="139">
        <f t="shared" si="10"/>
        <v>7863.9853115356264</v>
      </c>
    </row>
    <row r="27" spans="2:21">
      <c r="C27" s="139" t="s">
        <v>1433</v>
      </c>
      <c r="J27" s="373">
        <v>0</v>
      </c>
      <c r="K27" s="373">
        <v>0</v>
      </c>
      <c r="L27" s="373">
        <v>0</v>
      </c>
      <c r="M27" s="373">
        <v>0</v>
      </c>
      <c r="N27" s="373">
        <v>0</v>
      </c>
      <c r="P27" s="373">
        <v>0</v>
      </c>
    </row>
    <row r="28" spans="2:21">
      <c r="C28" s="139" t="s">
        <v>764</v>
      </c>
      <c r="J28" s="139">
        <f>-Others!J18</f>
        <v>-10898.3</v>
      </c>
      <c r="K28" s="139">
        <f>-Others!K18</f>
        <v>-9159.1</v>
      </c>
      <c r="L28" s="139">
        <f>-Others!L18</f>
        <v>-10459.099999999999</v>
      </c>
      <c r="M28" s="139">
        <f>-Others!M18</f>
        <v>-12338.999999999998</v>
      </c>
      <c r="N28" s="139">
        <f>-Others!N18</f>
        <v>-10760</v>
      </c>
      <c r="P28" s="139">
        <f>-P26</f>
        <v>-7863.9853115356264</v>
      </c>
    </row>
    <row r="29" spans="2:21">
      <c r="B29" s="168" t="s">
        <v>771</v>
      </c>
      <c r="C29" s="168"/>
      <c r="D29" s="168"/>
      <c r="E29" s="168"/>
      <c r="F29" s="168"/>
      <c r="G29" s="168"/>
      <c r="H29" s="168"/>
      <c r="I29" s="168"/>
      <c r="J29" s="168">
        <f>J25+J26+J27+J28</f>
        <v>2481.1502102227605</v>
      </c>
      <c r="K29" s="168">
        <f t="shared" ref="K29:P29" si="11">K25+K26+K27+K28</f>
        <v>20176.719194450983</v>
      </c>
      <c r="L29" s="168">
        <f t="shared" si="11"/>
        <v>78869.516086286807</v>
      </c>
      <c r="M29" s="168">
        <f t="shared" si="11"/>
        <v>153109.11163351557</v>
      </c>
      <c r="N29" s="168">
        <f t="shared" si="11"/>
        <v>166577.02852704754</v>
      </c>
      <c r="P29" s="168">
        <f t="shared" si="11"/>
        <v>175616.78130874684</v>
      </c>
      <c r="R29" s="516" t="s">
        <v>776</v>
      </c>
      <c r="S29" s="516"/>
      <c r="T29" s="516"/>
    </row>
    <row r="30" spans="2:21" s="183" customFormat="1">
      <c r="C30" s="183" t="s">
        <v>772</v>
      </c>
      <c r="J30" s="517">
        <v>0.5</v>
      </c>
      <c r="K30" s="517">
        <v>1</v>
      </c>
      <c r="L30" s="517">
        <v>1</v>
      </c>
      <c r="M30" s="517">
        <v>1</v>
      </c>
      <c r="N30" s="517">
        <v>1</v>
      </c>
      <c r="R30" s="139" t="s">
        <v>777</v>
      </c>
      <c r="S30" s="139"/>
      <c r="T30" s="139"/>
      <c r="U30" s="139">
        <f>P29</f>
        <v>175616.78130874684</v>
      </c>
    </row>
    <row r="31" spans="2:21" s="183" customFormat="1">
      <c r="C31" s="183" t="s">
        <v>773</v>
      </c>
      <c r="J31" s="517">
        <f>J30/2</f>
        <v>0.25</v>
      </c>
      <c r="K31" s="517">
        <f>J31*2+K30/2</f>
        <v>1</v>
      </c>
      <c r="L31" s="517">
        <f>K31+L30</f>
        <v>2</v>
      </c>
      <c r="M31" s="517">
        <f>L31+M30</f>
        <v>3</v>
      </c>
      <c r="N31" s="517">
        <f>M31+N30</f>
        <v>4</v>
      </c>
      <c r="R31" s="518" t="s">
        <v>778</v>
      </c>
      <c r="S31" s="518"/>
      <c r="T31" s="518"/>
      <c r="U31" s="519">
        <f>U39</f>
        <v>8.2299999999999998E-2</v>
      </c>
    </row>
    <row r="32" spans="2:21" s="183" customFormat="1">
      <c r="C32" s="183" t="s">
        <v>774</v>
      </c>
      <c r="J32" s="517">
        <f>1/(1+$U$31)^J31</f>
        <v>0.98042208449250312</v>
      </c>
      <c r="K32" s="517">
        <f>1/(1+$U$31)^K31</f>
        <v>0.92395823708768365</v>
      </c>
      <c r="L32" s="517">
        <f>1/(1+$U$31)^L31</f>
        <v>0.85369882388218021</v>
      </c>
      <c r="M32" s="517">
        <f>1/(1+$U$31)^M31</f>
        <v>0.78878206031800802</v>
      </c>
      <c r="N32" s="517">
        <f>1/(1+$U$31)^N31</f>
        <v>0.72880168189781769</v>
      </c>
      <c r="R32" s="518" t="s">
        <v>779</v>
      </c>
      <c r="S32" s="518"/>
      <c r="T32" s="518"/>
      <c r="U32" s="519">
        <f>U40</f>
        <v>3.4734909412582331E-2</v>
      </c>
    </row>
    <row r="33" spans="2:24" ht="13.8" thickBot="1">
      <c r="B33" s="232" t="s">
        <v>784</v>
      </c>
      <c r="C33" s="232"/>
      <c r="D33" s="232"/>
      <c r="E33" s="232"/>
      <c r="F33" s="232"/>
      <c r="G33" s="232"/>
      <c r="H33" s="232"/>
      <c r="I33" s="232"/>
      <c r="J33" s="232">
        <f>J29*J32</f>
        <v>2432.5744610456113</v>
      </c>
      <c r="K33" s="232">
        <f>K29*K32</f>
        <v>18642.445897118159</v>
      </c>
      <c r="L33" s="232">
        <f>L29*L32</f>
        <v>67330.813123019747</v>
      </c>
      <c r="M33" s="232">
        <f>M29*M32</f>
        <v>120769.7205277443</v>
      </c>
      <c r="N33" s="232">
        <f>N29*N32</f>
        <v>121401.618556053</v>
      </c>
      <c r="R33" s="520" t="s">
        <v>780</v>
      </c>
      <c r="S33" s="520"/>
      <c r="T33" s="520"/>
      <c r="U33" s="521">
        <f>U31-U32</f>
        <v>4.7565090587417667E-2</v>
      </c>
    </row>
    <row r="34" spans="2:24">
      <c r="B34" s="139" t="s">
        <v>785</v>
      </c>
      <c r="R34" s="522" t="s">
        <v>781</v>
      </c>
      <c r="S34" s="522"/>
      <c r="T34" s="522"/>
      <c r="U34" s="523">
        <f>U30/U33</f>
        <v>3692135.9581138385</v>
      </c>
    </row>
    <row r="35" spans="2:24">
      <c r="R35" s="524" t="s">
        <v>782</v>
      </c>
      <c r="S35" s="524"/>
      <c r="T35" s="524"/>
      <c r="U35" s="525">
        <f>N32</f>
        <v>0.72880168189781769</v>
      </c>
    </row>
    <row r="36" spans="2:24" ht="13.8" thickBot="1">
      <c r="B36" s="139" t="s">
        <v>786</v>
      </c>
      <c r="L36" s="139">
        <f>SUM(J33:N33)</f>
        <v>330577.17256498081</v>
      </c>
      <c r="R36" s="526" t="s">
        <v>783</v>
      </c>
      <c r="S36" s="526"/>
      <c r="T36" s="526"/>
      <c r="U36" s="527">
        <f>U34*U35</f>
        <v>2690834.896068776</v>
      </c>
    </row>
    <row r="37" spans="2:24">
      <c r="B37" s="139" t="s">
        <v>787</v>
      </c>
      <c r="L37" s="139">
        <f>U36</f>
        <v>2690834.896068776</v>
      </c>
    </row>
    <row r="38" spans="2:24">
      <c r="B38" s="168" t="s">
        <v>788</v>
      </c>
      <c r="C38" s="168"/>
      <c r="D38" s="168"/>
      <c r="E38" s="168"/>
      <c r="F38" s="168"/>
      <c r="G38" s="168"/>
      <c r="H38" s="168"/>
      <c r="I38" s="168"/>
      <c r="J38" s="168"/>
      <c r="K38" s="168"/>
      <c r="L38" s="168">
        <f>L36+L37</f>
        <v>3021412.0686337566</v>
      </c>
      <c r="M38" s="278"/>
      <c r="N38" s="278"/>
    </row>
    <row r="39" spans="2:24">
      <c r="B39" s="139" t="s">
        <v>789</v>
      </c>
      <c r="L39" s="139">
        <v>0</v>
      </c>
      <c r="R39" s="139" t="s">
        <v>778</v>
      </c>
      <c r="U39" s="528">
        <f>CTRL!F51</f>
        <v>8.2299999999999998E-2</v>
      </c>
    </row>
    <row r="40" spans="2:24">
      <c r="B40" s="168" t="s">
        <v>790</v>
      </c>
      <c r="C40" s="168"/>
      <c r="D40" s="168"/>
      <c r="E40" s="168"/>
      <c r="F40" s="168"/>
      <c r="G40" s="168"/>
      <c r="H40" s="168"/>
      <c r="I40" s="168"/>
      <c r="J40" s="168"/>
      <c r="K40" s="168"/>
      <c r="L40" s="168">
        <f>L38+L39</f>
        <v>3021412.0686337566</v>
      </c>
      <c r="R40" s="139" t="s">
        <v>779</v>
      </c>
      <c r="U40" s="528">
        <v>3.4734909412582331E-2</v>
      </c>
    </row>
    <row r="41" spans="2:24">
      <c r="B41" s="139" t="s">
        <v>792</v>
      </c>
      <c r="L41" s="139">
        <v>0</v>
      </c>
    </row>
    <row r="42" spans="2:24" ht="13.8" thickBot="1">
      <c r="B42" s="232" t="s">
        <v>791</v>
      </c>
      <c r="C42" s="232"/>
      <c r="D42" s="232"/>
      <c r="E42" s="232"/>
      <c r="F42" s="232"/>
      <c r="G42" s="232"/>
      <c r="H42" s="232"/>
      <c r="I42" s="232"/>
      <c r="J42" s="232"/>
      <c r="K42" s="232"/>
      <c r="L42" s="232">
        <f>L40-L41</f>
        <v>3021412.0686337566</v>
      </c>
    </row>
    <row r="43" spans="2:24">
      <c r="B43" s="139" t="s">
        <v>793</v>
      </c>
    </row>
    <row r="46" spans="2:24" ht="15.6">
      <c r="H46" s="529" t="s">
        <v>794</v>
      </c>
    </row>
    <row r="47" spans="2:24">
      <c r="J47" s="530" t="s">
        <v>795</v>
      </c>
      <c r="K47" s="530"/>
      <c r="L47" s="530"/>
      <c r="M47" s="530"/>
      <c r="N47" s="530"/>
      <c r="T47" s="528">
        <f>U47-0.5%</f>
        <v>7.2299999999999989E-2</v>
      </c>
      <c r="U47" s="528">
        <f>V47-0.5%</f>
        <v>7.7299999999999994E-2</v>
      </c>
      <c r="V47" s="528">
        <f>U31</f>
        <v>8.2299999999999998E-2</v>
      </c>
      <c r="W47" s="528">
        <f>V47+0.5%</f>
        <v>8.7300000000000003E-2</v>
      </c>
      <c r="X47" s="528">
        <f>W47+0.5%</f>
        <v>9.2300000000000007E-2</v>
      </c>
    </row>
    <row r="48" spans="2:24" ht="13.8" thickBot="1">
      <c r="I48" s="531"/>
      <c r="J48" s="532">
        <f>K48-0.5%</f>
        <v>7.2299999999999989E-2</v>
      </c>
      <c r="K48" s="532">
        <f>L48-0.5%</f>
        <v>7.7299999999999994E-2</v>
      </c>
      <c r="L48" s="533">
        <f>U39</f>
        <v>8.2299999999999998E-2</v>
      </c>
      <c r="M48" s="532">
        <f>L48+0.5%</f>
        <v>8.7300000000000003E-2</v>
      </c>
      <c r="N48" s="532">
        <f>M48+0.5%</f>
        <v>9.2300000000000007E-2</v>
      </c>
      <c r="S48" s="139">
        <f>$L$38</f>
        <v>3021412.0686337566</v>
      </c>
      <c r="T48" s="534">
        <v>7.2299999999999989E-2</v>
      </c>
      <c r="U48" s="534">
        <v>7.7299999999999994E-2</v>
      </c>
      <c r="V48" s="534">
        <v>8.2299999999999998E-2</v>
      </c>
      <c r="W48" s="534">
        <v>8.7300000000000003E-2</v>
      </c>
      <c r="X48" s="534">
        <v>9.2300000000000007E-2</v>
      </c>
    </row>
    <row r="49" spans="8:24">
      <c r="I49" s="532">
        <f>S49</f>
        <v>2.4734909412582329E-2</v>
      </c>
      <c r="J49" s="535">
        <f t="shared" ref="J49:N53" si="12">T49</f>
        <v>3105727.3363210335</v>
      </c>
      <c r="K49" s="536">
        <f t="shared" si="12"/>
        <v>2791744.9183456716</v>
      </c>
      <c r="L49" s="536">
        <f t="shared" si="12"/>
        <v>2532538.9003914567</v>
      </c>
      <c r="M49" s="536">
        <f t="shared" si="12"/>
        <v>2314972.5683577703</v>
      </c>
      <c r="N49" s="536">
        <f t="shared" si="12"/>
        <v>2129797.9085146412</v>
      </c>
      <c r="R49" s="537">
        <f>R50-0.5%</f>
        <v>2.4734909412582329E-2</v>
      </c>
      <c r="S49" s="534">
        <v>2.4734909412582329E-2</v>
      </c>
      <c r="T49" s="139">
        <f t="dataTable" ref="T49:X53" dt2D="1" dtr="1" r1="U39" r2="U40"/>
        <v>3105727.3363210335</v>
      </c>
      <c r="U49" s="139">
        <v>2791744.9183456716</v>
      </c>
      <c r="V49" s="139">
        <v>2532538.9003914567</v>
      </c>
      <c r="W49" s="139">
        <v>2314972.5683577703</v>
      </c>
      <c r="X49" s="139">
        <v>2129797.9085146412</v>
      </c>
    </row>
    <row r="50" spans="8:24">
      <c r="H50" s="538" t="s">
        <v>797</v>
      </c>
      <c r="I50" s="532">
        <f t="shared" ref="I50:I53" si="13">S50</f>
        <v>2.973490941258233E-2</v>
      </c>
      <c r="J50" s="539">
        <f t="shared" si="12"/>
        <v>3445646.8380046971</v>
      </c>
      <c r="K50" s="139">
        <f t="shared" si="12"/>
        <v>3063180.0436710501</v>
      </c>
      <c r="L50" s="139">
        <f t="shared" si="12"/>
        <v>2753724.6367170867</v>
      </c>
      <c r="M50" s="139">
        <f t="shared" si="12"/>
        <v>2498251.3732020576</v>
      </c>
      <c r="N50" s="139">
        <f t="shared" si="12"/>
        <v>2283814.127923267</v>
      </c>
      <c r="R50" s="537">
        <f>R51-0.5%</f>
        <v>2.973490941258233E-2</v>
      </c>
      <c r="S50" s="534">
        <v>2.973490941258233E-2</v>
      </c>
      <c r="T50" s="139">
        <v>3445646.8380046971</v>
      </c>
      <c r="U50" s="139">
        <v>3063180.0436710501</v>
      </c>
      <c r="V50" s="139">
        <v>2753724.6367170867</v>
      </c>
      <c r="W50" s="139">
        <v>2498251.3732020576</v>
      </c>
      <c r="X50" s="139">
        <v>2283814.127923267</v>
      </c>
    </row>
    <row r="51" spans="8:24">
      <c r="H51" s="538" t="s">
        <v>796</v>
      </c>
      <c r="I51" s="532">
        <f t="shared" si="13"/>
        <v>3.4734909412582331E-2</v>
      </c>
      <c r="J51" s="539">
        <f t="shared" si="12"/>
        <v>3876054.4754463835</v>
      </c>
      <c r="K51" s="139">
        <f t="shared" si="12"/>
        <v>3398384.5916804764</v>
      </c>
      <c r="L51" s="139">
        <f t="shared" si="12"/>
        <v>3021412.0686337566</v>
      </c>
      <c r="M51" s="139">
        <f t="shared" si="12"/>
        <v>2716397.1977349133</v>
      </c>
      <c r="N51" s="139">
        <f t="shared" si="12"/>
        <v>2464585.4896997726</v>
      </c>
      <c r="R51" s="537">
        <f>U32</f>
        <v>3.4734909412582331E-2</v>
      </c>
      <c r="S51" s="534">
        <v>3.4734909412582331E-2</v>
      </c>
      <c r="T51" s="139">
        <v>3876054.4754463835</v>
      </c>
      <c r="U51" s="139">
        <v>3398384.5916804764</v>
      </c>
      <c r="V51" s="139">
        <v>3021412.0686337566</v>
      </c>
      <c r="W51" s="139">
        <v>2716397.1977349133</v>
      </c>
      <c r="X51" s="139">
        <v>2464585.4896997726</v>
      </c>
    </row>
    <row r="52" spans="8:24">
      <c r="I52" s="532">
        <f t="shared" si="13"/>
        <v>3.9734909412582328E-2</v>
      </c>
      <c r="J52" s="539">
        <f t="shared" si="12"/>
        <v>4438630.526879211</v>
      </c>
      <c r="K52" s="139">
        <f t="shared" si="12"/>
        <v>3822822.1330802343</v>
      </c>
      <c r="L52" s="139">
        <f t="shared" si="12"/>
        <v>3351988.4614858925</v>
      </c>
      <c r="M52" s="139">
        <f t="shared" si="12"/>
        <v>2980405.6122132116</v>
      </c>
      <c r="N52" s="139">
        <f t="shared" si="12"/>
        <v>2679746.8543767529</v>
      </c>
      <c r="R52" s="537">
        <f>R51+0.5%</f>
        <v>3.9734909412582328E-2</v>
      </c>
      <c r="S52" s="534">
        <v>3.9734909412582328E-2</v>
      </c>
      <c r="T52" s="139">
        <v>4438630.526879211</v>
      </c>
      <c r="U52" s="139">
        <v>3822822.1330802343</v>
      </c>
      <c r="V52" s="139">
        <v>3351988.4614858925</v>
      </c>
      <c r="W52" s="139">
        <v>2980405.6122132116</v>
      </c>
      <c r="X52" s="139">
        <v>2679746.8543767529</v>
      </c>
    </row>
    <row r="53" spans="8:24">
      <c r="I53" s="532">
        <f t="shared" si="13"/>
        <v>4.4734909412582326E-2</v>
      </c>
      <c r="J53" s="539">
        <f t="shared" si="12"/>
        <v>5205296.6209871117</v>
      </c>
      <c r="K53" s="139">
        <f t="shared" si="12"/>
        <v>4377594.8075146759</v>
      </c>
      <c r="L53" s="139">
        <f t="shared" si="12"/>
        <v>3770565.8115253551</v>
      </c>
      <c r="M53" s="139">
        <f t="shared" si="12"/>
        <v>3306438.6602197988</v>
      </c>
      <c r="N53" s="139">
        <f t="shared" si="12"/>
        <v>2940143.361470114</v>
      </c>
      <c r="R53" s="537">
        <f>R52+0.5%</f>
        <v>4.4734909412582326E-2</v>
      </c>
      <c r="S53" s="534">
        <v>4.4734909412582326E-2</v>
      </c>
      <c r="T53" s="139">
        <v>5205296.6209871117</v>
      </c>
      <c r="U53" s="139">
        <v>4377594.8075146759</v>
      </c>
      <c r="V53" s="139">
        <v>3770565.8115253551</v>
      </c>
      <c r="W53" s="139">
        <v>3306438.6602197988</v>
      </c>
      <c r="X53" s="139">
        <v>2940143.361470114</v>
      </c>
    </row>
  </sheetData>
  <phoneticPr fontId="33"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pageSetUpPr fitToPage="1"/>
  </sheetPr>
  <dimension ref="B1:L65"/>
  <sheetViews>
    <sheetView tabSelected="1" topLeftCell="A45" workbookViewId="0">
      <selection activeCell="R17" sqref="R17"/>
    </sheetView>
  </sheetViews>
  <sheetFormatPr defaultColWidth="9.125" defaultRowHeight="13.2"/>
  <cols>
    <col min="1" max="1" width="2" style="139" customWidth="1"/>
    <col min="2" max="2" width="25.75" style="139" customWidth="1"/>
    <col min="3" max="12" width="12.75" style="139" customWidth="1"/>
    <col min="13" max="16384" width="9.125" style="139"/>
  </cols>
  <sheetData>
    <row r="1" spans="2:12" ht="17.399999999999999">
      <c r="B1" s="153" t="s">
        <v>798</v>
      </c>
    </row>
    <row r="3" spans="2:12" s="156" customFormat="1">
      <c r="B3" s="156" t="s">
        <v>799</v>
      </c>
    </row>
    <row r="4" spans="2:12">
      <c r="B4" s="139" t="s">
        <v>1350</v>
      </c>
    </row>
    <row r="6" spans="2:12" ht="40.200000000000003" thickBot="1">
      <c r="B6" s="457" t="s">
        <v>818</v>
      </c>
      <c r="C6" s="458" t="s">
        <v>800</v>
      </c>
      <c r="D6" s="458" t="s">
        <v>801</v>
      </c>
      <c r="E6" s="459" t="s">
        <v>802</v>
      </c>
      <c r="F6" s="459" t="s">
        <v>803</v>
      </c>
      <c r="G6" s="459" t="s">
        <v>804</v>
      </c>
      <c r="H6" s="459" t="s">
        <v>805</v>
      </c>
      <c r="I6" s="459" t="s">
        <v>806</v>
      </c>
      <c r="J6" s="460" t="s">
        <v>819</v>
      </c>
      <c r="K6" s="460" t="s">
        <v>820</v>
      </c>
      <c r="L6" s="459" t="s">
        <v>807</v>
      </c>
    </row>
    <row r="7" spans="2:12" ht="12.75" customHeight="1">
      <c r="B7" s="139" t="s">
        <v>1349</v>
      </c>
      <c r="C7" s="139" t="s">
        <v>1348</v>
      </c>
      <c r="D7" s="139" t="s">
        <v>1338</v>
      </c>
      <c r="E7" s="139">
        <v>0</v>
      </c>
      <c r="F7" s="139">
        <v>537000</v>
      </c>
      <c r="G7" s="461">
        <f>E7/F7</f>
        <v>0</v>
      </c>
      <c r="H7" s="461">
        <f>E7/(E7+F7)</f>
        <v>0</v>
      </c>
      <c r="I7" s="461">
        <v>0.24199999999999999</v>
      </c>
      <c r="J7" s="311">
        <v>0.63</v>
      </c>
      <c r="K7" s="363">
        <f>J7/(1+(1-I7)*G7)</f>
        <v>0.63</v>
      </c>
      <c r="L7" s="165" t="s">
        <v>1347</v>
      </c>
    </row>
    <row r="8" spans="2:12">
      <c r="B8" s="139" t="s">
        <v>1346</v>
      </c>
      <c r="C8" s="139" t="s">
        <v>1345</v>
      </c>
      <c r="D8" s="139" t="s">
        <v>1338</v>
      </c>
      <c r="E8" s="139">
        <v>0</v>
      </c>
      <c r="F8" s="139">
        <v>323187</v>
      </c>
      <c r="G8" s="461">
        <f>E8/F8</f>
        <v>0</v>
      </c>
      <c r="H8" s="461">
        <f>E8/(E8+F8)</f>
        <v>0</v>
      </c>
      <c r="I8" s="461">
        <v>0.24199999999999999</v>
      </c>
      <c r="J8" s="311">
        <v>1.268</v>
      </c>
      <c r="K8" s="363">
        <f>J8/(1+(1-I8)*G8)</f>
        <v>1.268</v>
      </c>
      <c r="L8" s="165" t="s">
        <v>1337</v>
      </c>
    </row>
    <row r="9" spans="2:12">
      <c r="B9" s="139" t="s">
        <v>1344</v>
      </c>
      <c r="C9" s="139" t="s">
        <v>1343</v>
      </c>
      <c r="D9" s="139" t="s">
        <v>1338</v>
      </c>
      <c r="E9" s="139">
        <v>70381.010414999997</v>
      </c>
      <c r="F9" s="139">
        <v>810470</v>
      </c>
      <c r="G9" s="461">
        <f>E9/F9</f>
        <v>8.6839747819166646E-2</v>
      </c>
      <c r="H9" s="461">
        <f>E9/(E9+F9)</f>
        <v>7.9901151934696671E-2</v>
      </c>
      <c r="I9" s="461">
        <v>0.24199999999999999</v>
      </c>
      <c r="J9" s="311">
        <v>0.255</v>
      </c>
      <c r="K9" s="363">
        <f>J9/(1+(1-I9)*G9)</f>
        <v>0.23925138997868065</v>
      </c>
      <c r="L9" s="165" t="s">
        <v>1337</v>
      </c>
    </row>
    <row r="10" spans="2:12">
      <c r="B10" s="139" t="s">
        <v>1342</v>
      </c>
      <c r="C10" s="139" t="s">
        <v>1341</v>
      </c>
      <c r="D10" s="139" t="s">
        <v>1338</v>
      </c>
      <c r="E10" s="139">
        <v>2892931.0353990002</v>
      </c>
      <c r="F10" s="139">
        <v>2603485</v>
      </c>
      <c r="G10" s="461">
        <f>E10/F10</f>
        <v>1.1111763791222151</v>
      </c>
      <c r="H10" s="461">
        <f>E10/(E10+F10)</f>
        <v>0.52633043364392884</v>
      </c>
      <c r="I10" s="461">
        <v>0.24199999999999999</v>
      </c>
      <c r="J10" s="311">
        <v>1.004</v>
      </c>
      <c r="K10" s="363">
        <f>J10/(1+(1-I10)*G10)</f>
        <v>0.54497933313567493</v>
      </c>
      <c r="L10" s="165" t="s">
        <v>1337</v>
      </c>
    </row>
    <row r="11" spans="2:12">
      <c r="B11" s="139" t="s">
        <v>1340</v>
      </c>
      <c r="C11" s="139" t="s">
        <v>1339</v>
      </c>
      <c r="D11" s="139" t="s">
        <v>1338</v>
      </c>
      <c r="E11" s="139">
        <v>453010.38842899998</v>
      </c>
      <c r="F11" s="139">
        <v>749109</v>
      </c>
      <c r="G11" s="461">
        <f>E11/F11</f>
        <v>0.60473227317920353</v>
      </c>
      <c r="H11" s="461">
        <f>E11/(E11+F11)</f>
        <v>0.3768430929485469</v>
      </c>
      <c r="I11" s="461">
        <v>0.24199999999999999</v>
      </c>
      <c r="J11" s="311">
        <v>0.91800000000000004</v>
      </c>
      <c r="K11" s="363">
        <f>J11/(1+(1-I11)*G11)</f>
        <v>0.62946252284194915</v>
      </c>
      <c r="L11" s="165" t="s">
        <v>1337</v>
      </c>
    </row>
    <row r="12" spans="2:12">
      <c r="B12" s="430" t="s">
        <v>1336</v>
      </c>
      <c r="C12" s="462"/>
      <c r="D12" s="462"/>
      <c r="E12" s="462"/>
      <c r="F12" s="462"/>
      <c r="G12" s="463">
        <f>H12/(1-H12)</f>
        <v>0.24473312293660535</v>
      </c>
      <c r="H12" s="463">
        <f>AVERAGE(H7:H11)</f>
        <v>0.19661493570543448</v>
      </c>
      <c r="I12" s="463"/>
      <c r="J12" s="464">
        <f>AVERAGE(J7:J11)</f>
        <v>0.81500000000000006</v>
      </c>
      <c r="K12" s="464">
        <f>AVERAGE(K7:K11)</f>
        <v>0.66233864919126095</v>
      </c>
      <c r="L12" s="464"/>
    </row>
    <row r="13" spans="2:12">
      <c r="B13" s="433" t="s">
        <v>1335</v>
      </c>
      <c r="C13" s="465"/>
      <c r="D13" s="465"/>
      <c r="E13" s="465"/>
      <c r="F13" s="465"/>
      <c r="G13" s="466">
        <f>H13/(1-H13)</f>
        <v>8.683974781916666E-2</v>
      </c>
      <c r="H13" s="467">
        <f>MEDIAN(H7:H11)</f>
        <v>7.9901151934696671E-2</v>
      </c>
      <c r="I13" s="467"/>
      <c r="J13" s="468">
        <f>MEDIAN(J7:J11)</f>
        <v>0.91800000000000004</v>
      </c>
      <c r="K13" s="469">
        <f>MEDIAN(K7:K11)</f>
        <v>0.62946252284194915</v>
      </c>
    </row>
    <row r="14" spans="2:12" ht="13.8" thickBot="1">
      <c r="B14" s="434" t="s">
        <v>1334</v>
      </c>
      <c r="C14" s="470"/>
      <c r="D14" s="470"/>
      <c r="E14" s="470"/>
      <c r="F14" s="470"/>
      <c r="G14" s="471">
        <f>G13</f>
        <v>8.683974781916666E-2</v>
      </c>
      <c r="H14" s="471">
        <f>H13</f>
        <v>7.9901151934696671E-2</v>
      </c>
      <c r="I14" s="472"/>
      <c r="J14" s="471">
        <f>J13</f>
        <v>0.91800000000000004</v>
      </c>
      <c r="K14" s="471">
        <f>K13</f>
        <v>0.62946252284194915</v>
      </c>
    </row>
    <row r="16" spans="2:12" ht="13.8" thickBot="1">
      <c r="B16" s="473" t="s">
        <v>1333</v>
      </c>
      <c r="C16" s="474"/>
      <c r="D16" s="475"/>
      <c r="E16" s="474" t="s">
        <v>1332</v>
      </c>
      <c r="F16" s="474"/>
      <c r="G16" s="474"/>
      <c r="H16" s="474"/>
      <c r="I16" s="474"/>
      <c r="J16" s="474"/>
      <c r="K16" s="474"/>
    </row>
    <row r="17" spans="2:11">
      <c r="B17" s="432" t="s">
        <v>1331</v>
      </c>
      <c r="C17" s="476">
        <v>2.3800000000000002E-2</v>
      </c>
      <c r="D17" s="477"/>
      <c r="E17" s="478" t="s">
        <v>1330</v>
      </c>
      <c r="F17" s="477"/>
      <c r="G17" s="477"/>
      <c r="H17" s="477"/>
      <c r="I17" s="477"/>
      <c r="J17" s="477"/>
      <c r="K17" s="479"/>
    </row>
    <row r="18" spans="2:11">
      <c r="B18" s="432" t="s">
        <v>1329</v>
      </c>
      <c r="C18" s="476">
        <v>9.0560000000000002E-2</v>
      </c>
      <c r="D18" s="477"/>
      <c r="E18" s="478" t="s">
        <v>1328</v>
      </c>
      <c r="F18" s="477"/>
      <c r="G18" s="477"/>
      <c r="H18" s="477"/>
      <c r="I18" s="477"/>
      <c r="J18" s="477"/>
      <c r="K18" s="479"/>
    </row>
    <row r="19" spans="2:11">
      <c r="B19" s="432" t="s">
        <v>1430</v>
      </c>
      <c r="C19" s="480">
        <f>K14*(1+(1-C24)*G14)</f>
        <v>0.67089659683481928</v>
      </c>
      <c r="D19" s="477"/>
      <c r="E19" s="478" t="s">
        <v>1431</v>
      </c>
      <c r="F19" s="477"/>
      <c r="G19" s="477"/>
      <c r="H19" s="477"/>
      <c r="I19" s="477"/>
      <c r="J19" s="477"/>
      <c r="K19" s="479"/>
    </row>
    <row r="20" spans="2:11">
      <c r="B20" s="481" t="s">
        <v>1327</v>
      </c>
      <c r="C20" s="482">
        <v>0</v>
      </c>
      <c r="D20" s="483"/>
      <c r="E20" s="481" t="s">
        <v>1326</v>
      </c>
      <c r="F20" s="484"/>
      <c r="G20" s="484"/>
      <c r="H20" s="477"/>
      <c r="I20" s="477"/>
      <c r="J20" s="477"/>
      <c r="K20" s="479"/>
    </row>
    <row r="21" spans="2:11">
      <c r="B21" s="485" t="s">
        <v>1325</v>
      </c>
      <c r="C21" s="486">
        <f>C17+(C19*C18)+C20</f>
        <v>8.4556395809361237E-2</v>
      </c>
      <c r="D21" s="477"/>
      <c r="E21" s="478" t="s">
        <v>1324</v>
      </c>
      <c r="F21" s="477"/>
      <c r="G21" s="477"/>
      <c r="H21" s="477"/>
      <c r="I21" s="477"/>
      <c r="J21" s="477"/>
      <c r="K21" s="479"/>
    </row>
    <row r="22" spans="2:11">
      <c r="B22" s="487"/>
      <c r="C22" s="488"/>
      <c r="D22" s="477"/>
      <c r="E22" s="478"/>
      <c r="F22" s="477"/>
      <c r="G22" s="477"/>
      <c r="H22" s="477"/>
      <c r="I22" s="477"/>
      <c r="J22" s="477"/>
      <c r="K22" s="479"/>
    </row>
    <row r="23" spans="2:11">
      <c r="B23" s="432" t="s">
        <v>1323</v>
      </c>
      <c r="C23" s="489">
        <v>7.3889999999999997E-2</v>
      </c>
      <c r="D23" s="490"/>
      <c r="E23" s="478" t="s">
        <v>1322</v>
      </c>
      <c r="F23" s="477"/>
      <c r="G23" s="477"/>
      <c r="H23" s="477"/>
      <c r="I23" s="477"/>
      <c r="J23" s="477"/>
      <c r="K23" s="479"/>
    </row>
    <row r="24" spans="2:11">
      <c r="B24" s="491" t="s">
        <v>1321</v>
      </c>
      <c r="C24" s="492">
        <v>0.24199999999999999</v>
      </c>
      <c r="D24" s="490"/>
      <c r="E24" s="478" t="s">
        <v>1320</v>
      </c>
      <c r="F24" s="477"/>
      <c r="G24" s="477"/>
      <c r="H24" s="477"/>
      <c r="I24" s="477"/>
      <c r="J24" s="477"/>
      <c r="K24" s="479"/>
    </row>
    <row r="25" spans="2:11">
      <c r="B25" s="487" t="s">
        <v>1314</v>
      </c>
      <c r="C25" s="488">
        <f>ROUND(C23*(1-C24),4)</f>
        <v>5.6000000000000001E-2</v>
      </c>
      <c r="D25" s="477"/>
      <c r="E25" s="478" t="s">
        <v>1319</v>
      </c>
      <c r="F25" s="477"/>
      <c r="G25" s="477"/>
      <c r="H25" s="477"/>
      <c r="I25" s="477"/>
      <c r="J25" s="477"/>
      <c r="K25" s="479"/>
    </row>
    <row r="26" spans="2:11">
      <c r="B26" s="432"/>
      <c r="C26" s="493"/>
      <c r="D26" s="477"/>
      <c r="E26" s="477"/>
      <c r="F26" s="477"/>
      <c r="G26" s="477"/>
      <c r="H26" s="477"/>
      <c r="I26" s="477"/>
      <c r="J26" s="477"/>
      <c r="K26" s="479"/>
    </row>
    <row r="27" spans="2:11" ht="13.8" thickBot="1">
      <c r="B27" s="494" t="s">
        <v>1313</v>
      </c>
      <c r="C27" s="495"/>
      <c r="D27" s="495"/>
      <c r="E27" s="496" t="s">
        <v>1318</v>
      </c>
      <c r="F27" s="497" t="s">
        <v>1317</v>
      </c>
      <c r="G27" s="497" t="s">
        <v>1316</v>
      </c>
      <c r="H27" s="477"/>
      <c r="I27" s="477"/>
      <c r="J27" s="490"/>
      <c r="K27" s="479"/>
    </row>
    <row r="28" spans="2:11">
      <c r="B28" s="432" t="s">
        <v>1315</v>
      </c>
      <c r="C28" s="477"/>
      <c r="D28" s="477"/>
      <c r="E28" s="498">
        <f>C21</f>
        <v>8.4556395809361237E-2</v>
      </c>
      <c r="F28" s="498">
        <f>1-F29</f>
        <v>0.92009884806530329</v>
      </c>
      <c r="G28" s="498">
        <f>E28*F28</f>
        <v>7.7800242380747106E-2</v>
      </c>
      <c r="H28" s="477"/>
      <c r="I28" s="477"/>
      <c r="J28" s="477"/>
      <c r="K28" s="479"/>
    </row>
    <row r="29" spans="2:11">
      <c r="B29" s="432" t="s">
        <v>1314</v>
      </c>
      <c r="C29" s="477"/>
      <c r="D29" s="477"/>
      <c r="E29" s="498">
        <f>C25</f>
        <v>5.6000000000000001E-2</v>
      </c>
      <c r="F29" s="498">
        <f>H14</f>
        <v>7.9901151934696671E-2</v>
      </c>
      <c r="G29" s="498">
        <f>E29*F29</f>
        <v>4.4744645083430136E-3</v>
      </c>
      <c r="H29" s="477"/>
      <c r="I29" s="477"/>
      <c r="J29" s="477"/>
      <c r="K29" s="479"/>
    </row>
    <row r="30" spans="2:11" ht="13.8" thickBot="1">
      <c r="B30" s="434" t="s">
        <v>1313</v>
      </c>
      <c r="C30" s="499"/>
      <c r="D30" s="499"/>
      <c r="E30" s="500"/>
      <c r="F30" s="500"/>
      <c r="G30" s="500">
        <f>ROUND(SUM(G28:G29),4)</f>
        <v>8.2299999999999998E-2</v>
      </c>
      <c r="H30" s="477" t="s">
        <v>1312</v>
      </c>
      <c r="I30" s="477"/>
      <c r="J30" s="501"/>
      <c r="K30" s="479"/>
    </row>
    <row r="31" spans="2:11">
      <c r="B31" s="502" t="s">
        <v>1311</v>
      </c>
      <c r="C31" s="477"/>
      <c r="D31" s="477"/>
      <c r="E31" s="477"/>
      <c r="F31" s="477"/>
      <c r="G31" s="477"/>
      <c r="H31" s="477"/>
      <c r="I31" s="477"/>
      <c r="J31" s="477"/>
      <c r="K31" s="479"/>
    </row>
    <row r="32" spans="2:11">
      <c r="B32" s="432"/>
      <c r="C32" s="477"/>
      <c r="D32" s="477"/>
      <c r="E32" s="477"/>
      <c r="F32" s="477"/>
      <c r="G32" s="477"/>
      <c r="H32" s="477"/>
      <c r="I32" s="477"/>
      <c r="J32" s="477"/>
      <c r="K32" s="477"/>
    </row>
    <row r="33" spans="2:11">
      <c r="B33" s="432" t="s">
        <v>1432</v>
      </c>
      <c r="C33" s="477"/>
      <c r="D33" s="477"/>
      <c r="E33" s="477"/>
      <c r="F33" s="477"/>
      <c r="G33" s="477"/>
      <c r="H33" s="477"/>
      <c r="I33" s="477"/>
      <c r="J33" s="477"/>
      <c r="K33" s="477"/>
    </row>
    <row r="36" spans="2:11" s="156" customFormat="1">
      <c r="B36" s="156" t="s">
        <v>808</v>
      </c>
    </row>
    <row r="60" spans="2:6" ht="13.8" thickBot="1">
      <c r="B60" s="503"/>
      <c r="C60" s="504">
        <v>2013</v>
      </c>
      <c r="D60" s="504">
        <v>2016</v>
      </c>
      <c r="E60" s="505"/>
      <c r="F60" s="505"/>
    </row>
    <row r="61" spans="2:6">
      <c r="B61" s="505" t="s">
        <v>809</v>
      </c>
      <c r="C61" s="505">
        <v>2508936</v>
      </c>
      <c r="D61" s="505">
        <v>2788361</v>
      </c>
      <c r="E61" s="505" t="s">
        <v>810</v>
      </c>
      <c r="F61" s="505"/>
    </row>
    <row r="62" spans="2:6">
      <c r="B62" s="505" t="s">
        <v>811</v>
      </c>
      <c r="C62" s="505">
        <v>132995</v>
      </c>
      <c r="D62" s="505">
        <v>138545</v>
      </c>
      <c r="E62" s="505" t="s">
        <v>812</v>
      </c>
      <c r="F62" s="505"/>
    </row>
    <row r="63" spans="2:6" ht="13.8" thickBot="1">
      <c r="B63" s="506" t="s">
        <v>813</v>
      </c>
      <c r="C63" s="506">
        <f>SUM(C61:C62)</f>
        <v>2641931</v>
      </c>
      <c r="D63" s="506">
        <f>SUM(D61:D62)</f>
        <v>2926906</v>
      </c>
      <c r="E63" s="505"/>
      <c r="F63" s="505"/>
    </row>
    <row r="64" spans="2:6">
      <c r="B64" s="505"/>
      <c r="C64" s="505"/>
      <c r="D64" s="505"/>
      <c r="E64" s="505"/>
      <c r="F64" s="505"/>
    </row>
    <row r="65" spans="2:6" ht="13.8" thickBot="1">
      <c r="B65" s="507" t="s">
        <v>814</v>
      </c>
      <c r="C65" s="507"/>
      <c r="D65" s="508">
        <f>RATE(D60-C60, 0, -C63, D63)</f>
        <v>3.4734909412582331E-2</v>
      </c>
      <c r="E65" s="505"/>
      <c r="F65" s="505"/>
    </row>
  </sheetData>
  <phoneticPr fontId="24" type="noConversion"/>
  <conditionalFormatting sqref="B24:C24">
    <cfRule type="duplicateValues" dxfId="0" priority="1"/>
  </conditionalFormatting>
  <pageMargins left="0.6" right="0.6" top="1" bottom="1" header="0.5" footer="0.5"/>
  <pageSetup orientation="landscape" r:id="rId1"/>
  <headerFooter>
    <oddHeader>&amp;RDraft - Work in Progress</oddHeader>
    <oddFooter>&amp;L&amp;F
&amp;D, &amp;T&amp;CPage &amp;P of &amp;N&amp;R&amp;A</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70C0"/>
    <pageSetUpPr fitToPage="1"/>
  </sheetPr>
  <dimension ref="A1:S107"/>
  <sheetViews>
    <sheetView tabSelected="1" topLeftCell="A47" workbookViewId="0">
      <selection activeCell="R17" sqref="R17"/>
    </sheetView>
  </sheetViews>
  <sheetFormatPr defaultColWidth="9.125" defaultRowHeight="13.2"/>
  <cols>
    <col min="1" max="1" width="2" style="139" customWidth="1"/>
    <col min="2" max="6" width="2.25" style="139" customWidth="1"/>
    <col min="7" max="14" width="9.125" style="139"/>
    <col min="15" max="16" width="2.25" style="139" customWidth="1"/>
    <col min="17" max="16384" width="9.125" style="139"/>
  </cols>
  <sheetData>
    <row r="1" spans="2:14" ht="17.399999999999999">
      <c r="B1" s="153" t="s">
        <v>692</v>
      </c>
    </row>
    <row r="3" spans="2:14" s="156" customFormat="1">
      <c r="B3" s="156" t="s">
        <v>702</v>
      </c>
    </row>
    <row r="5" spans="2:14" ht="13.8" thickBot="1">
      <c r="B5" s="157" t="s">
        <v>384</v>
      </c>
      <c r="C5" s="154"/>
      <c r="D5" s="154"/>
      <c r="E5" s="154"/>
      <c r="F5" s="154"/>
      <c r="G5" s="154"/>
      <c r="H5" s="154"/>
      <c r="I5" s="154" t="s">
        <v>1261</v>
      </c>
      <c r="J5" s="154" t="s">
        <v>379</v>
      </c>
      <c r="K5" s="154" t="s">
        <v>642</v>
      </c>
      <c r="L5" s="154" t="s">
        <v>643</v>
      </c>
      <c r="M5" s="154" t="s">
        <v>644</v>
      </c>
      <c r="N5" s="154" t="s">
        <v>645</v>
      </c>
    </row>
    <row r="6" spans="2:14" s="155" customFormat="1">
      <c r="B6" s="155" t="s">
        <v>647</v>
      </c>
      <c r="J6" s="155">
        <f>IS!BQ7</f>
        <v>76660.000672442373</v>
      </c>
      <c r="K6" s="155">
        <f>IS!BR7</f>
        <v>204774.97274344892</v>
      </c>
      <c r="L6" s="155">
        <f>IS!BS7</f>
        <v>351501.44967243657</v>
      </c>
      <c r="M6" s="155">
        <f>IS!BT7</f>
        <v>531288.29546267656</v>
      </c>
      <c r="N6" s="155">
        <f>IS!BU7</f>
        <v>565495.98081451666</v>
      </c>
    </row>
    <row r="7" spans="2:14" s="155" customFormat="1">
      <c r="B7" s="155" t="s">
        <v>646</v>
      </c>
      <c r="J7" s="155">
        <f>IS!BQ21</f>
        <v>44493.297479428576</v>
      </c>
      <c r="K7" s="155">
        <f>IS!BR21</f>
        <v>124621.20071885714</v>
      </c>
      <c r="L7" s="155">
        <f>IS!BS21</f>
        <v>175242.88591085715</v>
      </c>
      <c r="M7" s="155">
        <f>IS!BT21</f>
        <v>236908.98301942853</v>
      </c>
      <c r="N7" s="155">
        <f>IS!BU21</f>
        <v>253449.64103085711</v>
      </c>
    </row>
    <row r="8" spans="2:14" s="155" customFormat="1">
      <c r="B8" s="168" t="s">
        <v>1429</v>
      </c>
      <c r="C8" s="168"/>
      <c r="D8" s="168"/>
      <c r="E8" s="168"/>
      <c r="F8" s="168"/>
      <c r="G8" s="168"/>
      <c r="H8" s="168"/>
      <c r="I8" s="168"/>
      <c r="J8" s="168">
        <f>J6-J7</f>
        <v>32166.703193013796</v>
      </c>
      <c r="K8" s="168">
        <f>K6-K7</f>
        <v>80153.772024591774</v>
      </c>
      <c r="L8" s="168">
        <f>L6-L7</f>
        <v>176258.56376157943</v>
      </c>
      <c r="M8" s="168">
        <f>M6-M7</f>
        <v>294379.312443248</v>
      </c>
      <c r="N8" s="168">
        <f>N6-N7</f>
        <v>312046.33978365955</v>
      </c>
    </row>
    <row r="9" spans="2:14" s="155" customFormat="1">
      <c r="B9" s="155" t="s">
        <v>648</v>
      </c>
      <c r="J9" s="155">
        <f>J10+J11+J12</f>
        <v>17503.305487600002</v>
      </c>
      <c r="K9" s="155">
        <f>K10+K11+K12</f>
        <v>47813.641161199979</v>
      </c>
      <c r="L9" s="155">
        <f>L10+L11+L12</f>
        <v>68677.276048799991</v>
      </c>
      <c r="M9" s="155">
        <f>M10+M11+M12</f>
        <v>90967.555670800008</v>
      </c>
      <c r="N9" s="155">
        <f>N10+N11+N12</f>
        <v>98754.745420799984</v>
      </c>
    </row>
    <row r="10" spans="2:14">
      <c r="C10" s="139" t="s">
        <v>649</v>
      </c>
      <c r="J10" s="139">
        <f>IS!BQ48</f>
        <v>4268.6336000000001</v>
      </c>
      <c r="K10" s="139">
        <f>IS!BR48</f>
        <v>13077.942399999994</v>
      </c>
      <c r="L10" s="139">
        <f>IS!BS48</f>
        <v>20132.975999999999</v>
      </c>
      <c r="M10" s="139">
        <f>IS!BT48</f>
        <v>27788.48959999999</v>
      </c>
      <c r="N10" s="139">
        <f>IS!BU48</f>
        <v>30069.567999999988</v>
      </c>
    </row>
    <row r="11" spans="2:14">
      <c r="C11" s="139" t="s">
        <v>650</v>
      </c>
      <c r="J11" s="139">
        <f>IS!BQ53</f>
        <v>12274.671887600001</v>
      </c>
      <c r="K11" s="139">
        <f>IS!BR53</f>
        <v>32555.698761199987</v>
      </c>
      <c r="L11" s="139">
        <f>IS!BS53</f>
        <v>44884.300048799996</v>
      </c>
      <c r="M11" s="139">
        <f>IS!BT53</f>
        <v>57779.066070800014</v>
      </c>
      <c r="N11" s="139">
        <f>IS!BU53</f>
        <v>61085.177420799999</v>
      </c>
    </row>
    <row r="12" spans="2:14">
      <c r="C12" s="139" t="s">
        <v>651</v>
      </c>
      <c r="J12" s="139">
        <f>J13+J14</f>
        <v>960</v>
      </c>
      <c r="K12" s="139">
        <f>K13+K14</f>
        <v>2180</v>
      </c>
      <c r="L12" s="139">
        <f>L13+L14</f>
        <v>3660</v>
      </c>
      <c r="M12" s="139">
        <f>M13+M14</f>
        <v>5400</v>
      </c>
      <c r="N12" s="139">
        <f>N13+N14</f>
        <v>7600</v>
      </c>
    </row>
    <row r="13" spans="2:14">
      <c r="D13" s="139" t="s">
        <v>653</v>
      </c>
      <c r="J13" s="139">
        <f>Others!J12</f>
        <v>340</v>
      </c>
      <c r="K13" s="139">
        <f>Others!K12</f>
        <v>460</v>
      </c>
      <c r="L13" s="139">
        <f>Others!L12</f>
        <v>540</v>
      </c>
      <c r="M13" s="139">
        <f>Others!M12</f>
        <v>580</v>
      </c>
      <c r="N13" s="139">
        <f>Others!N12</f>
        <v>780</v>
      </c>
    </row>
    <row r="14" spans="2:14">
      <c r="D14" s="139" t="s">
        <v>652</v>
      </c>
      <c r="J14" s="139">
        <f>Others!J15</f>
        <v>620</v>
      </c>
      <c r="K14" s="139">
        <f>Others!K15</f>
        <v>1720</v>
      </c>
      <c r="L14" s="139">
        <f>Others!L15</f>
        <v>3120</v>
      </c>
      <c r="M14" s="139">
        <f>Others!M15</f>
        <v>4820</v>
      </c>
      <c r="N14" s="139">
        <f>Others!N15</f>
        <v>6820</v>
      </c>
    </row>
    <row r="15" spans="2:14" s="155" customFormat="1">
      <c r="B15" s="168" t="s">
        <v>654</v>
      </c>
      <c r="C15" s="168"/>
      <c r="D15" s="168"/>
      <c r="E15" s="168"/>
      <c r="F15" s="168"/>
      <c r="G15" s="168"/>
      <c r="H15" s="168"/>
      <c r="I15" s="168"/>
      <c r="J15" s="168">
        <f>J8-J9</f>
        <v>14663.397705413794</v>
      </c>
      <c r="K15" s="168">
        <f>K8-K9</f>
        <v>32340.130863391794</v>
      </c>
      <c r="L15" s="168">
        <f>L8-L9</f>
        <v>107581.28771277943</v>
      </c>
      <c r="M15" s="168">
        <f>M8-M9</f>
        <v>203411.75677244799</v>
      </c>
      <c r="N15" s="168">
        <f>N8-N9</f>
        <v>213291.59436285956</v>
      </c>
    </row>
    <row r="16" spans="2:14" s="155" customFormat="1">
      <c r="B16" s="155" t="s">
        <v>658</v>
      </c>
      <c r="J16" s="155">
        <f>'IRR &amp; FS'!O323</f>
        <v>0</v>
      </c>
      <c r="K16" s="155">
        <f>'IRR &amp; FS'!P323</f>
        <v>0</v>
      </c>
      <c r="L16" s="155">
        <f>'IRR &amp; FS'!Q323</f>
        <v>-1440</v>
      </c>
      <c r="M16" s="155">
        <f>'IRR &amp; FS'!R323</f>
        <v>-720</v>
      </c>
      <c r="N16" s="155">
        <f>'IRR &amp; FS'!S323</f>
        <v>0</v>
      </c>
    </row>
    <row r="17" spans="2:19">
      <c r="C17" s="139" t="s">
        <v>655</v>
      </c>
      <c r="J17" s="139">
        <f>'IRR &amp; FS'!O324</f>
        <v>0</v>
      </c>
      <c r="K17" s="139">
        <f>'IRR &amp; FS'!P324</f>
        <v>0</v>
      </c>
      <c r="L17" s="139">
        <f>'IRR &amp; FS'!Q324</f>
        <v>0</v>
      </c>
      <c r="M17" s="139">
        <f>'IRR &amp; FS'!R324</f>
        <v>0</v>
      </c>
      <c r="N17" s="139">
        <f>'IRR &amp; FS'!S324</f>
        <v>0</v>
      </c>
      <c r="Q17" s="139" t="s">
        <v>707</v>
      </c>
      <c r="R17" s="139" t="s">
        <v>708</v>
      </c>
      <c r="S17" s="139" t="s">
        <v>709</v>
      </c>
    </row>
    <row r="18" spans="2:19">
      <c r="C18" s="139" t="s">
        <v>656</v>
      </c>
      <c r="J18" s="139">
        <f>'IRR &amp; FS'!O325</f>
        <v>0</v>
      </c>
      <c r="K18" s="139">
        <f>'IRR &amp; FS'!P325</f>
        <v>0</v>
      </c>
      <c r="L18" s="139">
        <f>'IRR &amp; FS'!Q325</f>
        <v>-1440</v>
      </c>
      <c r="M18" s="139">
        <f>'IRR &amp; FS'!R325</f>
        <v>-720</v>
      </c>
      <c r="N18" s="139">
        <f>'IRR &amp; FS'!S325</f>
        <v>0</v>
      </c>
      <c r="Q18" s="280">
        <v>0</v>
      </c>
      <c r="R18" s="281">
        <v>0.11</v>
      </c>
      <c r="S18" s="282">
        <v>0</v>
      </c>
    </row>
    <row r="19" spans="2:19">
      <c r="C19" s="139" t="s">
        <v>657</v>
      </c>
      <c r="J19" s="139">
        <f>'IRR &amp; FS'!O326</f>
        <v>0</v>
      </c>
      <c r="K19" s="139">
        <f>'IRR &amp; FS'!P326</f>
        <v>0</v>
      </c>
      <c r="L19" s="139">
        <f>'IRR &amp; FS'!Q326</f>
        <v>0</v>
      </c>
      <c r="M19" s="139">
        <f>'IRR &amp; FS'!R326</f>
        <v>0</v>
      </c>
      <c r="N19" s="139">
        <f>'IRR &amp; FS'!S326</f>
        <v>0</v>
      </c>
      <c r="Q19" s="283">
        <v>200</v>
      </c>
      <c r="R19" s="284">
        <v>0.22</v>
      </c>
      <c r="S19" s="285">
        <f>Q19*(R19-R18)</f>
        <v>22</v>
      </c>
    </row>
    <row r="20" spans="2:19">
      <c r="C20" s="139" t="s">
        <v>648</v>
      </c>
      <c r="J20" s="139">
        <f>'IRR &amp; FS'!O327</f>
        <v>0</v>
      </c>
      <c r="K20" s="139">
        <f>'IRR &amp; FS'!P327</f>
        <v>0</v>
      </c>
      <c r="L20" s="139">
        <f>'IRR &amp; FS'!Q327</f>
        <v>0</v>
      </c>
      <c r="M20" s="139">
        <f>'IRR &amp; FS'!R327</f>
        <v>0</v>
      </c>
      <c r="N20" s="139">
        <f>'IRR &amp; FS'!S327</f>
        <v>0</v>
      </c>
      <c r="Q20" s="283">
        <v>20000</v>
      </c>
      <c r="R20" s="284">
        <v>0.24199999999999999</v>
      </c>
      <c r="S20" s="285">
        <f>Q19*(R20-R18)+(Q20-Q19)*(R20-R19)</f>
        <v>461.99999999999983</v>
      </c>
    </row>
    <row r="21" spans="2:19" s="155" customFormat="1">
      <c r="B21" s="168" t="s">
        <v>659</v>
      </c>
      <c r="C21" s="168"/>
      <c r="D21" s="168"/>
      <c r="E21" s="168"/>
      <c r="F21" s="168"/>
      <c r="G21" s="168"/>
      <c r="H21" s="168"/>
      <c r="I21" s="168"/>
      <c r="J21" s="168">
        <f>J15-J16</f>
        <v>14663.397705413794</v>
      </c>
      <c r="K21" s="168">
        <f>K15-K16</f>
        <v>32340.130863391794</v>
      </c>
      <c r="L21" s="168">
        <f>L15-L16</f>
        <v>109021.28771277943</v>
      </c>
      <c r="M21" s="168">
        <f>M15-M16</f>
        <v>204131.75677244799</v>
      </c>
      <c r="N21" s="168">
        <f>N15-N16</f>
        <v>213291.59436285956</v>
      </c>
      <c r="Q21" s="283">
        <v>300000</v>
      </c>
      <c r="R21" s="284">
        <v>0.27500000000000002</v>
      </c>
      <c r="S21" s="285">
        <f>(Q20-Q19)*(R21-R19)+(Q21-Q20)*(R21-R20)+Q19*(R21-R18)</f>
        <v>10362.000000000009</v>
      </c>
    </row>
    <row r="22" spans="2:19">
      <c r="B22" s="139" t="s">
        <v>660</v>
      </c>
      <c r="I22" s="238"/>
      <c r="J22" s="238">
        <f>J21*J23-VLOOKUP(J23,$R$18:$S$21,2,0)</f>
        <v>3203.9474951910347</v>
      </c>
      <c r="K22" s="238">
        <f>K21*K23-VLOOKUP(K23,$R$18:$S$21,2,0)</f>
        <v>7364.3116689408143</v>
      </c>
      <c r="L22" s="238">
        <f>L21*L23-VLOOKUP(L23,$R$18:$S$21,2,0)</f>
        <v>25921.151626492621</v>
      </c>
      <c r="M22" s="238">
        <f>M21*M23-VLOOKUP(M23,$R$18:$S$21,2,0)</f>
        <v>48937.885138932412</v>
      </c>
      <c r="N22" s="238">
        <f>N21*N23-VLOOKUP(N23,$R$18:$S$21,2,0)</f>
        <v>51154.565835812013</v>
      </c>
    </row>
    <row r="23" spans="2:19">
      <c r="C23" s="183" t="s">
        <v>1003</v>
      </c>
      <c r="I23" s="223"/>
      <c r="J23" s="223">
        <f>IF(J21&lt;$Q$19,$R$18,IF(J21&lt;$Q$20,$R$19,IF(J21&lt;$Q$21,$R$20,$R$21)))</f>
        <v>0.22</v>
      </c>
      <c r="K23" s="223">
        <f>IF(K21&lt;$Q$19,$R$18,IF(K21&lt;$Q$20,$R$19,IF(K21&lt;$Q$21,$R$20,$R$21)))</f>
        <v>0.24199999999999999</v>
      </c>
      <c r="L23" s="223">
        <f>IF(L21&lt;$Q$19,$R$18,IF(L21&lt;$Q$20,$R$19,IF(L21&lt;$Q$21,$R$20,$R$21)))</f>
        <v>0.24199999999999999</v>
      </c>
      <c r="M23" s="223">
        <f>IF(M21&lt;$Q$19,$R$18,IF(M21&lt;$Q$20,$R$19,IF(M21&lt;$Q$21,$R$20,$R$21)))</f>
        <v>0.24199999999999999</v>
      </c>
      <c r="N23" s="223">
        <f>IF(N21&lt;$Q$19,$R$18,IF(N21&lt;$Q$20,$R$19,IF(N21&lt;$Q$21,$R$20,$R$21)))</f>
        <v>0.24199999999999999</v>
      </c>
    </row>
    <row r="24" spans="2:19" s="155" customFormat="1" ht="13.8" thickBot="1">
      <c r="B24" s="232" t="s">
        <v>661</v>
      </c>
      <c r="C24" s="232"/>
      <c r="D24" s="232"/>
      <c r="E24" s="232"/>
      <c r="F24" s="232"/>
      <c r="G24" s="232"/>
      <c r="H24" s="232"/>
      <c r="I24" s="232"/>
      <c r="J24" s="232">
        <f>J21-J22</f>
        <v>11459.45021022276</v>
      </c>
      <c r="K24" s="232">
        <f>K21-K22</f>
        <v>24975.819194450982</v>
      </c>
      <c r="L24" s="232">
        <f>L21-L22</f>
        <v>83100.136086286817</v>
      </c>
      <c r="M24" s="232">
        <f>M21-M22</f>
        <v>155193.87163351558</v>
      </c>
      <c r="N24" s="232">
        <f>N21-N22</f>
        <v>162137.02852704754</v>
      </c>
    </row>
    <row r="29" spans="2:19" ht="13.8" thickBot="1">
      <c r="B29" s="157" t="s">
        <v>384</v>
      </c>
      <c r="C29" s="154"/>
      <c r="D29" s="154"/>
      <c r="E29" s="154"/>
      <c r="F29" s="154"/>
      <c r="G29" s="154"/>
      <c r="H29" s="154"/>
      <c r="I29" s="276">
        <v>2018</v>
      </c>
      <c r="J29" s="276">
        <v>2019</v>
      </c>
      <c r="K29" s="276">
        <f>J29+1</f>
        <v>2020</v>
      </c>
      <c r="L29" s="276">
        <f t="shared" ref="L29:N29" si="0">K29+1</f>
        <v>2021</v>
      </c>
      <c r="M29" s="276">
        <f t="shared" si="0"/>
        <v>2022</v>
      </c>
      <c r="N29" s="276">
        <f t="shared" si="0"/>
        <v>2023</v>
      </c>
    </row>
    <row r="30" spans="2:19" s="155" customFormat="1">
      <c r="B30" s="155" t="s">
        <v>870</v>
      </c>
      <c r="I30" s="155">
        <f t="shared" ref="I30:N30" si="1">I31+I32+I33</f>
        <v>18000</v>
      </c>
      <c r="J30" s="155">
        <f t="shared" si="1"/>
        <v>19521.150210222761</v>
      </c>
      <c r="K30" s="155">
        <f t="shared" si="1"/>
        <v>51517.869404673744</v>
      </c>
      <c r="L30" s="155">
        <f t="shared" si="1"/>
        <v>127818.90549096058</v>
      </c>
      <c r="M30" s="155">
        <f t="shared" si="1"/>
        <v>276073.77712447615</v>
      </c>
      <c r="N30" s="155">
        <f t="shared" si="1"/>
        <v>435050.8056515237</v>
      </c>
    </row>
    <row r="31" spans="2:19">
      <c r="C31" s="139" t="s">
        <v>677</v>
      </c>
      <c r="I31" s="139">
        <f t="shared" ref="I31:N31" si="2">I107</f>
        <v>18000</v>
      </c>
      <c r="J31" s="139">
        <f t="shared" si="2"/>
        <v>19521.150210222761</v>
      </c>
      <c r="K31" s="139">
        <f t="shared" si="2"/>
        <v>51517.869404673744</v>
      </c>
      <c r="L31" s="139">
        <f t="shared" si="2"/>
        <v>127818.90549096058</v>
      </c>
      <c r="M31" s="139">
        <f t="shared" si="2"/>
        <v>276073.77712447615</v>
      </c>
      <c r="N31" s="139">
        <f t="shared" si="2"/>
        <v>435050.8056515237</v>
      </c>
    </row>
    <row r="32" spans="2:19">
      <c r="C32" s="139" t="s">
        <v>678</v>
      </c>
    </row>
    <row r="33" spans="2:14">
      <c r="C33" s="139" t="s">
        <v>679</v>
      </c>
    </row>
    <row r="34" spans="2:14" s="155" customFormat="1">
      <c r="B34" s="155" t="s">
        <v>680</v>
      </c>
      <c r="I34" s="155">
        <f t="shared" ref="I34" si="3">I35+I38+I41+I43</f>
        <v>5866</v>
      </c>
      <c r="J34" s="155">
        <f>J35+J38+J41+J43</f>
        <v>15804.3</v>
      </c>
      <c r="K34" s="155">
        <f t="shared" ref="K34:N34" si="4">K35+K38+K41+K43</f>
        <v>22783.4</v>
      </c>
      <c r="L34" s="155">
        <f t="shared" si="4"/>
        <v>29582.5</v>
      </c>
      <c r="M34" s="155">
        <f t="shared" si="4"/>
        <v>36521.5</v>
      </c>
      <c r="N34" s="155">
        <f t="shared" si="4"/>
        <v>39681.5</v>
      </c>
    </row>
    <row r="35" spans="2:14">
      <c r="C35" s="139" t="s">
        <v>681</v>
      </c>
      <c r="I35" s="139">
        <f t="shared" ref="I35:N35" si="5">I36+I37</f>
        <v>0</v>
      </c>
      <c r="J35" s="139">
        <f t="shared" si="5"/>
        <v>6098.2999999999993</v>
      </c>
      <c r="K35" s="139">
        <f t="shared" si="5"/>
        <v>9157.4</v>
      </c>
      <c r="L35" s="139">
        <f t="shared" si="5"/>
        <v>12216.5</v>
      </c>
      <c r="M35" s="139">
        <f t="shared" si="5"/>
        <v>15615.5</v>
      </c>
      <c r="N35" s="139">
        <f t="shared" si="5"/>
        <v>15615.5</v>
      </c>
    </row>
    <row r="36" spans="2:14">
      <c r="D36" s="139" t="s">
        <v>682</v>
      </c>
      <c r="I36" s="139">
        <f>Others!I59</f>
        <v>0</v>
      </c>
      <c r="J36" s="139">
        <f>Others!J59</f>
        <v>5778.2999999999993</v>
      </c>
      <c r="K36" s="139">
        <f>Others!K59</f>
        <v>8837.4</v>
      </c>
      <c r="L36" s="139">
        <f>Others!L59</f>
        <v>11896.5</v>
      </c>
      <c r="M36" s="139">
        <f>Others!M59</f>
        <v>15295.5</v>
      </c>
      <c r="N36" s="139">
        <f>Others!N59</f>
        <v>15295.5</v>
      </c>
    </row>
    <row r="37" spans="2:14">
      <c r="D37" s="139" t="s">
        <v>683</v>
      </c>
      <c r="I37" s="139">
        <f>Others!I60</f>
        <v>0</v>
      </c>
      <c r="J37" s="139">
        <f>Others!J60</f>
        <v>320</v>
      </c>
      <c r="K37" s="139">
        <f>Others!K60</f>
        <v>320</v>
      </c>
      <c r="L37" s="139">
        <f>Others!L60</f>
        <v>320</v>
      </c>
      <c r="M37" s="139">
        <f>Others!M60</f>
        <v>320</v>
      </c>
      <c r="N37" s="139">
        <f>Others!N60</f>
        <v>320</v>
      </c>
    </row>
    <row r="38" spans="2:14">
      <c r="C38" s="139" t="s">
        <v>676</v>
      </c>
      <c r="I38" s="139">
        <f t="shared" ref="I38:N38" si="6">I39+I40</f>
        <v>0</v>
      </c>
      <c r="J38" s="139">
        <f t="shared" si="6"/>
        <v>1360</v>
      </c>
      <c r="K38" s="139">
        <f t="shared" si="6"/>
        <v>1500</v>
      </c>
      <c r="L38" s="139">
        <f t="shared" si="6"/>
        <v>1360</v>
      </c>
      <c r="M38" s="139">
        <f t="shared" si="6"/>
        <v>1220</v>
      </c>
      <c r="N38" s="139">
        <f t="shared" si="6"/>
        <v>1200</v>
      </c>
    </row>
    <row r="39" spans="2:14">
      <c r="D39" s="139" t="s">
        <v>693</v>
      </c>
      <c r="I39" s="139">
        <f>Others!I7</f>
        <v>0</v>
      </c>
      <c r="J39" s="139">
        <f>Others!J7</f>
        <v>1280</v>
      </c>
      <c r="K39" s="139">
        <f>Others!K7</f>
        <v>1440</v>
      </c>
      <c r="L39" s="139">
        <f>Others!L7</f>
        <v>1320</v>
      </c>
      <c r="M39" s="139">
        <f>Others!M7</f>
        <v>1200</v>
      </c>
      <c r="N39" s="139">
        <f>Others!N7</f>
        <v>1200</v>
      </c>
    </row>
    <row r="40" spans="2:14">
      <c r="D40" s="139" t="s">
        <v>694</v>
      </c>
      <c r="I40" s="139">
        <f>Others!I8</f>
        <v>0</v>
      </c>
      <c r="J40" s="139">
        <f>Others!J8</f>
        <v>80</v>
      </c>
      <c r="K40" s="139">
        <f>Others!K8</f>
        <v>60</v>
      </c>
      <c r="L40" s="139">
        <f>Others!L8</f>
        <v>40</v>
      </c>
      <c r="M40" s="139">
        <f>Others!M8</f>
        <v>20</v>
      </c>
      <c r="N40" s="139">
        <f>Others!N8</f>
        <v>0</v>
      </c>
    </row>
    <row r="41" spans="2:14">
      <c r="C41" s="139" t="s">
        <v>695</v>
      </c>
      <c r="I41" s="139">
        <f t="shared" ref="I41:N41" si="7">I42</f>
        <v>0</v>
      </c>
      <c r="J41" s="139">
        <f t="shared" si="7"/>
        <v>2480</v>
      </c>
      <c r="K41" s="139">
        <f t="shared" si="7"/>
        <v>6260</v>
      </c>
      <c r="L41" s="139">
        <f t="shared" si="7"/>
        <v>10140</v>
      </c>
      <c r="M41" s="139">
        <f t="shared" si="7"/>
        <v>13820</v>
      </c>
      <c r="N41" s="139">
        <f t="shared" si="7"/>
        <v>17000</v>
      </c>
    </row>
    <row r="42" spans="2:14">
      <c r="D42" s="139" t="s">
        <v>696</v>
      </c>
      <c r="I42" s="139">
        <f>Others!I10</f>
        <v>0</v>
      </c>
      <c r="J42" s="139">
        <f>Others!J10</f>
        <v>2480</v>
      </c>
      <c r="K42" s="139">
        <f>Others!K10</f>
        <v>6260</v>
      </c>
      <c r="L42" s="139">
        <f>Others!L10</f>
        <v>10140</v>
      </c>
      <c r="M42" s="139">
        <f>Others!M10</f>
        <v>13820</v>
      </c>
      <c r="N42" s="139">
        <f>Others!N10</f>
        <v>17000</v>
      </c>
    </row>
    <row r="43" spans="2:14" s="155" customFormat="1">
      <c r="C43" s="139" t="s">
        <v>1262</v>
      </c>
      <c r="I43" s="155">
        <f>'IRR &amp; FS'!N345</f>
        <v>5866</v>
      </c>
      <c r="J43" s="155">
        <f>'IRR &amp; FS'!O345</f>
        <v>5866</v>
      </c>
      <c r="K43" s="155">
        <f>'IRR &amp; FS'!P345</f>
        <v>5866</v>
      </c>
      <c r="L43" s="155">
        <f>'IRR &amp; FS'!Q345</f>
        <v>5866</v>
      </c>
      <c r="M43" s="155">
        <f>'IRR &amp; FS'!R345</f>
        <v>5866</v>
      </c>
      <c r="N43" s="155">
        <f>'IRR &amp; FS'!S345</f>
        <v>5866</v>
      </c>
    </row>
    <row r="44" spans="2:14" s="155" customFormat="1">
      <c r="B44" s="155" t="s">
        <v>703</v>
      </c>
      <c r="I44" s="155">
        <f t="shared" ref="I44:N44" si="8">I30+I34</f>
        <v>23866</v>
      </c>
      <c r="J44" s="155">
        <f t="shared" si="8"/>
        <v>35325.450210222756</v>
      </c>
      <c r="K44" s="155">
        <f t="shared" si="8"/>
        <v>74301.269404673745</v>
      </c>
      <c r="L44" s="155">
        <f t="shared" si="8"/>
        <v>157401.40549096058</v>
      </c>
      <c r="M44" s="155">
        <f t="shared" si="8"/>
        <v>312595.27712447615</v>
      </c>
      <c r="N44" s="155">
        <f t="shared" si="8"/>
        <v>474732.3056515237</v>
      </c>
    </row>
    <row r="46" spans="2:14" s="155" customFormat="1">
      <c r="B46" s="155" t="s">
        <v>697</v>
      </c>
      <c r="I46" s="155">
        <f>'IRR &amp; FS'!N353</f>
        <v>0</v>
      </c>
      <c r="J46" s="155">
        <f>'IRR &amp; FS'!O353</f>
        <v>0</v>
      </c>
      <c r="K46" s="155">
        <f>'IRR &amp; FS'!P353</f>
        <v>0</v>
      </c>
      <c r="L46" s="155">
        <f>'IRR &amp; FS'!Q353</f>
        <v>0</v>
      </c>
      <c r="M46" s="155">
        <f>'IRR &amp; FS'!R353</f>
        <v>0</v>
      </c>
      <c r="N46" s="155">
        <f>'IRR &amp; FS'!S353</f>
        <v>0</v>
      </c>
    </row>
    <row r="50" spans="1:14" s="155" customFormat="1">
      <c r="B50" s="155" t="s">
        <v>698</v>
      </c>
      <c r="I50" s="155">
        <f>'IRR &amp; FS'!N360</f>
        <v>10000</v>
      </c>
      <c r="J50" s="155">
        <f>'IRR &amp; FS'!O360</f>
        <v>10000</v>
      </c>
      <c r="K50" s="155">
        <f>'IRR &amp; FS'!P360</f>
        <v>24000</v>
      </c>
      <c r="L50" s="155">
        <f>'IRR &amp; FS'!Q360</f>
        <v>24000</v>
      </c>
      <c r="M50" s="155">
        <f>'IRR &amp; FS'!R360</f>
        <v>0</v>
      </c>
      <c r="N50" s="155">
        <f>'IRR &amp; FS'!S360</f>
        <v>0</v>
      </c>
    </row>
    <row r="51" spans="1:14" s="155" customFormat="1"/>
    <row r="53" spans="1:14">
      <c r="B53" s="155" t="s">
        <v>736</v>
      </c>
      <c r="I53" s="139">
        <f t="shared" ref="I53:N53" si="9">I46+I50</f>
        <v>10000</v>
      </c>
      <c r="J53" s="139">
        <f t="shared" si="9"/>
        <v>10000</v>
      </c>
      <c r="K53" s="139">
        <f t="shared" si="9"/>
        <v>24000</v>
      </c>
      <c r="L53" s="139">
        <f t="shared" si="9"/>
        <v>24000</v>
      </c>
      <c r="M53" s="139">
        <f t="shared" si="9"/>
        <v>0</v>
      </c>
      <c r="N53" s="139">
        <f t="shared" si="9"/>
        <v>0</v>
      </c>
    </row>
    <row r="56" spans="1:14" s="155" customFormat="1">
      <c r="B56" s="155" t="s">
        <v>699</v>
      </c>
      <c r="I56" s="155">
        <f t="shared" ref="I56:N56" si="10">I57+I58</f>
        <v>13866</v>
      </c>
      <c r="J56" s="155">
        <f t="shared" si="10"/>
        <v>25325.45021022276</v>
      </c>
      <c r="K56" s="155">
        <f t="shared" si="10"/>
        <v>50301.269404673745</v>
      </c>
      <c r="L56" s="155">
        <f t="shared" si="10"/>
        <v>133401.40549096058</v>
      </c>
      <c r="M56" s="155">
        <f t="shared" si="10"/>
        <v>312595.27712447615</v>
      </c>
      <c r="N56" s="155">
        <f t="shared" si="10"/>
        <v>474732.3056515237</v>
      </c>
    </row>
    <row r="57" spans="1:14">
      <c r="C57" s="139" t="s">
        <v>700</v>
      </c>
      <c r="I57" s="139">
        <f>'IRR &amp; FS'!N363</f>
        <v>13866</v>
      </c>
      <c r="J57" s="139">
        <f>'IRR &amp; FS'!O363</f>
        <v>13866</v>
      </c>
      <c r="K57" s="139">
        <f>'IRR &amp; FS'!P363</f>
        <v>13866</v>
      </c>
      <c r="L57" s="139">
        <f>'IRR &amp; FS'!Q363</f>
        <v>13866</v>
      </c>
      <c r="M57" s="139">
        <f>'IRR &amp; FS'!R363</f>
        <v>37866</v>
      </c>
      <c r="N57" s="139">
        <f>'IRR &amp; FS'!S363</f>
        <v>37866</v>
      </c>
    </row>
    <row r="58" spans="1:14">
      <c r="C58" s="139" t="s">
        <v>701</v>
      </c>
      <c r="I58" s="139">
        <f>'IRR &amp; FS'!N364</f>
        <v>0</v>
      </c>
      <c r="J58" s="139">
        <f>'IRR &amp; FS'!O364</f>
        <v>11459.45021022276</v>
      </c>
      <c r="K58" s="139">
        <f>'IRR &amp; FS'!P364</f>
        <v>36435.269404673745</v>
      </c>
      <c r="L58" s="139">
        <f>'IRR &amp; FS'!Q364</f>
        <v>119535.40549096056</v>
      </c>
      <c r="M58" s="139">
        <f>'IRR &amp; FS'!R364</f>
        <v>274729.27712447615</v>
      </c>
      <c r="N58" s="139">
        <f>'IRR &amp; FS'!S364</f>
        <v>436866.3056515237</v>
      </c>
    </row>
    <row r="60" spans="1:14" s="155" customFormat="1">
      <c r="B60" s="155" t="s">
        <v>737</v>
      </c>
      <c r="I60" s="155">
        <f t="shared" ref="I60:N60" si="11">I56+I53</f>
        <v>23866</v>
      </c>
      <c r="J60" s="155">
        <f t="shared" si="11"/>
        <v>35325.450210222756</v>
      </c>
      <c r="K60" s="155">
        <f t="shared" si="11"/>
        <v>74301.269404673745</v>
      </c>
      <c r="L60" s="155">
        <f t="shared" si="11"/>
        <v>157401.40549096058</v>
      </c>
      <c r="M60" s="155">
        <f t="shared" si="11"/>
        <v>312595.27712447615</v>
      </c>
      <c r="N60" s="155">
        <f t="shared" si="11"/>
        <v>474732.3056515237</v>
      </c>
    </row>
    <row r="61" spans="1:14">
      <c r="B61" s="155"/>
    </row>
    <row r="62" spans="1:14" s="183" customFormat="1">
      <c r="A62" s="237"/>
      <c r="B62" s="312" t="s">
        <v>738</v>
      </c>
      <c r="C62" s="237"/>
      <c r="D62" s="237"/>
      <c r="E62" s="237"/>
      <c r="F62" s="237"/>
      <c r="G62" s="237"/>
      <c r="H62" s="237"/>
      <c r="I62" s="237">
        <f t="shared" ref="I62:N62" si="12">I60-I44</f>
        <v>0</v>
      </c>
      <c r="J62" s="237">
        <f t="shared" si="12"/>
        <v>0</v>
      </c>
      <c r="K62" s="237">
        <f t="shared" si="12"/>
        <v>0</v>
      </c>
      <c r="L62" s="237">
        <f t="shared" si="12"/>
        <v>0</v>
      </c>
      <c r="M62" s="237">
        <f t="shared" si="12"/>
        <v>0</v>
      </c>
      <c r="N62" s="237">
        <f t="shared" si="12"/>
        <v>0</v>
      </c>
    </row>
    <row r="64" spans="1:14" s="156" customFormat="1">
      <c r="B64" s="156" t="s">
        <v>704</v>
      </c>
    </row>
    <row r="65" spans="2:14" ht="6" customHeight="1"/>
    <row r="67" spans="2:14" ht="13.8" thickBot="1">
      <c r="B67" s="157" t="s">
        <v>384</v>
      </c>
      <c r="C67" s="154"/>
      <c r="D67" s="154"/>
      <c r="E67" s="154"/>
      <c r="F67" s="154"/>
      <c r="G67" s="154"/>
      <c r="H67" s="154"/>
      <c r="I67" s="154" t="s">
        <v>379</v>
      </c>
      <c r="J67" s="154" t="s">
        <v>641</v>
      </c>
      <c r="K67" s="154" t="s">
        <v>642</v>
      </c>
      <c r="L67" s="154" t="s">
        <v>643</v>
      </c>
      <c r="M67" s="154" t="s">
        <v>644</v>
      </c>
      <c r="N67" s="154" t="s">
        <v>645</v>
      </c>
    </row>
    <row r="68" spans="2:14" s="155" customFormat="1">
      <c r="B68" s="155" t="s">
        <v>705</v>
      </c>
      <c r="I68" s="155">
        <f t="shared" ref="I68:N68" si="13">I69+I70+I72+I74</f>
        <v>0</v>
      </c>
      <c r="J68" s="155">
        <f t="shared" si="13"/>
        <v>12419.45021022276</v>
      </c>
      <c r="K68" s="155">
        <f t="shared" si="13"/>
        <v>27155.819194450982</v>
      </c>
      <c r="L68" s="155">
        <f t="shared" si="13"/>
        <v>86760.136086286817</v>
      </c>
      <c r="M68" s="155">
        <f t="shared" si="13"/>
        <v>160593.87163351558</v>
      </c>
      <c r="N68" s="155">
        <f t="shared" si="13"/>
        <v>169737.02852704754</v>
      </c>
    </row>
    <row r="69" spans="2:14" s="155" customFormat="1">
      <c r="C69" s="155" t="s">
        <v>706</v>
      </c>
      <c r="I69" s="155">
        <f t="shared" ref="I69:N69" si="14">I24</f>
        <v>0</v>
      </c>
      <c r="J69" s="155">
        <f t="shared" si="14"/>
        <v>11459.45021022276</v>
      </c>
      <c r="K69" s="155">
        <f t="shared" si="14"/>
        <v>24975.819194450982</v>
      </c>
      <c r="L69" s="155">
        <f t="shared" si="14"/>
        <v>83100.136086286817</v>
      </c>
      <c r="M69" s="155">
        <f t="shared" si="14"/>
        <v>155193.87163351558</v>
      </c>
      <c r="N69" s="155">
        <f t="shared" si="14"/>
        <v>162137.02852704754</v>
      </c>
    </row>
    <row r="70" spans="2:14" s="155" customFormat="1">
      <c r="C70" s="155" t="s">
        <v>711</v>
      </c>
      <c r="I70" s="155">
        <f t="shared" ref="I70:N70" si="15">I71</f>
        <v>0</v>
      </c>
      <c r="J70" s="155">
        <f t="shared" si="15"/>
        <v>960</v>
      </c>
      <c r="K70" s="155">
        <f t="shared" si="15"/>
        <v>2180</v>
      </c>
      <c r="L70" s="155">
        <f t="shared" si="15"/>
        <v>3660</v>
      </c>
      <c r="M70" s="155">
        <f t="shared" si="15"/>
        <v>5400</v>
      </c>
      <c r="N70" s="155">
        <f t="shared" si="15"/>
        <v>7600</v>
      </c>
    </row>
    <row r="71" spans="2:14">
      <c r="D71" s="139" t="s">
        <v>712</v>
      </c>
      <c r="I71" s="139">
        <f>Others!I12+Others!I15</f>
        <v>0</v>
      </c>
      <c r="J71" s="139">
        <f>Others!J12+Others!J15</f>
        <v>960</v>
      </c>
      <c r="K71" s="139">
        <f>Others!K12+Others!K15</f>
        <v>2180</v>
      </c>
      <c r="L71" s="139">
        <f>Others!L12+Others!L15</f>
        <v>3660</v>
      </c>
      <c r="M71" s="139">
        <f>Others!M12+Others!M15</f>
        <v>5400</v>
      </c>
      <c r="N71" s="139">
        <f>Others!N12+Others!N15</f>
        <v>7600</v>
      </c>
    </row>
    <row r="72" spans="2:14" s="155" customFormat="1">
      <c r="C72" s="155" t="s">
        <v>713</v>
      </c>
    </row>
    <row r="74" spans="2:14" s="155" customFormat="1">
      <c r="C74" s="155" t="s">
        <v>714</v>
      </c>
    </row>
    <row r="75" spans="2:14">
      <c r="D75" s="139" t="s">
        <v>715</v>
      </c>
    </row>
    <row r="76" spans="2:14">
      <c r="D76" s="139" t="s">
        <v>716</v>
      </c>
    </row>
    <row r="77" spans="2:14">
      <c r="D77" s="139" t="s">
        <v>717</v>
      </c>
    </row>
    <row r="78" spans="2:14">
      <c r="D78" s="139" t="s">
        <v>718</v>
      </c>
    </row>
    <row r="80" spans="2:14" s="155" customFormat="1">
      <c r="B80" s="155" t="s">
        <v>719</v>
      </c>
      <c r="I80" s="155">
        <f t="shared" ref="I80:N80" si="16">I81+I83</f>
        <v>0</v>
      </c>
      <c r="J80" s="155">
        <f t="shared" si="16"/>
        <v>-10898.3</v>
      </c>
      <c r="K80" s="155">
        <f t="shared" si="16"/>
        <v>-9159.1</v>
      </c>
      <c r="L80" s="155">
        <f t="shared" si="16"/>
        <v>-10459.099999999999</v>
      </c>
      <c r="M80" s="155">
        <f t="shared" si="16"/>
        <v>-12338.999999999998</v>
      </c>
      <c r="N80" s="155">
        <f t="shared" si="16"/>
        <v>-10760</v>
      </c>
    </row>
    <row r="81" spans="2:14" s="155" customFormat="1">
      <c r="C81" s="155" t="s">
        <v>720</v>
      </c>
    </row>
    <row r="83" spans="2:14" s="155" customFormat="1">
      <c r="C83" s="155" t="s">
        <v>721</v>
      </c>
      <c r="I83" s="155">
        <f t="shared" ref="I83:N83" si="17">I84+I87+I90</f>
        <v>0</v>
      </c>
      <c r="J83" s="155">
        <f t="shared" si="17"/>
        <v>-10898.3</v>
      </c>
      <c r="K83" s="155">
        <f t="shared" si="17"/>
        <v>-9159.1</v>
      </c>
      <c r="L83" s="155">
        <f t="shared" si="17"/>
        <v>-10459.099999999999</v>
      </c>
      <c r="M83" s="155">
        <f t="shared" si="17"/>
        <v>-12338.999999999998</v>
      </c>
      <c r="N83" s="155">
        <f t="shared" si="17"/>
        <v>-10760</v>
      </c>
    </row>
    <row r="84" spans="2:14">
      <c r="D84" s="139" t="s">
        <v>722</v>
      </c>
      <c r="I84" s="139">
        <f t="shared" ref="I84:N84" si="18">I85+I86</f>
        <v>0</v>
      </c>
      <c r="J84" s="139">
        <f t="shared" si="18"/>
        <v>-6098.2999999999993</v>
      </c>
      <c r="K84" s="139">
        <f t="shared" si="18"/>
        <v>-3059.1</v>
      </c>
      <c r="L84" s="139">
        <f t="shared" si="18"/>
        <v>-3059.1</v>
      </c>
      <c r="M84" s="139">
        <f t="shared" si="18"/>
        <v>-3399</v>
      </c>
      <c r="N84" s="139">
        <f t="shared" si="18"/>
        <v>0</v>
      </c>
    </row>
    <row r="85" spans="2:14">
      <c r="E85" s="139" t="s">
        <v>723</v>
      </c>
      <c r="I85" s="139">
        <f>-Others!I68</f>
        <v>0</v>
      </c>
      <c r="J85" s="139">
        <f>-Others!J68</f>
        <v>-5778.2999999999993</v>
      </c>
      <c r="K85" s="139">
        <f>-Others!K68</f>
        <v>-3059.1</v>
      </c>
      <c r="L85" s="139">
        <f>-Others!L68</f>
        <v>-3059.1</v>
      </c>
      <c r="M85" s="139">
        <f>-Others!M68</f>
        <v>-3399</v>
      </c>
      <c r="N85" s="139">
        <f>-Others!N68</f>
        <v>0</v>
      </c>
    </row>
    <row r="86" spans="2:14">
      <c r="E86" s="139" t="s">
        <v>724</v>
      </c>
      <c r="I86" s="139">
        <f>-Others!I74</f>
        <v>0</v>
      </c>
      <c r="J86" s="139">
        <f>-Others!J74</f>
        <v>-320</v>
      </c>
      <c r="K86" s="139">
        <f>-Others!K74</f>
        <v>0</v>
      </c>
      <c r="L86" s="139">
        <f>-Others!L74</f>
        <v>0</v>
      </c>
      <c r="M86" s="139">
        <f>-Others!M74</f>
        <v>0</v>
      </c>
      <c r="N86" s="139">
        <f>-Others!N74</f>
        <v>0</v>
      </c>
    </row>
    <row r="87" spans="2:14">
      <c r="D87" s="139" t="s">
        <v>725</v>
      </c>
      <c r="I87" s="139">
        <f t="shared" ref="I87:N87" si="19">I88+I89</f>
        <v>0</v>
      </c>
      <c r="J87" s="139">
        <f t="shared" si="19"/>
        <v>-1700</v>
      </c>
      <c r="K87" s="139">
        <f t="shared" si="19"/>
        <v>-600</v>
      </c>
      <c r="L87" s="139">
        <f t="shared" si="19"/>
        <v>-400</v>
      </c>
      <c r="M87" s="139">
        <f t="shared" si="19"/>
        <v>-440</v>
      </c>
      <c r="N87" s="139">
        <f t="shared" si="19"/>
        <v>-760</v>
      </c>
    </row>
    <row r="88" spans="2:14">
      <c r="E88" s="139" t="s">
        <v>727</v>
      </c>
      <c r="I88" s="139">
        <f>-SUM(Others!I34:I35)</f>
        <v>0</v>
      </c>
      <c r="J88" s="139">
        <f>-SUM(Others!J34:J35)</f>
        <v>-1600</v>
      </c>
      <c r="K88" s="139">
        <f>-SUM(Others!K34:K35)</f>
        <v>-600</v>
      </c>
      <c r="L88" s="139">
        <f>-SUM(Others!L34:L35)</f>
        <v>-400</v>
      </c>
      <c r="M88" s="139">
        <f>-SUM(Others!M34:M35)</f>
        <v>-440</v>
      </c>
      <c r="N88" s="139">
        <f>-SUM(Others!N34:N35)</f>
        <v>-760</v>
      </c>
    </row>
    <row r="89" spans="2:14">
      <c r="E89" s="139" t="s">
        <v>728</v>
      </c>
      <c r="I89" s="139">
        <f>-Others!I41</f>
        <v>0</v>
      </c>
      <c r="J89" s="139">
        <f>-Others!J41</f>
        <v>-100</v>
      </c>
      <c r="K89" s="139">
        <f>-Others!K41</f>
        <v>0</v>
      </c>
      <c r="L89" s="139">
        <f>-Others!L41</f>
        <v>0</v>
      </c>
      <c r="M89" s="139">
        <f>-Others!M41</f>
        <v>0</v>
      </c>
      <c r="N89" s="139">
        <f>-Others!N41</f>
        <v>0</v>
      </c>
    </row>
    <row r="90" spans="2:14">
      <c r="D90" s="139" t="s">
        <v>726</v>
      </c>
      <c r="I90" s="139">
        <f t="shared" ref="I90:N90" si="20">I91</f>
        <v>0</v>
      </c>
      <c r="J90" s="139">
        <f t="shared" si="20"/>
        <v>-3100</v>
      </c>
      <c r="K90" s="139">
        <f t="shared" si="20"/>
        <v>-5500</v>
      </c>
      <c r="L90" s="139">
        <f t="shared" si="20"/>
        <v>-6999.9999999999991</v>
      </c>
      <c r="M90" s="139">
        <f t="shared" si="20"/>
        <v>-8499.9999999999982</v>
      </c>
      <c r="N90" s="139">
        <f t="shared" si="20"/>
        <v>-10000</v>
      </c>
    </row>
    <row r="91" spans="2:14">
      <c r="E91" s="139" t="s">
        <v>729</v>
      </c>
      <c r="I91" s="139">
        <f>-Others!I49</f>
        <v>0</v>
      </c>
      <c r="J91" s="139">
        <f>-Others!J49</f>
        <v>-3100</v>
      </c>
      <c r="K91" s="139">
        <f>-Others!K49</f>
        <v>-5500</v>
      </c>
      <c r="L91" s="139">
        <f>-Others!L49</f>
        <v>-6999.9999999999991</v>
      </c>
      <c r="M91" s="139">
        <f>-Others!M49</f>
        <v>-8499.9999999999982</v>
      </c>
      <c r="N91" s="139">
        <f>-Others!N49</f>
        <v>-10000</v>
      </c>
    </row>
    <row r="93" spans="2:14" s="155" customFormat="1">
      <c r="B93" s="155" t="s">
        <v>733</v>
      </c>
      <c r="I93" s="155">
        <f t="shared" ref="I93:N93" si="21">I94+I101</f>
        <v>18000</v>
      </c>
      <c r="J93" s="155">
        <f t="shared" si="21"/>
        <v>0</v>
      </c>
      <c r="K93" s="155">
        <f t="shared" si="21"/>
        <v>14000</v>
      </c>
      <c r="L93" s="155">
        <f t="shared" si="21"/>
        <v>0</v>
      </c>
      <c r="M93" s="155">
        <f t="shared" si="21"/>
        <v>0</v>
      </c>
      <c r="N93" s="155">
        <f t="shared" si="21"/>
        <v>0</v>
      </c>
    </row>
    <row r="94" spans="2:14" s="155" customFormat="1">
      <c r="C94" s="155" t="s">
        <v>734</v>
      </c>
      <c r="I94" s="155">
        <f>I95+I96+I97+I98+I99</f>
        <v>18000</v>
      </c>
      <c r="J94" s="155">
        <f t="shared" ref="J94:N94" si="22">J95+J96+J97+J98+J99</f>
        <v>0</v>
      </c>
      <c r="K94" s="155">
        <f t="shared" si="22"/>
        <v>14000</v>
      </c>
      <c r="L94" s="155">
        <f t="shared" si="22"/>
        <v>0</v>
      </c>
      <c r="M94" s="155">
        <f t="shared" si="22"/>
        <v>0</v>
      </c>
      <c r="N94" s="155">
        <f t="shared" si="22"/>
        <v>0</v>
      </c>
    </row>
    <row r="95" spans="2:14">
      <c r="B95" s="155"/>
      <c r="C95" s="155"/>
      <c r="D95" s="139" t="str">
        <f>'IRR &amp; FS'!C425</f>
        <v>1차 RCPS</v>
      </c>
      <c r="I95" s="139">
        <f>'IRR &amp; FS'!N425</f>
        <v>0</v>
      </c>
      <c r="J95" s="139">
        <f>'IRR &amp; FS'!O425</f>
        <v>0</v>
      </c>
      <c r="K95" s="139">
        <f>'IRR &amp; FS'!P425</f>
        <v>0</v>
      </c>
      <c r="L95" s="139">
        <f>'IRR &amp; FS'!Q425</f>
        <v>0</v>
      </c>
      <c r="M95" s="139">
        <f>'IRR &amp; FS'!R425</f>
        <v>0</v>
      </c>
      <c r="N95" s="139">
        <f>'IRR &amp; FS'!S425</f>
        <v>0</v>
      </c>
    </row>
    <row r="96" spans="2:14">
      <c r="B96" s="155"/>
      <c r="C96" s="155"/>
      <c r="D96" s="139" t="str">
        <f>'IRR &amp; FS'!C426</f>
        <v>1차 CB</v>
      </c>
      <c r="I96" s="139">
        <f>'IRR &amp; FS'!N426</f>
        <v>10000</v>
      </c>
      <c r="J96" s="139">
        <f>'IRR &amp; FS'!O426</f>
        <v>0</v>
      </c>
      <c r="K96" s="139">
        <f>'IRR &amp; FS'!P426</f>
        <v>0</v>
      </c>
      <c r="L96" s="139">
        <f>'IRR &amp; FS'!Q426</f>
        <v>0</v>
      </c>
      <c r="M96" s="139">
        <f>'IRR &amp; FS'!R426</f>
        <v>0</v>
      </c>
      <c r="N96" s="139">
        <f>'IRR &amp; FS'!S426</f>
        <v>0</v>
      </c>
    </row>
    <row r="97" spans="2:14">
      <c r="B97" s="155"/>
      <c r="C97" s="155"/>
      <c r="D97" s="139" t="str">
        <f>'IRR &amp; FS'!C427</f>
        <v>2차 RCPS</v>
      </c>
      <c r="I97" s="139">
        <f>'IRR &amp; FS'!N427</f>
        <v>0</v>
      </c>
      <c r="J97" s="139">
        <f>'IRR &amp; FS'!O427</f>
        <v>0</v>
      </c>
      <c r="K97" s="139">
        <f>'IRR &amp; FS'!P427</f>
        <v>0</v>
      </c>
      <c r="L97" s="139">
        <f>'IRR &amp; FS'!Q427</f>
        <v>0</v>
      </c>
      <c r="M97" s="139">
        <f>'IRR &amp; FS'!R427</f>
        <v>0</v>
      </c>
      <c r="N97" s="139">
        <f>'IRR &amp; FS'!S427</f>
        <v>0</v>
      </c>
    </row>
    <row r="98" spans="2:14">
      <c r="B98" s="155"/>
      <c r="C98" s="155"/>
      <c r="D98" s="139" t="str">
        <f>'IRR &amp; FS'!C428</f>
        <v>2차 CB</v>
      </c>
      <c r="I98" s="139">
        <f>'IRR &amp; FS'!N428</f>
        <v>0</v>
      </c>
      <c r="J98" s="139">
        <f>'IRR &amp; FS'!O428</f>
        <v>0</v>
      </c>
      <c r="K98" s="139">
        <f>'IRR &amp; FS'!P428</f>
        <v>14000</v>
      </c>
      <c r="L98" s="139">
        <f>'IRR &amp; FS'!Q428</f>
        <v>0</v>
      </c>
      <c r="M98" s="139">
        <f>'IRR &amp; FS'!R428</f>
        <v>0</v>
      </c>
      <c r="N98" s="139">
        <f>'IRR &amp; FS'!S428</f>
        <v>0</v>
      </c>
    </row>
    <row r="99" spans="2:14">
      <c r="B99" s="155"/>
      <c r="C99" s="155"/>
      <c r="D99" s="139" t="str">
        <f>'IRR &amp; FS'!C429</f>
        <v>유상증자</v>
      </c>
      <c r="I99" s="139">
        <f>'IRR &amp; FS'!N429</f>
        <v>8000</v>
      </c>
      <c r="J99" s="139">
        <f>'IRR &amp; FS'!O429</f>
        <v>0</v>
      </c>
      <c r="K99" s="139">
        <f>'IRR &amp; FS'!P429</f>
        <v>0</v>
      </c>
      <c r="L99" s="139">
        <f>'IRR &amp; FS'!Q429</f>
        <v>0</v>
      </c>
      <c r="M99" s="139">
        <f>'IRR &amp; FS'!R429</f>
        <v>0</v>
      </c>
      <c r="N99" s="139">
        <f>'IRR &amp; FS'!S429</f>
        <v>0</v>
      </c>
    </row>
    <row r="100" spans="2:14">
      <c r="B100" s="155"/>
      <c r="C100" s="155"/>
    </row>
    <row r="101" spans="2:14" s="155" customFormat="1">
      <c r="C101" s="155" t="s">
        <v>735</v>
      </c>
      <c r="I101" s="155">
        <f>SUM(I102:I103)</f>
        <v>0</v>
      </c>
      <c r="J101" s="155">
        <f>SUM(J102:J103)</f>
        <v>0</v>
      </c>
      <c r="K101" s="155">
        <f t="shared" ref="K101:N101" si="23">SUM(K102:K103)</f>
        <v>0</v>
      </c>
      <c r="L101" s="155">
        <f t="shared" si="23"/>
        <v>0</v>
      </c>
      <c r="M101" s="155">
        <f t="shared" si="23"/>
        <v>0</v>
      </c>
      <c r="N101" s="155">
        <f t="shared" si="23"/>
        <v>0</v>
      </c>
    </row>
    <row r="102" spans="2:14">
      <c r="D102" s="139" t="s">
        <v>1284</v>
      </c>
      <c r="I102" s="139">
        <f>'IRR &amp; FS'!N432</f>
        <v>0</v>
      </c>
      <c r="J102" s="139">
        <f>'IRR &amp; FS'!O432</f>
        <v>0</v>
      </c>
      <c r="K102" s="139">
        <f>'IRR &amp; FS'!P432</f>
        <v>0</v>
      </c>
      <c r="L102" s="139">
        <f>'IRR &amp; FS'!Q432</f>
        <v>0</v>
      </c>
      <c r="M102" s="139">
        <f>'IRR &amp; FS'!R432</f>
        <v>0</v>
      </c>
      <c r="N102" s="139">
        <f>'IRR &amp; FS'!S432</f>
        <v>0</v>
      </c>
    </row>
    <row r="103" spans="2:14">
      <c r="D103" s="139" t="s">
        <v>1285</v>
      </c>
      <c r="I103" s="139">
        <f>'IRR &amp; FS'!N433</f>
        <v>0</v>
      </c>
      <c r="J103" s="139">
        <f>'IRR &amp; FS'!O433</f>
        <v>0</v>
      </c>
      <c r="K103" s="139">
        <f>'IRR &amp; FS'!P433</f>
        <v>0</v>
      </c>
      <c r="L103" s="139">
        <f>'IRR &amp; FS'!Q433</f>
        <v>0</v>
      </c>
      <c r="M103" s="139">
        <f>'IRR &amp; FS'!R433</f>
        <v>0</v>
      </c>
      <c r="N103" s="139">
        <f>'IRR &amp; FS'!S433</f>
        <v>0</v>
      </c>
    </row>
    <row r="105" spans="2:14">
      <c r="B105" s="155" t="s">
        <v>730</v>
      </c>
      <c r="I105" s="155">
        <v>0</v>
      </c>
      <c r="J105" s="155">
        <f>I107</f>
        <v>18000</v>
      </c>
      <c r="K105" s="155">
        <f>J107</f>
        <v>19521.150210222761</v>
      </c>
      <c r="L105" s="155">
        <f>K107</f>
        <v>51517.869404673744</v>
      </c>
      <c r="M105" s="155">
        <f>L107</f>
        <v>127818.90549096058</v>
      </c>
      <c r="N105" s="155">
        <f>M107</f>
        <v>276073.77712447615</v>
      </c>
    </row>
    <row r="106" spans="2:14">
      <c r="B106" s="155" t="s">
        <v>731</v>
      </c>
      <c r="I106" s="155">
        <f t="shared" ref="I106:N106" si="24">I68+I80+I93</f>
        <v>18000</v>
      </c>
      <c r="J106" s="155">
        <f t="shared" si="24"/>
        <v>1521.1502102227605</v>
      </c>
      <c r="K106" s="155">
        <f t="shared" si="24"/>
        <v>31996.719194450983</v>
      </c>
      <c r="L106" s="155">
        <f t="shared" si="24"/>
        <v>76301.036086286826</v>
      </c>
      <c r="M106" s="155">
        <f t="shared" si="24"/>
        <v>148254.87163351558</v>
      </c>
      <c r="N106" s="155">
        <f t="shared" si="24"/>
        <v>158977.02852704754</v>
      </c>
    </row>
    <row r="107" spans="2:14">
      <c r="B107" s="155" t="s">
        <v>732</v>
      </c>
      <c r="I107" s="155">
        <f t="shared" ref="I107:N107" si="25">I105+I106</f>
        <v>18000</v>
      </c>
      <c r="J107" s="155">
        <f t="shared" si="25"/>
        <v>19521.150210222761</v>
      </c>
      <c r="K107" s="155">
        <f t="shared" si="25"/>
        <v>51517.869404673744</v>
      </c>
      <c r="L107" s="155">
        <f t="shared" si="25"/>
        <v>127818.90549096058</v>
      </c>
      <c r="M107" s="155">
        <f t="shared" si="25"/>
        <v>276073.77712447615</v>
      </c>
      <c r="N107" s="155">
        <f t="shared" si="25"/>
        <v>435050.8056515237</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70C0"/>
    <pageSetUpPr fitToPage="1"/>
  </sheetPr>
  <dimension ref="B1:X11"/>
  <sheetViews>
    <sheetView tabSelected="1" topLeftCell="A44" workbookViewId="0">
      <selection activeCell="R17" sqref="R17"/>
    </sheetView>
  </sheetViews>
  <sheetFormatPr defaultColWidth="9.125" defaultRowHeight="13.2" outlineLevelCol="1"/>
  <cols>
    <col min="1" max="1" width="2" style="139" customWidth="1"/>
    <col min="2" max="4" width="15.75" style="139" customWidth="1"/>
    <col min="5" max="19" width="15.75" style="139" hidden="1" customWidth="1" outlineLevel="1"/>
    <col min="20" max="20" width="15.75" style="139" customWidth="1" collapsed="1"/>
    <col min="21" max="24" width="15.75" style="139" customWidth="1"/>
    <col min="25" max="16384" width="9.125" style="139"/>
  </cols>
  <sheetData>
    <row r="1" spans="2:24" ht="17.399999999999999">
      <c r="B1" s="153" t="s">
        <v>1082</v>
      </c>
    </row>
    <row r="3" spans="2:24" ht="27" thickBot="1">
      <c r="B3" s="437" t="s">
        <v>1083</v>
      </c>
      <c r="C3" s="437" t="s">
        <v>1084</v>
      </c>
      <c r="D3" s="437" t="s">
        <v>1085</v>
      </c>
      <c r="E3" s="438" t="s">
        <v>1086</v>
      </c>
      <c r="F3" s="437" t="s">
        <v>1087</v>
      </c>
      <c r="G3" s="437" t="s">
        <v>1088</v>
      </c>
      <c r="H3" s="437" t="s">
        <v>1089</v>
      </c>
      <c r="I3" s="437" t="s">
        <v>1090</v>
      </c>
      <c r="J3" s="437" t="s">
        <v>1091</v>
      </c>
      <c r="K3" s="437" t="s">
        <v>1092</v>
      </c>
      <c r="L3" s="437" t="s">
        <v>1093</v>
      </c>
      <c r="M3" s="437" t="s">
        <v>1094</v>
      </c>
      <c r="N3" s="437" t="s">
        <v>1095</v>
      </c>
      <c r="O3" s="437" t="s">
        <v>1096</v>
      </c>
      <c r="P3" s="437" t="s">
        <v>1097</v>
      </c>
      <c r="Q3" s="437" t="s">
        <v>1098</v>
      </c>
      <c r="R3" s="437" t="s">
        <v>1099</v>
      </c>
      <c r="S3" s="437" t="s">
        <v>1100</v>
      </c>
      <c r="T3" s="437" t="s">
        <v>1101</v>
      </c>
      <c r="U3" s="437" t="s">
        <v>1102</v>
      </c>
      <c r="V3" s="437" t="s">
        <v>1103</v>
      </c>
      <c r="W3" s="439" t="s">
        <v>1104</v>
      </c>
      <c r="X3" s="439" t="s">
        <v>1105</v>
      </c>
    </row>
    <row r="4" spans="2:24">
      <c r="B4" s="158" t="s">
        <v>1106</v>
      </c>
      <c r="C4" s="158" t="s">
        <v>1107</v>
      </c>
      <c r="D4" s="440" t="s">
        <v>1108</v>
      </c>
      <c r="E4" s="441">
        <v>21650</v>
      </c>
      <c r="F4" s="158">
        <v>30</v>
      </c>
      <c r="G4" s="441">
        <v>649500</v>
      </c>
      <c r="H4" s="158">
        <v>38828.618000000002</v>
      </c>
      <c r="I4" s="158">
        <v>35738.06</v>
      </c>
      <c r="J4" s="158">
        <v>385302.95400000003</v>
      </c>
      <c r="K4" s="158">
        <v>-346474.33600000001</v>
      </c>
      <c r="L4" s="158">
        <v>268274.86700000003</v>
      </c>
      <c r="M4" s="158">
        <v>0</v>
      </c>
      <c r="N4" s="158">
        <v>0</v>
      </c>
      <c r="O4" s="158">
        <v>268274.86700000003</v>
      </c>
      <c r="P4" s="158">
        <v>652590.55799999996</v>
      </c>
      <c r="Q4" s="158">
        <v>970782.54964999994</v>
      </c>
      <c r="R4" s="158">
        <v>128538.33774</v>
      </c>
      <c r="S4" s="158">
        <v>109720.09819999999</v>
      </c>
      <c r="T4" s="442">
        <v>0.67223144692421699</v>
      </c>
      <c r="U4" s="443">
        <v>5.0770110262357901</v>
      </c>
      <c r="V4" s="443">
        <v>5.9477759198724449</v>
      </c>
      <c r="W4" s="442">
        <v>7.5933900000000003</v>
      </c>
      <c r="X4" s="442">
        <v>2.4210199999999999</v>
      </c>
    </row>
    <row r="5" spans="2:24">
      <c r="B5" s="158" t="s">
        <v>1109</v>
      </c>
      <c r="C5" s="158" t="s">
        <v>1110</v>
      </c>
      <c r="D5" s="440" t="s">
        <v>1111</v>
      </c>
      <c r="E5" s="441">
        <v>9600</v>
      </c>
      <c r="F5" s="158">
        <v>0</v>
      </c>
      <c r="G5" s="441">
        <v>450957.22560000001</v>
      </c>
      <c r="H5" s="158">
        <v>0</v>
      </c>
      <c r="I5" s="158">
        <v>0</v>
      </c>
      <c r="J5" s="158">
        <v>0</v>
      </c>
      <c r="K5" s="158">
        <v>0</v>
      </c>
      <c r="L5" s="158">
        <v>0</v>
      </c>
      <c r="M5" s="158">
        <v>0</v>
      </c>
      <c r="N5" s="158">
        <v>0</v>
      </c>
      <c r="O5" s="158">
        <v>0</v>
      </c>
      <c r="P5" s="158">
        <v>450957.22560000001</v>
      </c>
      <c r="Q5" s="158">
        <v>0</v>
      </c>
      <c r="R5" s="158">
        <v>0</v>
      </c>
      <c r="S5" s="158">
        <v>0</v>
      </c>
      <c r="T5" s="442"/>
      <c r="U5" s="443"/>
      <c r="V5" s="443"/>
      <c r="W5" s="442"/>
      <c r="X5" s="442"/>
    </row>
    <row r="6" spans="2:24">
      <c r="B6" s="158" t="s">
        <v>1112</v>
      </c>
      <c r="C6" s="158" t="s">
        <v>1113</v>
      </c>
      <c r="D6" s="440" t="s">
        <v>1114</v>
      </c>
      <c r="E6" s="441">
        <v>37500</v>
      </c>
      <c r="F6" s="158">
        <v>26.356760000000001</v>
      </c>
      <c r="G6" s="441">
        <v>983019.22499999998</v>
      </c>
      <c r="H6" s="158">
        <v>70381.009999999995</v>
      </c>
      <c r="I6" s="158">
        <v>61572.366999999998</v>
      </c>
      <c r="J6" s="158">
        <v>373599.967</v>
      </c>
      <c r="K6" s="158">
        <v>-303218.95699999999</v>
      </c>
      <c r="L6" s="158">
        <v>372566.147</v>
      </c>
      <c r="M6" s="158">
        <v>0</v>
      </c>
      <c r="N6" s="158">
        <v>0</v>
      </c>
      <c r="O6" s="158">
        <v>372566.147</v>
      </c>
      <c r="P6" s="158">
        <v>991827.8679999999</v>
      </c>
      <c r="Q6" s="158">
        <v>1119998.1859299999</v>
      </c>
      <c r="R6" s="158">
        <v>144074.55450999999</v>
      </c>
      <c r="S6" s="158">
        <v>115969.85550999999</v>
      </c>
      <c r="T6" s="442">
        <v>0.88556203077813678</v>
      </c>
      <c r="U6" s="443">
        <v>6.8841293410430691</v>
      </c>
      <c r="V6" s="443">
        <v>8.5524627381679839</v>
      </c>
      <c r="W6" s="442">
        <v>9.9322900000000001</v>
      </c>
      <c r="X6" s="442">
        <v>2.6528900000000002</v>
      </c>
    </row>
    <row r="7" spans="2:24">
      <c r="B7" s="158" t="s">
        <v>1115</v>
      </c>
      <c r="C7" s="158" t="s">
        <v>1116</v>
      </c>
      <c r="D7" s="440" t="s">
        <v>1117</v>
      </c>
      <c r="E7" s="441">
        <v>28100</v>
      </c>
      <c r="F7" s="158">
        <v>94.844610000000003</v>
      </c>
      <c r="G7" s="441">
        <v>2665134.0186999999</v>
      </c>
      <c r="H7" s="158">
        <v>15463684.817</v>
      </c>
      <c r="I7" s="158">
        <v>1345176.44</v>
      </c>
      <c r="J7" s="158">
        <v>1611772.017</v>
      </c>
      <c r="K7" s="158">
        <v>13851912.800000001</v>
      </c>
      <c r="L7" s="158">
        <v>3225946.5989999999</v>
      </c>
      <c r="M7" s="158">
        <v>5553.97</v>
      </c>
      <c r="N7" s="158">
        <v>119823.14</v>
      </c>
      <c r="O7" s="158">
        <v>3351323.7090000003</v>
      </c>
      <c r="P7" s="158">
        <v>16909019.505699996</v>
      </c>
      <c r="Q7" s="158">
        <v>12528732.877499999</v>
      </c>
      <c r="R7" s="158">
        <v>2533012.8065599999</v>
      </c>
      <c r="S7" s="158">
        <v>808278.00658000004</v>
      </c>
      <c r="T7" s="442">
        <v>1.3496192848094344</v>
      </c>
      <c r="U7" s="443">
        <v>6.6754575665424962</v>
      </c>
      <c r="V7" s="443">
        <v>20.919806512174855</v>
      </c>
      <c r="W7" s="442">
        <v>22.759899999999998</v>
      </c>
      <c r="X7" s="442">
        <v>0.82616000000000001</v>
      </c>
    </row>
    <row r="8" spans="2:24">
      <c r="B8" s="158" t="s">
        <v>1118</v>
      </c>
      <c r="C8" s="158" t="s">
        <v>1119</v>
      </c>
      <c r="D8" s="440" t="s">
        <v>1120</v>
      </c>
      <c r="E8" s="441">
        <v>4365</v>
      </c>
      <c r="F8" s="158">
        <v>205.23528999999999</v>
      </c>
      <c r="G8" s="441">
        <v>895852.05830999999</v>
      </c>
      <c r="H8" s="158">
        <v>3917418.1179999998</v>
      </c>
      <c r="I8" s="158">
        <v>507777.75599999999</v>
      </c>
      <c r="J8" s="158">
        <v>534745.13699999999</v>
      </c>
      <c r="K8" s="158">
        <v>3382672.9809999997</v>
      </c>
      <c r="L8" s="158">
        <v>1119071.952</v>
      </c>
      <c r="M8" s="158">
        <v>0</v>
      </c>
      <c r="N8" s="158">
        <v>54817.639000000003</v>
      </c>
      <c r="O8" s="158">
        <v>1173889.591</v>
      </c>
      <c r="P8" s="158">
        <v>4360310.0593100004</v>
      </c>
      <c r="Q8" s="158">
        <v>6523767.7666800003</v>
      </c>
      <c r="R8" s="158">
        <v>779023.11309</v>
      </c>
      <c r="S8" s="158">
        <v>309085.27859</v>
      </c>
      <c r="T8" s="442">
        <v>0.66837297329622736</v>
      </c>
      <c r="U8" s="443">
        <v>5.5971510806846325</v>
      </c>
      <c r="V8" s="443">
        <v>14.107142466315675</v>
      </c>
      <c r="W8" s="442">
        <v>5.2618799999999997</v>
      </c>
      <c r="X8" s="442">
        <v>0.80052999999999996</v>
      </c>
    </row>
    <row r="9" spans="2:24">
      <c r="B9" s="430" t="s">
        <v>1121</v>
      </c>
      <c r="C9" s="430"/>
      <c r="D9" s="430"/>
      <c r="E9" s="430"/>
      <c r="F9" s="430"/>
      <c r="G9" s="430"/>
      <c r="H9" s="430"/>
      <c r="I9" s="430"/>
      <c r="J9" s="430"/>
      <c r="K9" s="430"/>
      <c r="L9" s="430"/>
      <c r="M9" s="430"/>
      <c r="N9" s="430"/>
      <c r="O9" s="430"/>
      <c r="P9" s="430"/>
      <c r="Q9" s="430"/>
      <c r="R9" s="430"/>
      <c r="S9" s="430"/>
      <c r="T9" s="444">
        <f>AVERAGE(T4,T6:T8)</f>
        <v>0.8939464339520039</v>
      </c>
      <c r="U9" s="445">
        <f t="shared" ref="U9:X9" si="0">AVERAGE(U4,U6:U8)</f>
        <v>6.0584372536264972</v>
      </c>
      <c r="V9" s="445">
        <f t="shared" si="0"/>
        <v>12.381796909132738</v>
      </c>
      <c r="W9" s="444">
        <f t="shared" si="0"/>
        <v>11.386864999999998</v>
      </c>
      <c r="X9" s="444">
        <f t="shared" si="0"/>
        <v>1.6751499999999999</v>
      </c>
    </row>
    <row r="10" spans="2:24">
      <c r="B10" s="433" t="s">
        <v>1122</v>
      </c>
      <c r="C10" s="433"/>
      <c r="D10" s="433"/>
      <c r="E10" s="433"/>
      <c r="F10" s="433"/>
      <c r="G10" s="433"/>
      <c r="H10" s="433"/>
      <c r="I10" s="433"/>
      <c r="J10" s="433"/>
      <c r="K10" s="433"/>
      <c r="L10" s="433"/>
      <c r="M10" s="433"/>
      <c r="N10" s="433"/>
      <c r="O10" s="433"/>
      <c r="P10" s="433"/>
      <c r="Q10" s="433"/>
      <c r="R10" s="433"/>
      <c r="S10" s="433"/>
      <c r="T10" s="446">
        <f>MEDIAN(T4,T6:T8)</f>
        <v>0.77889673885117694</v>
      </c>
      <c r="U10" s="447">
        <f t="shared" ref="U10:X10" si="1">MEDIAN(U4,U6:U8)</f>
        <v>6.1363043236135644</v>
      </c>
      <c r="V10" s="447">
        <f t="shared" si="1"/>
        <v>11.329802602241831</v>
      </c>
      <c r="W10" s="446">
        <f t="shared" si="1"/>
        <v>8.7628400000000006</v>
      </c>
      <c r="X10" s="446">
        <f t="shared" si="1"/>
        <v>1.6235900000000001</v>
      </c>
    </row>
    <row r="11" spans="2:24" ht="13.8" thickBot="1">
      <c r="B11" s="434" t="s">
        <v>882</v>
      </c>
      <c r="C11" s="434"/>
      <c r="D11" s="434"/>
      <c r="E11" s="434"/>
      <c r="F11" s="434"/>
      <c r="G11" s="434"/>
      <c r="H11" s="434"/>
      <c r="I11" s="434"/>
      <c r="J11" s="434"/>
      <c r="K11" s="434"/>
      <c r="L11" s="434"/>
      <c r="M11" s="434"/>
      <c r="N11" s="434"/>
      <c r="O11" s="434"/>
      <c r="P11" s="434"/>
      <c r="Q11" s="434"/>
      <c r="R11" s="434"/>
      <c r="S11" s="434"/>
      <c r="T11" s="448">
        <f>T10</f>
        <v>0.77889673885117694</v>
      </c>
      <c r="U11" s="449">
        <f t="shared" ref="U11:X11" si="2">U10</f>
        <v>6.1363043236135644</v>
      </c>
      <c r="V11" s="449">
        <f t="shared" si="2"/>
        <v>11.329802602241831</v>
      </c>
      <c r="W11" s="448">
        <f t="shared" si="2"/>
        <v>8.7628400000000006</v>
      </c>
      <c r="X11" s="448">
        <f t="shared" si="2"/>
        <v>1.6235900000000001</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70C0"/>
    <pageSetUpPr fitToPage="1"/>
  </sheetPr>
  <dimension ref="B1:S36"/>
  <sheetViews>
    <sheetView tabSelected="1" workbookViewId="0">
      <selection activeCell="R17" sqref="R17"/>
    </sheetView>
  </sheetViews>
  <sheetFormatPr defaultColWidth="9.125" defaultRowHeight="13.2" outlineLevelCol="1"/>
  <cols>
    <col min="1" max="1" width="2" style="139" customWidth="1"/>
    <col min="2" max="2" width="19.875" style="139" customWidth="1"/>
    <col min="3" max="3" width="21.375" style="139" customWidth="1"/>
    <col min="4" max="7" width="15.75" style="139" customWidth="1"/>
    <col min="8" max="8" width="19.375" style="139" customWidth="1"/>
    <col min="9" max="9" width="21" style="139" customWidth="1"/>
    <col min="10" max="10" width="15.75" style="139" customWidth="1"/>
    <col min="11" max="11" width="26" style="139" customWidth="1"/>
    <col min="12" max="13" width="15.75" style="139" customWidth="1"/>
    <col min="14" max="14" width="55" style="139" customWidth="1" outlineLevel="1"/>
    <col min="15" max="15" width="8.125" style="139" customWidth="1"/>
    <col min="16" max="16384" width="9.125" style="139"/>
  </cols>
  <sheetData>
    <row r="1" spans="2:14" ht="17.399999999999999">
      <c r="B1" s="153" t="s">
        <v>1123</v>
      </c>
    </row>
    <row r="2" spans="2:14">
      <c r="B2" s="139" t="s">
        <v>1124</v>
      </c>
    </row>
    <row r="4" spans="2:14" ht="53.4" thickBot="1">
      <c r="B4" s="154" t="s">
        <v>1125</v>
      </c>
      <c r="C4" s="154" t="s">
        <v>1126</v>
      </c>
      <c r="D4" s="154" t="s">
        <v>1127</v>
      </c>
      <c r="E4" s="154" t="s">
        <v>1128</v>
      </c>
      <c r="F4" s="154" t="s">
        <v>1129</v>
      </c>
      <c r="G4" s="154" t="s">
        <v>1130</v>
      </c>
      <c r="H4" s="154" t="s">
        <v>1131</v>
      </c>
      <c r="I4" s="154" t="s">
        <v>1132</v>
      </c>
      <c r="J4" s="154" t="s">
        <v>1133</v>
      </c>
      <c r="K4" s="154" t="s">
        <v>1134</v>
      </c>
      <c r="L4" s="154" t="s">
        <v>1135</v>
      </c>
      <c r="M4" s="154" t="s">
        <v>1136</v>
      </c>
      <c r="N4" s="154" t="s">
        <v>1137</v>
      </c>
    </row>
    <row r="5" spans="2:14">
      <c r="B5" s="202">
        <v>43217</v>
      </c>
      <c r="C5" s="139" t="s">
        <v>1138</v>
      </c>
      <c r="D5" s="139" t="s">
        <v>1139</v>
      </c>
      <c r="E5" s="139" t="s">
        <v>1140</v>
      </c>
      <c r="F5" s="139" t="s">
        <v>1141</v>
      </c>
      <c r="G5" s="139">
        <v>147723.01</v>
      </c>
      <c r="H5" s="139" t="s">
        <v>1142</v>
      </c>
      <c r="I5" s="139" t="s">
        <v>1143</v>
      </c>
      <c r="J5" s="139" t="s">
        <v>1144</v>
      </c>
      <c r="K5" s="139" t="s">
        <v>1145</v>
      </c>
      <c r="L5" s="202">
        <v>43217</v>
      </c>
      <c r="M5" s="429">
        <v>10.9</v>
      </c>
      <c r="N5" s="139" t="s">
        <v>1146</v>
      </c>
    </row>
    <row r="6" spans="2:14">
      <c r="B6" s="202">
        <v>43123</v>
      </c>
      <c r="C6" s="139" t="s">
        <v>1147</v>
      </c>
      <c r="D6" s="139" t="s">
        <v>1148</v>
      </c>
      <c r="E6" s="139" t="s">
        <v>1140</v>
      </c>
      <c r="F6" s="139" t="s">
        <v>1141</v>
      </c>
      <c r="G6" s="139">
        <v>24336.13</v>
      </c>
      <c r="H6" s="139" t="s">
        <v>1149</v>
      </c>
      <c r="I6" s="139" t="s">
        <v>1150</v>
      </c>
      <c r="J6" s="139" t="s">
        <v>1151</v>
      </c>
      <c r="K6" s="139" t="s">
        <v>1145</v>
      </c>
      <c r="L6" s="202">
        <v>43123</v>
      </c>
      <c r="M6" s="429">
        <v>12.05</v>
      </c>
      <c r="N6" s="139" t="s">
        <v>1152</v>
      </c>
    </row>
    <row r="7" spans="2:14">
      <c r="B7" s="202">
        <v>43096</v>
      </c>
      <c r="C7" s="139" t="s">
        <v>1153</v>
      </c>
      <c r="D7" s="139" t="s">
        <v>1154</v>
      </c>
      <c r="E7" s="139" t="s">
        <v>1140</v>
      </c>
      <c r="F7" s="139" t="s">
        <v>1141</v>
      </c>
      <c r="G7" s="139">
        <v>271205.49</v>
      </c>
      <c r="H7" s="139" t="s">
        <v>1150</v>
      </c>
      <c r="I7" s="139" t="s">
        <v>1150</v>
      </c>
      <c r="J7" s="139" t="s">
        <v>1155</v>
      </c>
      <c r="K7" s="139" t="s">
        <v>1145</v>
      </c>
      <c r="L7" s="202">
        <v>43096</v>
      </c>
      <c r="M7" s="429">
        <v>15.17</v>
      </c>
      <c r="N7" s="139" t="s">
        <v>1156</v>
      </c>
    </row>
    <row r="8" spans="2:14">
      <c r="B8" s="202">
        <v>43044</v>
      </c>
      <c r="C8" s="139" t="s">
        <v>1147</v>
      </c>
      <c r="D8" s="139" t="s">
        <v>1148</v>
      </c>
      <c r="E8" s="139" t="s">
        <v>1140</v>
      </c>
      <c r="F8" s="139" t="s">
        <v>1141</v>
      </c>
      <c r="G8" s="139">
        <v>738549.78</v>
      </c>
      <c r="H8" s="139" t="s">
        <v>1149</v>
      </c>
      <c r="I8" s="139" t="s">
        <v>1157</v>
      </c>
      <c r="J8" s="139" t="s">
        <v>1158</v>
      </c>
      <c r="K8" s="139" t="s">
        <v>1145</v>
      </c>
      <c r="L8" s="202">
        <v>43044</v>
      </c>
      <c r="M8" s="429">
        <v>13.52</v>
      </c>
      <c r="N8" s="139" t="s">
        <v>1159</v>
      </c>
    </row>
    <row r="9" spans="2:14">
      <c r="B9" s="202">
        <v>42762</v>
      </c>
      <c r="C9" s="139" t="s">
        <v>1160</v>
      </c>
      <c r="D9" s="139" t="s">
        <v>1161</v>
      </c>
      <c r="E9" s="139" t="s">
        <v>1140</v>
      </c>
      <c r="F9" s="139" t="s">
        <v>1141</v>
      </c>
      <c r="G9" s="139">
        <v>129400.7</v>
      </c>
      <c r="H9" s="139" t="s">
        <v>1150</v>
      </c>
      <c r="I9" s="139" t="s">
        <v>1162</v>
      </c>
      <c r="J9" s="139" t="s">
        <v>1163</v>
      </c>
      <c r="K9" s="139" t="s">
        <v>1145</v>
      </c>
      <c r="L9" s="202">
        <v>42762</v>
      </c>
      <c r="M9" s="429">
        <v>10.23</v>
      </c>
      <c r="N9" s="139" t="s">
        <v>1152</v>
      </c>
    </row>
    <row r="10" spans="2:14">
      <c r="B10" s="202">
        <v>42534</v>
      </c>
      <c r="C10" s="139" t="s">
        <v>1153</v>
      </c>
      <c r="D10" s="139" t="s">
        <v>1154</v>
      </c>
      <c r="E10" s="139" t="s">
        <v>1140</v>
      </c>
      <c r="F10" s="139" t="s">
        <v>1141</v>
      </c>
      <c r="G10" s="139">
        <v>1008481.18</v>
      </c>
      <c r="H10" s="139" t="s">
        <v>1150</v>
      </c>
      <c r="I10" s="139" t="s">
        <v>1150</v>
      </c>
      <c r="J10" s="139" t="s">
        <v>1164</v>
      </c>
      <c r="K10" s="139" t="s">
        <v>1145</v>
      </c>
      <c r="L10" s="202">
        <v>42534</v>
      </c>
      <c r="M10" s="429">
        <v>9.11</v>
      </c>
      <c r="N10" s="139" t="s">
        <v>1165</v>
      </c>
    </row>
    <row r="11" spans="2:14">
      <c r="B11" s="202">
        <v>42531</v>
      </c>
      <c r="C11" s="139" t="s">
        <v>1166</v>
      </c>
      <c r="D11" s="139" t="s">
        <v>1167</v>
      </c>
      <c r="E11" s="139" t="s">
        <v>1140</v>
      </c>
      <c r="F11" s="139" t="s">
        <v>1141</v>
      </c>
      <c r="G11" s="139">
        <v>199448.08</v>
      </c>
      <c r="H11" s="139" t="s">
        <v>1168</v>
      </c>
      <c r="I11" s="139" t="s">
        <v>1169</v>
      </c>
      <c r="J11" s="139" t="s">
        <v>1170</v>
      </c>
      <c r="K11" s="139" t="s">
        <v>1145</v>
      </c>
      <c r="L11" s="202">
        <v>42531</v>
      </c>
      <c r="M11" s="429">
        <v>8.91</v>
      </c>
      <c r="N11" s="139" t="s">
        <v>1171</v>
      </c>
    </row>
    <row r="12" spans="2:14">
      <c r="B12" s="202">
        <v>42507</v>
      </c>
      <c r="C12" s="139" t="s">
        <v>1172</v>
      </c>
      <c r="D12" s="139" t="s">
        <v>1173</v>
      </c>
      <c r="E12" s="139" t="s">
        <v>1140</v>
      </c>
      <c r="F12" s="139" t="s">
        <v>1141</v>
      </c>
      <c r="G12" s="139">
        <v>850808.91</v>
      </c>
      <c r="H12" s="139" t="s">
        <v>1174</v>
      </c>
      <c r="I12" s="139" t="s">
        <v>1150</v>
      </c>
      <c r="J12" s="139" t="s">
        <v>1175</v>
      </c>
      <c r="K12" s="139" t="s">
        <v>1145</v>
      </c>
      <c r="L12" s="202">
        <v>42507</v>
      </c>
      <c r="M12" s="429">
        <v>4.18</v>
      </c>
      <c r="N12" s="139" t="s">
        <v>1176</v>
      </c>
    </row>
    <row r="13" spans="2:14">
      <c r="B13" s="202">
        <v>42480</v>
      </c>
      <c r="C13" s="139" t="s">
        <v>1177</v>
      </c>
      <c r="D13" s="139" t="s">
        <v>1178</v>
      </c>
      <c r="E13" s="139" t="s">
        <v>1140</v>
      </c>
      <c r="F13" s="139" t="s">
        <v>1141</v>
      </c>
      <c r="G13" s="139">
        <v>2973.19</v>
      </c>
      <c r="H13" s="139" t="s">
        <v>1150</v>
      </c>
      <c r="I13" s="139" t="s">
        <v>1179</v>
      </c>
      <c r="J13" s="139" t="s">
        <v>1180</v>
      </c>
      <c r="K13" s="139" t="s">
        <v>1145</v>
      </c>
      <c r="L13" s="202">
        <v>42480</v>
      </c>
      <c r="M13" s="429">
        <v>2.59</v>
      </c>
      <c r="N13" s="139" t="s">
        <v>1165</v>
      </c>
    </row>
    <row r="14" spans="2:14">
      <c r="B14" s="202">
        <v>42464</v>
      </c>
      <c r="C14" s="139" t="s">
        <v>1181</v>
      </c>
      <c r="D14" s="139" t="s">
        <v>1150</v>
      </c>
      <c r="E14" s="139" t="s">
        <v>1140</v>
      </c>
      <c r="F14" s="139" t="s">
        <v>1141</v>
      </c>
      <c r="G14" s="139">
        <v>3439671.62</v>
      </c>
      <c r="H14" s="139" t="s">
        <v>1182</v>
      </c>
      <c r="I14" s="139" t="s">
        <v>1183</v>
      </c>
      <c r="J14" s="139" t="s">
        <v>1184</v>
      </c>
      <c r="K14" s="139" t="s">
        <v>1145</v>
      </c>
      <c r="L14" s="202">
        <v>42464</v>
      </c>
      <c r="M14" s="429">
        <v>11.47</v>
      </c>
      <c r="N14" s="139" t="s">
        <v>1185</v>
      </c>
    </row>
    <row r="15" spans="2:14">
      <c r="B15" s="202">
        <v>42326</v>
      </c>
      <c r="C15" s="139" t="s">
        <v>1186</v>
      </c>
      <c r="D15" s="139" t="s">
        <v>1187</v>
      </c>
      <c r="E15" s="139" t="s">
        <v>1140</v>
      </c>
      <c r="F15" s="139" t="s">
        <v>1141</v>
      </c>
      <c r="G15" s="139">
        <v>684271.4</v>
      </c>
      <c r="H15" s="139" t="s">
        <v>1188</v>
      </c>
      <c r="I15" s="139" t="s">
        <v>1150</v>
      </c>
      <c r="J15" s="139" t="s">
        <v>1189</v>
      </c>
      <c r="K15" s="139" t="s">
        <v>1145</v>
      </c>
      <c r="L15" s="202">
        <v>42326</v>
      </c>
      <c r="M15" s="429">
        <v>9.39</v>
      </c>
      <c r="N15" s="139" t="s">
        <v>1171</v>
      </c>
    </row>
    <row r="16" spans="2:14">
      <c r="B16" s="202">
        <v>42150</v>
      </c>
      <c r="C16" s="139" t="s">
        <v>1190</v>
      </c>
      <c r="D16" s="139" t="s">
        <v>1191</v>
      </c>
      <c r="E16" s="139" t="s">
        <v>1140</v>
      </c>
      <c r="F16" s="139" t="s">
        <v>1141</v>
      </c>
      <c r="G16" s="139">
        <v>14678.36</v>
      </c>
      <c r="H16" s="139" t="s">
        <v>1192</v>
      </c>
      <c r="I16" s="139" t="s">
        <v>1193</v>
      </c>
      <c r="J16" s="139" t="s">
        <v>1194</v>
      </c>
      <c r="K16" s="139" t="s">
        <v>1145</v>
      </c>
      <c r="L16" s="202">
        <v>42150</v>
      </c>
      <c r="M16" s="429">
        <v>4.2300000000000004</v>
      </c>
      <c r="N16" s="139" t="s">
        <v>1195</v>
      </c>
    </row>
    <row r="17" spans="2:14">
      <c r="B17" s="202">
        <v>41992</v>
      </c>
      <c r="C17" s="139" t="s">
        <v>1196</v>
      </c>
      <c r="D17" s="139" t="s">
        <v>1197</v>
      </c>
      <c r="E17" s="139" t="s">
        <v>1140</v>
      </c>
      <c r="F17" s="139" t="s">
        <v>1141</v>
      </c>
      <c r="G17" s="139">
        <v>167.12</v>
      </c>
      <c r="H17" s="139" t="s">
        <v>1150</v>
      </c>
      <c r="I17" s="139" t="s">
        <v>1150</v>
      </c>
      <c r="J17" s="139" t="s">
        <v>1198</v>
      </c>
      <c r="K17" s="139" t="s">
        <v>1145</v>
      </c>
      <c r="L17" s="202">
        <v>41992</v>
      </c>
      <c r="M17" s="429">
        <v>5.14</v>
      </c>
      <c r="N17" s="139" t="s">
        <v>1176</v>
      </c>
    </row>
    <row r="18" spans="2:14">
      <c r="B18" s="202">
        <v>41991</v>
      </c>
      <c r="C18" s="139" t="s">
        <v>1199</v>
      </c>
      <c r="D18" s="139" t="s">
        <v>1150</v>
      </c>
      <c r="E18" s="139" t="s">
        <v>1140</v>
      </c>
      <c r="F18" s="139" t="s">
        <v>1141</v>
      </c>
      <c r="G18" s="139">
        <v>2192256.81</v>
      </c>
      <c r="H18" s="139" t="s">
        <v>1172</v>
      </c>
      <c r="I18" s="139" t="s">
        <v>1200</v>
      </c>
      <c r="J18" s="139" t="s">
        <v>1201</v>
      </c>
      <c r="K18" s="139" t="s">
        <v>1145</v>
      </c>
      <c r="L18" s="202">
        <v>41991</v>
      </c>
      <c r="M18" s="429">
        <v>7.73</v>
      </c>
      <c r="N18" s="139" t="s">
        <v>1202</v>
      </c>
    </row>
    <row r="19" spans="2:14">
      <c r="B19" s="202">
        <v>41984</v>
      </c>
      <c r="C19" s="139" t="s">
        <v>1143</v>
      </c>
      <c r="D19" s="139" t="s">
        <v>1203</v>
      </c>
      <c r="E19" s="139" t="s">
        <v>1140</v>
      </c>
      <c r="F19" s="139" t="s">
        <v>1141</v>
      </c>
      <c r="G19" s="139">
        <v>581597.38</v>
      </c>
      <c r="H19" s="139" t="s">
        <v>1204</v>
      </c>
      <c r="I19" s="139" t="s">
        <v>1205</v>
      </c>
      <c r="J19" s="139" t="s">
        <v>1206</v>
      </c>
      <c r="K19" s="139" t="s">
        <v>1145</v>
      </c>
      <c r="L19" s="202">
        <v>41984</v>
      </c>
      <c r="M19" s="429">
        <v>11.86</v>
      </c>
      <c r="N19" s="139" t="s">
        <v>1207</v>
      </c>
    </row>
    <row r="20" spans="2:14">
      <c r="B20" s="202">
        <v>41962</v>
      </c>
      <c r="C20" s="139" t="s">
        <v>1181</v>
      </c>
      <c r="D20" s="139" t="s">
        <v>1150</v>
      </c>
      <c r="E20" s="139" t="s">
        <v>1140</v>
      </c>
      <c r="F20" s="139" t="s">
        <v>1141</v>
      </c>
      <c r="G20" s="139">
        <v>55586.98</v>
      </c>
      <c r="H20" s="139" t="s">
        <v>1208</v>
      </c>
      <c r="I20" s="139" t="s">
        <v>1209</v>
      </c>
      <c r="J20" s="139" t="s">
        <v>1210</v>
      </c>
      <c r="K20" s="139" t="s">
        <v>1145</v>
      </c>
      <c r="L20" s="202">
        <v>41962</v>
      </c>
      <c r="M20" s="429">
        <v>13.19</v>
      </c>
      <c r="N20" s="139" t="s">
        <v>1159</v>
      </c>
    </row>
    <row r="21" spans="2:14">
      <c r="B21" s="202">
        <v>41607</v>
      </c>
      <c r="C21" s="139" t="s">
        <v>1160</v>
      </c>
      <c r="D21" s="139" t="s">
        <v>1161</v>
      </c>
      <c r="E21" s="139" t="s">
        <v>1140</v>
      </c>
      <c r="F21" s="139" t="s">
        <v>1141</v>
      </c>
      <c r="G21" s="139">
        <v>56027.74</v>
      </c>
      <c r="H21" s="139" t="s">
        <v>1150</v>
      </c>
      <c r="I21" s="139" t="s">
        <v>1150</v>
      </c>
      <c r="J21" s="139" t="s">
        <v>1211</v>
      </c>
      <c r="K21" s="139" t="s">
        <v>1145</v>
      </c>
      <c r="L21" s="202">
        <v>41607</v>
      </c>
      <c r="M21" s="429">
        <v>12.57</v>
      </c>
      <c r="N21" s="139" t="s">
        <v>1152</v>
      </c>
    </row>
    <row r="22" spans="2:14">
      <c r="B22" s="202">
        <v>41598</v>
      </c>
      <c r="C22" s="139" t="s">
        <v>1169</v>
      </c>
      <c r="D22" s="139" t="s">
        <v>1212</v>
      </c>
      <c r="E22" s="139" t="s">
        <v>1140</v>
      </c>
      <c r="F22" s="139" t="s">
        <v>1141</v>
      </c>
      <c r="G22" s="139">
        <v>320206.27</v>
      </c>
      <c r="H22" s="139" t="s">
        <v>1150</v>
      </c>
      <c r="I22" s="139" t="s">
        <v>1213</v>
      </c>
      <c r="J22" s="139" t="s">
        <v>1214</v>
      </c>
      <c r="K22" s="139" t="s">
        <v>1145</v>
      </c>
      <c r="L22" s="202">
        <v>41598</v>
      </c>
      <c r="M22" s="429">
        <v>3.21</v>
      </c>
      <c r="N22" s="139" t="s">
        <v>1215</v>
      </c>
    </row>
    <row r="23" spans="2:14">
      <c r="B23" s="202">
        <v>41520</v>
      </c>
      <c r="C23" s="139" t="s">
        <v>1166</v>
      </c>
      <c r="D23" s="139" t="s">
        <v>1167</v>
      </c>
      <c r="E23" s="139" t="s">
        <v>1140</v>
      </c>
      <c r="F23" s="139" t="s">
        <v>1141</v>
      </c>
      <c r="G23" s="139">
        <v>36690.800000000003</v>
      </c>
      <c r="H23" s="139" t="s">
        <v>1169</v>
      </c>
      <c r="I23" s="139" t="s">
        <v>1150</v>
      </c>
      <c r="J23" s="139" t="s">
        <v>1216</v>
      </c>
      <c r="K23" s="139" t="s">
        <v>1145</v>
      </c>
      <c r="L23" s="202">
        <v>41520</v>
      </c>
      <c r="M23" s="429">
        <v>44.27</v>
      </c>
      <c r="N23" s="139" t="s">
        <v>1217</v>
      </c>
    </row>
    <row r="24" spans="2:14">
      <c r="B24" s="202">
        <v>41451</v>
      </c>
      <c r="C24" s="139" t="s">
        <v>1172</v>
      </c>
      <c r="D24" s="139" t="s">
        <v>1173</v>
      </c>
      <c r="E24" s="139" t="s">
        <v>1140</v>
      </c>
      <c r="F24" s="139" t="s">
        <v>1141</v>
      </c>
      <c r="G24" s="139">
        <v>1013267.34</v>
      </c>
      <c r="H24" s="139" t="s">
        <v>1150</v>
      </c>
      <c r="I24" s="139" t="s">
        <v>1218</v>
      </c>
      <c r="J24" s="139" t="s">
        <v>1219</v>
      </c>
      <c r="K24" s="139" t="s">
        <v>1145</v>
      </c>
      <c r="L24" s="202">
        <v>41451</v>
      </c>
      <c r="M24" s="429">
        <v>9.33</v>
      </c>
      <c r="N24" s="139" t="s">
        <v>1220</v>
      </c>
    </row>
    <row r="25" spans="2:14">
      <c r="B25" s="202">
        <v>41397</v>
      </c>
      <c r="C25" s="139" t="s">
        <v>1221</v>
      </c>
      <c r="D25" s="139" t="s">
        <v>1150</v>
      </c>
      <c r="E25" s="139" t="s">
        <v>1140</v>
      </c>
      <c r="F25" s="139" t="s">
        <v>1141</v>
      </c>
      <c r="G25" s="139">
        <v>341937.9</v>
      </c>
      <c r="H25" s="139" t="s">
        <v>1222</v>
      </c>
      <c r="I25" s="139" t="s">
        <v>1223</v>
      </c>
      <c r="J25" s="139" t="s">
        <v>1224</v>
      </c>
      <c r="K25" s="139" t="s">
        <v>1145</v>
      </c>
      <c r="L25" s="202">
        <v>41397</v>
      </c>
      <c r="M25" s="429">
        <v>6.14</v>
      </c>
      <c r="N25" s="139" t="s">
        <v>1225</v>
      </c>
    </row>
    <row r="26" spans="2:14">
      <c r="B26" s="202">
        <v>41387</v>
      </c>
      <c r="C26" s="139" t="s">
        <v>1166</v>
      </c>
      <c r="D26" s="139" t="s">
        <v>1167</v>
      </c>
      <c r="E26" s="139" t="s">
        <v>1140</v>
      </c>
      <c r="F26" s="139" t="s">
        <v>1141</v>
      </c>
      <c r="G26" s="139">
        <v>140912.93</v>
      </c>
      <c r="H26" s="139" t="s">
        <v>1226</v>
      </c>
      <c r="I26" s="139" t="s">
        <v>1227</v>
      </c>
      <c r="J26" s="139" t="s">
        <v>1228</v>
      </c>
      <c r="K26" s="139" t="s">
        <v>1145</v>
      </c>
      <c r="L26" s="202">
        <v>41387</v>
      </c>
      <c r="M26" s="429">
        <v>14.71</v>
      </c>
      <c r="N26" s="139" t="s">
        <v>1152</v>
      </c>
    </row>
    <row r="27" spans="2:14">
      <c r="B27" s="202">
        <v>41355</v>
      </c>
      <c r="C27" s="139" t="s">
        <v>1229</v>
      </c>
      <c r="D27" s="139" t="s">
        <v>1230</v>
      </c>
      <c r="E27" s="139" t="s">
        <v>1140</v>
      </c>
      <c r="F27" s="139" t="s">
        <v>1141</v>
      </c>
      <c r="G27" s="139">
        <v>9243.86</v>
      </c>
      <c r="H27" s="139" t="s">
        <v>1231</v>
      </c>
      <c r="I27" s="139" t="s">
        <v>1150</v>
      </c>
      <c r="J27" s="139" t="s">
        <v>1232</v>
      </c>
      <c r="K27" s="139" t="s">
        <v>1145</v>
      </c>
      <c r="L27" s="202">
        <v>41355</v>
      </c>
      <c r="M27" s="429">
        <v>5.92</v>
      </c>
      <c r="N27" s="139" t="s">
        <v>1233</v>
      </c>
    </row>
    <row r="28" spans="2:14">
      <c r="B28" s="202">
        <v>41283</v>
      </c>
      <c r="C28" s="139" t="s">
        <v>1234</v>
      </c>
      <c r="D28" s="139" t="s">
        <v>1150</v>
      </c>
      <c r="E28" s="139" t="s">
        <v>1140</v>
      </c>
      <c r="F28" s="139" t="s">
        <v>1141</v>
      </c>
      <c r="G28" s="139">
        <v>6965.05</v>
      </c>
      <c r="H28" s="139" t="s">
        <v>1235</v>
      </c>
      <c r="I28" s="139" t="s">
        <v>1236</v>
      </c>
      <c r="J28" s="139" t="s">
        <v>1237</v>
      </c>
      <c r="K28" s="139" t="s">
        <v>1145</v>
      </c>
      <c r="L28" s="202">
        <v>41283</v>
      </c>
      <c r="M28" s="429">
        <v>117.48</v>
      </c>
      <c r="N28" s="139" t="s">
        <v>1238</v>
      </c>
    </row>
    <row r="29" spans="2:14">
      <c r="B29" s="202">
        <v>41212</v>
      </c>
      <c r="C29" s="139" t="s">
        <v>1239</v>
      </c>
      <c r="D29" s="139" t="s">
        <v>1150</v>
      </c>
      <c r="E29" s="139" t="s">
        <v>1140</v>
      </c>
      <c r="F29" s="139" t="s">
        <v>1141</v>
      </c>
      <c r="G29" s="139">
        <v>130484.29</v>
      </c>
      <c r="H29" s="139" t="s">
        <v>1166</v>
      </c>
      <c r="I29" s="139" t="s">
        <v>1240</v>
      </c>
      <c r="J29" s="139" t="s">
        <v>1241</v>
      </c>
      <c r="K29" s="139" t="s">
        <v>1145</v>
      </c>
      <c r="L29" s="202">
        <v>41212</v>
      </c>
      <c r="M29" s="429">
        <v>7.22</v>
      </c>
      <c r="N29" s="139" t="s">
        <v>1242</v>
      </c>
    </row>
    <row r="30" spans="2:14">
      <c r="B30" s="202">
        <v>41026</v>
      </c>
      <c r="C30" s="139" t="s">
        <v>1243</v>
      </c>
      <c r="D30" s="139" t="s">
        <v>1244</v>
      </c>
      <c r="E30" s="139" t="s">
        <v>1140</v>
      </c>
      <c r="F30" s="139" t="s">
        <v>1141</v>
      </c>
      <c r="G30" s="139">
        <v>177714.55</v>
      </c>
      <c r="H30" s="139" t="s">
        <v>1245</v>
      </c>
      <c r="I30" s="139" t="s">
        <v>1246</v>
      </c>
      <c r="J30" s="139" t="s">
        <v>1247</v>
      </c>
      <c r="K30" s="139" t="s">
        <v>1145</v>
      </c>
      <c r="L30" s="202">
        <v>41026</v>
      </c>
      <c r="M30" s="429">
        <v>6.68</v>
      </c>
      <c r="N30" s="139" t="s">
        <v>1248</v>
      </c>
    </row>
    <row r="31" spans="2:14">
      <c r="B31" s="202">
        <v>40884</v>
      </c>
      <c r="C31" s="139" t="s">
        <v>1249</v>
      </c>
      <c r="D31" s="139" t="s">
        <v>1250</v>
      </c>
      <c r="E31" s="139" t="s">
        <v>1140</v>
      </c>
      <c r="F31" s="139" t="s">
        <v>1141</v>
      </c>
      <c r="G31" s="139">
        <v>114879.22</v>
      </c>
      <c r="H31" s="139" t="s">
        <v>1188</v>
      </c>
      <c r="I31" s="139" t="s">
        <v>1150</v>
      </c>
      <c r="J31" s="139" t="s">
        <v>1251</v>
      </c>
      <c r="K31" s="139" t="s">
        <v>1145</v>
      </c>
      <c r="L31" s="202">
        <v>40884</v>
      </c>
      <c r="M31" s="429">
        <v>31.27</v>
      </c>
      <c r="N31" s="139" t="s">
        <v>1207</v>
      </c>
    </row>
    <row r="32" spans="2:14">
      <c r="B32" s="202">
        <v>40671</v>
      </c>
      <c r="C32" s="139" t="s">
        <v>1252</v>
      </c>
      <c r="D32" s="139" t="s">
        <v>1150</v>
      </c>
      <c r="E32" s="139" t="s">
        <v>1140</v>
      </c>
      <c r="F32" s="139" t="s">
        <v>1141</v>
      </c>
      <c r="G32" s="139">
        <v>131837.47</v>
      </c>
      <c r="H32" s="139" t="s">
        <v>1253</v>
      </c>
      <c r="I32" s="139" t="s">
        <v>1254</v>
      </c>
      <c r="J32" s="139" t="s">
        <v>1255</v>
      </c>
      <c r="K32" s="139" t="s">
        <v>1145</v>
      </c>
      <c r="L32" s="202">
        <v>40671</v>
      </c>
      <c r="M32" s="429">
        <v>6.89</v>
      </c>
      <c r="N32" s="139" t="s">
        <v>1256</v>
      </c>
    </row>
    <row r="33" spans="2:19">
      <c r="B33" s="202">
        <v>40563</v>
      </c>
      <c r="C33" s="139" t="s">
        <v>1166</v>
      </c>
      <c r="D33" s="139" t="s">
        <v>1167</v>
      </c>
      <c r="E33" s="139" t="s">
        <v>1140</v>
      </c>
      <c r="F33" s="139" t="s">
        <v>1141</v>
      </c>
      <c r="G33" s="139">
        <v>161159.53</v>
      </c>
      <c r="H33" s="139" t="s">
        <v>1169</v>
      </c>
      <c r="I33" s="139" t="s">
        <v>1150</v>
      </c>
      <c r="J33" s="139" t="s">
        <v>1257</v>
      </c>
      <c r="K33" s="139" t="s">
        <v>1145</v>
      </c>
      <c r="L33" s="202">
        <v>40563</v>
      </c>
      <c r="M33" s="429">
        <v>6.55</v>
      </c>
      <c r="N33" s="139" t="s">
        <v>1258</v>
      </c>
    </row>
    <row r="34" spans="2:19">
      <c r="B34" s="430" t="s">
        <v>1121</v>
      </c>
      <c r="C34" s="430"/>
      <c r="D34" s="430"/>
      <c r="E34" s="430"/>
      <c r="F34" s="430"/>
      <c r="G34" s="430"/>
      <c r="H34" s="430"/>
      <c r="I34" s="430"/>
      <c r="J34" s="430"/>
      <c r="K34" s="430"/>
      <c r="L34" s="430"/>
      <c r="M34" s="431">
        <f>AVERAGE(M5:M33)</f>
        <v>14.548620689655174</v>
      </c>
      <c r="N34" s="430"/>
      <c r="O34" s="432"/>
      <c r="P34" s="432"/>
      <c r="Q34" s="432"/>
      <c r="R34" s="432"/>
      <c r="S34" s="432"/>
    </row>
    <row r="35" spans="2:19">
      <c r="B35" s="433" t="s">
        <v>1122</v>
      </c>
      <c r="C35" s="433"/>
      <c r="D35" s="433"/>
      <c r="E35" s="433"/>
      <c r="F35" s="433"/>
      <c r="G35" s="433"/>
      <c r="H35" s="433"/>
      <c r="I35" s="433"/>
      <c r="J35" s="433"/>
      <c r="K35" s="433"/>
      <c r="L35" s="433"/>
      <c r="M35" s="429">
        <f>MEDIAN(M5:M33)</f>
        <v>9.33</v>
      </c>
      <c r="N35" s="433"/>
      <c r="O35" s="432"/>
      <c r="P35" s="432"/>
      <c r="Q35" s="432"/>
      <c r="R35" s="432"/>
      <c r="S35" s="432"/>
    </row>
    <row r="36" spans="2:19" ht="13.8" thickBot="1">
      <c r="B36" s="434" t="s">
        <v>882</v>
      </c>
      <c r="C36" s="434"/>
      <c r="D36" s="434"/>
      <c r="E36" s="434"/>
      <c r="F36" s="434"/>
      <c r="G36" s="434"/>
      <c r="H36" s="434"/>
      <c r="I36" s="434"/>
      <c r="J36" s="434"/>
      <c r="K36" s="434"/>
      <c r="L36" s="434"/>
      <c r="M36" s="435">
        <f>M35</f>
        <v>9.33</v>
      </c>
      <c r="N36" s="434"/>
      <c r="O36" s="436"/>
      <c r="P36" s="436"/>
      <c r="Q36" s="436"/>
      <c r="R36" s="436"/>
      <c r="S36" s="436"/>
    </row>
  </sheetData>
  <autoFilter ref="B4:M33" xr:uid="{00000000-0009-0000-0000-00000D000000}">
    <sortState xmlns:xlrd2="http://schemas.microsoft.com/office/spreadsheetml/2017/richdata2" ref="B5:M36">
      <sortCondition descending="1" ref="B4:B33"/>
    </sortState>
  </autoFilter>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70C0"/>
    <pageSetUpPr fitToPage="1"/>
  </sheetPr>
  <dimension ref="B1:O125"/>
  <sheetViews>
    <sheetView tabSelected="1" topLeftCell="A96" workbookViewId="0">
      <selection activeCell="R17" sqref="R17"/>
    </sheetView>
  </sheetViews>
  <sheetFormatPr defaultColWidth="9.125" defaultRowHeight="13.2" outlineLevelRow="1"/>
  <cols>
    <col min="1" max="1" width="2" style="139" customWidth="1"/>
    <col min="2" max="6" width="2.25" style="139" customWidth="1"/>
    <col min="7" max="9" width="9.125" style="139"/>
    <col min="10" max="10" width="10" style="139" customWidth="1"/>
    <col min="11" max="16384" width="9.125" style="139"/>
  </cols>
  <sheetData>
    <row r="1" spans="2:15" ht="17.399999999999999">
      <c r="B1" s="153" t="s">
        <v>940</v>
      </c>
    </row>
    <row r="2" spans="2:15">
      <c r="K2" s="421">
        <v>2019</v>
      </c>
      <c r="L2" s="421">
        <f>K2+1</f>
        <v>2020</v>
      </c>
      <c r="M2" s="421">
        <f t="shared" ref="M2:O2" si="0">L2+1</f>
        <v>2021</v>
      </c>
      <c r="N2" s="421">
        <f t="shared" si="0"/>
        <v>2022</v>
      </c>
      <c r="O2" s="421">
        <f t="shared" si="0"/>
        <v>2023</v>
      </c>
    </row>
    <row r="3" spans="2:15" s="156" customFormat="1">
      <c r="B3" s="422" t="s">
        <v>943</v>
      </c>
    </row>
    <row r="4" spans="2:15" ht="6" customHeight="1"/>
    <row r="5" spans="2:15" outlineLevel="1"/>
    <row r="6" spans="2:15" outlineLevel="1">
      <c r="B6" s="155" t="s">
        <v>883</v>
      </c>
    </row>
    <row r="7" spans="2:15" outlineLevel="1">
      <c r="C7" s="155" t="s">
        <v>1013</v>
      </c>
      <c r="J7" s="191"/>
    </row>
    <row r="8" spans="2:15" outlineLevel="1">
      <c r="B8" s="155"/>
      <c r="C8" s="155"/>
      <c r="D8" s="155" t="s">
        <v>905</v>
      </c>
      <c r="E8" s="155"/>
      <c r="F8" s="155"/>
      <c r="G8" s="155"/>
      <c r="H8" s="155"/>
      <c r="I8" s="155"/>
      <c r="J8" s="198"/>
      <c r="K8" s="155"/>
    </row>
    <row r="9" spans="2:15" outlineLevel="1">
      <c r="B9" s="183"/>
      <c r="C9" s="183"/>
      <c r="D9" s="183"/>
      <c r="E9" s="139" t="s">
        <v>913</v>
      </c>
      <c r="F9" s="183"/>
      <c r="G9" s="183"/>
      <c r="H9" s="183"/>
      <c r="I9" s="183"/>
      <c r="J9" s="198">
        <f>'IRR &amp; FS'!N63</f>
        <v>0</v>
      </c>
    </row>
    <row r="10" spans="2:15" outlineLevel="1">
      <c r="B10" s="183"/>
      <c r="C10" s="183"/>
      <c r="D10" s="183"/>
      <c r="E10" s="139" t="s">
        <v>915</v>
      </c>
      <c r="F10" s="183"/>
      <c r="G10" s="183"/>
      <c r="H10" s="183" t="s">
        <v>941</v>
      </c>
      <c r="I10" s="183"/>
      <c r="J10" s="198">
        <f>'IRR &amp; FS'!N64</f>
        <v>0</v>
      </c>
    </row>
    <row r="11" spans="2:15" outlineLevel="1">
      <c r="B11" s="183"/>
      <c r="C11" s="183"/>
      <c r="D11" s="183"/>
      <c r="E11" s="139" t="s">
        <v>917</v>
      </c>
      <c r="F11" s="183"/>
      <c r="G11" s="183"/>
      <c r="H11" s="183" t="s">
        <v>942</v>
      </c>
      <c r="I11" s="183"/>
      <c r="J11" s="198">
        <f>'IRR &amp; FS'!N65</f>
        <v>0</v>
      </c>
    </row>
    <row r="12" spans="2:15" outlineLevel="1">
      <c r="B12" s="183"/>
      <c r="C12" s="183"/>
      <c r="D12" s="183"/>
      <c r="E12" s="139" t="s">
        <v>977</v>
      </c>
      <c r="F12" s="183"/>
      <c r="G12" s="183"/>
      <c r="H12" s="183"/>
      <c r="I12" s="183"/>
      <c r="J12" s="199">
        <f>'IRR &amp; FS'!N66</f>
        <v>1</v>
      </c>
    </row>
    <row r="13" spans="2:15" outlineLevel="1">
      <c r="B13" s="183"/>
      <c r="C13" s="183"/>
      <c r="D13" s="183"/>
      <c r="E13" s="139" t="s">
        <v>978</v>
      </c>
      <c r="F13" s="183"/>
      <c r="G13" s="183"/>
      <c r="H13" s="183"/>
      <c r="I13" s="183"/>
      <c r="J13" s="201">
        <f>'IRR &amp; FS'!N67</f>
        <v>0</v>
      </c>
    </row>
    <row r="14" spans="2:15" outlineLevel="1">
      <c r="B14" s="183"/>
      <c r="C14" s="183"/>
      <c r="D14" s="183"/>
      <c r="E14" s="139" t="s">
        <v>884</v>
      </c>
      <c r="F14" s="183"/>
      <c r="G14" s="183"/>
      <c r="H14" s="183"/>
      <c r="I14" s="183"/>
      <c r="J14" s="203">
        <f>'IRR &amp; FS'!N68</f>
        <v>0</v>
      </c>
    </row>
    <row r="15" spans="2:15" outlineLevel="1">
      <c r="B15" s="155"/>
      <c r="C15" s="155"/>
      <c r="D15" s="155" t="s">
        <v>906</v>
      </c>
      <c r="E15" s="155"/>
      <c r="F15" s="155"/>
      <c r="G15" s="155"/>
      <c r="H15" s="155"/>
      <c r="I15" s="155"/>
      <c r="J15" s="198">
        <f>'IRR &amp; FS'!N69</f>
        <v>0</v>
      </c>
    </row>
    <row r="16" spans="2:15" outlineLevel="1">
      <c r="B16" s="183"/>
      <c r="C16" s="183"/>
      <c r="D16" s="183"/>
      <c r="E16" s="139" t="s">
        <v>885</v>
      </c>
      <c r="F16" s="183"/>
      <c r="G16" s="183"/>
      <c r="H16" s="183"/>
      <c r="I16" s="183"/>
      <c r="J16" s="198">
        <f>'IRR &amp; FS'!N70</f>
        <v>10000</v>
      </c>
    </row>
    <row r="17" spans="2:10" outlineLevel="1">
      <c r="B17" s="183"/>
      <c r="C17" s="183"/>
      <c r="D17" s="183"/>
      <c r="E17" s="139" t="s">
        <v>914</v>
      </c>
      <c r="F17" s="183"/>
      <c r="G17" s="183"/>
      <c r="H17" s="183" t="s">
        <v>941</v>
      </c>
      <c r="I17" s="183"/>
      <c r="J17" s="198">
        <f>'IRR &amp; FS'!N71</f>
        <v>25000</v>
      </c>
    </row>
    <row r="18" spans="2:10" outlineLevel="1">
      <c r="B18" s="183"/>
      <c r="C18" s="183"/>
      <c r="D18" s="183"/>
      <c r="E18" s="139" t="s">
        <v>916</v>
      </c>
      <c r="F18" s="183"/>
      <c r="G18" s="183"/>
      <c r="H18" s="183" t="s">
        <v>942</v>
      </c>
      <c r="I18" s="183"/>
      <c r="J18" s="198">
        <f>'IRR &amp; FS'!N72</f>
        <v>400000</v>
      </c>
    </row>
    <row r="19" spans="2:10" outlineLevel="1">
      <c r="B19" s="183"/>
      <c r="C19" s="183"/>
      <c r="D19" s="183"/>
      <c r="E19" s="139" t="s">
        <v>955</v>
      </c>
      <c r="F19" s="183"/>
      <c r="G19" s="183"/>
      <c r="H19" s="183"/>
      <c r="I19" s="183"/>
      <c r="J19" s="198">
        <f>'IRR &amp; FS'!N73</f>
        <v>5</v>
      </c>
    </row>
    <row r="20" spans="2:10" outlineLevel="1">
      <c r="B20" s="183"/>
      <c r="C20" s="183"/>
      <c r="D20" s="183"/>
      <c r="E20" s="139" t="s">
        <v>944</v>
      </c>
      <c r="F20" s="183"/>
      <c r="G20" s="183"/>
      <c r="H20" s="183"/>
      <c r="I20" s="183"/>
      <c r="J20" s="199">
        <f>'IRR &amp; FS'!N74</f>
        <v>1</v>
      </c>
    </row>
    <row r="21" spans="2:10" outlineLevel="1">
      <c r="B21" s="183"/>
      <c r="C21" s="183"/>
      <c r="E21" s="139" t="s">
        <v>939</v>
      </c>
      <c r="F21" s="183"/>
      <c r="G21" s="183"/>
      <c r="H21" s="183"/>
      <c r="I21" s="183"/>
      <c r="J21" s="201">
        <f>'IRR &amp; FS'!N75</f>
        <v>44926</v>
      </c>
    </row>
    <row r="22" spans="2:10" outlineLevel="1">
      <c r="C22" s="155" t="s">
        <v>1014</v>
      </c>
      <c r="J22" s="198">
        <f>'IRR &amp; FS'!N76</f>
        <v>14000</v>
      </c>
    </row>
    <row r="23" spans="2:10" outlineLevel="1">
      <c r="D23" s="155" t="s">
        <v>905</v>
      </c>
      <c r="E23" s="155"/>
      <c r="F23" s="155"/>
      <c r="G23" s="155"/>
      <c r="H23" s="155"/>
      <c r="I23" s="155"/>
      <c r="J23" s="198">
        <f>'IRR &amp; FS'!N77</f>
        <v>0</v>
      </c>
    </row>
    <row r="24" spans="2:10" outlineLevel="1">
      <c r="E24" s="139" t="s">
        <v>912</v>
      </c>
      <c r="F24" s="183"/>
      <c r="G24" s="183"/>
      <c r="H24" s="183"/>
      <c r="I24" s="183"/>
      <c r="J24" s="198">
        <f>'IRR &amp; FS'!N78</f>
        <v>0</v>
      </c>
    </row>
    <row r="25" spans="2:10" outlineLevel="1">
      <c r="E25" s="139" t="s">
        <v>914</v>
      </c>
      <c r="F25" s="183"/>
      <c r="G25" s="183"/>
      <c r="H25" s="183" t="s">
        <v>941</v>
      </c>
      <c r="I25" s="183"/>
      <c r="J25" s="198">
        <f>'IRR &amp; FS'!N79</f>
        <v>0</v>
      </c>
    </row>
    <row r="26" spans="2:10" outlineLevel="1">
      <c r="E26" s="139" t="s">
        <v>916</v>
      </c>
      <c r="F26" s="183"/>
      <c r="G26" s="183"/>
      <c r="H26" s="183" t="s">
        <v>942</v>
      </c>
      <c r="I26" s="183"/>
      <c r="J26" s="198">
        <f>'IRR &amp; FS'!N80</f>
        <v>0</v>
      </c>
    </row>
    <row r="27" spans="2:10" outlineLevel="1">
      <c r="E27" s="139" t="s">
        <v>977</v>
      </c>
      <c r="F27" s="183"/>
      <c r="G27" s="183"/>
      <c r="H27" s="183"/>
      <c r="I27" s="183"/>
      <c r="J27" s="199">
        <f>'IRR &amp; FS'!N81</f>
        <v>1</v>
      </c>
    </row>
    <row r="28" spans="2:10" outlineLevel="1">
      <c r="E28" s="139" t="s">
        <v>978</v>
      </c>
      <c r="F28" s="183"/>
      <c r="G28" s="183"/>
      <c r="H28" s="183"/>
      <c r="I28" s="183"/>
      <c r="J28" s="201">
        <f>'IRR &amp; FS'!N82</f>
        <v>0</v>
      </c>
    </row>
    <row r="29" spans="2:10" outlineLevel="1">
      <c r="E29" s="139" t="s">
        <v>884</v>
      </c>
      <c r="F29" s="183"/>
      <c r="G29" s="183"/>
      <c r="H29" s="183"/>
      <c r="I29" s="183"/>
      <c r="J29" s="203">
        <f>'IRR &amp; FS'!N83</f>
        <v>0</v>
      </c>
    </row>
    <row r="30" spans="2:10" outlineLevel="1">
      <c r="B30" s="155"/>
      <c r="C30" s="155"/>
      <c r="D30" s="155" t="s">
        <v>906</v>
      </c>
      <c r="E30" s="155"/>
      <c r="F30" s="155"/>
      <c r="G30" s="155"/>
      <c r="H30" s="155"/>
      <c r="I30" s="155"/>
      <c r="J30" s="198">
        <f>'IRR &amp; FS'!N84</f>
        <v>0</v>
      </c>
    </row>
    <row r="31" spans="2:10" outlineLevel="1">
      <c r="E31" s="139" t="s">
        <v>912</v>
      </c>
      <c r="F31" s="183"/>
      <c r="G31" s="183"/>
      <c r="H31" s="183"/>
      <c r="I31" s="183"/>
      <c r="J31" s="198">
        <f>'IRR &amp; FS'!N85</f>
        <v>14000</v>
      </c>
    </row>
    <row r="32" spans="2:10" outlineLevel="1">
      <c r="E32" s="139" t="s">
        <v>914</v>
      </c>
      <c r="H32" s="183" t="s">
        <v>941</v>
      </c>
      <c r="J32" s="198">
        <f>'IRR &amp; FS'!N86</f>
        <v>100000</v>
      </c>
    </row>
    <row r="33" spans="2:15" outlineLevel="1">
      <c r="E33" s="139" t="s">
        <v>916</v>
      </c>
      <c r="H33" s="183" t="s">
        <v>942</v>
      </c>
      <c r="J33" s="198">
        <f>'IRR &amp; FS'!N87</f>
        <v>140000</v>
      </c>
    </row>
    <row r="34" spans="2:15" outlineLevel="1">
      <c r="E34" s="139" t="s">
        <v>955</v>
      </c>
      <c r="H34" s="183"/>
      <c r="J34" s="198">
        <f>'IRR &amp; FS'!N88</f>
        <v>5</v>
      </c>
    </row>
    <row r="35" spans="2:15" outlineLevel="1">
      <c r="E35" s="139" t="s">
        <v>944</v>
      </c>
      <c r="F35" s="183"/>
      <c r="G35" s="183"/>
      <c r="H35" s="183"/>
      <c r="I35" s="183"/>
      <c r="J35" s="199">
        <f>'IRR &amp; FS'!N89</f>
        <v>1</v>
      </c>
    </row>
    <row r="36" spans="2:15" outlineLevel="1">
      <c r="E36" s="139" t="s">
        <v>939</v>
      </c>
      <c r="F36" s="183"/>
      <c r="G36" s="183"/>
      <c r="H36" s="183"/>
      <c r="I36" s="183"/>
      <c r="J36" s="201">
        <f>'IRR &amp; FS'!N90</f>
        <v>44926</v>
      </c>
      <c r="K36" s="183"/>
    </row>
    <row r="37" spans="2:15" outlineLevel="1">
      <c r="J37" s="198"/>
    </row>
    <row r="38" spans="2:15" outlineLevel="1"/>
    <row r="40" spans="2:15" s="156" customFormat="1">
      <c r="B40" s="422" t="s">
        <v>957</v>
      </c>
    </row>
    <row r="42" spans="2:15" ht="13.8" thickBot="1">
      <c r="B42" s="423" t="s">
        <v>958</v>
      </c>
      <c r="C42" s="224"/>
      <c r="D42" s="224"/>
      <c r="E42" s="224"/>
      <c r="F42" s="224"/>
      <c r="G42" s="224"/>
      <c r="H42" s="224"/>
      <c r="I42" s="224"/>
      <c r="J42" s="276">
        <v>2018</v>
      </c>
      <c r="K42" s="276">
        <v>2019</v>
      </c>
      <c r="L42" s="276">
        <f>K42+1</f>
        <v>2020</v>
      </c>
      <c r="M42" s="276">
        <f t="shared" ref="M42:O42" si="1">L42+1</f>
        <v>2021</v>
      </c>
      <c r="N42" s="276">
        <f t="shared" si="1"/>
        <v>2022</v>
      </c>
      <c r="O42" s="276">
        <f t="shared" si="1"/>
        <v>2023</v>
      </c>
    </row>
    <row r="43" spans="2:15">
      <c r="B43" s="139" t="s">
        <v>1426</v>
      </c>
      <c r="J43" s="139">
        <f t="shared" ref="J43" si="2">J67</f>
        <v>10000</v>
      </c>
      <c r="K43" s="139">
        <f>K67</f>
        <v>10000</v>
      </c>
      <c r="L43" s="139">
        <f t="shared" ref="L43:O43" si="3">L67</f>
        <v>10000</v>
      </c>
      <c r="M43" s="139">
        <f t="shared" si="3"/>
        <v>10000</v>
      </c>
      <c r="N43" s="139">
        <f t="shared" si="3"/>
        <v>0</v>
      </c>
      <c r="O43" s="139">
        <f t="shared" si="3"/>
        <v>0</v>
      </c>
    </row>
    <row r="44" spans="2:15">
      <c r="B44" s="139" t="s">
        <v>1280</v>
      </c>
      <c r="J44" s="139">
        <f t="shared" ref="J44" si="4">J103</f>
        <v>0</v>
      </c>
      <c r="K44" s="139">
        <f>K103</f>
        <v>0</v>
      </c>
      <c r="L44" s="139">
        <f t="shared" ref="L44:O44" si="5">L103</f>
        <v>14000</v>
      </c>
      <c r="M44" s="139">
        <f t="shared" si="5"/>
        <v>14000</v>
      </c>
      <c r="N44" s="139">
        <f t="shared" si="5"/>
        <v>0</v>
      </c>
      <c r="O44" s="139">
        <f t="shared" si="5"/>
        <v>0</v>
      </c>
    </row>
    <row r="45" spans="2:15">
      <c r="B45" s="139" t="s">
        <v>979</v>
      </c>
      <c r="J45" s="139">
        <f t="shared" ref="J45" si="6">J85</f>
        <v>0</v>
      </c>
      <c r="K45" s="139">
        <f>K85</f>
        <v>0</v>
      </c>
      <c r="L45" s="139">
        <f t="shared" ref="L45:O45" si="7">L85</f>
        <v>0</v>
      </c>
      <c r="M45" s="139">
        <f t="shared" si="7"/>
        <v>0</v>
      </c>
      <c r="N45" s="139">
        <f t="shared" si="7"/>
        <v>0</v>
      </c>
      <c r="O45" s="139">
        <f t="shared" si="7"/>
        <v>0</v>
      </c>
    </row>
    <row r="46" spans="2:15">
      <c r="B46" s="139" t="s">
        <v>967</v>
      </c>
      <c r="J46" s="139">
        <f t="shared" ref="J46" si="8">J121</f>
        <v>0</v>
      </c>
      <c r="K46" s="139">
        <f>K121</f>
        <v>0</v>
      </c>
      <c r="L46" s="139">
        <f t="shared" ref="L46:O46" si="9">L121</f>
        <v>0</v>
      </c>
      <c r="M46" s="139">
        <f t="shared" si="9"/>
        <v>0</v>
      </c>
      <c r="N46" s="139">
        <f t="shared" si="9"/>
        <v>0</v>
      </c>
      <c r="O46" s="139">
        <f t="shared" si="9"/>
        <v>0</v>
      </c>
    </row>
    <row r="48" spans="2:15" ht="13.8" thickBot="1">
      <c r="B48" s="423" t="s">
        <v>959</v>
      </c>
      <c r="C48" s="224"/>
      <c r="D48" s="224"/>
      <c r="E48" s="224"/>
      <c r="F48" s="224"/>
      <c r="G48" s="224"/>
      <c r="H48" s="224"/>
      <c r="I48" s="224"/>
      <c r="J48" s="276">
        <v>2018</v>
      </c>
      <c r="K48" s="276">
        <v>2019</v>
      </c>
      <c r="L48" s="276">
        <f>K48+1</f>
        <v>2020</v>
      </c>
      <c r="M48" s="276">
        <f t="shared" ref="M48:O48" si="10">L48+1</f>
        <v>2021</v>
      </c>
      <c r="N48" s="276">
        <f t="shared" si="10"/>
        <v>2022</v>
      </c>
      <c r="O48" s="276">
        <f t="shared" si="10"/>
        <v>2023</v>
      </c>
    </row>
    <row r="49" spans="2:15">
      <c r="B49" s="139" t="s">
        <v>1278</v>
      </c>
      <c r="K49" s="139">
        <f>K69</f>
        <v>0</v>
      </c>
      <c r="L49" s="139">
        <f t="shared" ref="L49:O49" si="11">L69</f>
        <v>0</v>
      </c>
      <c r="M49" s="139">
        <f t="shared" si="11"/>
        <v>600</v>
      </c>
      <c r="N49" s="139">
        <f t="shared" si="11"/>
        <v>300</v>
      </c>
      <c r="O49" s="139">
        <f t="shared" si="11"/>
        <v>0</v>
      </c>
    </row>
    <row r="50" spans="2:15">
      <c r="B50" s="139" t="s">
        <v>1427</v>
      </c>
      <c r="K50" s="139">
        <f>K105</f>
        <v>0</v>
      </c>
      <c r="L50" s="139">
        <f t="shared" ref="L50:O50" si="12">L105</f>
        <v>0</v>
      </c>
      <c r="M50" s="139">
        <f t="shared" si="12"/>
        <v>840</v>
      </c>
      <c r="N50" s="139">
        <f t="shared" si="12"/>
        <v>420</v>
      </c>
      <c r="O50" s="139">
        <f t="shared" si="12"/>
        <v>0</v>
      </c>
    </row>
    <row r="51" spans="2:15">
      <c r="B51" s="139" t="s">
        <v>1428</v>
      </c>
      <c r="K51" s="139">
        <f>K89</f>
        <v>0</v>
      </c>
      <c r="L51" s="139">
        <f t="shared" ref="L51:O51" si="13">L89</f>
        <v>0</v>
      </c>
      <c r="M51" s="139">
        <f t="shared" si="13"/>
        <v>0</v>
      </c>
      <c r="N51" s="139">
        <f t="shared" si="13"/>
        <v>0</v>
      </c>
      <c r="O51" s="139">
        <f t="shared" si="13"/>
        <v>0</v>
      </c>
    </row>
    <row r="52" spans="2:15">
      <c r="B52" s="139" t="s">
        <v>1281</v>
      </c>
      <c r="K52" s="139">
        <f>K125</f>
        <v>0</v>
      </c>
      <c r="L52" s="139">
        <f t="shared" ref="L52:O52" si="14">L125</f>
        <v>0</v>
      </c>
      <c r="M52" s="139">
        <f t="shared" si="14"/>
        <v>0</v>
      </c>
      <c r="N52" s="139">
        <f t="shared" si="14"/>
        <v>0</v>
      </c>
      <c r="O52" s="139">
        <f t="shared" si="14"/>
        <v>0</v>
      </c>
    </row>
    <row r="56" spans="2:15" s="424" customFormat="1">
      <c r="B56" s="422" t="s">
        <v>1426</v>
      </c>
    </row>
    <row r="57" spans="2:15" s="426" customFormat="1" ht="6" customHeight="1">
      <c r="B57" s="425"/>
    </row>
    <row r="59" spans="2:15">
      <c r="B59" s="139" t="s">
        <v>951</v>
      </c>
      <c r="K59" s="139">
        <f>IF($J$20&gt;0,0,IF($J$19=(K$2-2018),1,0))</f>
        <v>0</v>
      </c>
      <c r="L59" s="139">
        <f>IF($J$20&gt;0,0,IF($J$19=(L$2-2018),1,0))</f>
        <v>0</v>
      </c>
      <c r="M59" s="139">
        <f>IF($J$20&gt;0,0,IF($J$19=(M$2-2018),1,0))</f>
        <v>0</v>
      </c>
      <c r="N59" s="139">
        <f>IF($J$20&gt;0,0,IF($J$19=(N$2-2018),1,0))</f>
        <v>0</v>
      </c>
      <c r="O59" s="139">
        <f>IF($J$20&gt;0,0,IF($J$19=(O$2-2018),1,0))</f>
        <v>0</v>
      </c>
    </row>
    <row r="60" spans="2:15">
      <c r="B60" s="139" t="s">
        <v>954</v>
      </c>
      <c r="K60" s="238">
        <f>IF($J$20=0,0,IF(YEAR($J$21)=K$2,1,0))</f>
        <v>0</v>
      </c>
      <c r="L60" s="238">
        <f>IF($J$20=0,0,IF(YEAR($J$21)=L$2,1,0))</f>
        <v>0</v>
      </c>
      <c r="M60" s="238">
        <f>IF($J$20=0,0,IF(YEAR($J$21)=M$2,1,0))</f>
        <v>0</v>
      </c>
      <c r="N60" s="238">
        <f>IF($J$20=0,0,IF(YEAR($J$21)=N$2,1,0))</f>
        <v>1</v>
      </c>
      <c r="O60" s="238">
        <f>IF($J$20=0,0,IF(YEAR($J$21)=O$2,1,0))</f>
        <v>0</v>
      </c>
    </row>
    <row r="62" spans="2:15" ht="13.8" thickBot="1">
      <c r="B62" s="423" t="s">
        <v>948</v>
      </c>
      <c r="C62" s="224"/>
      <c r="D62" s="224"/>
      <c r="E62" s="224"/>
      <c r="F62" s="224"/>
      <c r="G62" s="224"/>
      <c r="H62" s="224"/>
      <c r="I62" s="224"/>
      <c r="J62" s="276">
        <v>2018</v>
      </c>
      <c r="K62" s="276">
        <v>2019</v>
      </c>
      <c r="L62" s="276">
        <f>K62+1</f>
        <v>2020</v>
      </c>
      <c r="M62" s="276">
        <f t="shared" ref="M62:O62" si="15">L62+1</f>
        <v>2021</v>
      </c>
      <c r="N62" s="276">
        <f t="shared" si="15"/>
        <v>2022</v>
      </c>
      <c r="O62" s="276">
        <f t="shared" si="15"/>
        <v>2023</v>
      </c>
    </row>
    <row r="63" spans="2:15">
      <c r="B63" s="139" t="s">
        <v>945</v>
      </c>
      <c r="K63" s="139">
        <f>J67</f>
        <v>10000</v>
      </c>
      <c r="L63" s="139">
        <f>K67</f>
        <v>10000</v>
      </c>
      <c r="M63" s="139">
        <f t="shared" ref="M63:O63" si="16">L67</f>
        <v>10000</v>
      </c>
      <c r="N63" s="139">
        <f t="shared" si="16"/>
        <v>10000</v>
      </c>
      <c r="O63" s="139">
        <f t="shared" si="16"/>
        <v>0</v>
      </c>
    </row>
    <row r="64" spans="2:15">
      <c r="B64" s="139" t="s">
        <v>946</v>
      </c>
      <c r="J64" s="139">
        <f>J16</f>
        <v>10000</v>
      </c>
      <c r="K64" s="139">
        <f t="shared" ref="K64:O64" si="17">K16</f>
        <v>0</v>
      </c>
      <c r="L64" s="139">
        <f t="shared" si="17"/>
        <v>0</v>
      </c>
      <c r="M64" s="139">
        <f t="shared" si="17"/>
        <v>0</v>
      </c>
      <c r="N64" s="139">
        <f t="shared" si="17"/>
        <v>0</v>
      </c>
      <c r="O64" s="139">
        <f t="shared" si="17"/>
        <v>0</v>
      </c>
    </row>
    <row r="65" spans="2:15">
      <c r="B65" s="139" t="s">
        <v>953</v>
      </c>
      <c r="J65" s="139">
        <f>IF(J59=1,-$J$16,0)</f>
        <v>0</v>
      </c>
      <c r="K65" s="139">
        <f>IF(K59=1,-$J$16,0)</f>
        <v>0</v>
      </c>
      <c r="L65" s="139">
        <f t="shared" ref="L65:O66" si="18">IF(L59=1,-$J$16,0)</f>
        <v>0</v>
      </c>
      <c r="M65" s="139">
        <f t="shared" si="18"/>
        <v>0</v>
      </c>
      <c r="N65" s="139">
        <f t="shared" si="18"/>
        <v>0</v>
      </c>
      <c r="O65" s="139">
        <f t="shared" si="18"/>
        <v>0</v>
      </c>
    </row>
    <row r="66" spans="2:15">
      <c r="B66" s="139" t="s">
        <v>950</v>
      </c>
      <c r="J66" s="139">
        <f>IF(J60=1,-$J$16,0)</f>
        <v>0</v>
      </c>
      <c r="K66" s="139">
        <f>IF(K60=1,-$J$16,0)</f>
        <v>0</v>
      </c>
      <c r="L66" s="139">
        <f t="shared" si="18"/>
        <v>0</v>
      </c>
      <c r="M66" s="139">
        <f t="shared" si="18"/>
        <v>0</v>
      </c>
      <c r="N66" s="139">
        <f t="shared" si="18"/>
        <v>-10000</v>
      </c>
      <c r="O66" s="139">
        <f t="shared" si="18"/>
        <v>0</v>
      </c>
    </row>
    <row r="67" spans="2:15">
      <c r="B67" s="139" t="s">
        <v>947</v>
      </c>
      <c r="J67" s="139">
        <f>J63+J64+J65+J66</f>
        <v>10000</v>
      </c>
      <c r="K67" s="139">
        <f>K63+K64+K65+K66</f>
        <v>10000</v>
      </c>
      <c r="L67" s="139">
        <f t="shared" ref="L67:O67" si="19">L63+L64+L65+L66</f>
        <v>10000</v>
      </c>
      <c r="M67" s="139">
        <f t="shared" si="19"/>
        <v>10000</v>
      </c>
      <c r="N67" s="139">
        <f t="shared" si="19"/>
        <v>0</v>
      </c>
      <c r="O67" s="139">
        <f t="shared" si="19"/>
        <v>0</v>
      </c>
    </row>
    <row r="69" spans="2:15">
      <c r="B69" s="139" t="s">
        <v>956</v>
      </c>
      <c r="H69" s="427">
        <f>'IRR &amp; FS'!$K$41</f>
        <v>0.06</v>
      </c>
      <c r="J69" s="213"/>
      <c r="K69" s="213"/>
      <c r="L69" s="213"/>
      <c r="M69" s="213">
        <f t="shared" ref="M69:O69" si="20">AVERAGE(M63,M67)*$H$69</f>
        <v>600</v>
      </c>
      <c r="N69" s="213">
        <f t="shared" si="20"/>
        <v>300</v>
      </c>
      <c r="O69" s="213">
        <f t="shared" si="20"/>
        <v>0</v>
      </c>
    </row>
    <row r="70" spans="2:15">
      <c r="H70" s="223"/>
    </row>
    <row r="71" spans="2:15">
      <c r="B71" s="139" t="s">
        <v>960</v>
      </c>
      <c r="H71" s="223"/>
      <c r="J71" s="139">
        <f>IF(J60=1,$J$16,0)</f>
        <v>0</v>
      </c>
      <c r="K71" s="139">
        <f>IF(K60=1,$J$16,0)</f>
        <v>0</v>
      </c>
      <c r="L71" s="139">
        <f t="shared" ref="L71:O71" si="21">IF(L60=1,$J$16,0)</f>
        <v>0</v>
      </c>
      <c r="M71" s="139">
        <f t="shared" si="21"/>
        <v>0</v>
      </c>
      <c r="N71" s="139">
        <f t="shared" si="21"/>
        <v>10000</v>
      </c>
      <c r="O71" s="139">
        <f t="shared" si="21"/>
        <v>0</v>
      </c>
    </row>
    <row r="72" spans="2:15">
      <c r="H72" s="223"/>
    </row>
    <row r="73" spans="2:15">
      <c r="H73" s="223"/>
    </row>
    <row r="74" spans="2:15" s="424" customFormat="1">
      <c r="B74" s="422" t="s">
        <v>1279</v>
      </c>
    </row>
    <row r="75" spans="2:15" ht="6" customHeight="1">
      <c r="H75" s="223"/>
    </row>
    <row r="76" spans="2:15">
      <c r="H76" s="223"/>
    </row>
    <row r="77" spans="2:15">
      <c r="B77" s="139" t="s">
        <v>951</v>
      </c>
      <c r="H77" s="223"/>
      <c r="K77" s="139">
        <v>0</v>
      </c>
      <c r="L77" s="139">
        <v>0</v>
      </c>
      <c r="M77" s="139">
        <v>0</v>
      </c>
      <c r="N77" s="139">
        <v>0</v>
      </c>
      <c r="O77" s="139">
        <v>0</v>
      </c>
    </row>
    <row r="78" spans="2:15">
      <c r="B78" s="139" t="s">
        <v>954</v>
      </c>
      <c r="H78" s="223"/>
      <c r="K78" s="139">
        <f>IF($J$12=0,0,IF(YEAR($J$13)=K$2,1,0))</f>
        <v>0</v>
      </c>
      <c r="L78" s="139">
        <f t="shared" ref="L78:O78" si="22">IF($J$12=0,0,IF(YEAR($J$13)=L$2,1,0))</f>
        <v>0</v>
      </c>
      <c r="M78" s="139">
        <f t="shared" si="22"/>
        <v>0</v>
      </c>
      <c r="N78" s="139">
        <f t="shared" si="22"/>
        <v>0</v>
      </c>
      <c r="O78" s="139">
        <f t="shared" si="22"/>
        <v>0</v>
      </c>
    </row>
    <row r="79" spans="2:15">
      <c r="H79" s="223"/>
    </row>
    <row r="80" spans="2:15" ht="13.8" thickBot="1">
      <c r="B80" s="423" t="s">
        <v>948</v>
      </c>
      <c r="C80" s="224"/>
      <c r="D80" s="224"/>
      <c r="E80" s="224"/>
      <c r="F80" s="224"/>
      <c r="G80" s="224"/>
      <c r="H80" s="224"/>
      <c r="I80" s="224"/>
      <c r="J80" s="276">
        <v>2018</v>
      </c>
      <c r="K80" s="276">
        <v>2019</v>
      </c>
      <c r="L80" s="276">
        <f>K80+1</f>
        <v>2020</v>
      </c>
      <c r="M80" s="276">
        <f t="shared" ref="M80:O80" si="23">L80+1</f>
        <v>2021</v>
      </c>
      <c r="N80" s="276">
        <f t="shared" si="23"/>
        <v>2022</v>
      </c>
      <c r="O80" s="276">
        <f t="shared" si="23"/>
        <v>2023</v>
      </c>
    </row>
    <row r="81" spans="2:15">
      <c r="B81" s="139" t="s">
        <v>945</v>
      </c>
      <c r="H81" s="223"/>
      <c r="K81" s="139">
        <v>0</v>
      </c>
      <c r="L81" s="139">
        <f>K85</f>
        <v>0</v>
      </c>
      <c r="M81" s="139">
        <f t="shared" ref="M81:O81" si="24">L85</f>
        <v>0</v>
      </c>
      <c r="N81" s="139">
        <f t="shared" si="24"/>
        <v>0</v>
      </c>
      <c r="O81" s="139">
        <f t="shared" si="24"/>
        <v>0</v>
      </c>
    </row>
    <row r="82" spans="2:15">
      <c r="B82" s="139" t="s">
        <v>946</v>
      </c>
      <c r="H82" s="223"/>
      <c r="J82" s="139">
        <f>FS!I95</f>
        <v>0</v>
      </c>
      <c r="K82" s="139">
        <f>FS!J95</f>
        <v>0</v>
      </c>
      <c r="L82" s="139">
        <f>FS!K95</f>
        <v>0</v>
      </c>
      <c r="M82" s="139">
        <f>FS!L95</f>
        <v>0</v>
      </c>
      <c r="N82" s="139">
        <f>FS!M95</f>
        <v>0</v>
      </c>
      <c r="O82" s="139">
        <f>FS!N95</f>
        <v>0</v>
      </c>
    </row>
    <row r="83" spans="2:15">
      <c r="B83" s="139" t="s">
        <v>952</v>
      </c>
      <c r="H83" s="223"/>
      <c r="K83" s="139">
        <f>IF(K77=1,-$J$9,0)</f>
        <v>0</v>
      </c>
      <c r="L83" s="139">
        <f t="shared" ref="L83:O83" si="25">IF(L77=1,-$J$9,0)</f>
        <v>0</v>
      </c>
      <c r="M83" s="139">
        <f t="shared" si="25"/>
        <v>0</v>
      </c>
      <c r="N83" s="139">
        <f t="shared" si="25"/>
        <v>0</v>
      </c>
      <c r="O83" s="139">
        <f t="shared" si="25"/>
        <v>0</v>
      </c>
    </row>
    <row r="84" spans="2:15">
      <c r="B84" s="139" t="s">
        <v>949</v>
      </c>
      <c r="H84" s="223"/>
      <c r="K84" s="139">
        <f>IF(K78=1,-$J$9,0)</f>
        <v>0</v>
      </c>
      <c r="L84" s="139">
        <f t="shared" ref="L84:O84" si="26">IF(L78=1,-$J$9,0)</f>
        <v>0</v>
      </c>
      <c r="M84" s="139">
        <f t="shared" si="26"/>
        <v>0</v>
      </c>
      <c r="N84" s="139">
        <f t="shared" si="26"/>
        <v>0</v>
      </c>
      <c r="O84" s="139">
        <f t="shared" si="26"/>
        <v>0</v>
      </c>
    </row>
    <row r="85" spans="2:15">
      <c r="B85" s="139" t="s">
        <v>947</v>
      </c>
      <c r="H85" s="223"/>
      <c r="K85" s="139">
        <f>K81+K82+K83+K84</f>
        <v>0</v>
      </c>
      <c r="L85" s="139">
        <f t="shared" ref="L85:O85" si="27">L81+L82+L83+L84</f>
        <v>0</v>
      </c>
      <c r="M85" s="139">
        <f t="shared" si="27"/>
        <v>0</v>
      </c>
      <c r="N85" s="139">
        <f t="shared" si="27"/>
        <v>0</v>
      </c>
      <c r="O85" s="139">
        <f t="shared" si="27"/>
        <v>0</v>
      </c>
    </row>
    <row r="86" spans="2:15">
      <c r="H86" s="223"/>
    </row>
    <row r="87" spans="2:15">
      <c r="B87" s="139" t="s">
        <v>980</v>
      </c>
      <c r="H87" s="223"/>
      <c r="K87" s="139">
        <f>-K84</f>
        <v>0</v>
      </c>
      <c r="L87" s="139">
        <f t="shared" ref="L87:O87" si="28">-L84</f>
        <v>0</v>
      </c>
      <c r="M87" s="139">
        <f t="shared" si="28"/>
        <v>0</v>
      </c>
      <c r="N87" s="139">
        <f t="shared" si="28"/>
        <v>0</v>
      </c>
      <c r="O87" s="139">
        <f t="shared" si="28"/>
        <v>0</v>
      </c>
    </row>
    <row r="88" spans="2:15">
      <c r="H88" s="223"/>
    </row>
    <row r="89" spans="2:15">
      <c r="B89" s="139" t="s">
        <v>971</v>
      </c>
      <c r="H89" s="427">
        <f>'IRR &amp; FS'!K37</f>
        <v>0</v>
      </c>
      <c r="K89" s="139">
        <f>K85*$H$89</f>
        <v>0</v>
      </c>
      <c r="L89" s="139">
        <f>L85*$H$89</f>
        <v>0</v>
      </c>
      <c r="M89" s="139">
        <f>M85*$H$89</f>
        <v>0</v>
      </c>
      <c r="N89" s="139">
        <f>N85*$H$89</f>
        <v>0</v>
      </c>
      <c r="O89" s="139">
        <f>O85*$H$89</f>
        <v>0</v>
      </c>
    </row>
    <row r="90" spans="2:15">
      <c r="H90" s="223"/>
    </row>
    <row r="92" spans="2:15" s="424" customFormat="1">
      <c r="B92" s="422" t="s">
        <v>1280</v>
      </c>
    </row>
    <row r="93" spans="2:15" ht="6" customHeight="1"/>
    <row r="95" spans="2:15">
      <c r="B95" s="139" t="s">
        <v>951</v>
      </c>
      <c r="K95" s="139">
        <f>IF($J$34&gt;0,0,IF($J$35=(K$2-2018),1,0))</f>
        <v>0</v>
      </c>
      <c r="L95" s="139">
        <f>IF($J$34&gt;0,0,IF($J$35=(L$2-2018),1,0))</f>
        <v>0</v>
      </c>
      <c r="M95" s="139">
        <f>IF($J$34&gt;0,0,IF($J$35=(M$2-2018),1,0))</f>
        <v>0</v>
      </c>
      <c r="N95" s="139">
        <f>IF($J$34&gt;0,0,IF($J$35=(N$2-2018),1,0))</f>
        <v>0</v>
      </c>
      <c r="O95" s="139">
        <f>IF($J$34&gt;0,0,IF($J$35=(O$2-2018),1,0))</f>
        <v>0</v>
      </c>
    </row>
    <row r="96" spans="2:15">
      <c r="B96" s="139" t="s">
        <v>954</v>
      </c>
      <c r="K96" s="238">
        <f>IF($J$35=0,0,IF(YEAR($J$36)=K$2,1,0))</f>
        <v>0</v>
      </c>
      <c r="L96" s="238">
        <f>IF($J$35=0,0,IF(YEAR($J$36)=L$2,1,0))</f>
        <v>0</v>
      </c>
      <c r="M96" s="238">
        <f>IF($J$35=0,0,IF(YEAR($J$36)=M$2,1,0))</f>
        <v>0</v>
      </c>
      <c r="N96" s="238">
        <f>IF($J$35=0,0,IF(YEAR($J$36)=N$2,1,0))</f>
        <v>1</v>
      </c>
      <c r="O96" s="238">
        <f>IF($J$35=0,0,IF(YEAR($J$36)=O$2,1,0))</f>
        <v>0</v>
      </c>
    </row>
    <row r="98" spans="2:15" ht="13.8" thickBot="1">
      <c r="B98" s="423" t="s">
        <v>948</v>
      </c>
      <c r="C98" s="224"/>
      <c r="D98" s="224"/>
      <c r="E98" s="224"/>
      <c r="F98" s="224"/>
      <c r="G98" s="224"/>
      <c r="H98" s="224"/>
      <c r="I98" s="224"/>
      <c r="J98" s="276">
        <v>2018</v>
      </c>
      <c r="K98" s="276">
        <v>2019</v>
      </c>
      <c r="L98" s="276">
        <f>K98+1</f>
        <v>2020</v>
      </c>
      <c r="M98" s="276">
        <f t="shared" ref="M98:O98" si="29">L98+1</f>
        <v>2021</v>
      </c>
      <c r="N98" s="276">
        <f t="shared" si="29"/>
        <v>2022</v>
      </c>
      <c r="O98" s="276">
        <f t="shared" si="29"/>
        <v>2023</v>
      </c>
    </row>
    <row r="99" spans="2:15">
      <c r="B99" s="139" t="s">
        <v>945</v>
      </c>
      <c r="K99" s="139">
        <v>0</v>
      </c>
      <c r="L99" s="139">
        <f>K103</f>
        <v>0</v>
      </c>
      <c r="M99" s="139">
        <f t="shared" ref="M99:O99" si="30">L103</f>
        <v>14000</v>
      </c>
      <c r="N99" s="139">
        <f t="shared" si="30"/>
        <v>14000</v>
      </c>
      <c r="O99" s="139">
        <f t="shared" si="30"/>
        <v>0</v>
      </c>
    </row>
    <row r="100" spans="2:15">
      <c r="B100" s="139" t="s">
        <v>946</v>
      </c>
      <c r="J100" s="139">
        <f>FS!I98</f>
        <v>0</v>
      </c>
      <c r="K100" s="139">
        <f>FS!J98</f>
        <v>0</v>
      </c>
      <c r="L100" s="139">
        <f>FS!K98</f>
        <v>14000</v>
      </c>
      <c r="M100" s="139">
        <f>FS!L98</f>
        <v>0</v>
      </c>
      <c r="N100" s="139">
        <f>FS!M98</f>
        <v>0</v>
      </c>
      <c r="O100" s="139">
        <f>FS!N98</f>
        <v>0</v>
      </c>
    </row>
    <row r="101" spans="2:15">
      <c r="B101" s="139" t="s">
        <v>953</v>
      </c>
      <c r="K101" s="139">
        <f>IF(K95=1,-$J$31,0)</f>
        <v>0</v>
      </c>
      <c r="L101" s="139">
        <f t="shared" ref="L101:O101" si="31">IF(L95=1,-$J$31,0)</f>
        <v>0</v>
      </c>
      <c r="M101" s="139">
        <f t="shared" si="31"/>
        <v>0</v>
      </c>
      <c r="N101" s="139">
        <f t="shared" si="31"/>
        <v>0</v>
      </c>
      <c r="O101" s="139">
        <f t="shared" si="31"/>
        <v>0</v>
      </c>
    </row>
    <row r="102" spans="2:15">
      <c r="B102" s="139" t="s">
        <v>950</v>
      </c>
      <c r="K102" s="139">
        <f>IF(K96=1,-$J$31,0)</f>
        <v>0</v>
      </c>
      <c r="L102" s="139">
        <f t="shared" ref="L102:O102" si="32">IF(L96=1,-$J$31,0)</f>
        <v>0</v>
      </c>
      <c r="M102" s="139">
        <f t="shared" si="32"/>
        <v>0</v>
      </c>
      <c r="N102" s="139">
        <f t="shared" si="32"/>
        <v>-14000</v>
      </c>
      <c r="O102" s="139">
        <f t="shared" si="32"/>
        <v>0</v>
      </c>
    </row>
    <row r="103" spans="2:15">
      <c r="B103" s="139" t="s">
        <v>947</v>
      </c>
      <c r="K103" s="139">
        <f>K99+K100+K101+K102</f>
        <v>0</v>
      </c>
      <c r="L103" s="139">
        <f t="shared" ref="L103" si="33">L99+L100+L101+L102</f>
        <v>14000</v>
      </c>
      <c r="M103" s="139">
        <f t="shared" ref="M103" si="34">M99+M100+M101+M102</f>
        <v>14000</v>
      </c>
      <c r="N103" s="139">
        <f t="shared" ref="N103" si="35">N99+N100+N101+N102</f>
        <v>0</v>
      </c>
      <c r="O103" s="139">
        <f t="shared" ref="O103" si="36">O99+O100+O101+O102</f>
        <v>0</v>
      </c>
    </row>
    <row r="105" spans="2:15">
      <c r="B105" s="139" t="s">
        <v>956</v>
      </c>
      <c r="H105" s="427">
        <f>'IRR &amp; FS'!K$50</f>
        <v>0.06</v>
      </c>
      <c r="J105" s="213"/>
      <c r="K105" s="213"/>
      <c r="L105" s="213"/>
      <c r="M105" s="213">
        <f t="shared" ref="M105:O105" si="37">AVERAGE(M99,M103)*$H$69</f>
        <v>840</v>
      </c>
      <c r="N105" s="213">
        <f t="shared" si="37"/>
        <v>420</v>
      </c>
      <c r="O105" s="213">
        <f t="shared" si="37"/>
        <v>0</v>
      </c>
    </row>
    <row r="107" spans="2:15">
      <c r="B107" s="139" t="s">
        <v>961</v>
      </c>
      <c r="K107" s="139">
        <f>IF(K96=1,$J$31,0)</f>
        <v>0</v>
      </c>
      <c r="L107" s="139">
        <f t="shared" ref="L107:O107" si="38">IF(L96=1,$J$31,0)</f>
        <v>0</v>
      </c>
      <c r="M107" s="139">
        <f t="shared" si="38"/>
        <v>0</v>
      </c>
      <c r="N107" s="139">
        <f t="shared" si="38"/>
        <v>14000</v>
      </c>
      <c r="O107" s="139">
        <f t="shared" si="38"/>
        <v>0</v>
      </c>
    </row>
    <row r="110" spans="2:15" s="428" customFormat="1">
      <c r="B110" s="422" t="s">
        <v>1281</v>
      </c>
    </row>
    <row r="111" spans="2:15" ht="6" customHeight="1"/>
    <row r="113" spans="2:15">
      <c r="B113" s="139" t="s">
        <v>951</v>
      </c>
      <c r="H113" s="223"/>
      <c r="K113" s="139">
        <v>0</v>
      </c>
      <c r="L113" s="139">
        <v>0</v>
      </c>
      <c r="M113" s="139">
        <v>0</v>
      </c>
      <c r="N113" s="139">
        <v>0</v>
      </c>
      <c r="O113" s="139">
        <v>0</v>
      </c>
    </row>
    <row r="114" spans="2:15">
      <c r="B114" s="139" t="s">
        <v>954</v>
      </c>
      <c r="H114" s="223"/>
      <c r="K114" s="139">
        <f>IF($J$27=0,0,IF(YEAR($J$28)=K$2,1,0))</f>
        <v>0</v>
      </c>
      <c r="L114" s="139">
        <f t="shared" ref="L114:O114" si="39">IF($J$27=0,0,IF(YEAR($J$28)=L$2,1,0))</f>
        <v>0</v>
      </c>
      <c r="M114" s="139">
        <f t="shared" si="39"/>
        <v>0</v>
      </c>
      <c r="N114" s="139">
        <f t="shared" si="39"/>
        <v>0</v>
      </c>
      <c r="O114" s="139">
        <f t="shared" si="39"/>
        <v>0</v>
      </c>
    </row>
    <row r="115" spans="2:15">
      <c r="H115" s="223"/>
    </row>
    <row r="116" spans="2:15" ht="13.8" thickBot="1">
      <c r="B116" s="423" t="s">
        <v>948</v>
      </c>
      <c r="C116" s="224"/>
      <c r="D116" s="224"/>
      <c r="E116" s="224"/>
      <c r="F116" s="224"/>
      <c r="G116" s="224"/>
      <c r="H116" s="224"/>
      <c r="I116" s="224"/>
      <c r="J116" s="276">
        <v>2018</v>
      </c>
      <c r="K116" s="276">
        <v>2019</v>
      </c>
      <c r="L116" s="276">
        <f>K116+1</f>
        <v>2020</v>
      </c>
      <c r="M116" s="276">
        <f t="shared" ref="M116:O116" si="40">L116+1</f>
        <v>2021</v>
      </c>
      <c r="N116" s="276">
        <f t="shared" si="40"/>
        <v>2022</v>
      </c>
      <c r="O116" s="276">
        <f t="shared" si="40"/>
        <v>2023</v>
      </c>
    </row>
    <row r="117" spans="2:15">
      <c r="B117" s="139" t="s">
        <v>945</v>
      </c>
      <c r="H117" s="223"/>
      <c r="K117" s="139">
        <v>0</v>
      </c>
      <c r="L117" s="139">
        <f>K121</f>
        <v>0</v>
      </c>
      <c r="M117" s="139">
        <f t="shared" ref="M117:O117" si="41">L121</f>
        <v>0</v>
      </c>
      <c r="N117" s="139">
        <f t="shared" si="41"/>
        <v>0</v>
      </c>
      <c r="O117" s="139">
        <f t="shared" si="41"/>
        <v>0</v>
      </c>
    </row>
    <row r="118" spans="2:15">
      <c r="B118" s="139" t="s">
        <v>946</v>
      </c>
      <c r="H118" s="223"/>
      <c r="K118" s="139">
        <f>J24</f>
        <v>0</v>
      </c>
      <c r="L118" s="139">
        <v>0</v>
      </c>
      <c r="M118" s="139">
        <v>0</v>
      </c>
      <c r="N118" s="139">
        <v>0</v>
      </c>
      <c r="O118" s="139">
        <v>0</v>
      </c>
    </row>
    <row r="119" spans="2:15">
      <c r="B119" s="139" t="s">
        <v>952</v>
      </c>
      <c r="H119" s="223"/>
      <c r="K119" s="139">
        <f>IF(K113=1,-$J$24,0)</f>
        <v>0</v>
      </c>
      <c r="L119" s="139">
        <f t="shared" ref="L119:O119" si="42">IF(L113=1,-$J$9,0)</f>
        <v>0</v>
      </c>
      <c r="M119" s="139">
        <f t="shared" si="42"/>
        <v>0</v>
      </c>
      <c r="N119" s="139">
        <f t="shared" si="42"/>
        <v>0</v>
      </c>
      <c r="O119" s="139">
        <f t="shared" si="42"/>
        <v>0</v>
      </c>
    </row>
    <row r="120" spans="2:15">
      <c r="B120" s="139" t="s">
        <v>949</v>
      </c>
      <c r="H120" s="223"/>
      <c r="K120" s="139">
        <f t="shared" ref="K120:L120" si="43">IF(K114=1,-$J$24,0)</f>
        <v>0</v>
      </c>
      <c r="L120" s="139">
        <f t="shared" si="43"/>
        <v>0</v>
      </c>
      <c r="M120" s="139">
        <f>IF(M114=1,-$J$24,0)</f>
        <v>0</v>
      </c>
      <c r="N120" s="139">
        <f t="shared" ref="N120:O120" si="44">IF(N114=1,-$J$24,0)</f>
        <v>0</v>
      </c>
      <c r="O120" s="139">
        <f t="shared" si="44"/>
        <v>0</v>
      </c>
    </row>
    <row r="121" spans="2:15">
      <c r="B121" s="139" t="s">
        <v>947</v>
      </c>
      <c r="H121" s="223"/>
      <c r="K121" s="139">
        <f>K117+K118+K119+K120</f>
        <v>0</v>
      </c>
      <c r="L121" s="139">
        <f>L117+L118+L119+L120</f>
        <v>0</v>
      </c>
      <c r="M121" s="139">
        <f t="shared" ref="M121" si="45">M117+M118+M119+M120</f>
        <v>0</v>
      </c>
      <c r="N121" s="139">
        <f t="shared" ref="N121" si="46">N117+N118+N119+N120</f>
        <v>0</v>
      </c>
      <c r="O121" s="139">
        <f t="shared" ref="O121" si="47">O117+O118+O119+O120</f>
        <v>0</v>
      </c>
    </row>
    <row r="122" spans="2:15">
      <c r="H122" s="223"/>
    </row>
    <row r="123" spans="2:15">
      <c r="B123" s="139" t="s">
        <v>980</v>
      </c>
      <c r="H123" s="223"/>
      <c r="K123" s="139">
        <f>-K120</f>
        <v>0</v>
      </c>
      <c r="L123" s="139">
        <f t="shared" ref="L123:O123" si="48">-L120</f>
        <v>0</v>
      </c>
      <c r="M123" s="139">
        <f t="shared" si="48"/>
        <v>0</v>
      </c>
      <c r="N123" s="139">
        <f t="shared" si="48"/>
        <v>0</v>
      </c>
      <c r="O123" s="139">
        <f t="shared" si="48"/>
        <v>0</v>
      </c>
    </row>
    <row r="124" spans="2:15">
      <c r="H124" s="223"/>
    </row>
    <row r="125" spans="2:15">
      <c r="B125" s="139" t="s">
        <v>971</v>
      </c>
      <c r="H125" s="427">
        <f>'IRR &amp; FS'!$K$46</f>
        <v>0</v>
      </c>
      <c r="K125" s="139">
        <f>K121*$H$89</f>
        <v>0</v>
      </c>
      <c r="L125" s="139">
        <f>L121*$H$89</f>
        <v>0</v>
      </c>
      <c r="M125" s="139">
        <f>M121*$H$89</f>
        <v>0</v>
      </c>
      <c r="N125" s="139">
        <f>N121*$H$89</f>
        <v>0</v>
      </c>
      <c r="O125" s="139">
        <f>O121*$H$89</f>
        <v>0</v>
      </c>
    </row>
  </sheetData>
  <phoneticPr fontId="24" type="noConversion"/>
  <pageMargins left="0.6" right="0.6" top="1" bottom="1" header="0.5" footer="0.5"/>
  <pageSetup scale="33" orientation="landscape" r:id="rId1"/>
  <headerFooter>
    <oddHeader>&amp;RDraft - Work in Progress</oddHeader>
    <oddFooter>&amp;L&amp;F
&amp;D, &amp;T&amp;CPage &amp;P of &amp;N&amp;R&amp;A</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70C0"/>
    <pageSetUpPr fitToPage="1"/>
  </sheetPr>
  <dimension ref="A1:R76"/>
  <sheetViews>
    <sheetView tabSelected="1" workbookViewId="0">
      <selection activeCell="R17" sqref="R17"/>
    </sheetView>
  </sheetViews>
  <sheetFormatPr defaultColWidth="9.125" defaultRowHeight="13.2"/>
  <cols>
    <col min="1" max="1" width="2" style="139" customWidth="1"/>
    <col min="2" max="6" width="2.25" style="139" customWidth="1"/>
    <col min="7" max="16384" width="9.125" style="139"/>
  </cols>
  <sheetData>
    <row r="1" spans="1:18" ht="17.399999999999999">
      <c r="A1" s="139" t="s">
        <v>740</v>
      </c>
      <c r="B1" s="153" t="s">
        <v>684</v>
      </c>
    </row>
    <row r="3" spans="1:18" s="156" customFormat="1">
      <c r="B3" s="156" t="s">
        <v>685</v>
      </c>
    </row>
    <row r="4" spans="1:18" ht="6" customHeight="1"/>
    <row r="5" spans="1:18" ht="13.8" thickBot="1">
      <c r="B5" s="157" t="s">
        <v>384</v>
      </c>
      <c r="C5" s="154"/>
      <c r="D5" s="154"/>
      <c r="E5" s="154"/>
      <c r="F5" s="154"/>
      <c r="G5" s="154"/>
      <c r="H5" s="154" t="s">
        <v>668</v>
      </c>
      <c r="I5" s="154"/>
      <c r="J5" s="154" t="s">
        <v>641</v>
      </c>
      <c r="K5" s="154" t="s">
        <v>642</v>
      </c>
      <c r="L5" s="154" t="s">
        <v>643</v>
      </c>
      <c r="M5" s="154" t="s">
        <v>644</v>
      </c>
      <c r="N5" s="154" t="s">
        <v>645</v>
      </c>
    </row>
    <row r="6" spans="1:18" s="155" customFormat="1">
      <c r="B6" s="155" t="s">
        <v>662</v>
      </c>
      <c r="J6" s="155">
        <f>J7+J8</f>
        <v>1360</v>
      </c>
      <c r="K6" s="155">
        <f>K7+K8</f>
        <v>1500</v>
      </c>
      <c r="L6" s="155">
        <f>L7+L8</f>
        <v>1360</v>
      </c>
      <c r="M6" s="155">
        <f>M7+M8</f>
        <v>1220</v>
      </c>
      <c r="N6" s="155">
        <f>N7+N8</f>
        <v>1200</v>
      </c>
    </row>
    <row r="7" spans="1:18">
      <c r="C7" s="139" t="s">
        <v>665</v>
      </c>
      <c r="H7" s="139">
        <v>5</v>
      </c>
      <c r="J7" s="139">
        <f>J32</f>
        <v>1280</v>
      </c>
      <c r="K7" s="139">
        <f>K32</f>
        <v>1440</v>
      </c>
      <c r="L7" s="139">
        <f>L32</f>
        <v>1320</v>
      </c>
      <c r="M7" s="139">
        <f>M32</f>
        <v>1200</v>
      </c>
      <c r="N7" s="139">
        <f>N32</f>
        <v>1200</v>
      </c>
    </row>
    <row r="8" spans="1:18">
      <c r="C8" s="139" t="s">
        <v>667</v>
      </c>
      <c r="H8" s="139">
        <v>5</v>
      </c>
      <c r="J8" s="139">
        <f>J39</f>
        <v>80</v>
      </c>
      <c r="K8" s="139">
        <f>K39</f>
        <v>60</v>
      </c>
      <c r="L8" s="139">
        <f>L39</f>
        <v>40</v>
      </c>
      <c r="M8" s="139">
        <f>M39</f>
        <v>20</v>
      </c>
      <c r="N8" s="139">
        <f>N39</f>
        <v>0</v>
      </c>
    </row>
    <row r="9" spans="1:18" s="155" customFormat="1">
      <c r="B9" s="155" t="s">
        <v>663</v>
      </c>
      <c r="J9" s="155">
        <f>J10</f>
        <v>2480</v>
      </c>
      <c r="K9" s="155">
        <f>K10</f>
        <v>6260</v>
      </c>
      <c r="L9" s="155">
        <f>L10</f>
        <v>10140</v>
      </c>
      <c r="M9" s="155">
        <f>M10</f>
        <v>13820</v>
      </c>
      <c r="N9" s="155">
        <f>N10</f>
        <v>17000</v>
      </c>
    </row>
    <row r="10" spans="1:18">
      <c r="C10" s="139" t="s">
        <v>670</v>
      </c>
      <c r="H10" s="139">
        <v>5</v>
      </c>
      <c r="J10" s="139">
        <f>J47</f>
        <v>2480</v>
      </c>
      <c r="K10" s="139">
        <f>K47</f>
        <v>6260</v>
      </c>
      <c r="L10" s="139">
        <f>L47</f>
        <v>10140</v>
      </c>
      <c r="M10" s="139">
        <f>M47</f>
        <v>13820</v>
      </c>
      <c r="N10" s="139">
        <f>N47</f>
        <v>17000</v>
      </c>
    </row>
    <row r="12" spans="1:18" s="155" customFormat="1">
      <c r="B12" s="155" t="s">
        <v>633</v>
      </c>
      <c r="J12" s="155">
        <f>J13+J14</f>
        <v>340</v>
      </c>
      <c r="K12" s="155">
        <f>K13+K14</f>
        <v>460</v>
      </c>
      <c r="L12" s="155">
        <f>L13+L14</f>
        <v>540</v>
      </c>
      <c r="M12" s="155">
        <f>M13+M14</f>
        <v>580</v>
      </c>
      <c r="N12" s="155">
        <f>N13+N14</f>
        <v>780</v>
      </c>
      <c r="Q12" s="415"/>
      <c r="R12" s="416"/>
    </row>
    <row r="13" spans="1:18">
      <c r="C13" s="139" t="s">
        <v>664</v>
      </c>
      <c r="J13" s="139">
        <f>-J36</f>
        <v>320</v>
      </c>
      <c r="K13" s="139">
        <f>-K36</f>
        <v>440</v>
      </c>
      <c r="L13" s="139">
        <f>-L36</f>
        <v>520</v>
      </c>
      <c r="M13" s="139">
        <f>-M36</f>
        <v>560</v>
      </c>
      <c r="N13" s="139">
        <f>-N36</f>
        <v>760</v>
      </c>
      <c r="Q13" s="417"/>
      <c r="R13" s="418"/>
    </row>
    <row r="14" spans="1:18">
      <c r="C14" s="139" t="s">
        <v>666</v>
      </c>
      <c r="J14" s="139">
        <f>-J42</f>
        <v>20</v>
      </c>
      <c r="K14" s="139">
        <f>-K42</f>
        <v>20</v>
      </c>
      <c r="L14" s="139">
        <f>-L42</f>
        <v>20</v>
      </c>
      <c r="M14" s="139">
        <f>-M42</f>
        <v>20</v>
      </c>
      <c r="N14" s="139">
        <f>-N42</f>
        <v>20</v>
      </c>
      <c r="Q14" s="417"/>
      <c r="R14" s="418"/>
    </row>
    <row r="15" spans="1:18" s="155" customFormat="1">
      <c r="B15" s="155" t="s">
        <v>634</v>
      </c>
      <c r="J15" s="155">
        <f>J16</f>
        <v>620</v>
      </c>
      <c r="K15" s="155">
        <f>K16</f>
        <v>1720</v>
      </c>
      <c r="L15" s="155">
        <f>L16</f>
        <v>3120</v>
      </c>
      <c r="M15" s="155">
        <f>M16</f>
        <v>4820</v>
      </c>
      <c r="N15" s="155">
        <f>N16</f>
        <v>6820</v>
      </c>
      <c r="Q15" s="415"/>
      <c r="R15" s="416"/>
    </row>
    <row r="16" spans="1:18">
      <c r="C16" s="139" t="s">
        <v>547</v>
      </c>
      <c r="J16" s="139">
        <f>-J50</f>
        <v>620</v>
      </c>
      <c r="K16" s="139">
        <f>-K50</f>
        <v>1720</v>
      </c>
      <c r="L16" s="139">
        <f>-L50</f>
        <v>3120</v>
      </c>
      <c r="M16" s="139">
        <f>-M50</f>
        <v>4820</v>
      </c>
      <c r="N16" s="139">
        <f>-N50</f>
        <v>6820</v>
      </c>
      <c r="Q16" s="417"/>
      <c r="R16" s="418"/>
    </row>
    <row r="17" spans="2:18">
      <c r="Q17" s="417"/>
      <c r="R17" s="418"/>
    </row>
    <row r="18" spans="2:18" s="155" customFormat="1">
      <c r="B18" s="155" t="s">
        <v>765</v>
      </c>
      <c r="J18" s="155">
        <f>SUBTOTAL(9,J19:J26)</f>
        <v>10898.3</v>
      </c>
      <c r="K18" s="155">
        <f>SUBTOTAL(9,K19:K26)</f>
        <v>9159.1</v>
      </c>
      <c r="L18" s="155">
        <f>SUBTOTAL(9,L19:L26)</f>
        <v>10459.099999999999</v>
      </c>
      <c r="M18" s="155">
        <f>SUBTOTAL(9,M19:M26)</f>
        <v>12338.999999999998</v>
      </c>
      <c r="N18" s="155">
        <f>SUBTOTAL(9,N19:N26)</f>
        <v>10760</v>
      </c>
      <c r="Q18" s="415"/>
      <c r="R18" s="416"/>
    </row>
    <row r="19" spans="2:18">
      <c r="C19" s="139" t="s">
        <v>766</v>
      </c>
      <c r="J19" s="139">
        <f>SUBTOTAL(9,J20:J21)</f>
        <v>1700</v>
      </c>
      <c r="K19" s="139">
        <f>SUBTOTAL(9,K20:K21)</f>
        <v>600</v>
      </c>
      <c r="L19" s="139">
        <f>SUBTOTAL(9,L20:L21)</f>
        <v>400</v>
      </c>
      <c r="M19" s="139">
        <f>SUBTOTAL(9,M20:M21)</f>
        <v>440</v>
      </c>
      <c r="N19" s="139">
        <f>SUBTOTAL(9,N20:N21)</f>
        <v>760</v>
      </c>
      <c r="Q19" s="417"/>
      <c r="R19" s="418"/>
    </row>
    <row r="20" spans="2:18">
      <c r="D20" s="139" t="s">
        <v>767</v>
      </c>
      <c r="J20" s="139">
        <f>J34+J35</f>
        <v>1600</v>
      </c>
      <c r="K20" s="139">
        <f>K34+K35</f>
        <v>600</v>
      </c>
      <c r="L20" s="139">
        <f>L34+L35</f>
        <v>400</v>
      </c>
      <c r="M20" s="139">
        <f>M34+M35</f>
        <v>440</v>
      </c>
      <c r="N20" s="139">
        <f>N34+N35</f>
        <v>760</v>
      </c>
      <c r="Q20" s="417"/>
      <c r="R20" s="418"/>
    </row>
    <row r="21" spans="2:18">
      <c r="D21" s="139" t="s">
        <v>768</v>
      </c>
      <c r="J21" s="139">
        <f>J41</f>
        <v>100</v>
      </c>
      <c r="K21" s="139">
        <f>K41</f>
        <v>0</v>
      </c>
      <c r="L21" s="139">
        <f>L41</f>
        <v>0</v>
      </c>
      <c r="M21" s="139">
        <f>M41</f>
        <v>0</v>
      </c>
      <c r="N21" s="139">
        <f>N41</f>
        <v>0</v>
      </c>
      <c r="Q21" s="417"/>
      <c r="R21" s="418"/>
    </row>
    <row r="22" spans="2:18">
      <c r="C22" s="139" t="s">
        <v>769</v>
      </c>
      <c r="J22" s="139">
        <f>SUBTOTAL(9,J23)</f>
        <v>3100</v>
      </c>
      <c r="K22" s="139">
        <f>SUBTOTAL(9,K23)</f>
        <v>5500</v>
      </c>
      <c r="L22" s="139">
        <f>SUBTOTAL(9,L23)</f>
        <v>6999.9999999999991</v>
      </c>
      <c r="M22" s="139">
        <f>SUBTOTAL(9,M23)</f>
        <v>8499.9999999999982</v>
      </c>
      <c r="N22" s="139">
        <f>SUBTOTAL(9,N23)</f>
        <v>10000</v>
      </c>
      <c r="Q22" s="417"/>
      <c r="R22" s="418"/>
    </row>
    <row r="23" spans="2:18">
      <c r="D23" s="139" t="s">
        <v>770</v>
      </c>
      <c r="J23" s="139">
        <f>J49</f>
        <v>3100</v>
      </c>
      <c r="K23" s="139">
        <f>K49</f>
        <v>5500</v>
      </c>
      <c r="L23" s="139">
        <f>L49</f>
        <v>6999.9999999999991</v>
      </c>
      <c r="M23" s="139">
        <f>M49</f>
        <v>8499.9999999999982</v>
      </c>
      <c r="N23" s="139">
        <f>N49</f>
        <v>10000</v>
      </c>
      <c r="Q23" s="417"/>
      <c r="R23" s="418"/>
    </row>
    <row r="24" spans="2:18">
      <c r="C24" s="139" t="s">
        <v>815</v>
      </c>
      <c r="J24" s="139">
        <f>SUBTOTAL(9,J25:J26)</f>
        <v>6098.2999999999993</v>
      </c>
      <c r="K24" s="139">
        <f>SUBTOTAL(9,K25:K26)</f>
        <v>3059.1</v>
      </c>
      <c r="L24" s="139">
        <f>SUBTOTAL(9,L25:L26)</f>
        <v>3059.1</v>
      </c>
      <c r="M24" s="139">
        <f>SUBTOTAL(9,M25:M26)</f>
        <v>3399</v>
      </c>
      <c r="N24" s="139">
        <f>SUBTOTAL(9,N25:N26)</f>
        <v>0</v>
      </c>
      <c r="Q24" s="417"/>
      <c r="R24" s="418"/>
    </row>
    <row r="25" spans="2:18">
      <c r="D25" s="139" t="s">
        <v>816</v>
      </c>
      <c r="J25" s="139">
        <f>J68</f>
        <v>5778.2999999999993</v>
      </c>
      <c r="K25" s="139">
        <f>K68</f>
        <v>3059.1</v>
      </c>
      <c r="L25" s="139">
        <f>L68</f>
        <v>3059.1</v>
      </c>
      <c r="M25" s="139">
        <f>M68</f>
        <v>3399</v>
      </c>
      <c r="N25" s="139">
        <f>N68</f>
        <v>0</v>
      </c>
      <c r="Q25" s="417"/>
      <c r="R25" s="418"/>
    </row>
    <row r="26" spans="2:18">
      <c r="D26" s="139" t="s">
        <v>817</v>
      </c>
      <c r="J26" s="139">
        <f>J74</f>
        <v>320</v>
      </c>
      <c r="K26" s="139">
        <f>K74</f>
        <v>0</v>
      </c>
      <c r="L26" s="139">
        <f>L74</f>
        <v>0</v>
      </c>
      <c r="M26" s="139">
        <f>M74</f>
        <v>0</v>
      </c>
      <c r="N26" s="139">
        <f>N74</f>
        <v>0</v>
      </c>
      <c r="Q26" s="417"/>
      <c r="R26" s="418"/>
    </row>
    <row r="27" spans="2:18">
      <c r="Q27" s="417"/>
      <c r="R27" s="418"/>
    </row>
    <row r="28" spans="2:18" s="286" customFormat="1">
      <c r="B28" s="286" t="s">
        <v>744</v>
      </c>
      <c r="Q28" s="419"/>
      <c r="R28" s="420"/>
    </row>
    <row r="29" spans="2:18">
      <c r="Q29" s="311"/>
      <c r="R29" s="311"/>
    </row>
    <row r="30" spans="2:18" ht="13.8" thickBot="1">
      <c r="B30" s="157" t="s">
        <v>384</v>
      </c>
      <c r="C30" s="154"/>
      <c r="D30" s="154"/>
      <c r="E30" s="154"/>
      <c r="F30" s="154"/>
      <c r="G30" s="154"/>
      <c r="H30" s="154"/>
      <c r="I30" s="154"/>
      <c r="J30" s="154" t="s">
        <v>641</v>
      </c>
      <c r="K30" s="154" t="s">
        <v>642</v>
      </c>
      <c r="L30" s="154" t="s">
        <v>643</v>
      </c>
      <c r="M30" s="154" t="s">
        <v>644</v>
      </c>
      <c r="N30" s="154" t="s">
        <v>645</v>
      </c>
    </row>
    <row r="31" spans="2:18" s="155" customFormat="1">
      <c r="B31" s="155" t="s">
        <v>662</v>
      </c>
    </row>
    <row r="32" spans="2:18" s="155" customFormat="1">
      <c r="C32" s="155" t="s">
        <v>665</v>
      </c>
      <c r="J32" s="155">
        <f>J38</f>
        <v>1280</v>
      </c>
      <c r="K32" s="155">
        <f>K38</f>
        <v>1440</v>
      </c>
      <c r="L32" s="155">
        <f>L38</f>
        <v>1320</v>
      </c>
      <c r="M32" s="155">
        <f>M38</f>
        <v>1200</v>
      </c>
      <c r="N32" s="155">
        <f>N38</f>
        <v>1200</v>
      </c>
    </row>
    <row r="33" spans="2:15">
      <c r="H33" s="139" t="s">
        <v>671</v>
      </c>
      <c r="J33" s="139">
        <v>0</v>
      </c>
      <c r="K33" s="139">
        <f>J38</f>
        <v>1280</v>
      </c>
      <c r="L33" s="139">
        <f>K38</f>
        <v>1440</v>
      </c>
      <c r="M33" s="139">
        <f>L38</f>
        <v>1320</v>
      </c>
      <c r="N33" s="139">
        <f>M38</f>
        <v>1200</v>
      </c>
    </row>
    <row r="34" spans="2:15">
      <c r="H34" s="139" t="s">
        <v>672</v>
      </c>
      <c r="J34" s="139">
        <f>자산비용!BQ46</f>
        <v>1600</v>
      </c>
      <c r="K34" s="139">
        <f>자산비용!BR46</f>
        <v>600</v>
      </c>
      <c r="L34" s="139">
        <f>자산비용!BS46</f>
        <v>400</v>
      </c>
      <c r="M34" s="139">
        <f>자산비용!BT46</f>
        <v>200</v>
      </c>
      <c r="N34" s="139">
        <f>자산비용!BU46</f>
        <v>0</v>
      </c>
    </row>
    <row r="35" spans="2:15">
      <c r="H35" s="139" t="s">
        <v>691</v>
      </c>
      <c r="M35" s="139">
        <v>240</v>
      </c>
      <c r="N35" s="139">
        <v>760</v>
      </c>
      <c r="O35" s="139" t="s">
        <v>1425</v>
      </c>
    </row>
    <row r="36" spans="2:15">
      <c r="H36" s="139" t="s">
        <v>673</v>
      </c>
      <c r="J36" s="139">
        <f>-(J34/5)</f>
        <v>-320</v>
      </c>
      <c r="K36" s="139">
        <f>-SUM($J$34:K34)/5</f>
        <v>-440</v>
      </c>
      <c r="L36" s="139">
        <f>-SUM($J$34:L34)/5</f>
        <v>-520</v>
      </c>
      <c r="M36" s="139">
        <f>-SUM($J$34:M34)/5</f>
        <v>-560</v>
      </c>
      <c r="N36" s="139">
        <f>-SUM($J$34:N35)/5</f>
        <v>-760</v>
      </c>
    </row>
    <row r="37" spans="2:15">
      <c r="H37" s="139" t="s">
        <v>674</v>
      </c>
      <c r="J37" s="139">
        <v>0</v>
      </c>
      <c r="K37" s="139">
        <v>0</v>
      </c>
      <c r="L37" s="139">
        <v>0</v>
      </c>
      <c r="M37" s="139">
        <v>0</v>
      </c>
      <c r="N37" s="139">
        <v>0</v>
      </c>
    </row>
    <row r="38" spans="2:15">
      <c r="H38" s="139" t="s">
        <v>675</v>
      </c>
      <c r="J38" s="139">
        <f>J33+J34+J36+J37+J35</f>
        <v>1280</v>
      </c>
      <c r="K38" s="139">
        <f>K33+K34+K36+K37+K35</f>
        <v>1440</v>
      </c>
      <c r="L38" s="139">
        <f>L33+L34+L36+L37+L35</f>
        <v>1320</v>
      </c>
      <c r="M38" s="139">
        <f>M33+M34+M36+M37+M35</f>
        <v>1200</v>
      </c>
      <c r="N38" s="139">
        <f>N33+N34+N36+N37+N35</f>
        <v>1200</v>
      </c>
    </row>
    <row r="39" spans="2:15" s="155" customFormat="1">
      <c r="C39" s="155" t="s">
        <v>667</v>
      </c>
      <c r="J39" s="155">
        <f>J44</f>
        <v>80</v>
      </c>
      <c r="K39" s="155">
        <f>K44</f>
        <v>60</v>
      </c>
      <c r="L39" s="155">
        <f>L44</f>
        <v>40</v>
      </c>
      <c r="M39" s="155">
        <f>M44</f>
        <v>20</v>
      </c>
      <c r="N39" s="155">
        <f>N44</f>
        <v>0</v>
      </c>
    </row>
    <row r="40" spans="2:15">
      <c r="H40" s="139" t="s">
        <v>671</v>
      </c>
      <c r="J40" s="139">
        <v>0</v>
      </c>
      <c r="K40" s="139">
        <f>J44</f>
        <v>80</v>
      </c>
      <c r="L40" s="139">
        <f>K44</f>
        <v>60</v>
      </c>
      <c r="M40" s="139">
        <f>L44</f>
        <v>40</v>
      </c>
      <c r="N40" s="139">
        <f>M44</f>
        <v>20</v>
      </c>
    </row>
    <row r="41" spans="2:15">
      <c r="H41" s="139" t="s">
        <v>672</v>
      </c>
      <c r="J41" s="139">
        <f>자산비용!BQ52</f>
        <v>100</v>
      </c>
    </row>
    <row r="42" spans="2:15">
      <c r="H42" s="139" t="s">
        <v>673</v>
      </c>
      <c r="J42" s="139">
        <f>-(J41/5)</f>
        <v>-20</v>
      </c>
      <c r="K42" s="139">
        <f>J42</f>
        <v>-20</v>
      </c>
      <c r="L42" s="139">
        <f>K42</f>
        <v>-20</v>
      </c>
      <c r="M42" s="139">
        <f>L42</f>
        <v>-20</v>
      </c>
      <c r="N42" s="139">
        <f>M42</f>
        <v>-20</v>
      </c>
    </row>
    <row r="43" spans="2:15">
      <c r="H43" s="139" t="s">
        <v>674</v>
      </c>
    </row>
    <row r="44" spans="2:15">
      <c r="H44" s="139" t="s">
        <v>675</v>
      </c>
      <c r="J44" s="139">
        <f>J40+J41+J42+J43</f>
        <v>80</v>
      </c>
      <c r="K44" s="139">
        <f>K40+K41+K42+K43</f>
        <v>60</v>
      </c>
      <c r="L44" s="139">
        <f>L40+L41+L42+L43</f>
        <v>40</v>
      </c>
      <c r="M44" s="139">
        <f>M40+M41+M42+M43</f>
        <v>20</v>
      </c>
      <c r="N44" s="139">
        <f>N40+N41+N42+N43</f>
        <v>0</v>
      </c>
    </row>
    <row r="46" spans="2:15" s="155" customFormat="1">
      <c r="B46" s="155" t="s">
        <v>663</v>
      </c>
    </row>
    <row r="47" spans="2:15" s="155" customFormat="1">
      <c r="C47" s="155" t="s">
        <v>669</v>
      </c>
      <c r="J47" s="155">
        <f>J52</f>
        <v>2480</v>
      </c>
      <c r="K47" s="155">
        <f>K52</f>
        <v>6260</v>
      </c>
      <c r="L47" s="155">
        <f>L52</f>
        <v>10140</v>
      </c>
      <c r="M47" s="155">
        <f>M52</f>
        <v>13820</v>
      </c>
      <c r="N47" s="155">
        <f>N52</f>
        <v>17000</v>
      </c>
    </row>
    <row r="48" spans="2:15">
      <c r="H48" s="139" t="s">
        <v>671</v>
      </c>
      <c r="J48" s="139">
        <v>0</v>
      </c>
      <c r="K48" s="139">
        <f>J52</f>
        <v>2480</v>
      </c>
      <c r="L48" s="139">
        <f>K52</f>
        <v>6260</v>
      </c>
      <c r="M48" s="139">
        <f>L52</f>
        <v>10140</v>
      </c>
      <c r="N48" s="139">
        <f>M52</f>
        <v>13820</v>
      </c>
    </row>
    <row r="49" spans="2:14">
      <c r="H49" s="139" t="s">
        <v>672</v>
      </c>
      <c r="J49" s="139">
        <f>자산비용!BQ41</f>
        <v>3100</v>
      </c>
      <c r="K49" s="139">
        <f>자산비용!BR41</f>
        <v>5500</v>
      </c>
      <c r="L49" s="139">
        <f>자산비용!BS41</f>
        <v>6999.9999999999991</v>
      </c>
      <c r="M49" s="139">
        <f>자산비용!BT41</f>
        <v>8499.9999999999982</v>
      </c>
      <c r="N49" s="139">
        <f>자산비용!BU41</f>
        <v>10000</v>
      </c>
    </row>
    <row r="50" spans="2:14">
      <c r="H50" s="139" t="s">
        <v>673</v>
      </c>
      <c r="J50" s="139">
        <f>-J49/5</f>
        <v>-620</v>
      </c>
      <c r="K50" s="139">
        <f>-SUM($J$49:K49)/5</f>
        <v>-1720</v>
      </c>
      <c r="L50" s="139">
        <f>-SUM($J$49:L49)/5</f>
        <v>-3120</v>
      </c>
      <c r="M50" s="139">
        <f>-SUM($J$49:M49)/5</f>
        <v>-4820</v>
      </c>
      <c r="N50" s="139">
        <f>-SUM($J$49:N49)/5</f>
        <v>-6820</v>
      </c>
    </row>
    <row r="51" spans="2:14">
      <c r="H51" s="139" t="s">
        <v>674</v>
      </c>
    </row>
    <row r="52" spans="2:14">
      <c r="H52" s="139" t="s">
        <v>675</v>
      </c>
      <c r="J52" s="139">
        <f>J48+J49+J50+J51</f>
        <v>2480</v>
      </c>
      <c r="K52" s="139">
        <f>K48+K49+K50+K51</f>
        <v>6260</v>
      </c>
      <c r="L52" s="139">
        <f>L48+L49+L50+L51</f>
        <v>10140</v>
      </c>
      <c r="M52" s="139">
        <f>M48+M49+M50+M51</f>
        <v>13820</v>
      </c>
      <c r="N52" s="139">
        <f>N48+N49+N50+N51</f>
        <v>17000</v>
      </c>
    </row>
    <row r="55" spans="2:14" s="156" customFormat="1">
      <c r="B55" s="156" t="s">
        <v>686</v>
      </c>
    </row>
    <row r="56" spans="2:14" ht="6" customHeight="1"/>
    <row r="57" spans="2:14" ht="13.8" thickBot="1">
      <c r="B57" s="157" t="s">
        <v>384</v>
      </c>
      <c r="C57" s="154"/>
      <c r="D57" s="154"/>
      <c r="E57" s="154"/>
      <c r="F57" s="154"/>
      <c r="G57" s="154"/>
      <c r="H57" s="154"/>
      <c r="I57" s="154"/>
      <c r="J57" s="154" t="s">
        <v>641</v>
      </c>
      <c r="K57" s="154" t="s">
        <v>642</v>
      </c>
      <c r="L57" s="154" t="s">
        <v>643</v>
      </c>
      <c r="M57" s="154" t="s">
        <v>644</v>
      </c>
      <c r="N57" s="154" t="s">
        <v>645</v>
      </c>
    </row>
    <row r="58" spans="2:14" s="155" customFormat="1">
      <c r="B58" s="155" t="s">
        <v>687</v>
      </c>
      <c r="J58" s="155">
        <f>J59+J60</f>
        <v>6098.2999999999993</v>
      </c>
      <c r="K58" s="155">
        <f>K59+K60</f>
        <v>9157.4</v>
      </c>
      <c r="L58" s="155">
        <f>L59+L60</f>
        <v>12216.5</v>
      </c>
      <c r="M58" s="155">
        <f>M59+M60</f>
        <v>15615.5</v>
      </c>
      <c r="N58" s="155">
        <f>N59+N60</f>
        <v>15615.5</v>
      </c>
    </row>
    <row r="59" spans="2:14">
      <c r="C59" s="139" t="s">
        <v>689</v>
      </c>
      <c r="J59" s="139">
        <f>J66</f>
        <v>5778.2999999999993</v>
      </c>
      <c r="K59" s="139">
        <f>K66</f>
        <v>8837.4</v>
      </c>
      <c r="L59" s="139">
        <f>L66</f>
        <v>11896.5</v>
      </c>
      <c r="M59" s="139">
        <f>M66</f>
        <v>15295.5</v>
      </c>
      <c r="N59" s="139">
        <f>N66</f>
        <v>15295.5</v>
      </c>
    </row>
    <row r="60" spans="2:14">
      <c r="C60" s="139" t="s">
        <v>688</v>
      </c>
      <c r="J60" s="139">
        <f>J72</f>
        <v>320</v>
      </c>
      <c r="K60" s="139">
        <f>K72</f>
        <v>320</v>
      </c>
      <c r="L60" s="139">
        <f>L72</f>
        <v>320</v>
      </c>
      <c r="M60" s="139">
        <f>M72</f>
        <v>320</v>
      </c>
      <c r="N60" s="139">
        <f>N72</f>
        <v>320</v>
      </c>
    </row>
    <row r="62" spans="2:14">
      <c r="B62" s="286" t="s">
        <v>690</v>
      </c>
    </row>
    <row r="64" spans="2:14" ht="13.8" thickBot="1">
      <c r="B64" s="157" t="s">
        <v>384</v>
      </c>
      <c r="C64" s="154"/>
      <c r="D64" s="154"/>
      <c r="E64" s="154"/>
      <c r="F64" s="154"/>
      <c r="G64" s="154"/>
      <c r="H64" s="154"/>
      <c r="I64" s="154"/>
      <c r="J64" s="154" t="s">
        <v>641</v>
      </c>
      <c r="K64" s="154" t="s">
        <v>642</v>
      </c>
      <c r="L64" s="154" t="s">
        <v>643</v>
      </c>
      <c r="M64" s="154" t="s">
        <v>644</v>
      </c>
      <c r="N64" s="154" t="s">
        <v>645</v>
      </c>
    </row>
    <row r="65" spans="2:14">
      <c r="B65" s="155" t="s">
        <v>687</v>
      </c>
      <c r="C65" s="155"/>
    </row>
    <row r="66" spans="2:14" s="155" customFormat="1">
      <c r="C66" s="155" t="s">
        <v>689</v>
      </c>
      <c r="J66" s="155">
        <f>J70</f>
        <v>5778.2999999999993</v>
      </c>
      <c r="K66" s="155">
        <f>K70</f>
        <v>8837.4</v>
      </c>
      <c r="L66" s="155">
        <f>L70</f>
        <v>11896.5</v>
      </c>
      <c r="M66" s="155">
        <f>M70</f>
        <v>15295.5</v>
      </c>
      <c r="N66" s="155">
        <f>N70</f>
        <v>15295.5</v>
      </c>
    </row>
    <row r="67" spans="2:14">
      <c r="H67" s="139" t="s">
        <v>671</v>
      </c>
      <c r="J67" s="139">
        <v>0</v>
      </c>
      <c r="K67" s="139">
        <f>J70</f>
        <v>5778.2999999999993</v>
      </c>
      <c r="L67" s="139">
        <f>K70</f>
        <v>8837.4</v>
      </c>
      <c r="M67" s="139">
        <f>L70</f>
        <v>11896.5</v>
      </c>
      <c r="N67" s="139">
        <f>M70</f>
        <v>15295.5</v>
      </c>
    </row>
    <row r="68" spans="2:14">
      <c r="H68" s="139" t="s">
        <v>672</v>
      </c>
      <c r="J68" s="139">
        <f>자산비용!BQ33</f>
        <v>5778.2999999999993</v>
      </c>
      <c r="K68" s="139">
        <f>자산비용!BR33</f>
        <v>3059.1</v>
      </c>
      <c r="L68" s="139">
        <f>자산비용!BS33</f>
        <v>3059.1</v>
      </c>
      <c r="M68" s="139">
        <f>자산비용!BT33</f>
        <v>3399</v>
      </c>
      <c r="N68" s="139">
        <f>자산비용!BU33</f>
        <v>0</v>
      </c>
    </row>
    <row r="69" spans="2:14">
      <c r="H69" s="139" t="s">
        <v>674</v>
      </c>
      <c r="J69" s="139">
        <v>0</v>
      </c>
      <c r="K69" s="139">
        <v>0</v>
      </c>
      <c r="L69" s="139">
        <v>0</v>
      </c>
      <c r="M69" s="139">
        <v>0</v>
      </c>
      <c r="N69" s="139">
        <v>0</v>
      </c>
    </row>
    <row r="70" spans="2:14">
      <c r="H70" s="139" t="s">
        <v>675</v>
      </c>
      <c r="J70" s="139">
        <f>J67+J68+J69</f>
        <v>5778.2999999999993</v>
      </c>
      <c r="K70" s="139">
        <f>K67+K68+K69</f>
        <v>8837.4</v>
      </c>
      <c r="L70" s="139">
        <f>L67+L68+L69</f>
        <v>11896.5</v>
      </c>
      <c r="M70" s="139">
        <f>M67+M68+M69</f>
        <v>15295.5</v>
      </c>
      <c r="N70" s="139">
        <f>N67+N68+N69</f>
        <v>15295.5</v>
      </c>
    </row>
    <row r="72" spans="2:14" s="155" customFormat="1">
      <c r="C72" s="155" t="s">
        <v>688</v>
      </c>
      <c r="J72" s="155">
        <f>J76</f>
        <v>320</v>
      </c>
      <c r="K72" s="155">
        <f>K76</f>
        <v>320</v>
      </c>
      <c r="L72" s="155">
        <f>L76</f>
        <v>320</v>
      </c>
      <c r="M72" s="155">
        <f>M76</f>
        <v>320</v>
      </c>
      <c r="N72" s="155">
        <f>N76</f>
        <v>320</v>
      </c>
    </row>
    <row r="73" spans="2:14">
      <c r="H73" s="139" t="s">
        <v>671</v>
      </c>
      <c r="J73" s="139">
        <v>0</v>
      </c>
      <c r="K73" s="139">
        <f>J76</f>
        <v>320</v>
      </c>
      <c r="L73" s="139">
        <f>K76</f>
        <v>320</v>
      </c>
      <c r="M73" s="139">
        <f>L76</f>
        <v>320</v>
      </c>
      <c r="N73" s="139">
        <f>M76</f>
        <v>320</v>
      </c>
    </row>
    <row r="74" spans="2:14">
      <c r="H74" s="139" t="s">
        <v>672</v>
      </c>
      <c r="J74" s="139">
        <f>자산비용!BQ34</f>
        <v>320</v>
      </c>
      <c r="K74" s="139">
        <f>자산비용!BR34</f>
        <v>0</v>
      </c>
      <c r="L74" s="139">
        <f>자산비용!BS34</f>
        <v>0</v>
      </c>
      <c r="M74" s="139">
        <f>자산비용!BT34</f>
        <v>0</v>
      </c>
      <c r="N74" s="139">
        <f>자산비용!BU34</f>
        <v>0</v>
      </c>
    </row>
    <row r="75" spans="2:14">
      <c r="H75" s="139" t="s">
        <v>674</v>
      </c>
      <c r="J75" s="139">
        <v>0</v>
      </c>
      <c r="K75" s="139">
        <v>0</v>
      </c>
      <c r="L75" s="139">
        <v>0</v>
      </c>
      <c r="M75" s="139">
        <v>0</v>
      </c>
      <c r="N75" s="139">
        <v>0</v>
      </c>
    </row>
    <row r="76" spans="2:14">
      <c r="H76" s="139" t="s">
        <v>675</v>
      </c>
      <c r="J76" s="139">
        <f>J73+J74+J75</f>
        <v>320</v>
      </c>
      <c r="K76" s="139">
        <f>K73+K74+K75</f>
        <v>320</v>
      </c>
      <c r="L76" s="139">
        <f>L73+L74+L75</f>
        <v>320</v>
      </c>
      <c r="M76" s="139">
        <f>M73+M74+M75</f>
        <v>320</v>
      </c>
      <c r="N76" s="139">
        <f>N73+N74+N75</f>
        <v>320</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70C0"/>
    <pageSetUpPr fitToPage="1"/>
  </sheetPr>
  <dimension ref="B8:B9"/>
  <sheetViews>
    <sheetView tabSelected="1" workbookViewId="0">
      <selection activeCell="R17" sqref="R17"/>
    </sheetView>
  </sheetViews>
  <sheetFormatPr defaultColWidth="9.125" defaultRowHeight="12" customHeight="1"/>
  <cols>
    <col min="1" max="1" width="2" style="139" customWidth="1"/>
    <col min="2" max="2" width="107.75" style="139" bestFit="1" customWidth="1"/>
    <col min="3" max="16384" width="9.125" style="139"/>
  </cols>
  <sheetData>
    <row r="8" spans="2:2" ht="45.6">
      <c r="B8" s="399" t="s">
        <v>365</v>
      </c>
    </row>
    <row r="9" spans="2:2" ht="45.6">
      <c r="B9" s="414"/>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B0F0"/>
    <pageSetUpPr fitToPage="1"/>
  </sheetPr>
  <dimension ref="B1:BU53"/>
  <sheetViews>
    <sheetView tabSelected="1" workbookViewId="0">
      <selection activeCell="R17" sqref="R17"/>
    </sheetView>
  </sheetViews>
  <sheetFormatPr defaultColWidth="9.125" defaultRowHeight="13.2" outlineLevelCol="1"/>
  <cols>
    <col min="1" max="1" width="2" style="139" customWidth="1"/>
    <col min="2" max="5" width="2.25" style="139" customWidth="1"/>
    <col min="6" max="6" width="9.125" style="139"/>
    <col min="7" max="7" width="19.25" style="139" bestFit="1" customWidth="1"/>
    <col min="8" max="68" width="9.125" style="139" customWidth="1" outlineLevel="1"/>
    <col min="69" max="16384" width="9.125" style="139"/>
  </cols>
  <sheetData>
    <row r="1" spans="2:73" ht="17.399999999999999">
      <c r="B1" s="153" t="s">
        <v>635</v>
      </c>
    </row>
    <row r="3" spans="2:73" s="155" customFormat="1">
      <c r="H3" s="298" t="s">
        <v>379</v>
      </c>
      <c r="I3" s="298"/>
      <c r="J3" s="298"/>
      <c r="K3" s="298"/>
      <c r="L3" s="298"/>
      <c r="M3" s="298"/>
      <c r="N3" s="298"/>
      <c r="O3" s="298"/>
      <c r="P3" s="298"/>
      <c r="Q3" s="298"/>
      <c r="R3" s="298"/>
      <c r="S3" s="298"/>
      <c r="T3" s="192" t="s">
        <v>380</v>
      </c>
      <c r="U3" s="192"/>
      <c r="V3" s="192"/>
      <c r="W3" s="192"/>
      <c r="X3" s="192"/>
      <c r="Y3" s="192"/>
      <c r="Z3" s="192"/>
      <c r="AA3" s="192"/>
      <c r="AB3" s="192"/>
      <c r="AC3" s="192"/>
      <c r="AD3" s="192"/>
      <c r="AE3" s="192"/>
      <c r="AF3" s="299" t="s">
        <v>381</v>
      </c>
      <c r="AG3" s="299"/>
      <c r="AH3" s="299"/>
      <c r="AI3" s="299"/>
      <c r="AJ3" s="299"/>
      <c r="AK3" s="299"/>
      <c r="AL3" s="299"/>
      <c r="AM3" s="299"/>
      <c r="AN3" s="299"/>
      <c r="AO3" s="299"/>
      <c r="AP3" s="299"/>
      <c r="AQ3" s="299"/>
      <c r="AR3" s="300" t="s">
        <v>382</v>
      </c>
      <c r="AS3" s="300"/>
      <c r="AT3" s="300"/>
      <c r="AU3" s="300"/>
      <c r="AV3" s="300"/>
      <c r="AW3" s="300"/>
      <c r="AX3" s="300"/>
      <c r="AY3" s="300"/>
      <c r="AZ3" s="300"/>
      <c r="BA3" s="300"/>
      <c r="BB3" s="300"/>
      <c r="BC3" s="300"/>
      <c r="BD3" s="301" t="s">
        <v>383</v>
      </c>
      <c r="BE3" s="302"/>
      <c r="BF3" s="302"/>
      <c r="BG3" s="302"/>
      <c r="BH3" s="302"/>
      <c r="BI3" s="302"/>
      <c r="BJ3" s="302"/>
      <c r="BK3" s="302"/>
      <c r="BL3" s="302"/>
      <c r="BM3" s="302"/>
      <c r="BN3" s="302"/>
      <c r="BO3" s="302"/>
    </row>
    <row r="4" spans="2:73" ht="13.8" thickBot="1">
      <c r="B4" s="157" t="s">
        <v>384</v>
      </c>
      <c r="C4" s="304"/>
      <c r="D4" s="304"/>
      <c r="E4" s="304"/>
      <c r="F4" s="304"/>
      <c r="G4" s="304"/>
      <c r="H4" s="304" t="s">
        <v>367</v>
      </c>
      <c r="I4" s="304" t="s">
        <v>368</v>
      </c>
      <c r="J4" s="304" t="s">
        <v>369</v>
      </c>
      <c r="K4" s="304" t="s">
        <v>370</v>
      </c>
      <c r="L4" s="304" t="s">
        <v>371</v>
      </c>
      <c r="M4" s="304" t="s">
        <v>372</v>
      </c>
      <c r="N4" s="304" t="s">
        <v>373</v>
      </c>
      <c r="O4" s="304" t="s">
        <v>374</v>
      </c>
      <c r="P4" s="304" t="s">
        <v>375</v>
      </c>
      <c r="Q4" s="304" t="s">
        <v>376</v>
      </c>
      <c r="R4" s="304" t="s">
        <v>377</v>
      </c>
      <c r="S4" s="304" t="s">
        <v>378</v>
      </c>
      <c r="T4" s="304" t="s">
        <v>385</v>
      </c>
      <c r="U4" s="304" t="s">
        <v>386</v>
      </c>
      <c r="V4" s="304" t="s">
        <v>387</v>
      </c>
      <c r="W4" s="304" t="s">
        <v>388</v>
      </c>
      <c r="X4" s="304" t="s">
        <v>389</v>
      </c>
      <c r="Y4" s="304" t="s">
        <v>390</v>
      </c>
      <c r="Z4" s="304" t="s">
        <v>391</v>
      </c>
      <c r="AA4" s="304" t="s">
        <v>392</v>
      </c>
      <c r="AB4" s="304" t="s">
        <v>393</v>
      </c>
      <c r="AC4" s="304" t="s">
        <v>394</v>
      </c>
      <c r="AD4" s="304" t="s">
        <v>395</v>
      </c>
      <c r="AE4" s="304" t="s">
        <v>396</v>
      </c>
      <c r="AF4" s="304" t="s">
        <v>397</v>
      </c>
      <c r="AG4" s="304" t="s">
        <v>398</v>
      </c>
      <c r="AH4" s="304" t="s">
        <v>399</v>
      </c>
      <c r="AI4" s="304" t="s">
        <v>400</v>
      </c>
      <c r="AJ4" s="304" t="s">
        <v>401</v>
      </c>
      <c r="AK4" s="304" t="s">
        <v>402</v>
      </c>
      <c r="AL4" s="304" t="s">
        <v>403</v>
      </c>
      <c r="AM4" s="304" t="s">
        <v>404</v>
      </c>
      <c r="AN4" s="304" t="s">
        <v>405</v>
      </c>
      <c r="AO4" s="304" t="s">
        <v>406</v>
      </c>
      <c r="AP4" s="304" t="s">
        <v>407</v>
      </c>
      <c r="AQ4" s="304" t="s">
        <v>408</v>
      </c>
      <c r="AR4" s="304" t="s">
        <v>409</v>
      </c>
      <c r="AS4" s="304" t="s">
        <v>410</v>
      </c>
      <c r="AT4" s="304" t="s">
        <v>411</v>
      </c>
      <c r="AU4" s="304" t="s">
        <v>412</v>
      </c>
      <c r="AV4" s="304" t="s">
        <v>413</v>
      </c>
      <c r="AW4" s="304" t="s">
        <v>414</v>
      </c>
      <c r="AX4" s="304" t="s">
        <v>415</v>
      </c>
      <c r="AY4" s="304" t="s">
        <v>416</v>
      </c>
      <c r="AZ4" s="304" t="s">
        <v>417</v>
      </c>
      <c r="BA4" s="304" t="s">
        <v>418</v>
      </c>
      <c r="BB4" s="304" t="s">
        <v>419</v>
      </c>
      <c r="BC4" s="304" t="s">
        <v>420</v>
      </c>
      <c r="BD4" s="304" t="s">
        <v>421</v>
      </c>
      <c r="BE4" s="304" t="s">
        <v>422</v>
      </c>
      <c r="BF4" s="304" t="s">
        <v>423</v>
      </c>
      <c r="BG4" s="304" t="s">
        <v>424</v>
      </c>
      <c r="BH4" s="304" t="s">
        <v>425</v>
      </c>
      <c r="BI4" s="304" t="s">
        <v>426</v>
      </c>
      <c r="BJ4" s="304" t="s">
        <v>427</v>
      </c>
      <c r="BK4" s="304" t="s">
        <v>428</v>
      </c>
      <c r="BL4" s="304" t="s">
        <v>429</v>
      </c>
      <c r="BM4" s="304" t="s">
        <v>430</v>
      </c>
      <c r="BN4" s="304" t="s">
        <v>431</v>
      </c>
      <c r="BO4" s="304" t="s">
        <v>432</v>
      </c>
      <c r="BQ4" s="157" t="s">
        <v>623</v>
      </c>
      <c r="BR4" s="157" t="s">
        <v>624</v>
      </c>
      <c r="BS4" s="157" t="s">
        <v>625</v>
      </c>
      <c r="BT4" s="157" t="s">
        <v>626</v>
      </c>
      <c r="BU4" s="157" t="s">
        <v>627</v>
      </c>
    </row>
    <row r="5" spans="2:73" s="155" customFormat="1">
      <c r="B5" s="192" t="s">
        <v>636</v>
      </c>
      <c r="C5" s="192"/>
      <c r="D5" s="192"/>
      <c r="E5" s="192"/>
      <c r="F5" s="192"/>
      <c r="G5" s="192"/>
    </row>
    <row r="6" spans="2:73" s="155" customFormat="1">
      <c r="C6" s="155" t="s">
        <v>545</v>
      </c>
      <c r="H6" s="155">
        <f t="shared" ref="H6:BN6" si="0">SUBTOTAL(9,H7)</f>
        <v>1440</v>
      </c>
      <c r="I6" s="155">
        <f t="shared" si="0"/>
        <v>0</v>
      </c>
      <c r="J6" s="155">
        <f t="shared" si="0"/>
        <v>0</v>
      </c>
      <c r="K6" s="155">
        <f t="shared" si="0"/>
        <v>0</v>
      </c>
      <c r="L6" s="155">
        <f t="shared" si="0"/>
        <v>0</v>
      </c>
      <c r="M6" s="155">
        <f t="shared" si="0"/>
        <v>0</v>
      </c>
      <c r="N6" s="155">
        <f t="shared" si="0"/>
        <v>0</v>
      </c>
      <c r="O6" s="155">
        <f t="shared" si="0"/>
        <v>0</v>
      </c>
      <c r="P6" s="155">
        <f t="shared" si="0"/>
        <v>0</v>
      </c>
      <c r="Q6" s="155">
        <f t="shared" si="0"/>
        <v>0</v>
      </c>
      <c r="R6" s="155">
        <f t="shared" si="0"/>
        <v>0</v>
      </c>
      <c r="S6" s="155">
        <f t="shared" si="0"/>
        <v>0</v>
      </c>
      <c r="T6" s="155">
        <f t="shared" si="0"/>
        <v>0</v>
      </c>
      <c r="U6" s="155">
        <f t="shared" si="0"/>
        <v>0</v>
      </c>
      <c r="V6" s="155">
        <f t="shared" si="0"/>
        <v>0</v>
      </c>
      <c r="W6" s="155">
        <f t="shared" si="0"/>
        <v>0</v>
      </c>
      <c r="X6" s="155">
        <f t="shared" si="0"/>
        <v>0</v>
      </c>
      <c r="Y6" s="155">
        <f t="shared" si="0"/>
        <v>0</v>
      </c>
      <c r="Z6" s="155">
        <f t="shared" si="0"/>
        <v>0</v>
      </c>
      <c r="AA6" s="155">
        <f t="shared" si="0"/>
        <v>0</v>
      </c>
      <c r="AB6" s="155">
        <f t="shared" si="0"/>
        <v>4680</v>
      </c>
      <c r="AC6" s="155">
        <f t="shared" si="0"/>
        <v>0</v>
      </c>
      <c r="AD6" s="155">
        <f t="shared" si="0"/>
        <v>0</v>
      </c>
      <c r="AE6" s="155">
        <f t="shared" si="0"/>
        <v>0</v>
      </c>
      <c r="AF6" s="155">
        <f t="shared" si="0"/>
        <v>0</v>
      </c>
      <c r="AG6" s="155">
        <f t="shared" si="0"/>
        <v>0</v>
      </c>
      <c r="AH6" s="155">
        <f t="shared" si="0"/>
        <v>0</v>
      </c>
      <c r="AI6" s="155">
        <f t="shared" si="0"/>
        <v>0</v>
      </c>
      <c r="AJ6" s="155">
        <f t="shared" si="0"/>
        <v>0</v>
      </c>
      <c r="AK6" s="155">
        <f t="shared" si="0"/>
        <v>0</v>
      </c>
      <c r="AL6" s="155">
        <f t="shared" si="0"/>
        <v>0</v>
      </c>
      <c r="AM6" s="155">
        <f t="shared" si="0"/>
        <v>0</v>
      </c>
      <c r="AN6" s="155">
        <f t="shared" si="0"/>
        <v>3240</v>
      </c>
      <c r="AO6" s="155">
        <f t="shared" si="0"/>
        <v>0</v>
      </c>
      <c r="AP6" s="155">
        <f t="shared" si="0"/>
        <v>0</v>
      </c>
      <c r="AQ6" s="155">
        <f t="shared" si="0"/>
        <v>0</v>
      </c>
      <c r="AR6" s="155">
        <f t="shared" si="0"/>
        <v>0</v>
      </c>
      <c r="AS6" s="155">
        <f t="shared" si="0"/>
        <v>0</v>
      </c>
      <c r="AT6" s="155">
        <f t="shared" si="0"/>
        <v>0</v>
      </c>
      <c r="AU6" s="155">
        <f t="shared" si="0"/>
        <v>0</v>
      </c>
      <c r="AV6" s="155">
        <f t="shared" si="0"/>
        <v>0</v>
      </c>
      <c r="AW6" s="155">
        <f t="shared" si="0"/>
        <v>0</v>
      </c>
      <c r="AX6" s="155">
        <f t="shared" si="0"/>
        <v>0</v>
      </c>
      <c r="AY6" s="155">
        <f t="shared" si="0"/>
        <v>0</v>
      </c>
      <c r="AZ6" s="155">
        <f t="shared" si="0"/>
        <v>1440</v>
      </c>
      <c r="BA6" s="155">
        <f t="shared" si="0"/>
        <v>0</v>
      </c>
      <c r="BB6" s="155">
        <f t="shared" si="0"/>
        <v>0</v>
      </c>
      <c r="BC6" s="155">
        <f t="shared" si="0"/>
        <v>0</v>
      </c>
      <c r="BD6" s="155">
        <f t="shared" si="0"/>
        <v>0</v>
      </c>
      <c r="BE6" s="155">
        <f t="shared" si="0"/>
        <v>0</v>
      </c>
      <c r="BF6" s="155">
        <f t="shared" si="0"/>
        <v>0</v>
      </c>
      <c r="BG6" s="155">
        <f t="shared" si="0"/>
        <v>0</v>
      </c>
      <c r="BH6" s="155">
        <f t="shared" si="0"/>
        <v>0</v>
      </c>
      <c r="BI6" s="155">
        <f t="shared" si="0"/>
        <v>0</v>
      </c>
      <c r="BJ6" s="155">
        <f t="shared" si="0"/>
        <v>0</v>
      </c>
      <c r="BK6" s="155">
        <f t="shared" si="0"/>
        <v>0</v>
      </c>
      <c r="BL6" s="155">
        <f t="shared" si="0"/>
        <v>0</v>
      </c>
      <c r="BM6" s="155">
        <f t="shared" si="0"/>
        <v>0</v>
      </c>
      <c r="BN6" s="155">
        <f t="shared" si="0"/>
        <v>0</v>
      </c>
      <c r="BO6" s="155">
        <f>SUBTOTAL(9,BO7)</f>
        <v>0</v>
      </c>
      <c r="BQ6" s="155">
        <f>SUM(H6:S6)</f>
        <v>1440</v>
      </c>
      <c r="BR6" s="155">
        <f>SUM(T6:AE6)</f>
        <v>4680</v>
      </c>
      <c r="BS6" s="155">
        <f>SUM(AF6:AQ6)</f>
        <v>3240</v>
      </c>
      <c r="BT6" s="155">
        <f>SUM(AR6:BC6)</f>
        <v>1440</v>
      </c>
      <c r="BU6" s="155">
        <f>SUM(BD6:BO6)</f>
        <v>0</v>
      </c>
    </row>
    <row r="7" spans="2:73">
      <c r="D7" s="139" t="s">
        <v>545</v>
      </c>
      <c r="H7" s="139">
        <v>1440</v>
      </c>
      <c r="I7" s="139">
        <v>0</v>
      </c>
      <c r="J7" s="139">
        <v>0</v>
      </c>
      <c r="K7" s="139">
        <v>0</v>
      </c>
      <c r="L7" s="139">
        <v>0</v>
      </c>
      <c r="M7" s="139">
        <v>0</v>
      </c>
      <c r="N7" s="139">
        <v>0</v>
      </c>
      <c r="O7" s="139">
        <v>0</v>
      </c>
      <c r="P7" s="139">
        <v>0</v>
      </c>
      <c r="Q7" s="139">
        <v>0</v>
      </c>
      <c r="R7" s="139">
        <v>0</v>
      </c>
      <c r="S7" s="139">
        <v>0</v>
      </c>
      <c r="T7" s="139">
        <v>0</v>
      </c>
      <c r="U7" s="139">
        <v>0</v>
      </c>
      <c r="V7" s="139">
        <v>0</v>
      </c>
      <c r="W7" s="139">
        <v>0</v>
      </c>
      <c r="X7" s="139">
        <v>0</v>
      </c>
      <c r="Y7" s="139">
        <v>0</v>
      </c>
      <c r="Z7" s="139">
        <v>0</v>
      </c>
      <c r="AA7" s="139">
        <v>0</v>
      </c>
      <c r="AB7" s="139">
        <v>4680</v>
      </c>
      <c r="AC7" s="139">
        <v>0</v>
      </c>
      <c r="AD7" s="139">
        <v>0</v>
      </c>
      <c r="AE7" s="139">
        <v>0</v>
      </c>
      <c r="AF7" s="139">
        <v>0</v>
      </c>
      <c r="AG7" s="139">
        <v>0</v>
      </c>
      <c r="AH7" s="139">
        <v>0</v>
      </c>
      <c r="AI7" s="139">
        <v>0</v>
      </c>
      <c r="AJ7" s="139">
        <v>0</v>
      </c>
      <c r="AK7" s="139">
        <v>0</v>
      </c>
      <c r="AL7" s="139">
        <v>0</v>
      </c>
      <c r="AM7" s="139">
        <v>0</v>
      </c>
      <c r="AN7" s="139">
        <v>3240</v>
      </c>
      <c r="AO7" s="139">
        <v>0</v>
      </c>
      <c r="AP7" s="139">
        <v>0</v>
      </c>
      <c r="AQ7" s="139">
        <v>0</v>
      </c>
      <c r="AR7" s="139">
        <v>0</v>
      </c>
      <c r="AS7" s="139">
        <v>0</v>
      </c>
      <c r="AT7" s="139">
        <v>0</v>
      </c>
      <c r="AU7" s="139">
        <v>0</v>
      </c>
      <c r="AV7" s="139">
        <v>0</v>
      </c>
      <c r="AW7" s="139">
        <v>0</v>
      </c>
      <c r="AX7" s="139">
        <v>0</v>
      </c>
      <c r="AY7" s="139">
        <v>0</v>
      </c>
      <c r="AZ7" s="139">
        <v>1440</v>
      </c>
      <c r="BA7" s="139">
        <v>0</v>
      </c>
      <c r="BB7" s="139">
        <v>0</v>
      </c>
      <c r="BC7" s="139">
        <v>0</v>
      </c>
      <c r="BD7" s="139">
        <v>0</v>
      </c>
      <c r="BE7" s="139">
        <v>0</v>
      </c>
      <c r="BF7" s="139">
        <v>0</v>
      </c>
      <c r="BG7" s="139">
        <v>0</v>
      </c>
      <c r="BH7" s="139">
        <v>0</v>
      </c>
      <c r="BI7" s="139">
        <v>0</v>
      </c>
      <c r="BJ7" s="139">
        <v>0</v>
      </c>
      <c r="BK7" s="139">
        <v>0</v>
      </c>
      <c r="BL7" s="139">
        <v>0</v>
      </c>
      <c r="BM7" s="139">
        <v>0</v>
      </c>
      <c r="BN7" s="139">
        <v>0</v>
      </c>
      <c r="BO7" s="139">
        <v>0</v>
      </c>
      <c r="BQ7" s="155">
        <f t="shared" ref="BQ7:BQ27" si="1">SUM(H7:S7)</f>
        <v>1440</v>
      </c>
      <c r="BR7" s="155">
        <f t="shared" ref="BR7:BR27" si="2">SUM(T7:AE7)</f>
        <v>4680</v>
      </c>
      <c r="BS7" s="155">
        <f t="shared" ref="BS7:BS27" si="3">SUM(AF7:AQ7)</f>
        <v>3240</v>
      </c>
      <c r="BT7" s="155">
        <f t="shared" ref="BT7:BT27" si="4">SUM(AR7:BC7)</f>
        <v>1440</v>
      </c>
      <c r="BU7" s="155">
        <f t="shared" ref="BU7:BU27" si="5">SUM(BD7:BO7)</f>
        <v>0</v>
      </c>
    </row>
    <row r="8" spans="2:73" s="155" customFormat="1">
      <c r="C8" s="155" t="s">
        <v>546</v>
      </c>
      <c r="H8" s="155">
        <f>SUBTOTAL(9,H9:H14)</f>
        <v>0</v>
      </c>
      <c r="I8" s="155">
        <f t="shared" ref="I8:BO8" si="6">SUBTOTAL(9,I9:I14)</f>
        <v>0</v>
      </c>
      <c r="J8" s="155">
        <f t="shared" si="6"/>
        <v>0</v>
      </c>
      <c r="K8" s="155">
        <f t="shared" si="6"/>
        <v>0</v>
      </c>
      <c r="L8" s="155">
        <f t="shared" si="6"/>
        <v>0</v>
      </c>
      <c r="M8" s="155">
        <f t="shared" si="6"/>
        <v>300</v>
      </c>
      <c r="N8" s="155">
        <f t="shared" si="6"/>
        <v>0</v>
      </c>
      <c r="O8" s="155">
        <f t="shared" si="6"/>
        <v>0</v>
      </c>
      <c r="P8" s="155">
        <f t="shared" si="6"/>
        <v>0</v>
      </c>
      <c r="Q8" s="155">
        <f t="shared" si="6"/>
        <v>0</v>
      </c>
      <c r="R8" s="155">
        <f t="shared" si="6"/>
        <v>0</v>
      </c>
      <c r="S8" s="155">
        <f t="shared" si="6"/>
        <v>0</v>
      </c>
      <c r="T8" s="155">
        <f t="shared" si="6"/>
        <v>0</v>
      </c>
      <c r="U8" s="155">
        <f t="shared" si="6"/>
        <v>0</v>
      </c>
      <c r="V8" s="155">
        <f t="shared" si="6"/>
        <v>0</v>
      </c>
      <c r="W8" s="155">
        <f t="shared" si="6"/>
        <v>0</v>
      </c>
      <c r="X8" s="155">
        <f t="shared" si="6"/>
        <v>0</v>
      </c>
      <c r="Y8" s="155">
        <f t="shared" si="6"/>
        <v>0</v>
      </c>
      <c r="Z8" s="155">
        <f t="shared" si="6"/>
        <v>0</v>
      </c>
      <c r="AA8" s="155">
        <f t="shared" si="6"/>
        <v>0</v>
      </c>
      <c r="AB8" s="155">
        <f t="shared" si="6"/>
        <v>0</v>
      </c>
      <c r="AC8" s="155">
        <f t="shared" si="6"/>
        <v>0</v>
      </c>
      <c r="AD8" s="155">
        <f t="shared" si="6"/>
        <v>0</v>
      </c>
      <c r="AE8" s="155">
        <f t="shared" si="6"/>
        <v>0</v>
      </c>
      <c r="AF8" s="155">
        <f t="shared" si="6"/>
        <v>0</v>
      </c>
      <c r="AG8" s="155">
        <f t="shared" si="6"/>
        <v>0</v>
      </c>
      <c r="AH8" s="155">
        <f t="shared" si="6"/>
        <v>0</v>
      </c>
      <c r="AI8" s="155">
        <f t="shared" si="6"/>
        <v>0</v>
      </c>
      <c r="AJ8" s="155">
        <f t="shared" si="6"/>
        <v>0</v>
      </c>
      <c r="AK8" s="155">
        <f t="shared" si="6"/>
        <v>0</v>
      </c>
      <c r="AL8" s="155">
        <f t="shared" si="6"/>
        <v>0</v>
      </c>
      <c r="AM8" s="155">
        <f t="shared" si="6"/>
        <v>0</v>
      </c>
      <c r="AN8" s="155">
        <f t="shared" si="6"/>
        <v>0</v>
      </c>
      <c r="AO8" s="155">
        <f t="shared" si="6"/>
        <v>0</v>
      </c>
      <c r="AP8" s="155">
        <f t="shared" si="6"/>
        <v>0</v>
      </c>
      <c r="AQ8" s="155">
        <f t="shared" si="6"/>
        <v>0</v>
      </c>
      <c r="AR8" s="155">
        <f t="shared" si="6"/>
        <v>0</v>
      </c>
      <c r="AS8" s="155">
        <f t="shared" si="6"/>
        <v>0</v>
      </c>
      <c r="AT8" s="155">
        <f t="shared" si="6"/>
        <v>0</v>
      </c>
      <c r="AU8" s="155">
        <f t="shared" si="6"/>
        <v>0</v>
      </c>
      <c r="AV8" s="155">
        <f t="shared" si="6"/>
        <v>0</v>
      </c>
      <c r="AW8" s="155">
        <f t="shared" si="6"/>
        <v>0</v>
      </c>
      <c r="AX8" s="155">
        <f t="shared" si="6"/>
        <v>0</v>
      </c>
      <c r="AY8" s="155">
        <f t="shared" si="6"/>
        <v>0</v>
      </c>
      <c r="AZ8" s="155">
        <f t="shared" si="6"/>
        <v>0</v>
      </c>
      <c r="BA8" s="155">
        <f t="shared" si="6"/>
        <v>0</v>
      </c>
      <c r="BB8" s="155">
        <f t="shared" si="6"/>
        <v>0</v>
      </c>
      <c r="BC8" s="155">
        <f t="shared" si="6"/>
        <v>0</v>
      </c>
      <c r="BD8" s="155">
        <f t="shared" si="6"/>
        <v>0</v>
      </c>
      <c r="BE8" s="155">
        <f t="shared" si="6"/>
        <v>0</v>
      </c>
      <c r="BF8" s="155">
        <f t="shared" si="6"/>
        <v>0</v>
      </c>
      <c r="BG8" s="155">
        <f t="shared" si="6"/>
        <v>0</v>
      </c>
      <c r="BH8" s="155">
        <f t="shared" si="6"/>
        <v>0</v>
      </c>
      <c r="BI8" s="155">
        <f t="shared" si="6"/>
        <v>0</v>
      </c>
      <c r="BJ8" s="155">
        <f t="shared" si="6"/>
        <v>0</v>
      </c>
      <c r="BK8" s="155">
        <f t="shared" si="6"/>
        <v>0</v>
      </c>
      <c r="BL8" s="155">
        <f t="shared" si="6"/>
        <v>0</v>
      </c>
      <c r="BM8" s="155">
        <f t="shared" si="6"/>
        <v>0</v>
      </c>
      <c r="BN8" s="155">
        <f t="shared" si="6"/>
        <v>0</v>
      </c>
      <c r="BO8" s="155">
        <f t="shared" si="6"/>
        <v>0</v>
      </c>
      <c r="BQ8" s="155">
        <f t="shared" si="1"/>
        <v>300</v>
      </c>
      <c r="BR8" s="155">
        <f t="shared" si="2"/>
        <v>0</v>
      </c>
      <c r="BS8" s="155">
        <f t="shared" si="3"/>
        <v>0</v>
      </c>
      <c r="BT8" s="155">
        <f t="shared" si="4"/>
        <v>0</v>
      </c>
      <c r="BU8" s="155">
        <f t="shared" si="5"/>
        <v>0</v>
      </c>
    </row>
    <row r="9" spans="2:73">
      <c r="D9" s="139" t="s">
        <v>530</v>
      </c>
      <c r="H9" s="139">
        <v>0</v>
      </c>
      <c r="I9" s="139">
        <v>0</v>
      </c>
      <c r="J9" s="139">
        <v>0</v>
      </c>
      <c r="K9" s="139">
        <v>0</v>
      </c>
      <c r="L9" s="139">
        <v>0</v>
      </c>
      <c r="M9" s="139">
        <v>200</v>
      </c>
      <c r="N9" s="139">
        <v>0</v>
      </c>
      <c r="O9" s="139">
        <v>0</v>
      </c>
      <c r="P9" s="139">
        <v>0</v>
      </c>
      <c r="Q9" s="139">
        <v>0</v>
      </c>
      <c r="R9" s="139">
        <v>0</v>
      </c>
      <c r="S9" s="139">
        <v>0</v>
      </c>
      <c r="T9" s="139">
        <v>0</v>
      </c>
      <c r="U9" s="139">
        <v>0</v>
      </c>
      <c r="V9" s="139">
        <v>0</v>
      </c>
      <c r="W9" s="139">
        <v>0</v>
      </c>
      <c r="X9" s="139">
        <v>0</v>
      </c>
      <c r="Y9" s="139">
        <v>0</v>
      </c>
      <c r="Z9" s="139">
        <v>0</v>
      </c>
      <c r="AA9" s="139">
        <v>0</v>
      </c>
      <c r="AB9" s="139">
        <v>0</v>
      </c>
      <c r="AC9" s="139">
        <v>0</v>
      </c>
      <c r="AD9" s="139">
        <v>0</v>
      </c>
      <c r="AE9" s="139">
        <v>0</v>
      </c>
      <c r="AF9" s="139">
        <v>0</v>
      </c>
      <c r="AG9" s="139">
        <v>0</v>
      </c>
      <c r="AH9" s="139">
        <v>0</v>
      </c>
      <c r="AI9" s="139">
        <v>0</v>
      </c>
      <c r="AJ9" s="139">
        <v>0</v>
      </c>
      <c r="AK9" s="139">
        <v>0</v>
      </c>
      <c r="AL9" s="139">
        <v>0</v>
      </c>
      <c r="AM9" s="139">
        <v>0</v>
      </c>
      <c r="AN9" s="139">
        <v>0</v>
      </c>
      <c r="AO9" s="139">
        <v>0</v>
      </c>
      <c r="AP9" s="139">
        <v>0</v>
      </c>
      <c r="AQ9" s="139">
        <v>0</v>
      </c>
      <c r="AR9" s="139">
        <v>0</v>
      </c>
      <c r="AS9" s="139">
        <v>0</v>
      </c>
      <c r="AT9" s="139">
        <v>0</v>
      </c>
      <c r="AU9" s="139">
        <v>0</v>
      </c>
      <c r="AV9" s="139">
        <v>0</v>
      </c>
      <c r="AW9" s="139">
        <v>0</v>
      </c>
      <c r="AX9" s="139">
        <v>0</v>
      </c>
      <c r="AY9" s="139">
        <v>0</v>
      </c>
      <c r="AZ9" s="139">
        <v>0</v>
      </c>
      <c r="BA9" s="139">
        <v>0</v>
      </c>
      <c r="BB9" s="139">
        <v>0</v>
      </c>
      <c r="BC9" s="139">
        <v>0</v>
      </c>
      <c r="BD9" s="139">
        <v>0</v>
      </c>
      <c r="BE9" s="139">
        <v>0</v>
      </c>
      <c r="BF9" s="139">
        <v>0</v>
      </c>
      <c r="BG9" s="139">
        <v>0</v>
      </c>
      <c r="BH9" s="139">
        <v>0</v>
      </c>
      <c r="BI9" s="139">
        <v>0</v>
      </c>
      <c r="BJ9" s="139">
        <v>0</v>
      </c>
      <c r="BK9" s="139">
        <v>0</v>
      </c>
      <c r="BL9" s="139">
        <v>0</v>
      </c>
      <c r="BM9" s="139">
        <v>0</v>
      </c>
      <c r="BN9" s="139">
        <v>0</v>
      </c>
      <c r="BO9" s="139">
        <v>0</v>
      </c>
      <c r="BQ9" s="155">
        <f t="shared" si="1"/>
        <v>200</v>
      </c>
      <c r="BR9" s="155">
        <f t="shared" si="2"/>
        <v>0</v>
      </c>
      <c r="BS9" s="155">
        <f t="shared" si="3"/>
        <v>0</v>
      </c>
      <c r="BT9" s="155">
        <f t="shared" si="4"/>
        <v>0</v>
      </c>
      <c r="BU9" s="155">
        <f t="shared" si="5"/>
        <v>0</v>
      </c>
    </row>
    <row r="10" spans="2:73">
      <c r="D10" s="139" t="s">
        <v>531</v>
      </c>
      <c r="H10" s="139">
        <v>0</v>
      </c>
      <c r="I10" s="139">
        <v>0</v>
      </c>
      <c r="J10" s="139">
        <v>0</v>
      </c>
      <c r="K10" s="139">
        <v>0</v>
      </c>
      <c r="L10" s="139">
        <v>0</v>
      </c>
      <c r="M10" s="139">
        <v>0</v>
      </c>
      <c r="N10" s="139">
        <v>0</v>
      </c>
      <c r="O10" s="139">
        <v>0</v>
      </c>
      <c r="P10" s="139">
        <v>0</v>
      </c>
      <c r="Q10" s="139">
        <v>0</v>
      </c>
      <c r="R10" s="139">
        <v>0</v>
      </c>
      <c r="S10" s="139">
        <v>0</v>
      </c>
      <c r="T10" s="139">
        <v>0</v>
      </c>
      <c r="U10" s="139">
        <v>0</v>
      </c>
      <c r="V10" s="139">
        <v>0</v>
      </c>
      <c r="W10" s="139">
        <v>0</v>
      </c>
      <c r="X10" s="139">
        <v>0</v>
      </c>
      <c r="Y10" s="139">
        <v>0</v>
      </c>
      <c r="Z10" s="139">
        <v>0</v>
      </c>
      <c r="AA10" s="139">
        <v>0</v>
      </c>
      <c r="AB10" s="139">
        <v>0</v>
      </c>
      <c r="AC10" s="139">
        <v>0</v>
      </c>
      <c r="AD10" s="139">
        <v>0</v>
      </c>
      <c r="AE10" s="139">
        <v>0</v>
      </c>
      <c r="AF10" s="139">
        <v>0</v>
      </c>
      <c r="AG10" s="139">
        <v>0</v>
      </c>
      <c r="AH10" s="139">
        <v>0</v>
      </c>
      <c r="AI10" s="139">
        <v>0</v>
      </c>
      <c r="AJ10" s="139">
        <v>0</v>
      </c>
      <c r="AK10" s="139">
        <v>0</v>
      </c>
      <c r="AL10" s="139">
        <v>0</v>
      </c>
      <c r="AM10" s="139">
        <v>0</v>
      </c>
      <c r="AN10" s="139">
        <v>0</v>
      </c>
      <c r="AO10" s="139">
        <v>0</v>
      </c>
      <c r="AP10" s="139">
        <v>0</v>
      </c>
      <c r="AQ10" s="139">
        <v>0</v>
      </c>
      <c r="AR10" s="139">
        <v>0</v>
      </c>
      <c r="AS10" s="139">
        <v>0</v>
      </c>
      <c r="AT10" s="139">
        <v>0</v>
      </c>
      <c r="AU10" s="139">
        <v>0</v>
      </c>
      <c r="AV10" s="139">
        <v>0</v>
      </c>
      <c r="AW10" s="139">
        <v>0</v>
      </c>
      <c r="AX10" s="139">
        <v>0</v>
      </c>
      <c r="AY10" s="139">
        <v>0</v>
      </c>
      <c r="AZ10" s="139">
        <v>0</v>
      </c>
      <c r="BA10" s="139">
        <v>0</v>
      </c>
      <c r="BB10" s="139">
        <v>0</v>
      </c>
      <c r="BC10" s="139">
        <v>0</v>
      </c>
      <c r="BD10" s="139">
        <v>0</v>
      </c>
      <c r="BE10" s="139">
        <v>0</v>
      </c>
      <c r="BF10" s="139">
        <v>0</v>
      </c>
      <c r="BG10" s="139">
        <v>0</v>
      </c>
      <c r="BH10" s="139">
        <v>0</v>
      </c>
      <c r="BI10" s="139">
        <v>0</v>
      </c>
      <c r="BJ10" s="139">
        <v>0</v>
      </c>
      <c r="BK10" s="139">
        <v>0</v>
      </c>
      <c r="BL10" s="139">
        <v>0</v>
      </c>
      <c r="BM10" s="139">
        <v>0</v>
      </c>
      <c r="BN10" s="139">
        <v>0</v>
      </c>
      <c r="BO10" s="139">
        <v>0</v>
      </c>
      <c r="BQ10" s="155">
        <f t="shared" si="1"/>
        <v>0</v>
      </c>
      <c r="BR10" s="155">
        <f t="shared" si="2"/>
        <v>0</v>
      </c>
      <c r="BS10" s="155">
        <f t="shared" si="3"/>
        <v>0</v>
      </c>
      <c r="BT10" s="155">
        <f t="shared" si="4"/>
        <v>0</v>
      </c>
      <c r="BU10" s="155">
        <f t="shared" si="5"/>
        <v>0</v>
      </c>
    </row>
    <row r="11" spans="2:73">
      <c r="D11" s="139" t="s">
        <v>532</v>
      </c>
      <c r="H11" s="139">
        <v>0</v>
      </c>
      <c r="I11" s="139">
        <v>0</v>
      </c>
      <c r="J11" s="139">
        <v>0</v>
      </c>
      <c r="K11" s="139">
        <v>0</v>
      </c>
      <c r="L11" s="139">
        <v>0</v>
      </c>
      <c r="M11" s="139">
        <v>50</v>
      </c>
      <c r="N11" s="139">
        <v>0</v>
      </c>
      <c r="O11" s="139">
        <v>0</v>
      </c>
      <c r="P11" s="139">
        <v>0</v>
      </c>
      <c r="Q11" s="139">
        <v>0</v>
      </c>
      <c r="R11" s="139">
        <v>0</v>
      </c>
      <c r="S11" s="139">
        <v>0</v>
      </c>
      <c r="T11" s="139">
        <v>0</v>
      </c>
      <c r="U11" s="139">
        <v>0</v>
      </c>
      <c r="V11" s="139">
        <v>0</v>
      </c>
      <c r="W11" s="139">
        <v>0</v>
      </c>
      <c r="X11" s="139">
        <v>0</v>
      </c>
      <c r="Y11" s="139">
        <v>0</v>
      </c>
      <c r="Z11" s="139">
        <v>0</v>
      </c>
      <c r="AA11" s="139">
        <v>0</v>
      </c>
      <c r="AB11" s="139">
        <v>0</v>
      </c>
      <c r="AC11" s="139">
        <v>0</v>
      </c>
      <c r="AD11" s="139">
        <v>0</v>
      </c>
      <c r="AE11" s="139">
        <v>0</v>
      </c>
      <c r="AF11" s="139">
        <v>0</v>
      </c>
      <c r="AG11" s="139">
        <v>0</v>
      </c>
      <c r="AH11" s="139">
        <v>0</v>
      </c>
      <c r="AI11" s="139">
        <v>0</v>
      </c>
      <c r="AJ11" s="139">
        <v>0</v>
      </c>
      <c r="AK11" s="139">
        <v>0</v>
      </c>
      <c r="AL11" s="139">
        <v>0</v>
      </c>
      <c r="AM11" s="139">
        <v>0</v>
      </c>
      <c r="AN11" s="139">
        <v>0</v>
      </c>
      <c r="AO11" s="139">
        <v>0</v>
      </c>
      <c r="AP11" s="139">
        <v>0</v>
      </c>
      <c r="AQ11" s="139">
        <v>0</v>
      </c>
      <c r="AR11" s="139">
        <v>0</v>
      </c>
      <c r="AS11" s="139">
        <v>0</v>
      </c>
      <c r="AT11" s="139">
        <v>0</v>
      </c>
      <c r="AU11" s="139">
        <v>0</v>
      </c>
      <c r="AV11" s="139">
        <v>0</v>
      </c>
      <c r="AW11" s="139">
        <v>0</v>
      </c>
      <c r="AX11" s="139">
        <v>0</v>
      </c>
      <c r="AY11" s="139">
        <v>0</v>
      </c>
      <c r="AZ11" s="139">
        <v>0</v>
      </c>
      <c r="BA11" s="139">
        <v>0</v>
      </c>
      <c r="BB11" s="139">
        <v>0</v>
      </c>
      <c r="BC11" s="139">
        <v>0</v>
      </c>
      <c r="BD11" s="139">
        <v>0</v>
      </c>
      <c r="BE11" s="139">
        <v>0</v>
      </c>
      <c r="BF11" s="139">
        <v>0</v>
      </c>
      <c r="BG11" s="139">
        <v>0</v>
      </c>
      <c r="BH11" s="139">
        <v>0</v>
      </c>
      <c r="BI11" s="139">
        <v>0</v>
      </c>
      <c r="BJ11" s="139">
        <v>0</v>
      </c>
      <c r="BK11" s="139">
        <v>0</v>
      </c>
      <c r="BL11" s="139">
        <v>0</v>
      </c>
      <c r="BM11" s="139">
        <v>0</v>
      </c>
      <c r="BN11" s="139">
        <v>0</v>
      </c>
      <c r="BO11" s="139">
        <v>0</v>
      </c>
      <c r="BQ11" s="155">
        <f t="shared" si="1"/>
        <v>50</v>
      </c>
      <c r="BR11" s="155">
        <f t="shared" si="2"/>
        <v>0</v>
      </c>
      <c r="BS11" s="155">
        <f t="shared" si="3"/>
        <v>0</v>
      </c>
      <c r="BT11" s="155">
        <f t="shared" si="4"/>
        <v>0</v>
      </c>
      <c r="BU11" s="155">
        <f t="shared" si="5"/>
        <v>0</v>
      </c>
    </row>
    <row r="12" spans="2:73">
      <c r="D12" s="139" t="s">
        <v>533</v>
      </c>
      <c r="H12" s="139">
        <v>0</v>
      </c>
      <c r="I12" s="139">
        <v>0</v>
      </c>
      <c r="J12" s="139">
        <v>0</v>
      </c>
      <c r="K12" s="139">
        <v>0</v>
      </c>
      <c r="L12" s="139">
        <v>0</v>
      </c>
      <c r="M12" s="139">
        <v>50</v>
      </c>
      <c r="N12" s="139">
        <v>0</v>
      </c>
      <c r="O12" s="139">
        <v>0</v>
      </c>
      <c r="P12" s="139">
        <v>0</v>
      </c>
      <c r="Q12" s="139">
        <v>0</v>
      </c>
      <c r="R12" s="139">
        <v>0</v>
      </c>
      <c r="S12" s="139">
        <v>0</v>
      </c>
      <c r="T12" s="139">
        <v>0</v>
      </c>
      <c r="U12" s="139">
        <v>0</v>
      </c>
      <c r="V12" s="139">
        <v>0</v>
      </c>
      <c r="W12" s="139">
        <v>0</v>
      </c>
      <c r="X12" s="139">
        <v>0</v>
      </c>
      <c r="Y12" s="139">
        <v>0</v>
      </c>
      <c r="Z12" s="139">
        <v>0</v>
      </c>
      <c r="AA12" s="139">
        <v>0</v>
      </c>
      <c r="AB12" s="139">
        <v>0</v>
      </c>
      <c r="AC12" s="139">
        <v>0</v>
      </c>
      <c r="AD12" s="139">
        <v>0</v>
      </c>
      <c r="AE12" s="139">
        <v>0</v>
      </c>
      <c r="AF12" s="139">
        <v>0</v>
      </c>
      <c r="AG12" s="139">
        <v>0</v>
      </c>
      <c r="AH12" s="139">
        <v>0</v>
      </c>
      <c r="AI12" s="139">
        <v>0</v>
      </c>
      <c r="AJ12" s="139">
        <v>0</v>
      </c>
      <c r="AK12" s="139">
        <v>0</v>
      </c>
      <c r="AL12" s="139">
        <v>0</v>
      </c>
      <c r="AM12" s="139">
        <v>0</v>
      </c>
      <c r="AN12" s="139">
        <v>0</v>
      </c>
      <c r="AO12" s="139">
        <v>0</v>
      </c>
      <c r="AP12" s="139">
        <v>0</v>
      </c>
      <c r="AQ12" s="139">
        <v>0</v>
      </c>
      <c r="AR12" s="139">
        <v>0</v>
      </c>
      <c r="AS12" s="139">
        <v>0</v>
      </c>
      <c r="AT12" s="139">
        <v>0</v>
      </c>
      <c r="AU12" s="139">
        <v>0</v>
      </c>
      <c r="AV12" s="139">
        <v>0</v>
      </c>
      <c r="AW12" s="139">
        <v>0</v>
      </c>
      <c r="AX12" s="139">
        <v>0</v>
      </c>
      <c r="AY12" s="139">
        <v>0</v>
      </c>
      <c r="AZ12" s="139">
        <v>0</v>
      </c>
      <c r="BA12" s="139">
        <v>0</v>
      </c>
      <c r="BB12" s="139">
        <v>0</v>
      </c>
      <c r="BC12" s="139">
        <v>0</v>
      </c>
      <c r="BD12" s="139">
        <v>0</v>
      </c>
      <c r="BE12" s="139">
        <v>0</v>
      </c>
      <c r="BF12" s="139">
        <v>0</v>
      </c>
      <c r="BG12" s="139">
        <v>0</v>
      </c>
      <c r="BH12" s="139">
        <v>0</v>
      </c>
      <c r="BI12" s="139">
        <v>0</v>
      </c>
      <c r="BJ12" s="139">
        <v>0</v>
      </c>
      <c r="BK12" s="139">
        <v>0</v>
      </c>
      <c r="BL12" s="139">
        <v>0</v>
      </c>
      <c r="BM12" s="139">
        <v>0</v>
      </c>
      <c r="BN12" s="139">
        <v>0</v>
      </c>
      <c r="BO12" s="139">
        <v>0</v>
      </c>
      <c r="BQ12" s="155">
        <f t="shared" si="1"/>
        <v>50</v>
      </c>
      <c r="BR12" s="155">
        <f t="shared" si="2"/>
        <v>0</v>
      </c>
      <c r="BS12" s="155">
        <f t="shared" si="3"/>
        <v>0</v>
      </c>
      <c r="BT12" s="155">
        <f t="shared" si="4"/>
        <v>0</v>
      </c>
      <c r="BU12" s="155">
        <f t="shared" si="5"/>
        <v>0</v>
      </c>
    </row>
    <row r="13" spans="2:73">
      <c r="D13" s="139" t="s">
        <v>534</v>
      </c>
      <c r="H13" s="139">
        <v>0</v>
      </c>
      <c r="I13" s="139">
        <v>0</v>
      </c>
      <c r="J13" s="139">
        <v>0</v>
      </c>
      <c r="K13" s="139">
        <v>0</v>
      </c>
      <c r="L13" s="139">
        <v>0</v>
      </c>
      <c r="M13" s="139">
        <v>0</v>
      </c>
      <c r="N13" s="139">
        <v>0</v>
      </c>
      <c r="O13" s="139">
        <v>0</v>
      </c>
      <c r="P13" s="139">
        <v>0</v>
      </c>
      <c r="Q13" s="139">
        <v>0</v>
      </c>
      <c r="R13" s="139">
        <v>0</v>
      </c>
      <c r="S13" s="139">
        <v>0</v>
      </c>
      <c r="T13" s="139">
        <v>0</v>
      </c>
      <c r="U13" s="139">
        <v>0</v>
      </c>
      <c r="V13" s="139">
        <v>0</v>
      </c>
      <c r="W13" s="139">
        <v>0</v>
      </c>
      <c r="X13" s="139">
        <v>0</v>
      </c>
      <c r="Y13" s="139">
        <v>0</v>
      </c>
      <c r="Z13" s="139">
        <v>0</v>
      </c>
      <c r="AA13" s="139">
        <v>0</v>
      </c>
      <c r="AB13" s="139">
        <v>0</v>
      </c>
      <c r="AC13" s="139">
        <v>0</v>
      </c>
      <c r="AD13" s="139">
        <v>0</v>
      </c>
      <c r="AE13" s="139">
        <v>0</v>
      </c>
      <c r="AF13" s="139">
        <v>0</v>
      </c>
      <c r="AG13" s="139">
        <v>0</v>
      </c>
      <c r="AH13" s="139">
        <v>0</v>
      </c>
      <c r="AI13" s="139">
        <v>0</v>
      </c>
      <c r="AJ13" s="139">
        <v>0</v>
      </c>
      <c r="AK13" s="139">
        <v>0</v>
      </c>
      <c r="AL13" s="139">
        <v>0</v>
      </c>
      <c r="AM13" s="139">
        <v>0</v>
      </c>
      <c r="AN13" s="139">
        <v>0</v>
      </c>
      <c r="AO13" s="139">
        <v>0</v>
      </c>
      <c r="AP13" s="139">
        <v>0</v>
      </c>
      <c r="AQ13" s="139">
        <v>0</v>
      </c>
      <c r="AR13" s="139">
        <v>0</v>
      </c>
      <c r="AS13" s="139">
        <v>0</v>
      </c>
      <c r="AT13" s="139">
        <v>0</v>
      </c>
      <c r="AU13" s="139">
        <v>0</v>
      </c>
      <c r="AV13" s="139">
        <v>0</v>
      </c>
      <c r="AW13" s="139">
        <v>0</v>
      </c>
      <c r="AX13" s="139">
        <v>0</v>
      </c>
      <c r="AY13" s="139">
        <v>0</v>
      </c>
      <c r="AZ13" s="139">
        <v>0</v>
      </c>
      <c r="BA13" s="139">
        <v>0</v>
      </c>
      <c r="BB13" s="139">
        <v>0</v>
      </c>
      <c r="BC13" s="139">
        <v>0</v>
      </c>
      <c r="BD13" s="139">
        <v>0</v>
      </c>
      <c r="BE13" s="139">
        <v>0</v>
      </c>
      <c r="BF13" s="139">
        <v>0</v>
      </c>
      <c r="BG13" s="139">
        <v>0</v>
      </c>
      <c r="BH13" s="139">
        <v>0</v>
      </c>
      <c r="BI13" s="139">
        <v>0</v>
      </c>
      <c r="BJ13" s="139">
        <v>0</v>
      </c>
      <c r="BK13" s="139">
        <v>0</v>
      </c>
      <c r="BL13" s="139">
        <v>0</v>
      </c>
      <c r="BM13" s="139">
        <v>0</v>
      </c>
      <c r="BN13" s="139">
        <v>0</v>
      </c>
      <c r="BO13" s="139">
        <v>0</v>
      </c>
      <c r="BQ13" s="155">
        <f t="shared" si="1"/>
        <v>0</v>
      </c>
      <c r="BR13" s="155">
        <f t="shared" si="2"/>
        <v>0</v>
      </c>
      <c r="BS13" s="155">
        <f t="shared" si="3"/>
        <v>0</v>
      </c>
      <c r="BT13" s="155">
        <f t="shared" si="4"/>
        <v>0</v>
      </c>
      <c r="BU13" s="155">
        <f t="shared" si="5"/>
        <v>0</v>
      </c>
    </row>
    <row r="14" spans="2:73">
      <c r="D14" s="139" t="s">
        <v>535</v>
      </c>
      <c r="H14" s="139">
        <v>0</v>
      </c>
      <c r="I14" s="139">
        <v>0</v>
      </c>
      <c r="J14" s="139">
        <v>0</v>
      </c>
      <c r="K14" s="139">
        <v>0</v>
      </c>
      <c r="L14" s="139">
        <v>0</v>
      </c>
      <c r="M14" s="139">
        <v>0</v>
      </c>
      <c r="N14" s="139">
        <v>0</v>
      </c>
      <c r="O14" s="139">
        <v>0</v>
      </c>
      <c r="P14" s="139">
        <v>0</v>
      </c>
      <c r="Q14" s="139">
        <v>0</v>
      </c>
      <c r="R14" s="139">
        <v>0</v>
      </c>
      <c r="S14" s="139">
        <v>0</v>
      </c>
      <c r="T14" s="139">
        <v>0</v>
      </c>
      <c r="U14" s="139">
        <v>0</v>
      </c>
      <c r="V14" s="139">
        <v>0</v>
      </c>
      <c r="W14" s="139">
        <v>0</v>
      </c>
      <c r="X14" s="139">
        <v>0</v>
      </c>
      <c r="Y14" s="139">
        <v>0</v>
      </c>
      <c r="Z14" s="139">
        <v>0</v>
      </c>
      <c r="AA14" s="139">
        <v>0</v>
      </c>
      <c r="AB14" s="139">
        <v>0</v>
      </c>
      <c r="AC14" s="139">
        <v>0</v>
      </c>
      <c r="AD14" s="139">
        <v>0</v>
      </c>
      <c r="AE14" s="139">
        <v>0</v>
      </c>
      <c r="AF14" s="139">
        <v>0</v>
      </c>
      <c r="AG14" s="139">
        <v>0</v>
      </c>
      <c r="AH14" s="139">
        <v>0</v>
      </c>
      <c r="AI14" s="139">
        <v>0</v>
      </c>
      <c r="AJ14" s="139">
        <v>0</v>
      </c>
      <c r="AK14" s="139">
        <v>0</v>
      </c>
      <c r="AL14" s="139">
        <v>0</v>
      </c>
      <c r="AM14" s="139">
        <v>0</v>
      </c>
      <c r="AN14" s="139">
        <v>0</v>
      </c>
      <c r="AO14" s="139">
        <v>0</v>
      </c>
      <c r="AP14" s="139">
        <v>0</v>
      </c>
      <c r="AQ14" s="139">
        <v>0</v>
      </c>
      <c r="AR14" s="139">
        <v>0</v>
      </c>
      <c r="AS14" s="139">
        <v>0</v>
      </c>
      <c r="AT14" s="139">
        <v>0</v>
      </c>
      <c r="AU14" s="139">
        <v>0</v>
      </c>
      <c r="AV14" s="139">
        <v>0</v>
      </c>
      <c r="AW14" s="139">
        <v>0</v>
      </c>
      <c r="AX14" s="139">
        <v>0</v>
      </c>
      <c r="AY14" s="139">
        <v>0</v>
      </c>
      <c r="AZ14" s="139">
        <v>0</v>
      </c>
      <c r="BA14" s="139">
        <v>0</v>
      </c>
      <c r="BB14" s="139">
        <v>0</v>
      </c>
      <c r="BC14" s="139">
        <v>0</v>
      </c>
      <c r="BD14" s="139">
        <v>0</v>
      </c>
      <c r="BE14" s="139">
        <v>0</v>
      </c>
      <c r="BF14" s="139">
        <v>0</v>
      </c>
      <c r="BG14" s="139">
        <v>0</v>
      </c>
      <c r="BH14" s="139">
        <v>0</v>
      </c>
      <c r="BI14" s="139">
        <v>0</v>
      </c>
      <c r="BJ14" s="139">
        <v>0</v>
      </c>
      <c r="BK14" s="139">
        <v>0</v>
      </c>
      <c r="BL14" s="139">
        <v>0</v>
      </c>
      <c r="BM14" s="139">
        <v>0</v>
      </c>
      <c r="BN14" s="139">
        <v>0</v>
      </c>
      <c r="BO14" s="139">
        <v>0</v>
      </c>
      <c r="BQ14" s="155">
        <f t="shared" si="1"/>
        <v>0</v>
      </c>
      <c r="BR14" s="155">
        <f t="shared" si="2"/>
        <v>0</v>
      </c>
      <c r="BS14" s="155">
        <f t="shared" si="3"/>
        <v>0</v>
      </c>
      <c r="BT14" s="155">
        <f t="shared" si="4"/>
        <v>0</v>
      </c>
      <c r="BU14" s="155">
        <f t="shared" si="5"/>
        <v>0</v>
      </c>
    </row>
    <row r="15" spans="2:73" s="155" customFormat="1">
      <c r="C15" s="155" t="s">
        <v>547</v>
      </c>
      <c r="H15" s="155">
        <f>SUBTOTAL(9,H16:H19)</f>
        <v>250</v>
      </c>
      <c r="I15" s="155">
        <f t="shared" ref="I15:BO15" si="7">SUBTOTAL(9,I16:I19)</f>
        <v>0</v>
      </c>
      <c r="J15" s="155">
        <f t="shared" si="7"/>
        <v>150</v>
      </c>
      <c r="K15" s="155">
        <f t="shared" si="7"/>
        <v>0</v>
      </c>
      <c r="L15" s="155">
        <f t="shared" si="7"/>
        <v>200</v>
      </c>
      <c r="M15" s="155">
        <f t="shared" si="7"/>
        <v>0</v>
      </c>
      <c r="N15" s="155">
        <f t="shared" si="7"/>
        <v>0</v>
      </c>
      <c r="O15" s="155">
        <f t="shared" si="7"/>
        <v>0</v>
      </c>
      <c r="P15" s="155">
        <f t="shared" si="7"/>
        <v>0</v>
      </c>
      <c r="Q15" s="155">
        <f t="shared" si="7"/>
        <v>0</v>
      </c>
      <c r="R15" s="155">
        <f t="shared" si="7"/>
        <v>0</v>
      </c>
      <c r="S15" s="155">
        <f t="shared" si="7"/>
        <v>0</v>
      </c>
      <c r="T15" s="155">
        <f t="shared" si="7"/>
        <v>0</v>
      </c>
      <c r="U15" s="155">
        <f t="shared" si="7"/>
        <v>0</v>
      </c>
      <c r="V15" s="155">
        <f t="shared" si="7"/>
        <v>150</v>
      </c>
      <c r="W15" s="155">
        <f t="shared" si="7"/>
        <v>0</v>
      </c>
      <c r="X15" s="155">
        <f t="shared" si="7"/>
        <v>0</v>
      </c>
      <c r="Y15" s="155">
        <f t="shared" si="7"/>
        <v>215</v>
      </c>
      <c r="Z15" s="155">
        <f t="shared" si="7"/>
        <v>0</v>
      </c>
      <c r="AA15" s="155">
        <f t="shared" si="7"/>
        <v>0</v>
      </c>
      <c r="AB15" s="155">
        <f t="shared" si="7"/>
        <v>200</v>
      </c>
      <c r="AC15" s="155">
        <f t="shared" si="7"/>
        <v>0</v>
      </c>
      <c r="AD15" s="155">
        <f t="shared" si="7"/>
        <v>0</v>
      </c>
      <c r="AE15" s="155">
        <f t="shared" si="7"/>
        <v>0</v>
      </c>
      <c r="AF15" s="155">
        <f t="shared" si="7"/>
        <v>0</v>
      </c>
      <c r="AG15" s="155">
        <f t="shared" si="7"/>
        <v>0</v>
      </c>
      <c r="AH15" s="155">
        <f t="shared" si="7"/>
        <v>0</v>
      </c>
      <c r="AI15" s="155">
        <f t="shared" si="7"/>
        <v>0</v>
      </c>
      <c r="AJ15" s="155">
        <f t="shared" si="7"/>
        <v>0</v>
      </c>
      <c r="AK15" s="155">
        <f t="shared" si="7"/>
        <v>0</v>
      </c>
      <c r="AL15" s="155">
        <f t="shared" si="7"/>
        <v>0</v>
      </c>
      <c r="AM15" s="155">
        <f t="shared" si="7"/>
        <v>0</v>
      </c>
      <c r="AN15" s="155">
        <f t="shared" si="7"/>
        <v>0</v>
      </c>
      <c r="AO15" s="155">
        <f t="shared" si="7"/>
        <v>0</v>
      </c>
      <c r="AP15" s="155">
        <f t="shared" si="7"/>
        <v>0</v>
      </c>
      <c r="AQ15" s="155">
        <f t="shared" si="7"/>
        <v>0</v>
      </c>
      <c r="AR15" s="155">
        <f t="shared" si="7"/>
        <v>0</v>
      </c>
      <c r="AS15" s="155">
        <f t="shared" si="7"/>
        <v>0</v>
      </c>
      <c r="AT15" s="155">
        <f t="shared" si="7"/>
        <v>0</v>
      </c>
      <c r="AU15" s="155">
        <f t="shared" si="7"/>
        <v>0</v>
      </c>
      <c r="AV15" s="155">
        <f t="shared" si="7"/>
        <v>0</v>
      </c>
      <c r="AW15" s="155">
        <f t="shared" si="7"/>
        <v>0</v>
      </c>
      <c r="AX15" s="155">
        <f t="shared" si="7"/>
        <v>0</v>
      </c>
      <c r="AY15" s="155">
        <f t="shared" si="7"/>
        <v>0</v>
      </c>
      <c r="AZ15" s="155">
        <f t="shared" si="7"/>
        <v>0</v>
      </c>
      <c r="BA15" s="155">
        <f t="shared" si="7"/>
        <v>0</v>
      </c>
      <c r="BB15" s="155">
        <f t="shared" si="7"/>
        <v>0</v>
      </c>
      <c r="BC15" s="155">
        <f t="shared" si="7"/>
        <v>0</v>
      </c>
      <c r="BD15" s="155">
        <f t="shared" si="7"/>
        <v>0</v>
      </c>
      <c r="BE15" s="155">
        <f t="shared" si="7"/>
        <v>0</v>
      </c>
      <c r="BF15" s="155">
        <f t="shared" si="7"/>
        <v>0</v>
      </c>
      <c r="BG15" s="155">
        <f t="shared" si="7"/>
        <v>0</v>
      </c>
      <c r="BH15" s="155">
        <f t="shared" si="7"/>
        <v>0</v>
      </c>
      <c r="BI15" s="155">
        <f t="shared" si="7"/>
        <v>0</v>
      </c>
      <c r="BJ15" s="155">
        <f t="shared" si="7"/>
        <v>0</v>
      </c>
      <c r="BK15" s="155">
        <f t="shared" si="7"/>
        <v>0</v>
      </c>
      <c r="BL15" s="155">
        <f t="shared" si="7"/>
        <v>0</v>
      </c>
      <c r="BM15" s="155">
        <f t="shared" si="7"/>
        <v>0</v>
      </c>
      <c r="BN15" s="155">
        <f t="shared" si="7"/>
        <v>0</v>
      </c>
      <c r="BO15" s="155">
        <f t="shared" si="7"/>
        <v>0</v>
      </c>
      <c r="BQ15" s="155">
        <f t="shared" si="1"/>
        <v>600</v>
      </c>
      <c r="BR15" s="155">
        <f t="shared" si="2"/>
        <v>565</v>
      </c>
      <c r="BS15" s="155">
        <f t="shared" si="3"/>
        <v>0</v>
      </c>
      <c r="BT15" s="155">
        <f t="shared" si="4"/>
        <v>0</v>
      </c>
      <c r="BU15" s="155">
        <f t="shared" si="5"/>
        <v>0</v>
      </c>
    </row>
    <row r="16" spans="2:73">
      <c r="D16" s="139" t="s">
        <v>536</v>
      </c>
      <c r="H16" s="139">
        <v>100</v>
      </c>
      <c r="I16" s="139">
        <v>0</v>
      </c>
      <c r="J16" s="139">
        <v>0</v>
      </c>
      <c r="K16" s="139">
        <v>0</v>
      </c>
      <c r="L16" s="139">
        <v>0</v>
      </c>
      <c r="M16" s="139">
        <v>0</v>
      </c>
      <c r="N16" s="139">
        <v>0</v>
      </c>
      <c r="O16" s="139">
        <v>0</v>
      </c>
      <c r="P16" s="139">
        <v>0</v>
      </c>
      <c r="Q16" s="139">
        <v>0</v>
      </c>
      <c r="R16" s="139">
        <v>0</v>
      </c>
      <c r="S16" s="139">
        <v>0</v>
      </c>
      <c r="T16" s="139">
        <v>0</v>
      </c>
      <c r="U16" s="139">
        <v>0</v>
      </c>
      <c r="V16" s="139">
        <v>0</v>
      </c>
      <c r="W16" s="139">
        <v>0</v>
      </c>
      <c r="X16" s="139">
        <v>0</v>
      </c>
      <c r="Y16" s="139">
        <v>0</v>
      </c>
      <c r="Z16" s="139">
        <v>0</v>
      </c>
      <c r="AA16" s="139">
        <v>0</v>
      </c>
      <c r="AB16" s="139">
        <v>0</v>
      </c>
      <c r="AC16" s="139">
        <v>0</v>
      </c>
      <c r="AD16" s="139">
        <v>0</v>
      </c>
      <c r="AE16" s="139">
        <v>0</v>
      </c>
      <c r="AF16" s="139">
        <v>0</v>
      </c>
      <c r="AG16" s="139">
        <v>0</v>
      </c>
      <c r="AH16" s="139">
        <v>0</v>
      </c>
      <c r="AI16" s="139">
        <v>0</v>
      </c>
      <c r="AJ16" s="139">
        <v>0</v>
      </c>
      <c r="AK16" s="139">
        <v>0</v>
      </c>
      <c r="AL16" s="139">
        <v>0</v>
      </c>
      <c r="AM16" s="139">
        <v>0</v>
      </c>
      <c r="AN16" s="139">
        <v>0</v>
      </c>
      <c r="AO16" s="139">
        <v>0</v>
      </c>
      <c r="AP16" s="139">
        <v>0</v>
      </c>
      <c r="AQ16" s="139">
        <v>0</v>
      </c>
      <c r="AR16" s="139">
        <v>0</v>
      </c>
      <c r="AS16" s="139">
        <v>0</v>
      </c>
      <c r="AT16" s="139">
        <v>0</v>
      </c>
      <c r="AU16" s="139">
        <v>0</v>
      </c>
      <c r="AV16" s="139">
        <v>0</v>
      </c>
      <c r="AW16" s="139">
        <v>0</v>
      </c>
      <c r="AX16" s="139">
        <v>0</v>
      </c>
      <c r="AY16" s="139">
        <v>0</v>
      </c>
      <c r="AZ16" s="139">
        <v>0</v>
      </c>
      <c r="BA16" s="139">
        <v>0</v>
      </c>
      <c r="BB16" s="139">
        <v>0</v>
      </c>
      <c r="BC16" s="139">
        <v>0</v>
      </c>
      <c r="BD16" s="139">
        <v>0</v>
      </c>
      <c r="BE16" s="139">
        <v>0</v>
      </c>
      <c r="BF16" s="139">
        <v>0</v>
      </c>
      <c r="BG16" s="139">
        <v>0</v>
      </c>
      <c r="BH16" s="139">
        <v>0</v>
      </c>
      <c r="BI16" s="139">
        <v>0</v>
      </c>
      <c r="BJ16" s="139">
        <v>0</v>
      </c>
      <c r="BK16" s="139">
        <v>0</v>
      </c>
      <c r="BL16" s="139">
        <v>0</v>
      </c>
      <c r="BM16" s="139">
        <v>0</v>
      </c>
      <c r="BN16" s="139">
        <v>0</v>
      </c>
      <c r="BO16" s="139">
        <v>0</v>
      </c>
      <c r="BQ16" s="155">
        <f t="shared" si="1"/>
        <v>100</v>
      </c>
      <c r="BR16" s="155">
        <f t="shared" si="2"/>
        <v>0</v>
      </c>
      <c r="BS16" s="155">
        <f t="shared" si="3"/>
        <v>0</v>
      </c>
      <c r="BT16" s="155">
        <f t="shared" si="4"/>
        <v>0</v>
      </c>
      <c r="BU16" s="155">
        <f t="shared" si="5"/>
        <v>0</v>
      </c>
    </row>
    <row r="17" spans="2:73">
      <c r="D17" s="139" t="s">
        <v>537</v>
      </c>
      <c r="H17" s="139">
        <v>0</v>
      </c>
      <c r="I17" s="139">
        <v>0</v>
      </c>
      <c r="J17" s="139">
        <v>0</v>
      </c>
      <c r="K17" s="139">
        <v>0</v>
      </c>
      <c r="L17" s="139">
        <v>0</v>
      </c>
      <c r="M17" s="139">
        <v>0</v>
      </c>
      <c r="N17" s="139">
        <v>0</v>
      </c>
      <c r="O17" s="139">
        <v>0</v>
      </c>
      <c r="P17" s="139">
        <v>0</v>
      </c>
      <c r="Q17" s="139">
        <v>0</v>
      </c>
      <c r="R17" s="139">
        <v>0</v>
      </c>
      <c r="S17" s="139">
        <v>0</v>
      </c>
      <c r="T17" s="139">
        <v>0</v>
      </c>
      <c r="U17" s="139">
        <v>0</v>
      </c>
      <c r="V17" s="139">
        <v>0</v>
      </c>
      <c r="W17" s="139">
        <v>0</v>
      </c>
      <c r="X17" s="139">
        <v>0</v>
      </c>
      <c r="Y17" s="139">
        <v>65</v>
      </c>
      <c r="Z17" s="139">
        <v>0</v>
      </c>
      <c r="AA17" s="139">
        <v>0</v>
      </c>
      <c r="AB17" s="139">
        <v>0</v>
      </c>
      <c r="AC17" s="139">
        <v>0</v>
      </c>
      <c r="AD17" s="139">
        <v>0</v>
      </c>
      <c r="AE17" s="139">
        <v>0</v>
      </c>
      <c r="AF17" s="139">
        <v>0</v>
      </c>
      <c r="AG17" s="139">
        <v>0</v>
      </c>
      <c r="AH17" s="139">
        <v>0</v>
      </c>
      <c r="AI17" s="139">
        <v>0</v>
      </c>
      <c r="AJ17" s="139">
        <v>0</v>
      </c>
      <c r="AK17" s="139">
        <v>0</v>
      </c>
      <c r="AL17" s="139">
        <v>0</v>
      </c>
      <c r="AM17" s="139">
        <v>0</v>
      </c>
      <c r="AN17" s="139">
        <v>0</v>
      </c>
      <c r="AO17" s="139">
        <v>0</v>
      </c>
      <c r="AP17" s="139">
        <v>0</v>
      </c>
      <c r="AQ17" s="139">
        <v>0</v>
      </c>
      <c r="AR17" s="139">
        <v>0</v>
      </c>
      <c r="AS17" s="139">
        <v>0</v>
      </c>
      <c r="AT17" s="139">
        <v>0</v>
      </c>
      <c r="AU17" s="139">
        <v>0</v>
      </c>
      <c r="AV17" s="139">
        <v>0</v>
      </c>
      <c r="AW17" s="139">
        <v>0</v>
      </c>
      <c r="AX17" s="139">
        <v>0</v>
      </c>
      <c r="AY17" s="139">
        <v>0</v>
      </c>
      <c r="AZ17" s="139">
        <v>0</v>
      </c>
      <c r="BA17" s="139">
        <v>0</v>
      </c>
      <c r="BB17" s="139">
        <v>0</v>
      </c>
      <c r="BC17" s="139">
        <v>0</v>
      </c>
      <c r="BD17" s="139">
        <v>0</v>
      </c>
      <c r="BE17" s="139">
        <v>0</v>
      </c>
      <c r="BF17" s="139">
        <v>0</v>
      </c>
      <c r="BG17" s="139">
        <v>0</v>
      </c>
      <c r="BH17" s="139">
        <v>0</v>
      </c>
      <c r="BI17" s="139">
        <v>0</v>
      </c>
      <c r="BJ17" s="139">
        <v>0</v>
      </c>
      <c r="BK17" s="139">
        <v>0</v>
      </c>
      <c r="BL17" s="139">
        <v>0</v>
      </c>
      <c r="BM17" s="139">
        <v>0</v>
      </c>
      <c r="BN17" s="139">
        <v>0</v>
      </c>
      <c r="BO17" s="139">
        <v>0</v>
      </c>
      <c r="BQ17" s="155">
        <f t="shared" si="1"/>
        <v>0</v>
      </c>
      <c r="BR17" s="155">
        <f t="shared" si="2"/>
        <v>65</v>
      </c>
      <c r="BS17" s="155">
        <f t="shared" si="3"/>
        <v>0</v>
      </c>
      <c r="BT17" s="155">
        <f t="shared" si="4"/>
        <v>0</v>
      </c>
      <c r="BU17" s="155">
        <f t="shared" si="5"/>
        <v>0</v>
      </c>
    </row>
    <row r="18" spans="2:73">
      <c r="D18" s="139" t="s">
        <v>538</v>
      </c>
      <c r="H18" s="139">
        <v>150</v>
      </c>
      <c r="I18" s="139">
        <v>0</v>
      </c>
      <c r="J18" s="139">
        <v>150</v>
      </c>
      <c r="K18" s="139">
        <v>0</v>
      </c>
      <c r="L18" s="139">
        <v>200</v>
      </c>
      <c r="M18" s="139">
        <v>0</v>
      </c>
      <c r="N18" s="139">
        <v>0</v>
      </c>
      <c r="O18" s="139">
        <v>0</v>
      </c>
      <c r="P18" s="139">
        <v>0</v>
      </c>
      <c r="Q18" s="139">
        <v>0</v>
      </c>
      <c r="R18" s="139">
        <v>0</v>
      </c>
      <c r="S18" s="139">
        <v>0</v>
      </c>
      <c r="T18" s="139">
        <v>0</v>
      </c>
      <c r="U18" s="139">
        <v>0</v>
      </c>
      <c r="V18" s="139">
        <v>0</v>
      </c>
      <c r="W18" s="139">
        <v>0</v>
      </c>
      <c r="X18" s="139">
        <v>0</v>
      </c>
      <c r="Y18" s="139">
        <v>0</v>
      </c>
      <c r="Z18" s="139">
        <v>0</v>
      </c>
      <c r="AA18" s="139">
        <v>0</v>
      </c>
      <c r="AB18" s="139">
        <v>0</v>
      </c>
      <c r="AC18" s="139">
        <v>0</v>
      </c>
      <c r="AD18" s="139">
        <v>0</v>
      </c>
      <c r="AE18" s="139">
        <v>0</v>
      </c>
      <c r="AF18" s="139">
        <v>0</v>
      </c>
      <c r="AG18" s="139">
        <v>0</v>
      </c>
      <c r="AH18" s="139">
        <v>0</v>
      </c>
      <c r="AI18" s="139">
        <v>0</v>
      </c>
      <c r="AJ18" s="139">
        <v>0</v>
      </c>
      <c r="AK18" s="139">
        <v>0</v>
      </c>
      <c r="AL18" s="139">
        <v>0</v>
      </c>
      <c r="AM18" s="139">
        <v>0</v>
      </c>
      <c r="AN18" s="139">
        <v>0</v>
      </c>
      <c r="AO18" s="139">
        <v>0</v>
      </c>
      <c r="AP18" s="139">
        <v>0</v>
      </c>
      <c r="AQ18" s="139">
        <v>0</v>
      </c>
      <c r="AR18" s="139">
        <v>0</v>
      </c>
      <c r="AS18" s="139">
        <v>0</v>
      </c>
      <c r="AT18" s="139">
        <v>0</v>
      </c>
      <c r="AU18" s="139">
        <v>0</v>
      </c>
      <c r="AV18" s="139">
        <v>0</v>
      </c>
      <c r="AW18" s="139">
        <v>0</v>
      </c>
      <c r="AX18" s="139">
        <v>0</v>
      </c>
      <c r="AY18" s="139">
        <v>0</v>
      </c>
      <c r="AZ18" s="139">
        <v>0</v>
      </c>
      <c r="BA18" s="139">
        <v>0</v>
      </c>
      <c r="BB18" s="139">
        <v>0</v>
      </c>
      <c r="BC18" s="139">
        <v>0</v>
      </c>
      <c r="BD18" s="139">
        <v>0</v>
      </c>
      <c r="BE18" s="139">
        <v>0</v>
      </c>
      <c r="BF18" s="139">
        <v>0</v>
      </c>
      <c r="BG18" s="139">
        <v>0</v>
      </c>
      <c r="BH18" s="139">
        <v>0</v>
      </c>
      <c r="BI18" s="139">
        <v>0</v>
      </c>
      <c r="BJ18" s="139">
        <v>0</v>
      </c>
      <c r="BK18" s="139">
        <v>0</v>
      </c>
      <c r="BL18" s="139">
        <v>0</v>
      </c>
      <c r="BM18" s="139">
        <v>0</v>
      </c>
      <c r="BN18" s="139">
        <v>0</v>
      </c>
      <c r="BO18" s="139">
        <v>0</v>
      </c>
      <c r="BQ18" s="155">
        <f t="shared" si="1"/>
        <v>500</v>
      </c>
      <c r="BR18" s="155">
        <f t="shared" si="2"/>
        <v>0</v>
      </c>
      <c r="BS18" s="155">
        <f t="shared" si="3"/>
        <v>0</v>
      </c>
      <c r="BT18" s="155">
        <f t="shared" si="4"/>
        <v>0</v>
      </c>
      <c r="BU18" s="155">
        <f t="shared" si="5"/>
        <v>0</v>
      </c>
    </row>
    <row r="19" spans="2:73">
      <c r="D19" s="139" t="s">
        <v>539</v>
      </c>
      <c r="H19" s="139">
        <v>0</v>
      </c>
      <c r="I19" s="139">
        <v>0</v>
      </c>
      <c r="J19" s="139">
        <v>0</v>
      </c>
      <c r="K19" s="139">
        <v>0</v>
      </c>
      <c r="L19" s="139">
        <v>0</v>
      </c>
      <c r="M19" s="139">
        <v>0</v>
      </c>
      <c r="N19" s="139">
        <v>0</v>
      </c>
      <c r="O19" s="139">
        <v>0</v>
      </c>
      <c r="P19" s="139">
        <v>0</v>
      </c>
      <c r="Q19" s="139">
        <v>0</v>
      </c>
      <c r="R19" s="139">
        <v>0</v>
      </c>
      <c r="S19" s="139">
        <v>0</v>
      </c>
      <c r="T19" s="139">
        <v>0</v>
      </c>
      <c r="U19" s="139">
        <v>0</v>
      </c>
      <c r="V19" s="139">
        <v>150</v>
      </c>
      <c r="W19" s="139">
        <v>0</v>
      </c>
      <c r="X19" s="139">
        <v>0</v>
      </c>
      <c r="Y19" s="139">
        <v>150</v>
      </c>
      <c r="Z19" s="139">
        <v>0</v>
      </c>
      <c r="AA19" s="139">
        <v>0</v>
      </c>
      <c r="AB19" s="139">
        <v>200</v>
      </c>
      <c r="AC19" s="139">
        <v>0</v>
      </c>
      <c r="AD19" s="139">
        <v>0</v>
      </c>
      <c r="AE19" s="139">
        <v>0</v>
      </c>
      <c r="AF19" s="139">
        <v>0</v>
      </c>
      <c r="AG19" s="139">
        <v>0</v>
      </c>
      <c r="AH19" s="139">
        <v>0</v>
      </c>
      <c r="AI19" s="139">
        <v>0</v>
      </c>
      <c r="AJ19" s="139">
        <v>0</v>
      </c>
      <c r="AK19" s="139">
        <v>0</v>
      </c>
      <c r="AL19" s="139">
        <v>0</v>
      </c>
      <c r="AM19" s="139">
        <v>0</v>
      </c>
      <c r="AN19" s="139">
        <v>0</v>
      </c>
      <c r="AO19" s="139">
        <v>0</v>
      </c>
      <c r="AP19" s="139">
        <v>0</v>
      </c>
      <c r="AQ19" s="139">
        <v>0</v>
      </c>
      <c r="AR19" s="139">
        <v>0</v>
      </c>
      <c r="AS19" s="139">
        <v>0</v>
      </c>
      <c r="AT19" s="139">
        <v>0</v>
      </c>
      <c r="AU19" s="139">
        <v>0</v>
      </c>
      <c r="AV19" s="139">
        <v>0</v>
      </c>
      <c r="AW19" s="139">
        <v>0</v>
      </c>
      <c r="AX19" s="139">
        <v>0</v>
      </c>
      <c r="AY19" s="139">
        <v>0</v>
      </c>
      <c r="AZ19" s="139">
        <v>0</v>
      </c>
      <c r="BA19" s="139">
        <v>0</v>
      </c>
      <c r="BB19" s="139">
        <v>0</v>
      </c>
      <c r="BC19" s="139">
        <v>0</v>
      </c>
      <c r="BD19" s="139">
        <v>0</v>
      </c>
      <c r="BE19" s="139">
        <v>0</v>
      </c>
      <c r="BF19" s="139">
        <v>0</v>
      </c>
      <c r="BG19" s="139">
        <v>0</v>
      </c>
      <c r="BH19" s="139">
        <v>0</v>
      </c>
      <c r="BI19" s="139">
        <v>0</v>
      </c>
      <c r="BJ19" s="139">
        <v>0</v>
      </c>
      <c r="BK19" s="139">
        <v>0</v>
      </c>
      <c r="BL19" s="139">
        <v>0</v>
      </c>
      <c r="BM19" s="139">
        <v>0</v>
      </c>
      <c r="BN19" s="139">
        <v>0</v>
      </c>
      <c r="BO19" s="139">
        <v>0</v>
      </c>
      <c r="BQ19" s="155">
        <f t="shared" si="1"/>
        <v>0</v>
      </c>
      <c r="BR19" s="155">
        <f t="shared" si="2"/>
        <v>500</v>
      </c>
      <c r="BS19" s="155">
        <f t="shared" si="3"/>
        <v>0</v>
      </c>
      <c r="BT19" s="155">
        <f t="shared" si="4"/>
        <v>0</v>
      </c>
      <c r="BU19" s="155">
        <f t="shared" si="5"/>
        <v>0</v>
      </c>
    </row>
    <row r="20" spans="2:73" s="155" customFormat="1">
      <c r="C20" s="155" t="s">
        <v>548</v>
      </c>
      <c r="H20" s="155">
        <f>SUBTOTAL(9,H21:H24)</f>
        <v>1000</v>
      </c>
      <c r="I20" s="155">
        <f t="shared" ref="I20:BO20" si="8">SUBTOTAL(9,I21:I24)</f>
        <v>0</v>
      </c>
      <c r="J20" s="155">
        <f t="shared" si="8"/>
        <v>200</v>
      </c>
      <c r="K20" s="155">
        <f t="shared" si="8"/>
        <v>0</v>
      </c>
      <c r="L20" s="155">
        <f t="shared" si="8"/>
        <v>200</v>
      </c>
      <c r="M20" s="155">
        <f t="shared" si="8"/>
        <v>200</v>
      </c>
      <c r="N20" s="155">
        <f t="shared" si="8"/>
        <v>0</v>
      </c>
      <c r="O20" s="155">
        <f t="shared" si="8"/>
        <v>0</v>
      </c>
      <c r="P20" s="155">
        <f t="shared" si="8"/>
        <v>0</v>
      </c>
      <c r="Q20" s="155">
        <f t="shared" si="8"/>
        <v>0</v>
      </c>
      <c r="R20" s="155">
        <f t="shared" si="8"/>
        <v>0</v>
      </c>
      <c r="S20" s="155">
        <f t="shared" si="8"/>
        <v>0</v>
      </c>
      <c r="T20" s="155">
        <f t="shared" si="8"/>
        <v>0</v>
      </c>
      <c r="U20" s="155">
        <f t="shared" si="8"/>
        <v>0</v>
      </c>
      <c r="V20" s="155">
        <f t="shared" si="8"/>
        <v>0</v>
      </c>
      <c r="W20" s="155">
        <f t="shared" si="8"/>
        <v>0</v>
      </c>
      <c r="X20" s="155">
        <f t="shared" si="8"/>
        <v>0</v>
      </c>
      <c r="Y20" s="155">
        <f t="shared" si="8"/>
        <v>0</v>
      </c>
      <c r="Z20" s="155">
        <f t="shared" si="8"/>
        <v>0</v>
      </c>
      <c r="AA20" s="155">
        <f t="shared" si="8"/>
        <v>0</v>
      </c>
      <c r="AB20" s="155">
        <f t="shared" si="8"/>
        <v>600</v>
      </c>
      <c r="AC20" s="155">
        <f t="shared" si="8"/>
        <v>0</v>
      </c>
      <c r="AD20" s="155">
        <f t="shared" si="8"/>
        <v>0</v>
      </c>
      <c r="AE20" s="155">
        <f t="shared" si="8"/>
        <v>0</v>
      </c>
      <c r="AF20" s="155">
        <f t="shared" si="8"/>
        <v>0</v>
      </c>
      <c r="AG20" s="155">
        <f t="shared" si="8"/>
        <v>0</v>
      </c>
      <c r="AH20" s="155">
        <f t="shared" si="8"/>
        <v>0</v>
      </c>
      <c r="AI20" s="155">
        <f t="shared" si="8"/>
        <v>0</v>
      </c>
      <c r="AJ20" s="155">
        <f t="shared" si="8"/>
        <v>0</v>
      </c>
      <c r="AK20" s="155">
        <f t="shared" si="8"/>
        <v>0</v>
      </c>
      <c r="AL20" s="155">
        <f t="shared" si="8"/>
        <v>0</v>
      </c>
      <c r="AM20" s="155">
        <f t="shared" si="8"/>
        <v>0</v>
      </c>
      <c r="AN20" s="155">
        <f t="shared" si="8"/>
        <v>400</v>
      </c>
      <c r="AO20" s="155">
        <f t="shared" si="8"/>
        <v>0</v>
      </c>
      <c r="AP20" s="155">
        <f t="shared" si="8"/>
        <v>0</v>
      </c>
      <c r="AQ20" s="155">
        <f t="shared" si="8"/>
        <v>0</v>
      </c>
      <c r="AR20" s="155">
        <f t="shared" si="8"/>
        <v>0</v>
      </c>
      <c r="AS20" s="155">
        <f t="shared" si="8"/>
        <v>0</v>
      </c>
      <c r="AT20" s="155">
        <f t="shared" si="8"/>
        <v>0</v>
      </c>
      <c r="AU20" s="155">
        <f t="shared" si="8"/>
        <v>0</v>
      </c>
      <c r="AV20" s="155">
        <f t="shared" si="8"/>
        <v>0</v>
      </c>
      <c r="AW20" s="155">
        <f t="shared" si="8"/>
        <v>0</v>
      </c>
      <c r="AX20" s="155">
        <f t="shared" si="8"/>
        <v>0</v>
      </c>
      <c r="AY20" s="155">
        <f t="shared" si="8"/>
        <v>0</v>
      </c>
      <c r="AZ20" s="155">
        <f t="shared" si="8"/>
        <v>200</v>
      </c>
      <c r="BA20" s="155">
        <f t="shared" si="8"/>
        <v>0</v>
      </c>
      <c r="BB20" s="155">
        <f t="shared" si="8"/>
        <v>0</v>
      </c>
      <c r="BC20" s="155">
        <f t="shared" si="8"/>
        <v>0</v>
      </c>
      <c r="BD20" s="155">
        <f t="shared" si="8"/>
        <v>0</v>
      </c>
      <c r="BE20" s="155">
        <f t="shared" si="8"/>
        <v>0</v>
      </c>
      <c r="BF20" s="155">
        <f t="shared" si="8"/>
        <v>0</v>
      </c>
      <c r="BG20" s="155">
        <f t="shared" si="8"/>
        <v>0</v>
      </c>
      <c r="BH20" s="155">
        <f t="shared" si="8"/>
        <v>0</v>
      </c>
      <c r="BI20" s="155">
        <f t="shared" si="8"/>
        <v>0</v>
      </c>
      <c r="BJ20" s="155">
        <f t="shared" si="8"/>
        <v>0</v>
      </c>
      <c r="BK20" s="155">
        <f t="shared" si="8"/>
        <v>0</v>
      </c>
      <c r="BL20" s="155">
        <f t="shared" si="8"/>
        <v>0</v>
      </c>
      <c r="BM20" s="155">
        <f t="shared" si="8"/>
        <v>0</v>
      </c>
      <c r="BN20" s="155">
        <f t="shared" si="8"/>
        <v>0</v>
      </c>
      <c r="BO20" s="155">
        <f t="shared" si="8"/>
        <v>0</v>
      </c>
      <c r="BQ20" s="155">
        <f t="shared" si="1"/>
        <v>1600</v>
      </c>
      <c r="BR20" s="155">
        <f t="shared" si="2"/>
        <v>600</v>
      </c>
      <c r="BS20" s="155">
        <f t="shared" si="3"/>
        <v>400</v>
      </c>
      <c r="BT20" s="155">
        <f t="shared" si="4"/>
        <v>200</v>
      </c>
      <c r="BU20" s="155">
        <f t="shared" si="5"/>
        <v>0</v>
      </c>
    </row>
    <row r="21" spans="2:73">
      <c r="D21" s="139" t="s">
        <v>540</v>
      </c>
      <c r="H21" s="139">
        <v>600</v>
      </c>
      <c r="I21" s="139">
        <v>0</v>
      </c>
      <c r="J21" s="139">
        <v>200</v>
      </c>
      <c r="K21" s="139">
        <v>0</v>
      </c>
      <c r="L21" s="139">
        <v>200</v>
      </c>
      <c r="M21" s="139">
        <v>0</v>
      </c>
      <c r="N21" s="139">
        <v>0</v>
      </c>
      <c r="O21" s="139">
        <v>0</v>
      </c>
      <c r="P21" s="139">
        <v>0</v>
      </c>
      <c r="Q21" s="139">
        <v>0</v>
      </c>
      <c r="R21" s="139">
        <v>0</v>
      </c>
      <c r="S21" s="139">
        <v>0</v>
      </c>
      <c r="T21" s="139">
        <v>0</v>
      </c>
      <c r="U21" s="139">
        <v>0</v>
      </c>
      <c r="V21" s="139">
        <v>0</v>
      </c>
      <c r="W21" s="139">
        <v>0</v>
      </c>
      <c r="X21" s="139">
        <v>0</v>
      </c>
      <c r="Y21" s="139">
        <v>0</v>
      </c>
      <c r="Z21" s="139">
        <v>0</v>
      </c>
      <c r="AA21" s="139">
        <v>0</v>
      </c>
      <c r="AB21" s="139">
        <v>0</v>
      </c>
      <c r="AC21" s="139">
        <v>0</v>
      </c>
      <c r="AD21" s="139">
        <v>0</v>
      </c>
      <c r="AE21" s="139">
        <v>0</v>
      </c>
      <c r="AF21" s="139">
        <v>0</v>
      </c>
      <c r="AG21" s="139">
        <v>0</v>
      </c>
      <c r="AH21" s="139">
        <v>0</v>
      </c>
      <c r="AI21" s="139">
        <v>0</v>
      </c>
      <c r="AJ21" s="139">
        <v>0</v>
      </c>
      <c r="AK21" s="139">
        <v>0</v>
      </c>
      <c r="AL21" s="139">
        <v>0</v>
      </c>
      <c r="AM21" s="139">
        <v>0</v>
      </c>
      <c r="AN21" s="139">
        <v>0</v>
      </c>
      <c r="AO21" s="139">
        <v>0</v>
      </c>
      <c r="AP21" s="139">
        <v>0</v>
      </c>
      <c r="AQ21" s="139">
        <v>0</v>
      </c>
      <c r="AR21" s="139">
        <v>0</v>
      </c>
      <c r="AS21" s="139">
        <v>0</v>
      </c>
      <c r="AT21" s="139">
        <v>0</v>
      </c>
      <c r="AU21" s="139">
        <v>0</v>
      </c>
      <c r="AV21" s="139">
        <v>0</v>
      </c>
      <c r="AW21" s="139">
        <v>0</v>
      </c>
      <c r="AX21" s="139">
        <v>0</v>
      </c>
      <c r="AY21" s="139">
        <v>0</v>
      </c>
      <c r="AZ21" s="139">
        <v>0</v>
      </c>
      <c r="BA21" s="139">
        <v>0</v>
      </c>
      <c r="BB21" s="139">
        <v>0</v>
      </c>
      <c r="BC21" s="139">
        <v>0</v>
      </c>
      <c r="BD21" s="139">
        <v>0</v>
      </c>
      <c r="BE21" s="139">
        <v>0</v>
      </c>
      <c r="BF21" s="139">
        <v>0</v>
      </c>
      <c r="BG21" s="139">
        <v>0</v>
      </c>
      <c r="BH21" s="139">
        <v>0</v>
      </c>
      <c r="BI21" s="139">
        <v>0</v>
      </c>
      <c r="BJ21" s="139">
        <v>0</v>
      </c>
      <c r="BK21" s="139">
        <v>0</v>
      </c>
      <c r="BL21" s="139">
        <v>0</v>
      </c>
      <c r="BM21" s="139">
        <v>0</v>
      </c>
      <c r="BN21" s="139">
        <v>0</v>
      </c>
      <c r="BO21" s="139">
        <v>0</v>
      </c>
      <c r="BQ21" s="155">
        <f t="shared" si="1"/>
        <v>1000</v>
      </c>
      <c r="BR21" s="155">
        <f t="shared" si="2"/>
        <v>0</v>
      </c>
      <c r="BS21" s="155">
        <f t="shared" si="3"/>
        <v>0</v>
      </c>
      <c r="BT21" s="155">
        <f t="shared" si="4"/>
        <v>0</v>
      </c>
      <c r="BU21" s="155">
        <f t="shared" si="5"/>
        <v>0</v>
      </c>
    </row>
    <row r="22" spans="2:73">
      <c r="D22" s="139" t="s">
        <v>541</v>
      </c>
      <c r="H22" s="139">
        <v>200</v>
      </c>
      <c r="I22" s="139">
        <v>0</v>
      </c>
      <c r="J22" s="139">
        <v>0</v>
      </c>
      <c r="K22" s="139">
        <v>0</v>
      </c>
      <c r="L22" s="139">
        <v>0</v>
      </c>
      <c r="M22" s="139">
        <v>0</v>
      </c>
      <c r="N22" s="139">
        <v>0</v>
      </c>
      <c r="O22" s="139">
        <v>0</v>
      </c>
      <c r="P22" s="139">
        <v>0</v>
      </c>
      <c r="Q22" s="139">
        <v>0</v>
      </c>
      <c r="R22" s="139">
        <v>0</v>
      </c>
      <c r="S22" s="139">
        <v>0</v>
      </c>
      <c r="T22" s="139">
        <v>0</v>
      </c>
      <c r="U22" s="139">
        <v>0</v>
      </c>
      <c r="V22" s="139">
        <v>0</v>
      </c>
      <c r="W22" s="139">
        <v>0</v>
      </c>
      <c r="X22" s="139">
        <v>0</v>
      </c>
      <c r="Y22" s="139">
        <v>0</v>
      </c>
      <c r="Z22" s="139">
        <v>0</v>
      </c>
      <c r="AA22" s="139">
        <v>0</v>
      </c>
      <c r="AB22" s="139">
        <v>600</v>
      </c>
      <c r="AC22" s="139">
        <v>0</v>
      </c>
      <c r="AD22" s="139">
        <v>0</v>
      </c>
      <c r="AE22" s="139">
        <v>0</v>
      </c>
      <c r="AF22" s="139">
        <v>0</v>
      </c>
      <c r="AG22" s="139">
        <v>0</v>
      </c>
      <c r="AH22" s="139">
        <v>0</v>
      </c>
      <c r="AI22" s="139">
        <v>0</v>
      </c>
      <c r="AJ22" s="139">
        <v>0</v>
      </c>
      <c r="AK22" s="139">
        <v>0</v>
      </c>
      <c r="AL22" s="139">
        <v>0</v>
      </c>
      <c r="AM22" s="139">
        <v>0</v>
      </c>
      <c r="AN22" s="139">
        <v>400</v>
      </c>
      <c r="AO22" s="139">
        <v>0</v>
      </c>
      <c r="AP22" s="139">
        <v>0</v>
      </c>
      <c r="AQ22" s="139">
        <v>0</v>
      </c>
      <c r="AR22" s="139">
        <v>0</v>
      </c>
      <c r="AS22" s="139">
        <v>0</v>
      </c>
      <c r="AT22" s="139">
        <v>0</v>
      </c>
      <c r="AU22" s="139">
        <v>0</v>
      </c>
      <c r="AV22" s="139">
        <v>0</v>
      </c>
      <c r="AW22" s="139">
        <v>0</v>
      </c>
      <c r="AX22" s="139">
        <v>0</v>
      </c>
      <c r="AY22" s="139">
        <v>0</v>
      </c>
      <c r="AZ22" s="139">
        <v>200</v>
      </c>
      <c r="BA22" s="139">
        <v>0</v>
      </c>
      <c r="BB22" s="139">
        <v>0</v>
      </c>
      <c r="BC22" s="139">
        <v>0</v>
      </c>
      <c r="BD22" s="139">
        <v>0</v>
      </c>
      <c r="BE22" s="139">
        <v>0</v>
      </c>
      <c r="BF22" s="139">
        <v>0</v>
      </c>
      <c r="BG22" s="139">
        <v>0</v>
      </c>
      <c r="BH22" s="139">
        <v>0</v>
      </c>
      <c r="BI22" s="139">
        <v>0</v>
      </c>
      <c r="BJ22" s="139">
        <v>0</v>
      </c>
      <c r="BK22" s="139">
        <v>0</v>
      </c>
      <c r="BL22" s="139">
        <v>0</v>
      </c>
      <c r="BM22" s="139">
        <v>0</v>
      </c>
      <c r="BN22" s="139">
        <v>0</v>
      </c>
      <c r="BO22" s="139">
        <v>0</v>
      </c>
      <c r="BQ22" s="155">
        <f t="shared" si="1"/>
        <v>200</v>
      </c>
      <c r="BR22" s="155">
        <f t="shared" si="2"/>
        <v>600</v>
      </c>
      <c r="BS22" s="155">
        <f t="shared" si="3"/>
        <v>400</v>
      </c>
      <c r="BT22" s="155">
        <f t="shared" si="4"/>
        <v>200</v>
      </c>
      <c r="BU22" s="155">
        <f t="shared" si="5"/>
        <v>0</v>
      </c>
    </row>
    <row r="23" spans="2:73">
      <c r="D23" s="139" t="s">
        <v>542</v>
      </c>
      <c r="H23" s="139">
        <v>200</v>
      </c>
      <c r="I23" s="139">
        <v>0</v>
      </c>
      <c r="J23" s="139">
        <v>0</v>
      </c>
      <c r="K23" s="139">
        <v>0</v>
      </c>
      <c r="L23" s="139">
        <v>0</v>
      </c>
      <c r="M23" s="139">
        <v>0</v>
      </c>
      <c r="N23" s="139">
        <v>0</v>
      </c>
      <c r="O23" s="139">
        <v>0</v>
      </c>
      <c r="P23" s="139">
        <v>0</v>
      </c>
      <c r="Q23" s="139">
        <v>0</v>
      </c>
      <c r="R23" s="139">
        <v>0</v>
      </c>
      <c r="S23" s="139">
        <v>0</v>
      </c>
      <c r="T23" s="139">
        <v>0</v>
      </c>
      <c r="U23" s="139">
        <v>0</v>
      </c>
      <c r="V23" s="139">
        <v>0</v>
      </c>
      <c r="W23" s="139">
        <v>0</v>
      </c>
      <c r="X23" s="139">
        <v>0</v>
      </c>
      <c r="Y23" s="139">
        <v>0</v>
      </c>
      <c r="Z23" s="139">
        <v>0</v>
      </c>
      <c r="AA23" s="139">
        <v>0</v>
      </c>
      <c r="AB23" s="139">
        <v>0</v>
      </c>
      <c r="AC23" s="139">
        <v>0</v>
      </c>
      <c r="AD23" s="139">
        <v>0</v>
      </c>
      <c r="AE23" s="139">
        <v>0</v>
      </c>
      <c r="AF23" s="139">
        <v>0</v>
      </c>
      <c r="AG23" s="139">
        <v>0</v>
      </c>
      <c r="AH23" s="139">
        <v>0</v>
      </c>
      <c r="AI23" s="139">
        <v>0</v>
      </c>
      <c r="AJ23" s="139">
        <v>0</v>
      </c>
      <c r="AK23" s="139">
        <v>0</v>
      </c>
      <c r="AL23" s="139">
        <v>0</v>
      </c>
      <c r="AM23" s="139">
        <v>0</v>
      </c>
      <c r="AN23" s="139">
        <v>0</v>
      </c>
      <c r="AO23" s="139">
        <v>0</v>
      </c>
      <c r="AP23" s="139">
        <v>0</v>
      </c>
      <c r="AQ23" s="139">
        <v>0</v>
      </c>
      <c r="AR23" s="139">
        <v>0</v>
      </c>
      <c r="AS23" s="139">
        <v>0</v>
      </c>
      <c r="AT23" s="139">
        <v>0</v>
      </c>
      <c r="AU23" s="139">
        <v>0</v>
      </c>
      <c r="AV23" s="139">
        <v>0</v>
      </c>
      <c r="AW23" s="139">
        <v>0</v>
      </c>
      <c r="AX23" s="139">
        <v>0</v>
      </c>
      <c r="AY23" s="139">
        <v>0</v>
      </c>
      <c r="AZ23" s="139">
        <v>0</v>
      </c>
      <c r="BA23" s="139">
        <v>0</v>
      </c>
      <c r="BB23" s="139">
        <v>0</v>
      </c>
      <c r="BC23" s="139">
        <v>0</v>
      </c>
      <c r="BD23" s="139">
        <v>0</v>
      </c>
      <c r="BE23" s="139">
        <v>0</v>
      </c>
      <c r="BF23" s="139">
        <v>0</v>
      </c>
      <c r="BG23" s="139">
        <v>0</v>
      </c>
      <c r="BH23" s="139">
        <v>0</v>
      </c>
      <c r="BI23" s="139">
        <v>0</v>
      </c>
      <c r="BJ23" s="139">
        <v>0</v>
      </c>
      <c r="BK23" s="139">
        <v>0</v>
      </c>
      <c r="BL23" s="139">
        <v>0</v>
      </c>
      <c r="BM23" s="139">
        <v>0</v>
      </c>
      <c r="BN23" s="139">
        <v>0</v>
      </c>
      <c r="BO23" s="139">
        <v>0</v>
      </c>
      <c r="BQ23" s="155">
        <f t="shared" si="1"/>
        <v>200</v>
      </c>
      <c r="BR23" s="155">
        <f t="shared" si="2"/>
        <v>0</v>
      </c>
      <c r="BS23" s="155">
        <f t="shared" si="3"/>
        <v>0</v>
      </c>
      <c r="BT23" s="155">
        <f t="shared" si="4"/>
        <v>0</v>
      </c>
      <c r="BU23" s="155">
        <f t="shared" si="5"/>
        <v>0</v>
      </c>
    </row>
    <row r="24" spans="2:73">
      <c r="D24" s="139" t="s">
        <v>543</v>
      </c>
      <c r="H24" s="139">
        <v>0</v>
      </c>
      <c r="I24" s="139">
        <v>0</v>
      </c>
      <c r="J24" s="139">
        <v>0</v>
      </c>
      <c r="K24" s="139">
        <v>0</v>
      </c>
      <c r="L24" s="139">
        <v>0</v>
      </c>
      <c r="M24" s="139">
        <v>200</v>
      </c>
      <c r="N24" s="139">
        <v>0</v>
      </c>
      <c r="O24" s="139">
        <v>0</v>
      </c>
      <c r="P24" s="139">
        <v>0</v>
      </c>
      <c r="Q24" s="139">
        <v>0</v>
      </c>
      <c r="R24" s="139">
        <v>0</v>
      </c>
      <c r="S24" s="139">
        <v>0</v>
      </c>
      <c r="T24" s="139">
        <v>0</v>
      </c>
      <c r="U24" s="139">
        <v>0</v>
      </c>
      <c r="V24" s="139">
        <v>0</v>
      </c>
      <c r="W24" s="139">
        <v>0</v>
      </c>
      <c r="X24" s="139">
        <v>0</v>
      </c>
      <c r="Y24" s="139">
        <v>0</v>
      </c>
      <c r="Z24" s="139">
        <v>0</v>
      </c>
      <c r="AA24" s="139">
        <v>0</v>
      </c>
      <c r="AB24" s="139">
        <v>0</v>
      </c>
      <c r="AC24" s="139">
        <v>0</v>
      </c>
      <c r="AD24" s="139">
        <v>0</v>
      </c>
      <c r="AE24" s="139">
        <v>0</v>
      </c>
      <c r="AF24" s="139">
        <v>0</v>
      </c>
      <c r="AG24" s="139">
        <v>0</v>
      </c>
      <c r="AH24" s="139">
        <v>0</v>
      </c>
      <c r="AI24" s="139">
        <v>0</v>
      </c>
      <c r="AJ24" s="139">
        <v>0</v>
      </c>
      <c r="AK24" s="139">
        <v>0</v>
      </c>
      <c r="AL24" s="139">
        <v>0</v>
      </c>
      <c r="AM24" s="139">
        <v>0</v>
      </c>
      <c r="AN24" s="139">
        <v>0</v>
      </c>
      <c r="AO24" s="139">
        <v>0</v>
      </c>
      <c r="AP24" s="139">
        <v>0</v>
      </c>
      <c r="AQ24" s="139">
        <v>0</v>
      </c>
      <c r="AR24" s="139">
        <v>0</v>
      </c>
      <c r="AS24" s="139">
        <v>0</v>
      </c>
      <c r="AT24" s="139">
        <v>0</v>
      </c>
      <c r="AU24" s="139">
        <v>0</v>
      </c>
      <c r="AV24" s="139">
        <v>0</v>
      </c>
      <c r="AW24" s="139">
        <v>0</v>
      </c>
      <c r="AX24" s="139">
        <v>0</v>
      </c>
      <c r="AY24" s="139">
        <v>0</v>
      </c>
      <c r="AZ24" s="139">
        <v>0</v>
      </c>
      <c r="BA24" s="139">
        <v>0</v>
      </c>
      <c r="BB24" s="139">
        <v>0</v>
      </c>
      <c r="BC24" s="139">
        <v>0</v>
      </c>
      <c r="BD24" s="139">
        <v>0</v>
      </c>
      <c r="BE24" s="139">
        <v>0</v>
      </c>
      <c r="BF24" s="139">
        <v>0</v>
      </c>
      <c r="BG24" s="139">
        <v>0</v>
      </c>
      <c r="BH24" s="139">
        <v>0</v>
      </c>
      <c r="BI24" s="139">
        <v>0</v>
      </c>
      <c r="BJ24" s="139">
        <v>0</v>
      </c>
      <c r="BK24" s="139">
        <v>0</v>
      </c>
      <c r="BL24" s="139">
        <v>0</v>
      </c>
      <c r="BM24" s="139">
        <v>0</v>
      </c>
      <c r="BN24" s="139">
        <v>0</v>
      </c>
      <c r="BO24" s="139">
        <v>0</v>
      </c>
      <c r="BQ24" s="155">
        <f t="shared" si="1"/>
        <v>200</v>
      </c>
      <c r="BR24" s="155">
        <f t="shared" si="2"/>
        <v>0</v>
      </c>
      <c r="BS24" s="155">
        <f t="shared" si="3"/>
        <v>0</v>
      </c>
      <c r="BT24" s="155">
        <f t="shared" si="4"/>
        <v>0</v>
      </c>
      <c r="BU24" s="155">
        <f t="shared" si="5"/>
        <v>0</v>
      </c>
    </row>
    <row r="25" spans="2:73" s="155" customFormat="1">
      <c r="C25" s="155" t="s">
        <v>549</v>
      </c>
      <c r="H25" s="155">
        <f>SUBTOTAL(9,H26:H27)</f>
        <v>100</v>
      </c>
      <c r="I25" s="155">
        <f t="shared" ref="I25:BO25" si="9">SUBTOTAL(9,I26:I27)</f>
        <v>0</v>
      </c>
      <c r="J25" s="155">
        <f t="shared" si="9"/>
        <v>0</v>
      </c>
      <c r="K25" s="155">
        <f t="shared" si="9"/>
        <v>0</v>
      </c>
      <c r="L25" s="155">
        <f t="shared" si="9"/>
        <v>0</v>
      </c>
      <c r="M25" s="155">
        <f t="shared" si="9"/>
        <v>0</v>
      </c>
      <c r="N25" s="155">
        <f t="shared" si="9"/>
        <v>0</v>
      </c>
      <c r="O25" s="155">
        <f t="shared" si="9"/>
        <v>0</v>
      </c>
      <c r="P25" s="155">
        <f t="shared" si="9"/>
        <v>0</v>
      </c>
      <c r="Q25" s="155">
        <f t="shared" si="9"/>
        <v>0</v>
      </c>
      <c r="R25" s="155">
        <f t="shared" si="9"/>
        <v>0</v>
      </c>
      <c r="S25" s="155">
        <f t="shared" si="9"/>
        <v>0</v>
      </c>
      <c r="T25" s="155">
        <f t="shared" si="9"/>
        <v>0</v>
      </c>
      <c r="U25" s="155">
        <f t="shared" si="9"/>
        <v>0</v>
      </c>
      <c r="V25" s="155">
        <f t="shared" si="9"/>
        <v>0</v>
      </c>
      <c r="W25" s="155">
        <f t="shared" si="9"/>
        <v>0</v>
      </c>
      <c r="X25" s="155">
        <f t="shared" si="9"/>
        <v>0</v>
      </c>
      <c r="Y25" s="155">
        <f t="shared" si="9"/>
        <v>0</v>
      </c>
      <c r="Z25" s="155">
        <f t="shared" si="9"/>
        <v>0</v>
      </c>
      <c r="AA25" s="155">
        <f t="shared" si="9"/>
        <v>0</v>
      </c>
      <c r="AB25" s="155">
        <f t="shared" si="9"/>
        <v>0</v>
      </c>
      <c r="AC25" s="155">
        <f t="shared" si="9"/>
        <v>0</v>
      </c>
      <c r="AD25" s="155">
        <f t="shared" si="9"/>
        <v>0</v>
      </c>
      <c r="AE25" s="155">
        <f t="shared" si="9"/>
        <v>0</v>
      </c>
      <c r="AF25" s="155">
        <f t="shared" si="9"/>
        <v>0</v>
      </c>
      <c r="AG25" s="155">
        <f t="shared" si="9"/>
        <v>0</v>
      </c>
      <c r="AH25" s="155">
        <f t="shared" si="9"/>
        <v>0</v>
      </c>
      <c r="AI25" s="155">
        <f t="shared" si="9"/>
        <v>0</v>
      </c>
      <c r="AJ25" s="155">
        <f t="shared" si="9"/>
        <v>0</v>
      </c>
      <c r="AK25" s="155">
        <f t="shared" si="9"/>
        <v>0</v>
      </c>
      <c r="AL25" s="155">
        <f t="shared" si="9"/>
        <v>0</v>
      </c>
      <c r="AM25" s="155">
        <f t="shared" si="9"/>
        <v>0</v>
      </c>
      <c r="AN25" s="155">
        <f t="shared" si="9"/>
        <v>0</v>
      </c>
      <c r="AO25" s="155">
        <f t="shared" si="9"/>
        <v>0</v>
      </c>
      <c r="AP25" s="155">
        <f t="shared" si="9"/>
        <v>0</v>
      </c>
      <c r="AQ25" s="155">
        <f t="shared" si="9"/>
        <v>0</v>
      </c>
      <c r="AR25" s="155">
        <f t="shared" si="9"/>
        <v>0</v>
      </c>
      <c r="AS25" s="155">
        <f t="shared" si="9"/>
        <v>0</v>
      </c>
      <c r="AT25" s="155">
        <f t="shared" si="9"/>
        <v>0</v>
      </c>
      <c r="AU25" s="155">
        <f t="shared" si="9"/>
        <v>0</v>
      </c>
      <c r="AV25" s="155">
        <f t="shared" si="9"/>
        <v>0</v>
      </c>
      <c r="AW25" s="155">
        <f t="shared" si="9"/>
        <v>0</v>
      </c>
      <c r="AX25" s="155">
        <f t="shared" si="9"/>
        <v>0</v>
      </c>
      <c r="AY25" s="155">
        <f t="shared" si="9"/>
        <v>0</v>
      </c>
      <c r="AZ25" s="155">
        <f t="shared" si="9"/>
        <v>0</v>
      </c>
      <c r="BA25" s="155">
        <f t="shared" si="9"/>
        <v>0</v>
      </c>
      <c r="BB25" s="155">
        <f t="shared" si="9"/>
        <v>0</v>
      </c>
      <c r="BC25" s="155">
        <f t="shared" si="9"/>
        <v>0</v>
      </c>
      <c r="BD25" s="155">
        <f t="shared" si="9"/>
        <v>0</v>
      </c>
      <c r="BE25" s="155">
        <f t="shared" si="9"/>
        <v>0</v>
      </c>
      <c r="BF25" s="155">
        <f t="shared" si="9"/>
        <v>0</v>
      </c>
      <c r="BG25" s="155">
        <f t="shared" si="9"/>
        <v>0</v>
      </c>
      <c r="BH25" s="155">
        <f t="shared" si="9"/>
        <v>0</v>
      </c>
      <c r="BI25" s="155">
        <f t="shared" si="9"/>
        <v>0</v>
      </c>
      <c r="BJ25" s="155">
        <f t="shared" si="9"/>
        <v>0</v>
      </c>
      <c r="BK25" s="155">
        <f t="shared" si="9"/>
        <v>0</v>
      </c>
      <c r="BL25" s="155">
        <f t="shared" si="9"/>
        <v>0</v>
      </c>
      <c r="BM25" s="155">
        <f t="shared" si="9"/>
        <v>0</v>
      </c>
      <c r="BN25" s="155">
        <f t="shared" si="9"/>
        <v>0</v>
      </c>
      <c r="BO25" s="155">
        <f t="shared" si="9"/>
        <v>0</v>
      </c>
      <c r="BQ25" s="155">
        <f t="shared" si="1"/>
        <v>100</v>
      </c>
      <c r="BR25" s="155">
        <f t="shared" si="2"/>
        <v>0</v>
      </c>
      <c r="BS25" s="155">
        <f t="shared" si="3"/>
        <v>0</v>
      </c>
      <c r="BT25" s="155">
        <f t="shared" si="4"/>
        <v>0</v>
      </c>
      <c r="BU25" s="155">
        <f t="shared" si="5"/>
        <v>0</v>
      </c>
    </row>
    <row r="26" spans="2:73">
      <c r="D26" s="139" t="s">
        <v>550</v>
      </c>
      <c r="H26" s="139">
        <v>100</v>
      </c>
      <c r="I26" s="139">
        <v>0</v>
      </c>
      <c r="J26" s="139">
        <v>0</v>
      </c>
      <c r="K26" s="139">
        <v>0</v>
      </c>
      <c r="L26" s="139">
        <v>0</v>
      </c>
      <c r="M26" s="139">
        <v>0</v>
      </c>
      <c r="N26" s="139">
        <v>0</v>
      </c>
      <c r="O26" s="139">
        <v>0</v>
      </c>
      <c r="P26" s="139">
        <v>0</v>
      </c>
      <c r="Q26" s="139">
        <v>0</v>
      </c>
      <c r="R26" s="139">
        <v>0</v>
      </c>
      <c r="S26" s="139">
        <v>0</v>
      </c>
      <c r="T26" s="139">
        <v>0</v>
      </c>
      <c r="U26" s="139">
        <v>0</v>
      </c>
      <c r="V26" s="139">
        <v>0</v>
      </c>
      <c r="W26" s="139">
        <v>0</v>
      </c>
      <c r="X26" s="139">
        <v>0</v>
      </c>
      <c r="Y26" s="139">
        <v>0</v>
      </c>
      <c r="Z26" s="139">
        <v>0</v>
      </c>
      <c r="AA26" s="139">
        <v>0</v>
      </c>
      <c r="AB26" s="139">
        <v>0</v>
      </c>
      <c r="AC26" s="139">
        <v>0</v>
      </c>
      <c r="AD26" s="139">
        <v>0</v>
      </c>
      <c r="AE26" s="139">
        <v>0</v>
      </c>
      <c r="AF26" s="139">
        <v>0</v>
      </c>
      <c r="AG26" s="139">
        <v>0</v>
      </c>
      <c r="AH26" s="139">
        <v>0</v>
      </c>
      <c r="AI26" s="139">
        <v>0</v>
      </c>
      <c r="AJ26" s="139">
        <v>0</v>
      </c>
      <c r="AK26" s="139">
        <v>0</v>
      </c>
      <c r="AL26" s="139">
        <v>0</v>
      </c>
      <c r="AM26" s="139">
        <v>0</v>
      </c>
      <c r="AN26" s="139">
        <v>0</v>
      </c>
      <c r="AO26" s="139">
        <v>0</v>
      </c>
      <c r="AP26" s="139">
        <v>0</v>
      </c>
      <c r="AQ26" s="139">
        <v>0</v>
      </c>
      <c r="AR26" s="139">
        <v>0</v>
      </c>
      <c r="AS26" s="139">
        <v>0</v>
      </c>
      <c r="AT26" s="139">
        <v>0</v>
      </c>
      <c r="AU26" s="139">
        <v>0</v>
      </c>
      <c r="AV26" s="139">
        <v>0</v>
      </c>
      <c r="AW26" s="139">
        <v>0</v>
      </c>
      <c r="AX26" s="139">
        <v>0</v>
      </c>
      <c r="AY26" s="139">
        <v>0</v>
      </c>
      <c r="AZ26" s="139">
        <v>0</v>
      </c>
      <c r="BA26" s="139">
        <v>0</v>
      </c>
      <c r="BB26" s="139">
        <v>0</v>
      </c>
      <c r="BC26" s="139">
        <v>0</v>
      </c>
      <c r="BD26" s="139">
        <v>0</v>
      </c>
      <c r="BE26" s="139">
        <v>0</v>
      </c>
      <c r="BF26" s="139">
        <v>0</v>
      </c>
      <c r="BG26" s="139">
        <v>0</v>
      </c>
      <c r="BH26" s="139">
        <v>0</v>
      </c>
      <c r="BI26" s="139">
        <v>0</v>
      </c>
      <c r="BJ26" s="139">
        <v>0</v>
      </c>
      <c r="BK26" s="139">
        <v>0</v>
      </c>
      <c r="BL26" s="139">
        <v>0</v>
      </c>
      <c r="BM26" s="139">
        <v>0</v>
      </c>
      <c r="BN26" s="139">
        <v>0</v>
      </c>
      <c r="BO26" s="139">
        <v>0</v>
      </c>
      <c r="BQ26" s="155">
        <f t="shared" si="1"/>
        <v>100</v>
      </c>
      <c r="BR26" s="155">
        <f t="shared" si="2"/>
        <v>0</v>
      </c>
      <c r="BS26" s="155">
        <f t="shared" si="3"/>
        <v>0</v>
      </c>
      <c r="BT26" s="155">
        <f t="shared" si="4"/>
        <v>0</v>
      </c>
      <c r="BU26" s="155">
        <f t="shared" si="5"/>
        <v>0</v>
      </c>
    </row>
    <row r="27" spans="2:73">
      <c r="D27" s="139" t="s">
        <v>544</v>
      </c>
      <c r="H27" s="139">
        <v>0</v>
      </c>
      <c r="I27" s="139">
        <v>0</v>
      </c>
      <c r="J27" s="139">
        <v>0</v>
      </c>
      <c r="K27" s="139">
        <v>0</v>
      </c>
      <c r="L27" s="139">
        <v>0</v>
      </c>
      <c r="M27" s="139">
        <v>0</v>
      </c>
      <c r="N27" s="139">
        <v>0</v>
      </c>
      <c r="O27" s="139">
        <v>0</v>
      </c>
      <c r="P27" s="139">
        <v>0</v>
      </c>
      <c r="Q27" s="139">
        <v>0</v>
      </c>
      <c r="R27" s="139">
        <v>0</v>
      </c>
      <c r="S27" s="139">
        <v>0</v>
      </c>
      <c r="T27" s="139">
        <v>0</v>
      </c>
      <c r="U27" s="139">
        <v>0</v>
      </c>
      <c r="V27" s="139">
        <v>0</v>
      </c>
      <c r="W27" s="139">
        <v>0</v>
      </c>
      <c r="X27" s="139">
        <v>0</v>
      </c>
      <c r="Y27" s="139">
        <v>0</v>
      </c>
      <c r="Z27" s="139">
        <v>0</v>
      </c>
      <c r="AA27" s="139">
        <v>0</v>
      </c>
      <c r="AB27" s="139">
        <v>0</v>
      </c>
      <c r="AC27" s="139">
        <v>0</v>
      </c>
      <c r="AD27" s="139">
        <v>0</v>
      </c>
      <c r="AE27" s="139">
        <v>0</v>
      </c>
      <c r="AF27" s="139">
        <v>0</v>
      </c>
      <c r="AG27" s="139">
        <v>0</v>
      </c>
      <c r="AH27" s="139">
        <v>0</v>
      </c>
      <c r="AI27" s="139">
        <v>0</v>
      </c>
      <c r="AJ27" s="139">
        <v>0</v>
      </c>
      <c r="AK27" s="139">
        <v>0</v>
      </c>
      <c r="AL27" s="139">
        <v>0</v>
      </c>
      <c r="AM27" s="139">
        <v>0</v>
      </c>
      <c r="AN27" s="139">
        <v>0</v>
      </c>
      <c r="AO27" s="139">
        <v>0</v>
      </c>
      <c r="AP27" s="139">
        <v>0</v>
      </c>
      <c r="AQ27" s="139">
        <v>0</v>
      </c>
      <c r="AR27" s="139">
        <v>0</v>
      </c>
      <c r="AS27" s="139">
        <v>0</v>
      </c>
      <c r="AT27" s="139">
        <v>0</v>
      </c>
      <c r="AU27" s="139">
        <v>0</v>
      </c>
      <c r="AV27" s="139">
        <v>0</v>
      </c>
      <c r="AW27" s="139">
        <v>0</v>
      </c>
      <c r="AX27" s="139">
        <v>0</v>
      </c>
      <c r="AY27" s="139">
        <v>0</v>
      </c>
      <c r="AZ27" s="139">
        <v>0</v>
      </c>
      <c r="BA27" s="139">
        <v>0</v>
      </c>
      <c r="BB27" s="139">
        <v>0</v>
      </c>
      <c r="BC27" s="139">
        <v>0</v>
      </c>
      <c r="BD27" s="139">
        <v>0</v>
      </c>
      <c r="BE27" s="139">
        <v>0</v>
      </c>
      <c r="BF27" s="139">
        <v>0</v>
      </c>
      <c r="BG27" s="139">
        <v>0</v>
      </c>
      <c r="BH27" s="139">
        <v>0</v>
      </c>
      <c r="BI27" s="139">
        <v>0</v>
      </c>
      <c r="BJ27" s="139">
        <v>0</v>
      </c>
      <c r="BK27" s="139">
        <v>0</v>
      </c>
      <c r="BL27" s="139">
        <v>0</v>
      </c>
      <c r="BM27" s="139">
        <v>0</v>
      </c>
      <c r="BN27" s="139">
        <v>0</v>
      </c>
      <c r="BO27" s="139">
        <v>0</v>
      </c>
      <c r="BQ27" s="155">
        <f t="shared" si="1"/>
        <v>0</v>
      </c>
      <c r="BR27" s="155">
        <f t="shared" si="2"/>
        <v>0</v>
      </c>
      <c r="BS27" s="155">
        <f t="shared" si="3"/>
        <v>0</v>
      </c>
      <c r="BT27" s="155">
        <f t="shared" si="4"/>
        <v>0</v>
      </c>
      <c r="BU27" s="155">
        <f t="shared" si="5"/>
        <v>0</v>
      </c>
    </row>
    <row r="29" spans="2:73">
      <c r="H29" s="298" t="s">
        <v>379</v>
      </c>
      <c r="I29" s="298"/>
      <c r="J29" s="298"/>
      <c r="K29" s="298"/>
      <c r="L29" s="298"/>
      <c r="M29" s="298"/>
      <c r="N29" s="298"/>
      <c r="O29" s="298"/>
      <c r="P29" s="298"/>
      <c r="Q29" s="298"/>
      <c r="R29" s="298"/>
      <c r="S29" s="298"/>
      <c r="T29" s="192" t="s">
        <v>380</v>
      </c>
      <c r="U29" s="192"/>
      <c r="V29" s="192"/>
      <c r="W29" s="192"/>
      <c r="X29" s="192"/>
      <c r="Y29" s="192"/>
      <c r="Z29" s="192"/>
      <c r="AA29" s="192"/>
      <c r="AB29" s="192"/>
      <c r="AC29" s="192"/>
      <c r="AD29" s="192"/>
      <c r="AE29" s="192"/>
      <c r="AF29" s="299" t="s">
        <v>381</v>
      </c>
      <c r="AG29" s="299"/>
      <c r="AH29" s="299"/>
      <c r="AI29" s="299"/>
      <c r="AJ29" s="299"/>
      <c r="AK29" s="299"/>
      <c r="AL29" s="299"/>
      <c r="AM29" s="299"/>
      <c r="AN29" s="299"/>
      <c r="AO29" s="299"/>
      <c r="AP29" s="299"/>
      <c r="AQ29" s="299"/>
      <c r="AR29" s="300" t="s">
        <v>382</v>
      </c>
      <c r="AS29" s="300"/>
      <c r="AT29" s="300"/>
      <c r="AU29" s="300"/>
      <c r="AV29" s="300"/>
      <c r="AW29" s="300"/>
      <c r="AX29" s="300"/>
      <c r="AY29" s="300"/>
      <c r="AZ29" s="300"/>
      <c r="BA29" s="300"/>
      <c r="BB29" s="300"/>
      <c r="BC29" s="300"/>
      <c r="BD29" s="301" t="s">
        <v>383</v>
      </c>
      <c r="BE29" s="302"/>
      <c r="BF29" s="302"/>
      <c r="BG29" s="302"/>
      <c r="BH29" s="302"/>
      <c r="BI29" s="302"/>
      <c r="BJ29" s="302"/>
      <c r="BK29" s="302"/>
      <c r="BL29" s="302"/>
      <c r="BM29" s="302"/>
      <c r="BN29" s="302"/>
      <c r="BO29" s="302"/>
    </row>
    <row r="30" spans="2:73" ht="13.8" thickBot="1">
      <c r="B30" s="157" t="s">
        <v>384</v>
      </c>
      <c r="C30" s="304"/>
      <c r="D30" s="304"/>
      <c r="E30" s="304"/>
      <c r="F30" s="304"/>
      <c r="G30" s="304"/>
      <c r="H30" s="304" t="s">
        <v>367</v>
      </c>
      <c r="I30" s="304" t="s">
        <v>368</v>
      </c>
      <c r="J30" s="304" t="s">
        <v>369</v>
      </c>
      <c r="K30" s="304" t="s">
        <v>370</v>
      </c>
      <c r="L30" s="304" t="s">
        <v>371</v>
      </c>
      <c r="M30" s="304" t="s">
        <v>372</v>
      </c>
      <c r="N30" s="304" t="s">
        <v>373</v>
      </c>
      <c r="O30" s="304" t="s">
        <v>374</v>
      </c>
      <c r="P30" s="304" t="s">
        <v>375</v>
      </c>
      <c r="Q30" s="304" t="s">
        <v>376</v>
      </c>
      <c r="R30" s="304" t="s">
        <v>377</v>
      </c>
      <c r="S30" s="304" t="s">
        <v>378</v>
      </c>
      <c r="T30" s="304" t="s">
        <v>385</v>
      </c>
      <c r="U30" s="304" t="s">
        <v>386</v>
      </c>
      <c r="V30" s="304" t="s">
        <v>387</v>
      </c>
      <c r="W30" s="304" t="s">
        <v>388</v>
      </c>
      <c r="X30" s="304" t="s">
        <v>389</v>
      </c>
      <c r="Y30" s="304" t="s">
        <v>390</v>
      </c>
      <c r="Z30" s="304" t="s">
        <v>391</v>
      </c>
      <c r="AA30" s="304" t="s">
        <v>392</v>
      </c>
      <c r="AB30" s="304" t="s">
        <v>393</v>
      </c>
      <c r="AC30" s="304" t="s">
        <v>394</v>
      </c>
      <c r="AD30" s="304" t="s">
        <v>395</v>
      </c>
      <c r="AE30" s="304" t="s">
        <v>396</v>
      </c>
      <c r="AF30" s="304" t="s">
        <v>397</v>
      </c>
      <c r="AG30" s="304" t="s">
        <v>398</v>
      </c>
      <c r="AH30" s="304" t="s">
        <v>399</v>
      </c>
      <c r="AI30" s="304" t="s">
        <v>400</v>
      </c>
      <c r="AJ30" s="304" t="s">
        <v>401</v>
      </c>
      <c r="AK30" s="304" t="s">
        <v>402</v>
      </c>
      <c r="AL30" s="304" t="s">
        <v>403</v>
      </c>
      <c r="AM30" s="304" t="s">
        <v>404</v>
      </c>
      <c r="AN30" s="304" t="s">
        <v>405</v>
      </c>
      <c r="AO30" s="304" t="s">
        <v>406</v>
      </c>
      <c r="AP30" s="304" t="s">
        <v>407</v>
      </c>
      <c r="AQ30" s="304" t="s">
        <v>408</v>
      </c>
      <c r="AR30" s="304" t="s">
        <v>409</v>
      </c>
      <c r="AS30" s="304" t="s">
        <v>410</v>
      </c>
      <c r="AT30" s="304" t="s">
        <v>411</v>
      </c>
      <c r="AU30" s="304" t="s">
        <v>412</v>
      </c>
      <c r="AV30" s="304" t="s">
        <v>413</v>
      </c>
      <c r="AW30" s="304" t="s">
        <v>414</v>
      </c>
      <c r="AX30" s="304" t="s">
        <v>415</v>
      </c>
      <c r="AY30" s="304" t="s">
        <v>416</v>
      </c>
      <c r="AZ30" s="304" t="s">
        <v>417</v>
      </c>
      <c r="BA30" s="304" t="s">
        <v>418</v>
      </c>
      <c r="BB30" s="304" t="s">
        <v>419</v>
      </c>
      <c r="BC30" s="304" t="s">
        <v>420</v>
      </c>
      <c r="BD30" s="304" t="s">
        <v>421</v>
      </c>
      <c r="BE30" s="304" t="s">
        <v>422</v>
      </c>
      <c r="BF30" s="304" t="s">
        <v>423</v>
      </c>
      <c r="BG30" s="304" t="s">
        <v>424</v>
      </c>
      <c r="BH30" s="304" t="s">
        <v>425</v>
      </c>
      <c r="BI30" s="304" t="s">
        <v>426</v>
      </c>
      <c r="BJ30" s="304" t="s">
        <v>427</v>
      </c>
      <c r="BK30" s="304" t="s">
        <v>428</v>
      </c>
      <c r="BL30" s="304" t="s">
        <v>429</v>
      </c>
      <c r="BM30" s="304" t="s">
        <v>430</v>
      </c>
      <c r="BN30" s="304" t="s">
        <v>431</v>
      </c>
      <c r="BO30" s="304" t="s">
        <v>432</v>
      </c>
      <c r="BQ30" s="304" t="s">
        <v>379</v>
      </c>
      <c r="BR30" s="304" t="s">
        <v>380</v>
      </c>
      <c r="BS30" s="304" t="s">
        <v>381</v>
      </c>
      <c r="BT30" s="304" t="s">
        <v>382</v>
      </c>
      <c r="BU30" s="304" t="s">
        <v>383</v>
      </c>
    </row>
    <row r="31" spans="2:73" s="155" customFormat="1">
      <c r="B31" s="192" t="s">
        <v>1305</v>
      </c>
      <c r="C31" s="192"/>
      <c r="D31" s="192"/>
      <c r="E31" s="192"/>
      <c r="F31" s="192"/>
      <c r="G31" s="316" t="s">
        <v>639</v>
      </c>
    </row>
    <row r="32" spans="2:73" s="155" customFormat="1">
      <c r="C32" s="155" t="s">
        <v>545</v>
      </c>
      <c r="G32" s="155" t="s">
        <v>1306</v>
      </c>
      <c r="H32" s="155">
        <f t="shared" ref="H32:BN32" si="10">SUBTOTAL(9,H33)</f>
        <v>0</v>
      </c>
      <c r="I32" s="155">
        <f t="shared" si="10"/>
        <v>0</v>
      </c>
      <c r="J32" s="155">
        <f t="shared" si="10"/>
        <v>0</v>
      </c>
      <c r="K32" s="155">
        <f t="shared" si="10"/>
        <v>0</v>
      </c>
      <c r="L32" s="155">
        <f t="shared" si="10"/>
        <v>0</v>
      </c>
      <c r="M32" s="155">
        <f t="shared" si="10"/>
        <v>0</v>
      </c>
      <c r="N32" s="155">
        <f t="shared" si="10"/>
        <v>5778.2999999999993</v>
      </c>
      <c r="O32" s="155">
        <f t="shared" si="10"/>
        <v>0</v>
      </c>
      <c r="P32" s="155">
        <f t="shared" si="10"/>
        <v>0</v>
      </c>
      <c r="Q32" s="155">
        <f t="shared" si="10"/>
        <v>0</v>
      </c>
      <c r="R32" s="155">
        <f t="shared" si="10"/>
        <v>0</v>
      </c>
      <c r="S32" s="155">
        <f t="shared" si="10"/>
        <v>0</v>
      </c>
      <c r="T32" s="155">
        <f t="shared" si="10"/>
        <v>1359.6</v>
      </c>
      <c r="U32" s="155">
        <f t="shared" si="10"/>
        <v>0</v>
      </c>
      <c r="V32" s="155">
        <f t="shared" si="10"/>
        <v>0</v>
      </c>
      <c r="W32" s="155">
        <f t="shared" si="10"/>
        <v>0</v>
      </c>
      <c r="X32" s="155">
        <f t="shared" si="10"/>
        <v>0</v>
      </c>
      <c r="Y32" s="155">
        <f t="shared" si="10"/>
        <v>0</v>
      </c>
      <c r="Z32" s="155">
        <f t="shared" si="10"/>
        <v>1699.5</v>
      </c>
      <c r="AA32" s="155">
        <f t="shared" si="10"/>
        <v>0</v>
      </c>
      <c r="AB32" s="155">
        <f t="shared" si="10"/>
        <v>0</v>
      </c>
      <c r="AC32" s="155">
        <f t="shared" si="10"/>
        <v>0</v>
      </c>
      <c r="AD32" s="155">
        <f t="shared" si="10"/>
        <v>0</v>
      </c>
      <c r="AE32" s="155">
        <f t="shared" si="10"/>
        <v>0</v>
      </c>
      <c r="AF32" s="155">
        <f t="shared" si="10"/>
        <v>1359.6</v>
      </c>
      <c r="AG32" s="155">
        <f t="shared" si="10"/>
        <v>0</v>
      </c>
      <c r="AH32" s="155">
        <f t="shared" si="10"/>
        <v>0</v>
      </c>
      <c r="AI32" s="155">
        <f t="shared" si="10"/>
        <v>0</v>
      </c>
      <c r="AJ32" s="155">
        <f t="shared" si="10"/>
        <v>0</v>
      </c>
      <c r="AK32" s="155">
        <f t="shared" si="10"/>
        <v>0</v>
      </c>
      <c r="AL32" s="155">
        <f t="shared" si="10"/>
        <v>1699.5</v>
      </c>
      <c r="AM32" s="155">
        <f t="shared" si="10"/>
        <v>0</v>
      </c>
      <c r="AN32" s="155">
        <f t="shared" si="10"/>
        <v>0</v>
      </c>
      <c r="AO32" s="155">
        <f t="shared" si="10"/>
        <v>0</v>
      </c>
      <c r="AP32" s="155">
        <f t="shared" si="10"/>
        <v>0</v>
      </c>
      <c r="AQ32" s="155">
        <f t="shared" si="10"/>
        <v>0</v>
      </c>
      <c r="AR32" s="155">
        <f t="shared" si="10"/>
        <v>1699.5</v>
      </c>
      <c r="AS32" s="155">
        <f t="shared" si="10"/>
        <v>0</v>
      </c>
      <c r="AT32" s="155">
        <f t="shared" si="10"/>
        <v>0</v>
      </c>
      <c r="AU32" s="155">
        <f t="shared" si="10"/>
        <v>0</v>
      </c>
      <c r="AV32" s="155">
        <f t="shared" si="10"/>
        <v>0</v>
      </c>
      <c r="AW32" s="155">
        <f t="shared" si="10"/>
        <v>0</v>
      </c>
      <c r="AX32" s="155">
        <f t="shared" si="10"/>
        <v>1699.5</v>
      </c>
      <c r="AY32" s="155">
        <f t="shared" si="10"/>
        <v>0</v>
      </c>
      <c r="AZ32" s="155">
        <f t="shared" si="10"/>
        <v>0</v>
      </c>
      <c r="BA32" s="155">
        <f t="shared" si="10"/>
        <v>0</v>
      </c>
      <c r="BB32" s="155">
        <f t="shared" si="10"/>
        <v>0</v>
      </c>
      <c r="BC32" s="155">
        <f t="shared" si="10"/>
        <v>0</v>
      </c>
      <c r="BD32" s="155">
        <f t="shared" si="10"/>
        <v>0</v>
      </c>
      <c r="BE32" s="155">
        <f t="shared" si="10"/>
        <v>0</v>
      </c>
      <c r="BF32" s="155">
        <f t="shared" si="10"/>
        <v>0</v>
      </c>
      <c r="BG32" s="155">
        <f t="shared" si="10"/>
        <v>0</v>
      </c>
      <c r="BH32" s="155">
        <f t="shared" si="10"/>
        <v>0</v>
      </c>
      <c r="BI32" s="155">
        <f t="shared" si="10"/>
        <v>0</v>
      </c>
      <c r="BJ32" s="155">
        <f t="shared" si="10"/>
        <v>0</v>
      </c>
      <c r="BK32" s="155">
        <f t="shared" si="10"/>
        <v>0</v>
      </c>
      <c r="BL32" s="155">
        <f t="shared" si="10"/>
        <v>0</v>
      </c>
      <c r="BM32" s="155">
        <f t="shared" si="10"/>
        <v>0</v>
      </c>
      <c r="BN32" s="155">
        <f t="shared" si="10"/>
        <v>0</v>
      </c>
      <c r="BO32" s="155">
        <f>SUBTOTAL(9,BO33)</f>
        <v>0</v>
      </c>
      <c r="BQ32" s="155">
        <f>SUM(H32:S32)</f>
        <v>5778.2999999999993</v>
      </c>
      <c r="BR32" s="155">
        <f>SUM(T32:AE32)</f>
        <v>3059.1</v>
      </c>
      <c r="BS32" s="155">
        <f>SUM(AF32:AQ32)</f>
        <v>3059.1</v>
      </c>
      <c r="BT32" s="155">
        <f>SUM(AR32:BC32)</f>
        <v>3399</v>
      </c>
      <c r="BU32" s="155">
        <f>SUM(BD32:BO32)</f>
        <v>0</v>
      </c>
    </row>
    <row r="33" spans="3:73">
      <c r="D33" s="139" t="s">
        <v>545</v>
      </c>
      <c r="H33" s="155">
        <f>IS_Others!L122</f>
        <v>0</v>
      </c>
      <c r="I33" s="155">
        <f>IS_Others!M122</f>
        <v>0</v>
      </c>
      <c r="J33" s="155">
        <f>IS_Others!N122</f>
        <v>0</v>
      </c>
      <c r="K33" s="155">
        <f>IS_Others!O122</f>
        <v>0</v>
      </c>
      <c r="L33" s="155">
        <f>IS_Others!P122</f>
        <v>0</v>
      </c>
      <c r="M33" s="155">
        <f>IS_Others!Q122</f>
        <v>0</v>
      </c>
      <c r="N33" s="155">
        <f>IS_Others!R122</f>
        <v>5778.2999999999993</v>
      </c>
      <c r="O33" s="155">
        <f>IS_Others!S122</f>
        <v>0</v>
      </c>
      <c r="P33" s="155">
        <f>IS_Others!T122</f>
        <v>0</v>
      </c>
      <c r="Q33" s="155">
        <f>IS_Others!U122</f>
        <v>0</v>
      </c>
      <c r="R33" s="155">
        <f>IS_Others!V122</f>
        <v>0</v>
      </c>
      <c r="S33" s="155">
        <f>IS_Others!W122</f>
        <v>0</v>
      </c>
      <c r="T33" s="155">
        <f>IS_Others!X122</f>
        <v>1359.6</v>
      </c>
      <c r="U33" s="155">
        <f>IS_Others!Y122</f>
        <v>0</v>
      </c>
      <c r="V33" s="155">
        <f>IS_Others!Z122</f>
        <v>0</v>
      </c>
      <c r="W33" s="155">
        <f>IS_Others!AA122</f>
        <v>0</v>
      </c>
      <c r="X33" s="155">
        <f>IS_Others!AB122</f>
        <v>0</v>
      </c>
      <c r="Y33" s="155">
        <f>IS_Others!AC122</f>
        <v>0</v>
      </c>
      <c r="Z33" s="155">
        <f>IS_Others!AD122</f>
        <v>1699.5</v>
      </c>
      <c r="AA33" s="155">
        <f>IS_Others!AE122</f>
        <v>0</v>
      </c>
      <c r="AB33" s="155">
        <f>IS_Others!AF122</f>
        <v>0</v>
      </c>
      <c r="AC33" s="155">
        <f>IS_Others!AG122</f>
        <v>0</v>
      </c>
      <c r="AD33" s="155">
        <f>IS_Others!AH122</f>
        <v>0</v>
      </c>
      <c r="AE33" s="155">
        <f>IS_Others!AI122</f>
        <v>0</v>
      </c>
      <c r="AF33" s="155">
        <f>IS_Others!AJ122</f>
        <v>1359.6</v>
      </c>
      <c r="AG33" s="155">
        <f>IS_Others!AK122</f>
        <v>0</v>
      </c>
      <c r="AH33" s="155">
        <f>IS_Others!AL122</f>
        <v>0</v>
      </c>
      <c r="AI33" s="155">
        <f>IS_Others!AM122</f>
        <v>0</v>
      </c>
      <c r="AJ33" s="155">
        <f>IS_Others!AN122</f>
        <v>0</v>
      </c>
      <c r="AK33" s="155">
        <f>IS_Others!AO122</f>
        <v>0</v>
      </c>
      <c r="AL33" s="155">
        <f>IS_Others!AP122</f>
        <v>1699.5</v>
      </c>
      <c r="AM33" s="155">
        <f>IS_Others!AQ122</f>
        <v>0</v>
      </c>
      <c r="AN33" s="155">
        <f>IS_Others!AR122</f>
        <v>0</v>
      </c>
      <c r="AO33" s="155">
        <f>IS_Others!AS122</f>
        <v>0</v>
      </c>
      <c r="AP33" s="155">
        <f>IS_Others!AT122</f>
        <v>0</v>
      </c>
      <c r="AQ33" s="155">
        <f>IS_Others!AU122</f>
        <v>0</v>
      </c>
      <c r="AR33" s="155">
        <f>IS_Others!AV122</f>
        <v>1699.5</v>
      </c>
      <c r="AS33" s="155">
        <f>IS_Others!AW122</f>
        <v>0</v>
      </c>
      <c r="AT33" s="155">
        <f>IS_Others!AX122</f>
        <v>0</v>
      </c>
      <c r="AU33" s="155">
        <f>IS_Others!AY122</f>
        <v>0</v>
      </c>
      <c r="AV33" s="155">
        <f>IS_Others!AZ122</f>
        <v>0</v>
      </c>
      <c r="AW33" s="155">
        <f>IS_Others!BA122</f>
        <v>0</v>
      </c>
      <c r="AX33" s="155">
        <f>IS_Others!BB122</f>
        <v>1699.5</v>
      </c>
      <c r="AY33" s="155">
        <f>IS_Others!BC122</f>
        <v>0</v>
      </c>
      <c r="AZ33" s="155">
        <f>IS_Others!BD122</f>
        <v>0</v>
      </c>
      <c r="BA33" s="155">
        <f>IS_Others!BE122</f>
        <v>0</v>
      </c>
      <c r="BB33" s="155">
        <f>IS_Others!BF122</f>
        <v>0</v>
      </c>
      <c r="BC33" s="155">
        <f>IS_Others!BG122</f>
        <v>0</v>
      </c>
      <c r="BD33" s="155">
        <f>IS_Others!BH122</f>
        <v>0</v>
      </c>
      <c r="BE33" s="155">
        <f>IS_Others!BI122</f>
        <v>0</v>
      </c>
      <c r="BF33" s="155">
        <f>IS_Others!BJ122</f>
        <v>0</v>
      </c>
      <c r="BG33" s="155">
        <f>IS_Others!BK122</f>
        <v>0</v>
      </c>
      <c r="BH33" s="155">
        <f>IS_Others!BL122</f>
        <v>0</v>
      </c>
      <c r="BI33" s="155">
        <f>IS_Others!BM122</f>
        <v>0</v>
      </c>
      <c r="BJ33" s="155">
        <f>IS_Others!BN122</f>
        <v>0</v>
      </c>
      <c r="BK33" s="155">
        <f>IS_Others!BO122</f>
        <v>0</v>
      </c>
      <c r="BL33" s="155">
        <f>IS_Others!BP122</f>
        <v>0</v>
      </c>
      <c r="BM33" s="155">
        <f>IS_Others!BQ122</f>
        <v>0</v>
      </c>
      <c r="BN33" s="155">
        <f>IS_Others!BR122</f>
        <v>0</v>
      </c>
      <c r="BO33" s="155">
        <f>IS_Others!BS122</f>
        <v>0</v>
      </c>
      <c r="BQ33" s="155">
        <f t="shared" ref="BQ33:BQ53" si="11">SUM(H33:S33)</f>
        <v>5778.2999999999993</v>
      </c>
      <c r="BR33" s="155">
        <f t="shared" ref="BR33:BR53" si="12">SUM(T33:AE33)</f>
        <v>3059.1</v>
      </c>
      <c r="BS33" s="155">
        <f t="shared" ref="BS33:BS53" si="13">SUM(AF33:AQ33)</f>
        <v>3059.1</v>
      </c>
      <c r="BT33" s="155">
        <f t="shared" ref="BT33:BT53" si="14">SUM(AR33:BC33)</f>
        <v>3399</v>
      </c>
      <c r="BU33" s="155">
        <f t="shared" ref="BU33:BU53" si="15">SUM(BD33:BO33)</f>
        <v>0</v>
      </c>
    </row>
    <row r="34" spans="3:73">
      <c r="C34" s="155" t="s">
        <v>546</v>
      </c>
      <c r="D34" s="155"/>
      <c r="G34" s="155" t="s">
        <v>1307</v>
      </c>
      <c r="H34" s="155">
        <f t="shared" ref="H34:BN34" si="16">SUBTOTAL(9,H35:H40)</f>
        <v>320</v>
      </c>
      <c r="I34" s="155">
        <f t="shared" si="16"/>
        <v>0</v>
      </c>
      <c r="J34" s="155">
        <f t="shared" si="16"/>
        <v>0</v>
      </c>
      <c r="K34" s="155">
        <f t="shared" si="16"/>
        <v>0</v>
      </c>
      <c r="L34" s="155">
        <f t="shared" si="16"/>
        <v>0</v>
      </c>
      <c r="M34" s="155">
        <f t="shared" si="16"/>
        <v>0</v>
      </c>
      <c r="N34" s="155">
        <f t="shared" si="16"/>
        <v>0</v>
      </c>
      <c r="O34" s="155">
        <f t="shared" si="16"/>
        <v>0</v>
      </c>
      <c r="P34" s="155">
        <f t="shared" si="16"/>
        <v>0</v>
      </c>
      <c r="Q34" s="155">
        <f t="shared" si="16"/>
        <v>0</v>
      </c>
      <c r="R34" s="155">
        <f t="shared" si="16"/>
        <v>0</v>
      </c>
      <c r="S34" s="155">
        <f t="shared" si="16"/>
        <v>0</v>
      </c>
      <c r="T34" s="155">
        <f t="shared" si="16"/>
        <v>0</v>
      </c>
      <c r="U34" s="155">
        <f t="shared" si="16"/>
        <v>0</v>
      </c>
      <c r="V34" s="155">
        <f t="shared" si="16"/>
        <v>0</v>
      </c>
      <c r="W34" s="155">
        <f t="shared" si="16"/>
        <v>0</v>
      </c>
      <c r="X34" s="155">
        <f t="shared" si="16"/>
        <v>0</v>
      </c>
      <c r="Y34" s="155">
        <f t="shared" si="16"/>
        <v>0</v>
      </c>
      <c r="Z34" s="155">
        <f t="shared" si="16"/>
        <v>0</v>
      </c>
      <c r="AA34" s="155">
        <f t="shared" si="16"/>
        <v>0</v>
      </c>
      <c r="AB34" s="155">
        <f t="shared" si="16"/>
        <v>0</v>
      </c>
      <c r="AC34" s="155">
        <f t="shared" si="16"/>
        <v>0</v>
      </c>
      <c r="AD34" s="155">
        <f t="shared" si="16"/>
        <v>0</v>
      </c>
      <c r="AE34" s="155">
        <f t="shared" si="16"/>
        <v>0</v>
      </c>
      <c r="AF34" s="155">
        <f t="shared" si="16"/>
        <v>0</v>
      </c>
      <c r="AG34" s="155">
        <f t="shared" si="16"/>
        <v>0</v>
      </c>
      <c r="AH34" s="155">
        <f t="shared" si="16"/>
        <v>0</v>
      </c>
      <c r="AI34" s="155">
        <f t="shared" si="16"/>
        <v>0</v>
      </c>
      <c r="AJ34" s="155">
        <f t="shared" si="16"/>
        <v>0</v>
      </c>
      <c r="AK34" s="155">
        <f t="shared" si="16"/>
        <v>0</v>
      </c>
      <c r="AL34" s="155">
        <f t="shared" si="16"/>
        <v>0</v>
      </c>
      <c r="AM34" s="155">
        <f t="shared" si="16"/>
        <v>0</v>
      </c>
      <c r="AN34" s="155">
        <f t="shared" si="16"/>
        <v>0</v>
      </c>
      <c r="AO34" s="155">
        <f t="shared" si="16"/>
        <v>0</v>
      </c>
      <c r="AP34" s="155">
        <f t="shared" si="16"/>
        <v>0</v>
      </c>
      <c r="AQ34" s="155">
        <f t="shared" si="16"/>
        <v>0</v>
      </c>
      <c r="AR34" s="155">
        <f t="shared" si="16"/>
        <v>0</v>
      </c>
      <c r="AS34" s="155">
        <f t="shared" si="16"/>
        <v>0</v>
      </c>
      <c r="AT34" s="155">
        <f t="shared" si="16"/>
        <v>0</v>
      </c>
      <c r="AU34" s="155">
        <f t="shared" si="16"/>
        <v>0</v>
      </c>
      <c r="AV34" s="155">
        <f t="shared" si="16"/>
        <v>0</v>
      </c>
      <c r="AW34" s="155">
        <f t="shared" si="16"/>
        <v>0</v>
      </c>
      <c r="AX34" s="155">
        <f t="shared" si="16"/>
        <v>0</v>
      </c>
      <c r="AY34" s="155">
        <f t="shared" si="16"/>
        <v>0</v>
      </c>
      <c r="AZ34" s="155">
        <f t="shared" si="16"/>
        <v>0</v>
      </c>
      <c r="BA34" s="155">
        <f t="shared" si="16"/>
        <v>0</v>
      </c>
      <c r="BB34" s="155">
        <f t="shared" si="16"/>
        <v>0</v>
      </c>
      <c r="BC34" s="155">
        <f t="shared" si="16"/>
        <v>0</v>
      </c>
      <c r="BD34" s="155">
        <f t="shared" si="16"/>
        <v>0</v>
      </c>
      <c r="BE34" s="155">
        <f t="shared" si="16"/>
        <v>0</v>
      </c>
      <c r="BF34" s="155">
        <f t="shared" si="16"/>
        <v>0</v>
      </c>
      <c r="BG34" s="155">
        <f t="shared" si="16"/>
        <v>0</v>
      </c>
      <c r="BH34" s="155">
        <f t="shared" si="16"/>
        <v>0</v>
      </c>
      <c r="BI34" s="155">
        <f t="shared" si="16"/>
        <v>0</v>
      </c>
      <c r="BJ34" s="155">
        <f t="shared" si="16"/>
        <v>0</v>
      </c>
      <c r="BK34" s="155">
        <f t="shared" si="16"/>
        <v>0</v>
      </c>
      <c r="BL34" s="155">
        <f t="shared" si="16"/>
        <v>0</v>
      </c>
      <c r="BM34" s="155">
        <f t="shared" si="16"/>
        <v>0</v>
      </c>
      <c r="BN34" s="155">
        <f t="shared" si="16"/>
        <v>0</v>
      </c>
      <c r="BO34" s="155">
        <f>SUBTOTAL(9,BO35:BO40)</f>
        <v>0</v>
      </c>
      <c r="BQ34" s="155">
        <f t="shared" si="11"/>
        <v>320</v>
      </c>
      <c r="BR34" s="155">
        <f t="shared" si="12"/>
        <v>0</v>
      </c>
      <c r="BS34" s="155">
        <f t="shared" si="13"/>
        <v>0</v>
      </c>
      <c r="BT34" s="155">
        <f t="shared" si="14"/>
        <v>0</v>
      </c>
      <c r="BU34" s="155">
        <f t="shared" si="15"/>
        <v>0</v>
      </c>
    </row>
    <row r="35" spans="3:73">
      <c r="D35" s="139" t="s">
        <v>530</v>
      </c>
      <c r="H35" s="139">
        <f>IS_Others!L129</f>
        <v>200</v>
      </c>
      <c r="I35" s="139">
        <f>IS_Others!M129</f>
        <v>0</v>
      </c>
      <c r="J35" s="139">
        <f>IS_Others!N129</f>
        <v>0</v>
      </c>
      <c r="K35" s="139">
        <f>IS_Others!O129</f>
        <v>0</v>
      </c>
      <c r="L35" s="139">
        <f>IS_Others!P129</f>
        <v>0</v>
      </c>
      <c r="M35" s="139">
        <f>IS_Others!Q129</f>
        <v>0</v>
      </c>
      <c r="N35" s="139">
        <f>IS_Others!R129</f>
        <v>0</v>
      </c>
      <c r="O35" s="139">
        <f>IS_Others!S129</f>
        <v>0</v>
      </c>
      <c r="P35" s="139">
        <f>IS_Others!T129</f>
        <v>0</v>
      </c>
      <c r="Q35" s="139">
        <f>IS_Others!U129</f>
        <v>0</v>
      </c>
      <c r="R35" s="139">
        <f>IS_Others!V129</f>
        <v>0</v>
      </c>
      <c r="S35" s="139">
        <f>IS_Others!W129</f>
        <v>0</v>
      </c>
      <c r="T35" s="139">
        <f>IS_Others!X129</f>
        <v>0</v>
      </c>
      <c r="U35" s="139">
        <f>IS_Others!Y129</f>
        <v>0</v>
      </c>
      <c r="V35" s="139">
        <f>IS_Others!Z129</f>
        <v>0</v>
      </c>
      <c r="W35" s="139">
        <f>IS_Others!AA129</f>
        <v>0</v>
      </c>
      <c r="X35" s="139">
        <f>IS_Others!AB129</f>
        <v>0</v>
      </c>
      <c r="Y35" s="139">
        <f>IS_Others!AC129</f>
        <v>0</v>
      </c>
      <c r="Z35" s="139">
        <f>IS_Others!AD129</f>
        <v>0</v>
      </c>
      <c r="AA35" s="139">
        <f>IS_Others!AE129</f>
        <v>0</v>
      </c>
      <c r="AB35" s="139">
        <f>IS_Others!AF129</f>
        <v>0</v>
      </c>
      <c r="AC35" s="139">
        <f>IS_Others!AG129</f>
        <v>0</v>
      </c>
      <c r="AD35" s="139">
        <f>IS_Others!AH129</f>
        <v>0</v>
      </c>
      <c r="AE35" s="139">
        <f>IS_Others!AI129</f>
        <v>0</v>
      </c>
      <c r="AF35" s="139">
        <f>IS_Others!AJ129</f>
        <v>0</v>
      </c>
      <c r="AG35" s="139">
        <f>IS_Others!AK129</f>
        <v>0</v>
      </c>
      <c r="AH35" s="139">
        <f>IS_Others!AL129</f>
        <v>0</v>
      </c>
      <c r="AI35" s="139">
        <f>IS_Others!AM129</f>
        <v>0</v>
      </c>
      <c r="AJ35" s="139">
        <f>IS_Others!AN129</f>
        <v>0</v>
      </c>
      <c r="AK35" s="139">
        <f>IS_Others!AO129</f>
        <v>0</v>
      </c>
      <c r="AL35" s="139">
        <f>IS_Others!AP129</f>
        <v>0</v>
      </c>
      <c r="AM35" s="139">
        <f>IS_Others!AQ129</f>
        <v>0</v>
      </c>
      <c r="AN35" s="139">
        <f>IS_Others!AR129</f>
        <v>0</v>
      </c>
      <c r="AO35" s="139">
        <f>IS_Others!AS129</f>
        <v>0</v>
      </c>
      <c r="AP35" s="139">
        <f>IS_Others!AT129</f>
        <v>0</v>
      </c>
      <c r="AQ35" s="139">
        <f>IS_Others!AU129</f>
        <v>0</v>
      </c>
      <c r="AR35" s="139">
        <f>IS_Others!AV129</f>
        <v>0</v>
      </c>
      <c r="AS35" s="139">
        <f>IS_Others!AW129</f>
        <v>0</v>
      </c>
      <c r="AT35" s="139">
        <f>IS_Others!AX129</f>
        <v>0</v>
      </c>
      <c r="AU35" s="139">
        <f>IS_Others!AY129</f>
        <v>0</v>
      </c>
      <c r="AV35" s="139">
        <f>IS_Others!AZ129</f>
        <v>0</v>
      </c>
      <c r="AW35" s="139">
        <f>IS_Others!BA129</f>
        <v>0</v>
      </c>
      <c r="AX35" s="139">
        <f>IS_Others!BB129</f>
        <v>0</v>
      </c>
      <c r="AY35" s="139">
        <f>IS_Others!BC129</f>
        <v>0</v>
      </c>
      <c r="AZ35" s="139">
        <f>IS_Others!BD129</f>
        <v>0</v>
      </c>
      <c r="BA35" s="139">
        <f>IS_Others!BE129</f>
        <v>0</v>
      </c>
      <c r="BB35" s="139">
        <f>IS_Others!BF129</f>
        <v>0</v>
      </c>
      <c r="BC35" s="139">
        <f>IS_Others!BG129</f>
        <v>0</v>
      </c>
      <c r="BD35" s="139">
        <f>IS_Others!BH129</f>
        <v>0</v>
      </c>
      <c r="BE35" s="139">
        <f>IS_Others!BI129</f>
        <v>0</v>
      </c>
      <c r="BF35" s="139">
        <f>IS_Others!BJ129</f>
        <v>0</v>
      </c>
      <c r="BG35" s="139">
        <f>IS_Others!BK129</f>
        <v>0</v>
      </c>
      <c r="BH35" s="139">
        <f>IS_Others!BL129</f>
        <v>0</v>
      </c>
      <c r="BI35" s="139">
        <f>IS_Others!BM129</f>
        <v>0</v>
      </c>
      <c r="BJ35" s="139">
        <f>IS_Others!BN129</f>
        <v>0</v>
      </c>
      <c r="BK35" s="139">
        <f>IS_Others!BO129</f>
        <v>0</v>
      </c>
      <c r="BL35" s="139">
        <f>IS_Others!BP129</f>
        <v>0</v>
      </c>
      <c r="BM35" s="139">
        <f>IS_Others!BQ129</f>
        <v>0</v>
      </c>
      <c r="BN35" s="139">
        <f>IS_Others!BR129</f>
        <v>0</v>
      </c>
      <c r="BO35" s="139">
        <f>IS_Others!BS129</f>
        <v>0</v>
      </c>
      <c r="BQ35" s="155">
        <f t="shared" si="11"/>
        <v>200</v>
      </c>
      <c r="BR35" s="155">
        <f t="shared" si="12"/>
        <v>0</v>
      </c>
      <c r="BS35" s="155">
        <f t="shared" si="13"/>
        <v>0</v>
      </c>
      <c r="BT35" s="155">
        <f t="shared" si="14"/>
        <v>0</v>
      </c>
      <c r="BU35" s="155">
        <f t="shared" si="15"/>
        <v>0</v>
      </c>
    </row>
    <row r="36" spans="3:73">
      <c r="D36" s="139" t="s">
        <v>531</v>
      </c>
      <c r="H36" s="139">
        <f>IS_Others!L130</f>
        <v>0</v>
      </c>
      <c r="I36" s="139">
        <f>IS_Others!M130</f>
        <v>0</v>
      </c>
      <c r="J36" s="139">
        <f>IS_Others!N130</f>
        <v>0</v>
      </c>
      <c r="K36" s="139">
        <f>IS_Others!O130</f>
        <v>0</v>
      </c>
      <c r="L36" s="139">
        <f>IS_Others!P130</f>
        <v>0</v>
      </c>
      <c r="M36" s="139">
        <f>IS_Others!Q130</f>
        <v>0</v>
      </c>
      <c r="N36" s="139">
        <f>IS_Others!R130</f>
        <v>0</v>
      </c>
      <c r="O36" s="139">
        <f>IS_Others!S130</f>
        <v>0</v>
      </c>
      <c r="P36" s="139">
        <f>IS_Others!T130</f>
        <v>0</v>
      </c>
      <c r="Q36" s="139">
        <f>IS_Others!U130</f>
        <v>0</v>
      </c>
      <c r="R36" s="139">
        <f>IS_Others!V130</f>
        <v>0</v>
      </c>
      <c r="S36" s="139">
        <f>IS_Others!W130</f>
        <v>0</v>
      </c>
      <c r="T36" s="139">
        <f>IS_Others!X130</f>
        <v>0</v>
      </c>
      <c r="U36" s="139">
        <f>IS_Others!Y130</f>
        <v>0</v>
      </c>
      <c r="V36" s="139">
        <f>IS_Others!Z130</f>
        <v>0</v>
      </c>
      <c r="W36" s="139">
        <f>IS_Others!AA130</f>
        <v>0</v>
      </c>
      <c r="X36" s="139">
        <f>IS_Others!AB130</f>
        <v>0</v>
      </c>
      <c r="Y36" s="139">
        <f>IS_Others!AC130</f>
        <v>0</v>
      </c>
      <c r="Z36" s="139">
        <f>IS_Others!AD130</f>
        <v>0</v>
      </c>
      <c r="AA36" s="139">
        <f>IS_Others!AE130</f>
        <v>0</v>
      </c>
      <c r="AB36" s="139">
        <f>IS_Others!AF130</f>
        <v>0</v>
      </c>
      <c r="AC36" s="139">
        <f>IS_Others!AG130</f>
        <v>0</v>
      </c>
      <c r="AD36" s="139">
        <f>IS_Others!AH130</f>
        <v>0</v>
      </c>
      <c r="AE36" s="139">
        <f>IS_Others!AI130</f>
        <v>0</v>
      </c>
      <c r="AF36" s="139">
        <f>IS_Others!AJ130</f>
        <v>0</v>
      </c>
      <c r="AG36" s="139">
        <f>IS_Others!AK130</f>
        <v>0</v>
      </c>
      <c r="AH36" s="139">
        <f>IS_Others!AL130</f>
        <v>0</v>
      </c>
      <c r="AI36" s="139">
        <f>IS_Others!AM130</f>
        <v>0</v>
      </c>
      <c r="AJ36" s="139">
        <f>IS_Others!AN130</f>
        <v>0</v>
      </c>
      <c r="AK36" s="139">
        <f>IS_Others!AO130</f>
        <v>0</v>
      </c>
      <c r="AL36" s="139">
        <f>IS_Others!AP130</f>
        <v>0</v>
      </c>
      <c r="AM36" s="139">
        <f>IS_Others!AQ130</f>
        <v>0</v>
      </c>
      <c r="AN36" s="139">
        <f>IS_Others!AR130</f>
        <v>0</v>
      </c>
      <c r="AO36" s="139">
        <f>IS_Others!AS130</f>
        <v>0</v>
      </c>
      <c r="AP36" s="139">
        <f>IS_Others!AT130</f>
        <v>0</v>
      </c>
      <c r="AQ36" s="139">
        <f>IS_Others!AU130</f>
        <v>0</v>
      </c>
      <c r="AR36" s="139">
        <f>IS_Others!AV130</f>
        <v>0</v>
      </c>
      <c r="AS36" s="139">
        <f>IS_Others!AW130</f>
        <v>0</v>
      </c>
      <c r="AT36" s="139">
        <f>IS_Others!AX130</f>
        <v>0</v>
      </c>
      <c r="AU36" s="139">
        <f>IS_Others!AY130</f>
        <v>0</v>
      </c>
      <c r="AV36" s="139">
        <f>IS_Others!AZ130</f>
        <v>0</v>
      </c>
      <c r="AW36" s="139">
        <f>IS_Others!BA130</f>
        <v>0</v>
      </c>
      <c r="AX36" s="139">
        <f>IS_Others!BB130</f>
        <v>0</v>
      </c>
      <c r="AY36" s="139">
        <f>IS_Others!BC130</f>
        <v>0</v>
      </c>
      <c r="AZ36" s="139">
        <f>IS_Others!BD130</f>
        <v>0</v>
      </c>
      <c r="BA36" s="139">
        <f>IS_Others!BE130</f>
        <v>0</v>
      </c>
      <c r="BB36" s="139">
        <f>IS_Others!BF130</f>
        <v>0</v>
      </c>
      <c r="BC36" s="139">
        <f>IS_Others!BG130</f>
        <v>0</v>
      </c>
      <c r="BD36" s="139">
        <f>IS_Others!BH130</f>
        <v>0</v>
      </c>
      <c r="BE36" s="139">
        <f>IS_Others!BI130</f>
        <v>0</v>
      </c>
      <c r="BF36" s="139">
        <f>IS_Others!BJ130</f>
        <v>0</v>
      </c>
      <c r="BG36" s="139">
        <f>IS_Others!BK130</f>
        <v>0</v>
      </c>
      <c r="BH36" s="139">
        <f>IS_Others!BL130</f>
        <v>0</v>
      </c>
      <c r="BI36" s="139">
        <f>IS_Others!BM130</f>
        <v>0</v>
      </c>
      <c r="BJ36" s="139">
        <f>IS_Others!BN130</f>
        <v>0</v>
      </c>
      <c r="BK36" s="139">
        <f>IS_Others!BO130</f>
        <v>0</v>
      </c>
      <c r="BL36" s="139">
        <f>IS_Others!BP130</f>
        <v>0</v>
      </c>
      <c r="BM36" s="139">
        <f>IS_Others!BQ130</f>
        <v>0</v>
      </c>
      <c r="BN36" s="139">
        <f>IS_Others!BR130</f>
        <v>0</v>
      </c>
      <c r="BO36" s="139">
        <f>IS_Others!BS130</f>
        <v>0</v>
      </c>
      <c r="BQ36" s="155">
        <f t="shared" si="11"/>
        <v>0</v>
      </c>
      <c r="BR36" s="155">
        <f t="shared" si="12"/>
        <v>0</v>
      </c>
      <c r="BS36" s="155">
        <f t="shared" si="13"/>
        <v>0</v>
      </c>
      <c r="BT36" s="155">
        <f t="shared" si="14"/>
        <v>0</v>
      </c>
      <c r="BU36" s="155">
        <f t="shared" si="15"/>
        <v>0</v>
      </c>
    </row>
    <row r="37" spans="3:73">
      <c r="D37" s="139" t="s">
        <v>532</v>
      </c>
      <c r="H37" s="139">
        <f>IS_Others!L131</f>
        <v>50</v>
      </c>
      <c r="I37" s="139">
        <f>IS_Others!M131</f>
        <v>0</v>
      </c>
      <c r="J37" s="139">
        <f>IS_Others!N131</f>
        <v>0</v>
      </c>
      <c r="K37" s="139">
        <f>IS_Others!O131</f>
        <v>0</v>
      </c>
      <c r="L37" s="139">
        <f>IS_Others!P131</f>
        <v>0</v>
      </c>
      <c r="M37" s="139">
        <f>IS_Others!Q131</f>
        <v>0</v>
      </c>
      <c r="N37" s="139">
        <f>IS_Others!R131</f>
        <v>0</v>
      </c>
      <c r="O37" s="139">
        <f>IS_Others!S131</f>
        <v>0</v>
      </c>
      <c r="P37" s="139">
        <f>IS_Others!T131</f>
        <v>0</v>
      </c>
      <c r="Q37" s="139">
        <f>IS_Others!U131</f>
        <v>0</v>
      </c>
      <c r="R37" s="139">
        <f>IS_Others!V131</f>
        <v>0</v>
      </c>
      <c r="S37" s="139">
        <f>IS_Others!W131</f>
        <v>0</v>
      </c>
      <c r="T37" s="139">
        <f>IS_Others!X131</f>
        <v>0</v>
      </c>
      <c r="U37" s="139">
        <f>IS_Others!Y131</f>
        <v>0</v>
      </c>
      <c r="V37" s="139">
        <f>IS_Others!Z131</f>
        <v>0</v>
      </c>
      <c r="W37" s="139">
        <f>IS_Others!AA131</f>
        <v>0</v>
      </c>
      <c r="X37" s="139">
        <f>IS_Others!AB131</f>
        <v>0</v>
      </c>
      <c r="Y37" s="139">
        <f>IS_Others!AC131</f>
        <v>0</v>
      </c>
      <c r="Z37" s="139">
        <f>IS_Others!AD131</f>
        <v>0</v>
      </c>
      <c r="AA37" s="139">
        <f>IS_Others!AE131</f>
        <v>0</v>
      </c>
      <c r="AB37" s="139">
        <f>IS_Others!AF131</f>
        <v>0</v>
      </c>
      <c r="AC37" s="139">
        <f>IS_Others!AG131</f>
        <v>0</v>
      </c>
      <c r="AD37" s="139">
        <f>IS_Others!AH131</f>
        <v>0</v>
      </c>
      <c r="AE37" s="139">
        <f>IS_Others!AI131</f>
        <v>0</v>
      </c>
      <c r="AF37" s="139">
        <f>IS_Others!AJ131</f>
        <v>0</v>
      </c>
      <c r="AG37" s="139">
        <f>IS_Others!AK131</f>
        <v>0</v>
      </c>
      <c r="AH37" s="139">
        <f>IS_Others!AL131</f>
        <v>0</v>
      </c>
      <c r="AI37" s="139">
        <f>IS_Others!AM131</f>
        <v>0</v>
      </c>
      <c r="AJ37" s="139">
        <f>IS_Others!AN131</f>
        <v>0</v>
      </c>
      <c r="AK37" s="139">
        <f>IS_Others!AO131</f>
        <v>0</v>
      </c>
      <c r="AL37" s="139">
        <f>IS_Others!AP131</f>
        <v>0</v>
      </c>
      <c r="AM37" s="139">
        <f>IS_Others!AQ131</f>
        <v>0</v>
      </c>
      <c r="AN37" s="139">
        <f>IS_Others!AR131</f>
        <v>0</v>
      </c>
      <c r="AO37" s="139">
        <f>IS_Others!AS131</f>
        <v>0</v>
      </c>
      <c r="AP37" s="139">
        <f>IS_Others!AT131</f>
        <v>0</v>
      </c>
      <c r="AQ37" s="139">
        <f>IS_Others!AU131</f>
        <v>0</v>
      </c>
      <c r="AR37" s="139">
        <f>IS_Others!AV131</f>
        <v>0</v>
      </c>
      <c r="AS37" s="139">
        <f>IS_Others!AW131</f>
        <v>0</v>
      </c>
      <c r="AT37" s="139">
        <f>IS_Others!AX131</f>
        <v>0</v>
      </c>
      <c r="AU37" s="139">
        <f>IS_Others!AY131</f>
        <v>0</v>
      </c>
      <c r="AV37" s="139">
        <f>IS_Others!AZ131</f>
        <v>0</v>
      </c>
      <c r="AW37" s="139">
        <f>IS_Others!BA131</f>
        <v>0</v>
      </c>
      <c r="AX37" s="139">
        <f>IS_Others!BB131</f>
        <v>0</v>
      </c>
      <c r="AY37" s="139">
        <f>IS_Others!BC131</f>
        <v>0</v>
      </c>
      <c r="AZ37" s="139">
        <f>IS_Others!BD131</f>
        <v>0</v>
      </c>
      <c r="BA37" s="139">
        <f>IS_Others!BE131</f>
        <v>0</v>
      </c>
      <c r="BB37" s="139">
        <f>IS_Others!BF131</f>
        <v>0</v>
      </c>
      <c r="BC37" s="139">
        <f>IS_Others!BG131</f>
        <v>0</v>
      </c>
      <c r="BD37" s="139">
        <f>IS_Others!BH131</f>
        <v>0</v>
      </c>
      <c r="BE37" s="139">
        <f>IS_Others!BI131</f>
        <v>0</v>
      </c>
      <c r="BF37" s="139">
        <f>IS_Others!BJ131</f>
        <v>0</v>
      </c>
      <c r="BG37" s="139">
        <f>IS_Others!BK131</f>
        <v>0</v>
      </c>
      <c r="BH37" s="139">
        <f>IS_Others!BL131</f>
        <v>0</v>
      </c>
      <c r="BI37" s="139">
        <f>IS_Others!BM131</f>
        <v>0</v>
      </c>
      <c r="BJ37" s="139">
        <f>IS_Others!BN131</f>
        <v>0</v>
      </c>
      <c r="BK37" s="139">
        <f>IS_Others!BO131</f>
        <v>0</v>
      </c>
      <c r="BL37" s="139">
        <f>IS_Others!BP131</f>
        <v>0</v>
      </c>
      <c r="BM37" s="139">
        <f>IS_Others!BQ131</f>
        <v>0</v>
      </c>
      <c r="BN37" s="139">
        <f>IS_Others!BR131</f>
        <v>0</v>
      </c>
      <c r="BO37" s="139">
        <f>IS_Others!BS131</f>
        <v>0</v>
      </c>
      <c r="BQ37" s="155">
        <f t="shared" si="11"/>
        <v>50</v>
      </c>
      <c r="BR37" s="155">
        <f t="shared" si="12"/>
        <v>0</v>
      </c>
      <c r="BS37" s="155">
        <f t="shared" si="13"/>
        <v>0</v>
      </c>
      <c r="BT37" s="155">
        <f t="shared" si="14"/>
        <v>0</v>
      </c>
      <c r="BU37" s="155">
        <f t="shared" si="15"/>
        <v>0</v>
      </c>
    </row>
    <row r="38" spans="3:73">
      <c r="D38" s="139" t="s">
        <v>533</v>
      </c>
      <c r="H38" s="139">
        <f>IS_Others!L132</f>
        <v>50</v>
      </c>
      <c r="I38" s="139">
        <f>IS_Others!M132</f>
        <v>0</v>
      </c>
      <c r="J38" s="139">
        <f>IS_Others!N132</f>
        <v>0</v>
      </c>
      <c r="K38" s="139">
        <f>IS_Others!O132</f>
        <v>0</v>
      </c>
      <c r="L38" s="139">
        <f>IS_Others!P132</f>
        <v>0</v>
      </c>
      <c r="M38" s="139">
        <f>IS_Others!Q132</f>
        <v>0</v>
      </c>
      <c r="N38" s="139">
        <f>IS_Others!R132</f>
        <v>0</v>
      </c>
      <c r="O38" s="139">
        <f>IS_Others!S132</f>
        <v>0</v>
      </c>
      <c r="P38" s="139">
        <f>IS_Others!T132</f>
        <v>0</v>
      </c>
      <c r="Q38" s="139">
        <f>IS_Others!U132</f>
        <v>0</v>
      </c>
      <c r="R38" s="139">
        <f>IS_Others!V132</f>
        <v>0</v>
      </c>
      <c r="S38" s="139">
        <f>IS_Others!W132</f>
        <v>0</v>
      </c>
      <c r="T38" s="139">
        <f>IS_Others!X132</f>
        <v>0</v>
      </c>
      <c r="U38" s="139">
        <f>IS_Others!Y132</f>
        <v>0</v>
      </c>
      <c r="V38" s="139">
        <f>IS_Others!Z132</f>
        <v>0</v>
      </c>
      <c r="W38" s="139">
        <f>IS_Others!AA132</f>
        <v>0</v>
      </c>
      <c r="X38" s="139">
        <f>IS_Others!AB132</f>
        <v>0</v>
      </c>
      <c r="Y38" s="139">
        <f>IS_Others!AC132</f>
        <v>0</v>
      </c>
      <c r="Z38" s="139">
        <f>IS_Others!AD132</f>
        <v>0</v>
      </c>
      <c r="AA38" s="139">
        <f>IS_Others!AE132</f>
        <v>0</v>
      </c>
      <c r="AB38" s="139">
        <f>IS_Others!AF132</f>
        <v>0</v>
      </c>
      <c r="AC38" s="139">
        <f>IS_Others!AG132</f>
        <v>0</v>
      </c>
      <c r="AD38" s="139">
        <f>IS_Others!AH132</f>
        <v>0</v>
      </c>
      <c r="AE38" s="139">
        <f>IS_Others!AI132</f>
        <v>0</v>
      </c>
      <c r="AF38" s="139">
        <f>IS_Others!AJ132</f>
        <v>0</v>
      </c>
      <c r="AG38" s="139">
        <f>IS_Others!AK132</f>
        <v>0</v>
      </c>
      <c r="AH38" s="139">
        <f>IS_Others!AL132</f>
        <v>0</v>
      </c>
      <c r="AI38" s="139">
        <f>IS_Others!AM132</f>
        <v>0</v>
      </c>
      <c r="AJ38" s="139">
        <f>IS_Others!AN132</f>
        <v>0</v>
      </c>
      <c r="AK38" s="139">
        <f>IS_Others!AO132</f>
        <v>0</v>
      </c>
      <c r="AL38" s="139">
        <f>IS_Others!AP132</f>
        <v>0</v>
      </c>
      <c r="AM38" s="139">
        <f>IS_Others!AQ132</f>
        <v>0</v>
      </c>
      <c r="AN38" s="139">
        <f>IS_Others!AR132</f>
        <v>0</v>
      </c>
      <c r="AO38" s="139">
        <f>IS_Others!AS132</f>
        <v>0</v>
      </c>
      <c r="AP38" s="139">
        <f>IS_Others!AT132</f>
        <v>0</v>
      </c>
      <c r="AQ38" s="139">
        <f>IS_Others!AU132</f>
        <v>0</v>
      </c>
      <c r="AR38" s="139">
        <f>IS_Others!AV132</f>
        <v>0</v>
      </c>
      <c r="AS38" s="139">
        <f>IS_Others!AW132</f>
        <v>0</v>
      </c>
      <c r="AT38" s="139">
        <f>IS_Others!AX132</f>
        <v>0</v>
      </c>
      <c r="AU38" s="139">
        <f>IS_Others!AY132</f>
        <v>0</v>
      </c>
      <c r="AV38" s="139">
        <f>IS_Others!AZ132</f>
        <v>0</v>
      </c>
      <c r="AW38" s="139">
        <f>IS_Others!BA132</f>
        <v>0</v>
      </c>
      <c r="AX38" s="139">
        <f>IS_Others!BB132</f>
        <v>0</v>
      </c>
      <c r="AY38" s="139">
        <f>IS_Others!BC132</f>
        <v>0</v>
      </c>
      <c r="AZ38" s="139">
        <f>IS_Others!BD132</f>
        <v>0</v>
      </c>
      <c r="BA38" s="139">
        <f>IS_Others!BE132</f>
        <v>0</v>
      </c>
      <c r="BB38" s="139">
        <f>IS_Others!BF132</f>
        <v>0</v>
      </c>
      <c r="BC38" s="139">
        <f>IS_Others!BG132</f>
        <v>0</v>
      </c>
      <c r="BD38" s="139">
        <f>IS_Others!BH132</f>
        <v>0</v>
      </c>
      <c r="BE38" s="139">
        <f>IS_Others!BI132</f>
        <v>0</v>
      </c>
      <c r="BF38" s="139">
        <f>IS_Others!BJ132</f>
        <v>0</v>
      </c>
      <c r="BG38" s="139">
        <f>IS_Others!BK132</f>
        <v>0</v>
      </c>
      <c r="BH38" s="139">
        <f>IS_Others!BL132</f>
        <v>0</v>
      </c>
      <c r="BI38" s="139">
        <f>IS_Others!BM132</f>
        <v>0</v>
      </c>
      <c r="BJ38" s="139">
        <f>IS_Others!BN132</f>
        <v>0</v>
      </c>
      <c r="BK38" s="139">
        <f>IS_Others!BO132</f>
        <v>0</v>
      </c>
      <c r="BL38" s="139">
        <f>IS_Others!BP132</f>
        <v>0</v>
      </c>
      <c r="BM38" s="139">
        <f>IS_Others!BQ132</f>
        <v>0</v>
      </c>
      <c r="BN38" s="139">
        <f>IS_Others!BR132</f>
        <v>0</v>
      </c>
      <c r="BO38" s="139">
        <f>IS_Others!BS132</f>
        <v>0</v>
      </c>
      <c r="BQ38" s="155">
        <f t="shared" si="11"/>
        <v>50</v>
      </c>
      <c r="BR38" s="155">
        <f t="shared" si="12"/>
        <v>0</v>
      </c>
      <c r="BS38" s="155">
        <f t="shared" si="13"/>
        <v>0</v>
      </c>
      <c r="BT38" s="155">
        <f t="shared" si="14"/>
        <v>0</v>
      </c>
      <c r="BU38" s="155">
        <f t="shared" si="15"/>
        <v>0</v>
      </c>
    </row>
    <row r="39" spans="3:73">
      <c r="D39" s="139" t="s">
        <v>534</v>
      </c>
      <c r="H39" s="139">
        <f>IS_Others!L133</f>
        <v>0</v>
      </c>
      <c r="I39" s="139">
        <f>IS_Others!M133</f>
        <v>0</v>
      </c>
      <c r="J39" s="139">
        <f>IS_Others!N133</f>
        <v>0</v>
      </c>
      <c r="K39" s="139">
        <f>IS_Others!O133</f>
        <v>0</v>
      </c>
      <c r="L39" s="139">
        <f>IS_Others!P133</f>
        <v>0</v>
      </c>
      <c r="M39" s="139">
        <f>IS_Others!Q133</f>
        <v>0</v>
      </c>
      <c r="N39" s="139">
        <f>IS_Others!R133</f>
        <v>0</v>
      </c>
      <c r="O39" s="139">
        <f>IS_Others!S133</f>
        <v>0</v>
      </c>
      <c r="P39" s="139">
        <f>IS_Others!T133</f>
        <v>0</v>
      </c>
      <c r="Q39" s="139">
        <f>IS_Others!U133</f>
        <v>0</v>
      </c>
      <c r="R39" s="139">
        <f>IS_Others!V133</f>
        <v>0</v>
      </c>
      <c r="S39" s="139">
        <f>IS_Others!W133</f>
        <v>0</v>
      </c>
      <c r="T39" s="139">
        <f>IS_Others!X133</f>
        <v>0</v>
      </c>
      <c r="U39" s="139">
        <f>IS_Others!Y133</f>
        <v>0</v>
      </c>
      <c r="V39" s="139">
        <f>IS_Others!Z133</f>
        <v>0</v>
      </c>
      <c r="W39" s="139">
        <f>IS_Others!AA133</f>
        <v>0</v>
      </c>
      <c r="X39" s="139">
        <f>IS_Others!AB133</f>
        <v>0</v>
      </c>
      <c r="Y39" s="139">
        <f>IS_Others!AC133</f>
        <v>0</v>
      </c>
      <c r="Z39" s="139">
        <f>IS_Others!AD133</f>
        <v>0</v>
      </c>
      <c r="AA39" s="139">
        <f>IS_Others!AE133</f>
        <v>0</v>
      </c>
      <c r="AB39" s="139">
        <f>IS_Others!AF133</f>
        <v>0</v>
      </c>
      <c r="AC39" s="139">
        <f>IS_Others!AG133</f>
        <v>0</v>
      </c>
      <c r="AD39" s="139">
        <f>IS_Others!AH133</f>
        <v>0</v>
      </c>
      <c r="AE39" s="139">
        <f>IS_Others!AI133</f>
        <v>0</v>
      </c>
      <c r="AF39" s="139">
        <f>IS_Others!AJ133</f>
        <v>0</v>
      </c>
      <c r="AG39" s="139">
        <f>IS_Others!AK133</f>
        <v>0</v>
      </c>
      <c r="AH39" s="139">
        <f>IS_Others!AL133</f>
        <v>0</v>
      </c>
      <c r="AI39" s="139">
        <f>IS_Others!AM133</f>
        <v>0</v>
      </c>
      <c r="AJ39" s="139">
        <f>IS_Others!AN133</f>
        <v>0</v>
      </c>
      <c r="AK39" s="139">
        <f>IS_Others!AO133</f>
        <v>0</v>
      </c>
      <c r="AL39" s="139">
        <f>IS_Others!AP133</f>
        <v>0</v>
      </c>
      <c r="AM39" s="139">
        <f>IS_Others!AQ133</f>
        <v>0</v>
      </c>
      <c r="AN39" s="139">
        <f>IS_Others!AR133</f>
        <v>0</v>
      </c>
      <c r="AO39" s="139">
        <f>IS_Others!AS133</f>
        <v>0</v>
      </c>
      <c r="AP39" s="139">
        <f>IS_Others!AT133</f>
        <v>0</v>
      </c>
      <c r="AQ39" s="139">
        <f>IS_Others!AU133</f>
        <v>0</v>
      </c>
      <c r="AR39" s="139">
        <f>IS_Others!AV133</f>
        <v>0</v>
      </c>
      <c r="AS39" s="139">
        <f>IS_Others!AW133</f>
        <v>0</v>
      </c>
      <c r="AT39" s="139">
        <f>IS_Others!AX133</f>
        <v>0</v>
      </c>
      <c r="AU39" s="139">
        <f>IS_Others!AY133</f>
        <v>0</v>
      </c>
      <c r="AV39" s="139">
        <f>IS_Others!AZ133</f>
        <v>0</v>
      </c>
      <c r="AW39" s="139">
        <f>IS_Others!BA133</f>
        <v>0</v>
      </c>
      <c r="AX39" s="139">
        <f>IS_Others!BB133</f>
        <v>0</v>
      </c>
      <c r="AY39" s="139">
        <f>IS_Others!BC133</f>
        <v>0</v>
      </c>
      <c r="AZ39" s="139">
        <f>IS_Others!BD133</f>
        <v>0</v>
      </c>
      <c r="BA39" s="139">
        <f>IS_Others!BE133</f>
        <v>0</v>
      </c>
      <c r="BB39" s="139">
        <f>IS_Others!BF133</f>
        <v>0</v>
      </c>
      <c r="BC39" s="139">
        <f>IS_Others!BG133</f>
        <v>0</v>
      </c>
      <c r="BD39" s="139">
        <f>IS_Others!BH133</f>
        <v>0</v>
      </c>
      <c r="BE39" s="139">
        <f>IS_Others!BI133</f>
        <v>0</v>
      </c>
      <c r="BF39" s="139">
        <f>IS_Others!BJ133</f>
        <v>0</v>
      </c>
      <c r="BG39" s="139">
        <f>IS_Others!BK133</f>
        <v>0</v>
      </c>
      <c r="BH39" s="139">
        <f>IS_Others!BL133</f>
        <v>0</v>
      </c>
      <c r="BI39" s="139">
        <f>IS_Others!BM133</f>
        <v>0</v>
      </c>
      <c r="BJ39" s="139">
        <f>IS_Others!BN133</f>
        <v>0</v>
      </c>
      <c r="BK39" s="139">
        <f>IS_Others!BO133</f>
        <v>0</v>
      </c>
      <c r="BL39" s="139">
        <f>IS_Others!BP133</f>
        <v>0</v>
      </c>
      <c r="BM39" s="139">
        <f>IS_Others!BQ133</f>
        <v>0</v>
      </c>
      <c r="BN39" s="139">
        <f>IS_Others!BR133</f>
        <v>0</v>
      </c>
      <c r="BO39" s="139">
        <f>IS_Others!BS133</f>
        <v>0</v>
      </c>
      <c r="BQ39" s="155">
        <f t="shared" si="11"/>
        <v>0</v>
      </c>
      <c r="BR39" s="155">
        <f t="shared" si="12"/>
        <v>0</v>
      </c>
      <c r="BS39" s="155">
        <f t="shared" si="13"/>
        <v>0</v>
      </c>
      <c r="BT39" s="155">
        <f t="shared" si="14"/>
        <v>0</v>
      </c>
      <c r="BU39" s="155">
        <f t="shared" si="15"/>
        <v>0</v>
      </c>
    </row>
    <row r="40" spans="3:73">
      <c r="D40" s="139" t="s">
        <v>535</v>
      </c>
      <c r="H40" s="139">
        <f>IS_Others!L134</f>
        <v>20</v>
      </c>
      <c r="I40" s="139">
        <f>IS_Others!M134</f>
        <v>0</v>
      </c>
      <c r="J40" s="139">
        <f>IS_Others!N134</f>
        <v>0</v>
      </c>
      <c r="K40" s="139">
        <f>IS_Others!O134</f>
        <v>0</v>
      </c>
      <c r="L40" s="139">
        <f>IS_Others!P134</f>
        <v>0</v>
      </c>
      <c r="M40" s="139">
        <f>IS_Others!Q134</f>
        <v>0</v>
      </c>
      <c r="N40" s="139">
        <f>IS_Others!R134</f>
        <v>0</v>
      </c>
      <c r="O40" s="139">
        <f>IS_Others!S134</f>
        <v>0</v>
      </c>
      <c r="P40" s="139">
        <f>IS_Others!T134</f>
        <v>0</v>
      </c>
      <c r="Q40" s="139">
        <f>IS_Others!U134</f>
        <v>0</v>
      </c>
      <c r="R40" s="139">
        <f>IS_Others!V134</f>
        <v>0</v>
      </c>
      <c r="S40" s="139">
        <f>IS_Others!W134</f>
        <v>0</v>
      </c>
      <c r="T40" s="139">
        <f>IS_Others!X134</f>
        <v>0</v>
      </c>
      <c r="U40" s="139">
        <f>IS_Others!Y134</f>
        <v>0</v>
      </c>
      <c r="V40" s="139">
        <f>IS_Others!Z134</f>
        <v>0</v>
      </c>
      <c r="W40" s="139">
        <f>IS_Others!AA134</f>
        <v>0</v>
      </c>
      <c r="X40" s="139">
        <f>IS_Others!AB134</f>
        <v>0</v>
      </c>
      <c r="Y40" s="139">
        <f>IS_Others!AC134</f>
        <v>0</v>
      </c>
      <c r="Z40" s="139">
        <f>IS_Others!AD134</f>
        <v>0</v>
      </c>
      <c r="AA40" s="139">
        <f>IS_Others!AE134</f>
        <v>0</v>
      </c>
      <c r="AB40" s="139">
        <f>IS_Others!AF134</f>
        <v>0</v>
      </c>
      <c r="AC40" s="139">
        <f>IS_Others!AG134</f>
        <v>0</v>
      </c>
      <c r="AD40" s="139">
        <f>IS_Others!AH134</f>
        <v>0</v>
      </c>
      <c r="AE40" s="139">
        <f>IS_Others!AI134</f>
        <v>0</v>
      </c>
      <c r="AF40" s="139">
        <f>IS_Others!AJ134</f>
        <v>0</v>
      </c>
      <c r="AG40" s="139">
        <f>IS_Others!AK134</f>
        <v>0</v>
      </c>
      <c r="AH40" s="139">
        <f>IS_Others!AL134</f>
        <v>0</v>
      </c>
      <c r="AI40" s="139">
        <f>IS_Others!AM134</f>
        <v>0</v>
      </c>
      <c r="AJ40" s="139">
        <f>IS_Others!AN134</f>
        <v>0</v>
      </c>
      <c r="AK40" s="139">
        <f>IS_Others!AO134</f>
        <v>0</v>
      </c>
      <c r="AL40" s="139">
        <f>IS_Others!AP134</f>
        <v>0</v>
      </c>
      <c r="AM40" s="139">
        <f>IS_Others!AQ134</f>
        <v>0</v>
      </c>
      <c r="AN40" s="139">
        <f>IS_Others!AR134</f>
        <v>0</v>
      </c>
      <c r="AO40" s="139">
        <f>IS_Others!AS134</f>
        <v>0</v>
      </c>
      <c r="AP40" s="139">
        <f>IS_Others!AT134</f>
        <v>0</v>
      </c>
      <c r="AQ40" s="139">
        <f>IS_Others!AU134</f>
        <v>0</v>
      </c>
      <c r="AR40" s="139">
        <f>IS_Others!AV134</f>
        <v>0</v>
      </c>
      <c r="AS40" s="139">
        <f>IS_Others!AW134</f>
        <v>0</v>
      </c>
      <c r="AT40" s="139">
        <f>IS_Others!AX134</f>
        <v>0</v>
      </c>
      <c r="AU40" s="139">
        <f>IS_Others!AY134</f>
        <v>0</v>
      </c>
      <c r="AV40" s="139">
        <f>IS_Others!AZ134</f>
        <v>0</v>
      </c>
      <c r="AW40" s="139">
        <f>IS_Others!BA134</f>
        <v>0</v>
      </c>
      <c r="AX40" s="139">
        <f>IS_Others!BB134</f>
        <v>0</v>
      </c>
      <c r="AY40" s="139">
        <f>IS_Others!BC134</f>
        <v>0</v>
      </c>
      <c r="AZ40" s="139">
        <f>IS_Others!BD134</f>
        <v>0</v>
      </c>
      <c r="BA40" s="139">
        <f>IS_Others!BE134</f>
        <v>0</v>
      </c>
      <c r="BB40" s="139">
        <f>IS_Others!BF134</f>
        <v>0</v>
      </c>
      <c r="BC40" s="139">
        <f>IS_Others!BG134</f>
        <v>0</v>
      </c>
      <c r="BD40" s="139">
        <f>IS_Others!BH134</f>
        <v>0</v>
      </c>
      <c r="BE40" s="139">
        <f>IS_Others!BI134</f>
        <v>0</v>
      </c>
      <c r="BF40" s="139">
        <f>IS_Others!BJ134</f>
        <v>0</v>
      </c>
      <c r="BG40" s="139">
        <f>IS_Others!BK134</f>
        <v>0</v>
      </c>
      <c r="BH40" s="139">
        <f>IS_Others!BL134</f>
        <v>0</v>
      </c>
      <c r="BI40" s="139">
        <f>IS_Others!BM134</f>
        <v>0</v>
      </c>
      <c r="BJ40" s="139">
        <f>IS_Others!BN134</f>
        <v>0</v>
      </c>
      <c r="BK40" s="139">
        <f>IS_Others!BO134</f>
        <v>0</v>
      </c>
      <c r="BL40" s="139">
        <f>IS_Others!BP134</f>
        <v>0</v>
      </c>
      <c r="BM40" s="139">
        <f>IS_Others!BQ134</f>
        <v>0</v>
      </c>
      <c r="BN40" s="139">
        <f>IS_Others!BR134</f>
        <v>0</v>
      </c>
      <c r="BO40" s="139">
        <f>IS_Others!BS134</f>
        <v>0</v>
      </c>
      <c r="BQ40" s="155">
        <f t="shared" si="11"/>
        <v>20</v>
      </c>
      <c r="BR40" s="155">
        <f t="shared" si="12"/>
        <v>0</v>
      </c>
      <c r="BS40" s="155">
        <f t="shared" si="13"/>
        <v>0</v>
      </c>
      <c r="BT40" s="155">
        <f t="shared" si="14"/>
        <v>0</v>
      </c>
      <c r="BU40" s="155">
        <f t="shared" si="15"/>
        <v>0</v>
      </c>
    </row>
    <row r="41" spans="3:73" s="155" customFormat="1">
      <c r="C41" s="155" t="s">
        <v>547</v>
      </c>
      <c r="G41" s="155" t="s">
        <v>1308</v>
      </c>
      <c r="H41" s="155">
        <f t="shared" ref="H41:BN41" si="17">SUBTOTAL(9,H42:H45)</f>
        <v>350</v>
      </c>
      <c r="I41" s="155">
        <f t="shared" si="17"/>
        <v>250.00000000000003</v>
      </c>
      <c r="J41" s="155">
        <f t="shared" si="17"/>
        <v>250.00000000000003</v>
      </c>
      <c r="K41" s="155">
        <f t="shared" si="17"/>
        <v>250.00000000000003</v>
      </c>
      <c r="L41" s="155">
        <f t="shared" si="17"/>
        <v>250.00000000000003</v>
      </c>
      <c r="M41" s="155">
        <f t="shared" si="17"/>
        <v>250.00000000000003</v>
      </c>
      <c r="N41" s="155">
        <f t="shared" si="17"/>
        <v>250.00000000000003</v>
      </c>
      <c r="O41" s="155">
        <f t="shared" si="17"/>
        <v>250.00000000000003</v>
      </c>
      <c r="P41" s="155">
        <f t="shared" si="17"/>
        <v>250.00000000000003</v>
      </c>
      <c r="Q41" s="155">
        <f t="shared" si="17"/>
        <v>250.00000000000003</v>
      </c>
      <c r="R41" s="155">
        <f t="shared" si="17"/>
        <v>250.00000000000003</v>
      </c>
      <c r="S41" s="155">
        <f t="shared" si="17"/>
        <v>250.00000000000003</v>
      </c>
      <c r="T41" s="155">
        <f t="shared" si="17"/>
        <v>458.33333333333337</v>
      </c>
      <c r="U41" s="155">
        <f t="shared" si="17"/>
        <v>458.33333333333337</v>
      </c>
      <c r="V41" s="155">
        <f t="shared" si="17"/>
        <v>458.33333333333337</v>
      </c>
      <c r="W41" s="155">
        <f t="shared" si="17"/>
        <v>458.33333333333337</v>
      </c>
      <c r="X41" s="155">
        <f t="shared" si="17"/>
        <v>458.33333333333337</v>
      </c>
      <c r="Y41" s="155">
        <f t="shared" si="17"/>
        <v>458.33333333333337</v>
      </c>
      <c r="Z41" s="155">
        <f t="shared" si="17"/>
        <v>458.33333333333337</v>
      </c>
      <c r="AA41" s="155">
        <f t="shared" si="17"/>
        <v>458.33333333333337</v>
      </c>
      <c r="AB41" s="155">
        <f t="shared" si="17"/>
        <v>458.33333333333337</v>
      </c>
      <c r="AC41" s="155">
        <f t="shared" si="17"/>
        <v>458.33333333333337</v>
      </c>
      <c r="AD41" s="155">
        <f t="shared" si="17"/>
        <v>458.33333333333337</v>
      </c>
      <c r="AE41" s="155">
        <f t="shared" si="17"/>
        <v>458.33333333333337</v>
      </c>
      <c r="AF41" s="155">
        <f t="shared" si="17"/>
        <v>583.33333333333337</v>
      </c>
      <c r="AG41" s="155">
        <f t="shared" si="17"/>
        <v>583.33333333333337</v>
      </c>
      <c r="AH41" s="155">
        <f t="shared" si="17"/>
        <v>583.33333333333337</v>
      </c>
      <c r="AI41" s="155">
        <f t="shared" si="17"/>
        <v>583.33333333333337</v>
      </c>
      <c r="AJ41" s="155">
        <f t="shared" si="17"/>
        <v>583.33333333333337</v>
      </c>
      <c r="AK41" s="155">
        <f t="shared" si="17"/>
        <v>583.33333333333337</v>
      </c>
      <c r="AL41" s="155">
        <f t="shared" si="17"/>
        <v>583.33333333333337</v>
      </c>
      <c r="AM41" s="155">
        <f t="shared" si="17"/>
        <v>583.33333333333337</v>
      </c>
      <c r="AN41" s="155">
        <f t="shared" si="17"/>
        <v>583.33333333333337</v>
      </c>
      <c r="AO41" s="155">
        <f t="shared" si="17"/>
        <v>583.33333333333337</v>
      </c>
      <c r="AP41" s="155">
        <f t="shared" si="17"/>
        <v>583.33333333333337</v>
      </c>
      <c r="AQ41" s="155">
        <f t="shared" si="17"/>
        <v>583.33333333333337</v>
      </c>
      <c r="AR41" s="155">
        <f t="shared" si="17"/>
        <v>708.33333333333337</v>
      </c>
      <c r="AS41" s="155">
        <f t="shared" si="17"/>
        <v>708.33333333333337</v>
      </c>
      <c r="AT41" s="155">
        <f t="shared" si="17"/>
        <v>708.33333333333337</v>
      </c>
      <c r="AU41" s="155">
        <f t="shared" si="17"/>
        <v>708.33333333333337</v>
      </c>
      <c r="AV41" s="155">
        <f t="shared" si="17"/>
        <v>708.33333333333337</v>
      </c>
      <c r="AW41" s="155">
        <f t="shared" si="17"/>
        <v>708.33333333333337</v>
      </c>
      <c r="AX41" s="155">
        <f t="shared" si="17"/>
        <v>708.33333333333337</v>
      </c>
      <c r="AY41" s="155">
        <f t="shared" si="17"/>
        <v>708.33333333333337</v>
      </c>
      <c r="AZ41" s="155">
        <f t="shared" si="17"/>
        <v>708.33333333333337</v>
      </c>
      <c r="BA41" s="155">
        <f t="shared" si="17"/>
        <v>708.33333333333337</v>
      </c>
      <c r="BB41" s="155">
        <f t="shared" si="17"/>
        <v>708.33333333333337</v>
      </c>
      <c r="BC41" s="155">
        <f t="shared" si="17"/>
        <v>708.33333333333337</v>
      </c>
      <c r="BD41" s="155">
        <f t="shared" si="17"/>
        <v>833.33333333333337</v>
      </c>
      <c r="BE41" s="155">
        <f t="shared" si="17"/>
        <v>833.33333333333337</v>
      </c>
      <c r="BF41" s="155">
        <f t="shared" si="17"/>
        <v>833.33333333333337</v>
      </c>
      <c r="BG41" s="155">
        <f t="shared" si="17"/>
        <v>833.33333333333337</v>
      </c>
      <c r="BH41" s="155">
        <f t="shared" si="17"/>
        <v>833.33333333333337</v>
      </c>
      <c r="BI41" s="155">
        <f t="shared" si="17"/>
        <v>833.33333333333337</v>
      </c>
      <c r="BJ41" s="155">
        <f t="shared" si="17"/>
        <v>833.33333333333337</v>
      </c>
      <c r="BK41" s="155">
        <f t="shared" si="17"/>
        <v>833.33333333333337</v>
      </c>
      <c r="BL41" s="155">
        <f t="shared" si="17"/>
        <v>833.33333333333337</v>
      </c>
      <c r="BM41" s="155">
        <f t="shared" si="17"/>
        <v>833.33333333333337</v>
      </c>
      <c r="BN41" s="155">
        <f t="shared" si="17"/>
        <v>833.33333333333337</v>
      </c>
      <c r="BO41" s="155">
        <f>SUBTOTAL(9,BO42:BO45)</f>
        <v>833.33333333333337</v>
      </c>
      <c r="BQ41" s="155">
        <f t="shared" si="11"/>
        <v>3100</v>
      </c>
      <c r="BR41" s="155">
        <f t="shared" si="12"/>
        <v>5500</v>
      </c>
      <c r="BS41" s="155">
        <f t="shared" si="13"/>
        <v>6999.9999999999991</v>
      </c>
      <c r="BT41" s="155">
        <f t="shared" si="14"/>
        <v>8499.9999999999982</v>
      </c>
      <c r="BU41" s="155">
        <f t="shared" si="15"/>
        <v>10000</v>
      </c>
    </row>
    <row r="42" spans="3:73">
      <c r="D42" s="139" t="s">
        <v>536</v>
      </c>
      <c r="H42" s="139">
        <f>IS_Others!L136</f>
        <v>100</v>
      </c>
      <c r="I42" s="139">
        <f>IS_Others!M136</f>
        <v>0</v>
      </c>
      <c r="J42" s="139">
        <f>IS_Others!N136</f>
        <v>0</v>
      </c>
      <c r="K42" s="139">
        <f>IS_Others!O136</f>
        <v>0</v>
      </c>
      <c r="L42" s="139">
        <f>IS_Others!P136</f>
        <v>0</v>
      </c>
      <c r="M42" s="139">
        <f>IS_Others!Q136</f>
        <v>0</v>
      </c>
      <c r="N42" s="139">
        <f>IS_Others!R136</f>
        <v>0</v>
      </c>
      <c r="O42" s="139">
        <f>IS_Others!S136</f>
        <v>0</v>
      </c>
      <c r="P42" s="139">
        <f>IS_Others!T136</f>
        <v>0</v>
      </c>
      <c r="Q42" s="139">
        <f>IS_Others!U136</f>
        <v>0</v>
      </c>
      <c r="R42" s="139">
        <f>IS_Others!V136</f>
        <v>0</v>
      </c>
      <c r="S42" s="139">
        <f>IS_Others!W136</f>
        <v>0</v>
      </c>
      <c r="T42" s="139">
        <f>IS_Others!X136</f>
        <v>0</v>
      </c>
      <c r="U42" s="139">
        <f>IS_Others!Y136</f>
        <v>0</v>
      </c>
      <c r="V42" s="139">
        <f>IS_Others!Z136</f>
        <v>0</v>
      </c>
      <c r="W42" s="139">
        <f>IS_Others!AA136</f>
        <v>0</v>
      </c>
      <c r="X42" s="139">
        <f>IS_Others!AB136</f>
        <v>0</v>
      </c>
      <c r="Y42" s="139">
        <f>IS_Others!AC136</f>
        <v>0</v>
      </c>
      <c r="Z42" s="139">
        <f>IS_Others!AD136</f>
        <v>0</v>
      </c>
      <c r="AA42" s="139">
        <f>IS_Others!AE136</f>
        <v>0</v>
      </c>
      <c r="AB42" s="139">
        <f>IS_Others!AF136</f>
        <v>0</v>
      </c>
      <c r="AC42" s="139">
        <f>IS_Others!AG136</f>
        <v>0</v>
      </c>
      <c r="AD42" s="139">
        <f>IS_Others!AH136</f>
        <v>0</v>
      </c>
      <c r="AE42" s="139">
        <f>IS_Others!AI136</f>
        <v>0</v>
      </c>
      <c r="AF42" s="139">
        <f>IS_Others!AJ136</f>
        <v>0</v>
      </c>
      <c r="AG42" s="139">
        <f>IS_Others!AK136</f>
        <v>0</v>
      </c>
      <c r="AH42" s="139">
        <f>IS_Others!AL136</f>
        <v>0</v>
      </c>
      <c r="AI42" s="139">
        <f>IS_Others!AM136</f>
        <v>0</v>
      </c>
      <c r="AJ42" s="139">
        <f>IS_Others!AN136</f>
        <v>0</v>
      </c>
      <c r="AK42" s="139">
        <f>IS_Others!AO136</f>
        <v>0</v>
      </c>
      <c r="AL42" s="139">
        <f>IS_Others!AP136</f>
        <v>0</v>
      </c>
      <c r="AM42" s="139">
        <f>IS_Others!AQ136</f>
        <v>0</v>
      </c>
      <c r="AN42" s="139">
        <f>IS_Others!AR136</f>
        <v>0</v>
      </c>
      <c r="AO42" s="139">
        <f>IS_Others!AS136</f>
        <v>0</v>
      </c>
      <c r="AP42" s="139">
        <f>IS_Others!AT136</f>
        <v>0</v>
      </c>
      <c r="AQ42" s="139">
        <f>IS_Others!AU136</f>
        <v>0</v>
      </c>
      <c r="AR42" s="139">
        <f>IS_Others!AV136</f>
        <v>0</v>
      </c>
      <c r="AS42" s="139">
        <f>IS_Others!AW136</f>
        <v>0</v>
      </c>
      <c r="AT42" s="139">
        <f>IS_Others!AX136</f>
        <v>0</v>
      </c>
      <c r="AU42" s="139">
        <f>IS_Others!AY136</f>
        <v>0</v>
      </c>
      <c r="AV42" s="139">
        <f>IS_Others!AZ136</f>
        <v>0</v>
      </c>
      <c r="AW42" s="139">
        <f>IS_Others!BA136</f>
        <v>0</v>
      </c>
      <c r="AX42" s="139">
        <f>IS_Others!BB136</f>
        <v>0</v>
      </c>
      <c r="AY42" s="139">
        <f>IS_Others!BC136</f>
        <v>0</v>
      </c>
      <c r="AZ42" s="139">
        <f>IS_Others!BD136</f>
        <v>0</v>
      </c>
      <c r="BA42" s="139">
        <f>IS_Others!BE136</f>
        <v>0</v>
      </c>
      <c r="BB42" s="139">
        <f>IS_Others!BF136</f>
        <v>0</v>
      </c>
      <c r="BC42" s="139">
        <f>IS_Others!BG136</f>
        <v>0</v>
      </c>
      <c r="BD42" s="139">
        <f>IS_Others!BH136</f>
        <v>0</v>
      </c>
      <c r="BE42" s="139">
        <f>IS_Others!BI136</f>
        <v>0</v>
      </c>
      <c r="BF42" s="139">
        <f>IS_Others!BJ136</f>
        <v>0</v>
      </c>
      <c r="BG42" s="139">
        <f>IS_Others!BK136</f>
        <v>0</v>
      </c>
      <c r="BH42" s="139">
        <f>IS_Others!BL136</f>
        <v>0</v>
      </c>
      <c r="BI42" s="139">
        <f>IS_Others!BM136</f>
        <v>0</v>
      </c>
      <c r="BJ42" s="139">
        <f>IS_Others!BN136</f>
        <v>0</v>
      </c>
      <c r="BK42" s="139">
        <f>IS_Others!BO136</f>
        <v>0</v>
      </c>
      <c r="BL42" s="139">
        <f>IS_Others!BP136</f>
        <v>0</v>
      </c>
      <c r="BM42" s="139">
        <f>IS_Others!BQ136</f>
        <v>0</v>
      </c>
      <c r="BN42" s="139">
        <f>IS_Others!BR136</f>
        <v>0</v>
      </c>
      <c r="BO42" s="139">
        <f>IS_Others!BS136</f>
        <v>0</v>
      </c>
      <c r="BQ42" s="155">
        <f t="shared" si="11"/>
        <v>100</v>
      </c>
      <c r="BR42" s="155">
        <f t="shared" si="12"/>
        <v>0</v>
      </c>
      <c r="BS42" s="155">
        <f t="shared" si="13"/>
        <v>0</v>
      </c>
      <c r="BT42" s="155">
        <f t="shared" si="14"/>
        <v>0</v>
      </c>
      <c r="BU42" s="155">
        <f t="shared" si="15"/>
        <v>0</v>
      </c>
    </row>
    <row r="43" spans="3:73">
      <c r="D43" s="139" t="s">
        <v>537</v>
      </c>
      <c r="H43" s="139">
        <f>IS_Others!L137</f>
        <v>0</v>
      </c>
      <c r="I43" s="139">
        <f>IS_Others!M137</f>
        <v>0</v>
      </c>
      <c r="J43" s="139">
        <f>IS_Others!N137</f>
        <v>0</v>
      </c>
      <c r="K43" s="139">
        <f>IS_Others!O137</f>
        <v>0</v>
      </c>
      <c r="L43" s="139">
        <f>IS_Others!P137</f>
        <v>0</v>
      </c>
      <c r="M43" s="139">
        <f>IS_Others!Q137</f>
        <v>0</v>
      </c>
      <c r="N43" s="139">
        <f>IS_Others!R137</f>
        <v>0</v>
      </c>
      <c r="O43" s="139">
        <f>IS_Others!S137</f>
        <v>0</v>
      </c>
      <c r="P43" s="139">
        <f>IS_Others!T137</f>
        <v>0</v>
      </c>
      <c r="Q43" s="139">
        <f>IS_Others!U137</f>
        <v>0</v>
      </c>
      <c r="R43" s="139">
        <f>IS_Others!V137</f>
        <v>0</v>
      </c>
      <c r="S43" s="139">
        <f>IS_Others!W137</f>
        <v>0</v>
      </c>
      <c r="T43" s="139">
        <f>IS_Others!X137</f>
        <v>83.333333333333343</v>
      </c>
      <c r="U43" s="139">
        <f>IS_Others!Y137</f>
        <v>83.333333333333343</v>
      </c>
      <c r="V43" s="139">
        <f>IS_Others!Z137</f>
        <v>83.333333333333343</v>
      </c>
      <c r="W43" s="139">
        <f>IS_Others!AA137</f>
        <v>83.333333333333343</v>
      </c>
      <c r="X43" s="139">
        <f>IS_Others!AB137</f>
        <v>83.333333333333343</v>
      </c>
      <c r="Y43" s="139">
        <f>IS_Others!AC137</f>
        <v>83.333333333333343</v>
      </c>
      <c r="Z43" s="139">
        <f>IS_Others!AD137</f>
        <v>83.333333333333343</v>
      </c>
      <c r="AA43" s="139">
        <f>IS_Others!AE137</f>
        <v>83.333333333333343</v>
      </c>
      <c r="AB43" s="139">
        <f>IS_Others!AF137</f>
        <v>83.333333333333343</v>
      </c>
      <c r="AC43" s="139">
        <f>IS_Others!AG137</f>
        <v>83.333333333333343</v>
      </c>
      <c r="AD43" s="139">
        <f>IS_Others!AH137</f>
        <v>83.333333333333343</v>
      </c>
      <c r="AE43" s="139">
        <f>IS_Others!AI137</f>
        <v>83.333333333333343</v>
      </c>
      <c r="AF43" s="139">
        <f>IS_Others!AJ137</f>
        <v>83.333333333333343</v>
      </c>
      <c r="AG43" s="139">
        <f>IS_Others!AK137</f>
        <v>83.333333333333343</v>
      </c>
      <c r="AH43" s="139">
        <f>IS_Others!AL137</f>
        <v>83.333333333333343</v>
      </c>
      <c r="AI43" s="139">
        <f>IS_Others!AM137</f>
        <v>83.333333333333343</v>
      </c>
      <c r="AJ43" s="139">
        <f>IS_Others!AN137</f>
        <v>83.333333333333343</v>
      </c>
      <c r="AK43" s="139">
        <f>IS_Others!AO137</f>
        <v>83.333333333333343</v>
      </c>
      <c r="AL43" s="139">
        <f>IS_Others!AP137</f>
        <v>83.333333333333343</v>
      </c>
      <c r="AM43" s="139">
        <f>IS_Others!AQ137</f>
        <v>83.333333333333343</v>
      </c>
      <c r="AN43" s="139">
        <f>IS_Others!AR137</f>
        <v>83.333333333333343</v>
      </c>
      <c r="AO43" s="139">
        <f>IS_Others!AS137</f>
        <v>83.333333333333343</v>
      </c>
      <c r="AP43" s="139">
        <f>IS_Others!AT137</f>
        <v>83.333333333333343</v>
      </c>
      <c r="AQ43" s="139">
        <f>IS_Others!AU137</f>
        <v>83.333333333333343</v>
      </c>
      <c r="AR43" s="139">
        <f>IS_Others!AV137</f>
        <v>83.333333333333343</v>
      </c>
      <c r="AS43" s="139">
        <f>IS_Others!AW137</f>
        <v>83.333333333333343</v>
      </c>
      <c r="AT43" s="139">
        <f>IS_Others!AX137</f>
        <v>83.333333333333343</v>
      </c>
      <c r="AU43" s="139">
        <f>IS_Others!AY137</f>
        <v>83.333333333333343</v>
      </c>
      <c r="AV43" s="139">
        <f>IS_Others!AZ137</f>
        <v>83.333333333333343</v>
      </c>
      <c r="AW43" s="139">
        <f>IS_Others!BA137</f>
        <v>83.333333333333343</v>
      </c>
      <c r="AX43" s="139">
        <f>IS_Others!BB137</f>
        <v>83.333333333333343</v>
      </c>
      <c r="AY43" s="139">
        <f>IS_Others!BC137</f>
        <v>83.333333333333343</v>
      </c>
      <c r="AZ43" s="139">
        <f>IS_Others!BD137</f>
        <v>83.333333333333343</v>
      </c>
      <c r="BA43" s="139">
        <f>IS_Others!BE137</f>
        <v>83.333333333333343</v>
      </c>
      <c r="BB43" s="139">
        <f>IS_Others!BF137</f>
        <v>83.333333333333343</v>
      </c>
      <c r="BC43" s="139">
        <f>IS_Others!BG137</f>
        <v>83.333333333333343</v>
      </c>
      <c r="BD43" s="139">
        <f>IS_Others!BH137</f>
        <v>83.333333333333343</v>
      </c>
      <c r="BE43" s="139">
        <f>IS_Others!BI137</f>
        <v>83.333333333333343</v>
      </c>
      <c r="BF43" s="139">
        <f>IS_Others!BJ137</f>
        <v>83.333333333333343</v>
      </c>
      <c r="BG43" s="139">
        <f>IS_Others!BK137</f>
        <v>83.333333333333343</v>
      </c>
      <c r="BH43" s="139">
        <f>IS_Others!BL137</f>
        <v>83.333333333333343</v>
      </c>
      <c r="BI43" s="139">
        <f>IS_Others!BM137</f>
        <v>83.333333333333343</v>
      </c>
      <c r="BJ43" s="139">
        <f>IS_Others!BN137</f>
        <v>83.333333333333343</v>
      </c>
      <c r="BK43" s="139">
        <f>IS_Others!BO137</f>
        <v>83.333333333333343</v>
      </c>
      <c r="BL43" s="139">
        <f>IS_Others!BP137</f>
        <v>83.333333333333343</v>
      </c>
      <c r="BM43" s="139">
        <f>IS_Others!BQ137</f>
        <v>83.333333333333343</v>
      </c>
      <c r="BN43" s="139">
        <f>IS_Others!BR137</f>
        <v>83.333333333333343</v>
      </c>
      <c r="BO43" s="139">
        <f>IS_Others!BS137</f>
        <v>83.333333333333343</v>
      </c>
      <c r="BQ43" s="155">
        <f t="shared" si="11"/>
        <v>0</v>
      </c>
      <c r="BR43" s="155">
        <f t="shared" si="12"/>
        <v>1000.0000000000003</v>
      </c>
      <c r="BS43" s="155">
        <f t="shared" si="13"/>
        <v>1000.0000000000003</v>
      </c>
      <c r="BT43" s="155">
        <f t="shared" si="14"/>
        <v>1000.0000000000003</v>
      </c>
      <c r="BU43" s="155">
        <f t="shared" si="15"/>
        <v>1000.0000000000003</v>
      </c>
    </row>
    <row r="44" spans="3:73">
      <c r="D44" s="139" t="s">
        <v>538</v>
      </c>
      <c r="H44" s="139">
        <f>IS_Others!L138</f>
        <v>83.333333333333343</v>
      </c>
      <c r="I44" s="139">
        <f>IS_Others!M138</f>
        <v>83.333333333333343</v>
      </c>
      <c r="J44" s="139">
        <f>IS_Others!N138</f>
        <v>83.333333333333343</v>
      </c>
      <c r="K44" s="139">
        <f>IS_Others!O138</f>
        <v>83.333333333333343</v>
      </c>
      <c r="L44" s="139">
        <f>IS_Others!P138</f>
        <v>83.333333333333343</v>
      </c>
      <c r="M44" s="139">
        <f>IS_Others!Q138</f>
        <v>83.333333333333343</v>
      </c>
      <c r="N44" s="139">
        <f>IS_Others!R138</f>
        <v>83.333333333333343</v>
      </c>
      <c r="O44" s="139">
        <f>IS_Others!S138</f>
        <v>83.333333333333343</v>
      </c>
      <c r="P44" s="139">
        <f>IS_Others!T138</f>
        <v>83.333333333333343</v>
      </c>
      <c r="Q44" s="139">
        <f>IS_Others!U138</f>
        <v>83.333333333333343</v>
      </c>
      <c r="R44" s="139">
        <f>IS_Others!V138</f>
        <v>83.333333333333343</v>
      </c>
      <c r="S44" s="139">
        <f>IS_Others!W138</f>
        <v>83.333333333333343</v>
      </c>
      <c r="T44" s="139">
        <f>IS_Others!X138</f>
        <v>125</v>
      </c>
      <c r="U44" s="139">
        <f>IS_Others!Y138</f>
        <v>125</v>
      </c>
      <c r="V44" s="139">
        <f>IS_Others!Z138</f>
        <v>125</v>
      </c>
      <c r="W44" s="139">
        <f>IS_Others!AA138</f>
        <v>125</v>
      </c>
      <c r="X44" s="139">
        <f>IS_Others!AB138</f>
        <v>125</v>
      </c>
      <c r="Y44" s="139">
        <f>IS_Others!AC138</f>
        <v>125</v>
      </c>
      <c r="Z44" s="139">
        <f>IS_Others!AD138</f>
        <v>125</v>
      </c>
      <c r="AA44" s="139">
        <f>IS_Others!AE138</f>
        <v>125</v>
      </c>
      <c r="AB44" s="139">
        <f>IS_Others!AF138</f>
        <v>125</v>
      </c>
      <c r="AC44" s="139">
        <f>IS_Others!AG138</f>
        <v>125</v>
      </c>
      <c r="AD44" s="139">
        <f>IS_Others!AH138</f>
        <v>125</v>
      </c>
      <c r="AE44" s="139">
        <f>IS_Others!AI138</f>
        <v>125</v>
      </c>
      <c r="AF44" s="139">
        <f>IS_Others!AJ138</f>
        <v>166.66666666666669</v>
      </c>
      <c r="AG44" s="139">
        <f>IS_Others!AK138</f>
        <v>166.66666666666669</v>
      </c>
      <c r="AH44" s="139">
        <f>IS_Others!AL138</f>
        <v>166.66666666666669</v>
      </c>
      <c r="AI44" s="139">
        <f>IS_Others!AM138</f>
        <v>166.66666666666669</v>
      </c>
      <c r="AJ44" s="139">
        <f>IS_Others!AN138</f>
        <v>166.66666666666669</v>
      </c>
      <c r="AK44" s="139">
        <f>IS_Others!AO138</f>
        <v>166.66666666666669</v>
      </c>
      <c r="AL44" s="139">
        <f>IS_Others!AP138</f>
        <v>166.66666666666669</v>
      </c>
      <c r="AM44" s="139">
        <f>IS_Others!AQ138</f>
        <v>166.66666666666669</v>
      </c>
      <c r="AN44" s="139">
        <f>IS_Others!AR138</f>
        <v>166.66666666666669</v>
      </c>
      <c r="AO44" s="139">
        <f>IS_Others!AS138</f>
        <v>166.66666666666669</v>
      </c>
      <c r="AP44" s="139">
        <f>IS_Others!AT138</f>
        <v>166.66666666666669</v>
      </c>
      <c r="AQ44" s="139">
        <f>IS_Others!AU138</f>
        <v>166.66666666666669</v>
      </c>
      <c r="AR44" s="139">
        <f>IS_Others!AV138</f>
        <v>208.33333333333334</v>
      </c>
      <c r="AS44" s="139">
        <f>IS_Others!AW138</f>
        <v>208.33333333333334</v>
      </c>
      <c r="AT44" s="139">
        <f>IS_Others!AX138</f>
        <v>208.33333333333334</v>
      </c>
      <c r="AU44" s="139">
        <f>IS_Others!AY138</f>
        <v>208.33333333333334</v>
      </c>
      <c r="AV44" s="139">
        <f>IS_Others!AZ138</f>
        <v>208.33333333333334</v>
      </c>
      <c r="AW44" s="139">
        <f>IS_Others!BA138</f>
        <v>208.33333333333334</v>
      </c>
      <c r="AX44" s="139">
        <f>IS_Others!BB138</f>
        <v>208.33333333333334</v>
      </c>
      <c r="AY44" s="139">
        <f>IS_Others!BC138</f>
        <v>208.33333333333334</v>
      </c>
      <c r="AZ44" s="139">
        <f>IS_Others!BD138</f>
        <v>208.33333333333334</v>
      </c>
      <c r="BA44" s="139">
        <f>IS_Others!BE138</f>
        <v>208.33333333333334</v>
      </c>
      <c r="BB44" s="139">
        <f>IS_Others!BF138</f>
        <v>208.33333333333334</v>
      </c>
      <c r="BC44" s="139">
        <f>IS_Others!BG138</f>
        <v>208.33333333333334</v>
      </c>
      <c r="BD44" s="139">
        <f>IS_Others!BH138</f>
        <v>250</v>
      </c>
      <c r="BE44" s="139">
        <f>IS_Others!BI138</f>
        <v>250</v>
      </c>
      <c r="BF44" s="139">
        <f>IS_Others!BJ138</f>
        <v>250</v>
      </c>
      <c r="BG44" s="139">
        <f>IS_Others!BK138</f>
        <v>250</v>
      </c>
      <c r="BH44" s="139">
        <f>IS_Others!BL138</f>
        <v>250</v>
      </c>
      <c r="BI44" s="139">
        <f>IS_Others!BM138</f>
        <v>250</v>
      </c>
      <c r="BJ44" s="139">
        <f>IS_Others!BN138</f>
        <v>250</v>
      </c>
      <c r="BK44" s="139">
        <f>IS_Others!BO138</f>
        <v>250</v>
      </c>
      <c r="BL44" s="139">
        <f>IS_Others!BP138</f>
        <v>250</v>
      </c>
      <c r="BM44" s="139">
        <f>IS_Others!BQ138</f>
        <v>250</v>
      </c>
      <c r="BN44" s="139">
        <f>IS_Others!BR138</f>
        <v>250</v>
      </c>
      <c r="BO44" s="139">
        <f>IS_Others!BS138</f>
        <v>250</v>
      </c>
      <c r="BQ44" s="155">
        <f t="shared" si="11"/>
        <v>1000.0000000000003</v>
      </c>
      <c r="BR44" s="155">
        <f t="shared" si="12"/>
        <v>1500</v>
      </c>
      <c r="BS44" s="155">
        <f t="shared" si="13"/>
        <v>2000.0000000000007</v>
      </c>
      <c r="BT44" s="155">
        <f t="shared" si="14"/>
        <v>2500</v>
      </c>
      <c r="BU44" s="155">
        <f t="shared" si="15"/>
        <v>3000</v>
      </c>
    </row>
    <row r="45" spans="3:73">
      <c r="D45" s="139" t="s">
        <v>539</v>
      </c>
      <c r="H45" s="139">
        <f>IS_Others!L139</f>
        <v>166.66666666666669</v>
      </c>
      <c r="I45" s="139">
        <f>IS_Others!M139</f>
        <v>166.66666666666669</v>
      </c>
      <c r="J45" s="139">
        <f>IS_Others!N139</f>
        <v>166.66666666666669</v>
      </c>
      <c r="K45" s="139">
        <f>IS_Others!O139</f>
        <v>166.66666666666669</v>
      </c>
      <c r="L45" s="139">
        <f>IS_Others!P139</f>
        <v>166.66666666666669</v>
      </c>
      <c r="M45" s="139">
        <f>IS_Others!Q139</f>
        <v>166.66666666666669</v>
      </c>
      <c r="N45" s="139">
        <f>IS_Others!R139</f>
        <v>166.66666666666669</v>
      </c>
      <c r="O45" s="139">
        <f>IS_Others!S139</f>
        <v>166.66666666666669</v>
      </c>
      <c r="P45" s="139">
        <f>IS_Others!T139</f>
        <v>166.66666666666669</v>
      </c>
      <c r="Q45" s="139">
        <f>IS_Others!U139</f>
        <v>166.66666666666669</v>
      </c>
      <c r="R45" s="139">
        <f>IS_Others!V139</f>
        <v>166.66666666666669</v>
      </c>
      <c r="S45" s="139">
        <f>IS_Others!W139</f>
        <v>166.66666666666669</v>
      </c>
      <c r="T45" s="139">
        <f>IS_Others!X139</f>
        <v>250</v>
      </c>
      <c r="U45" s="139">
        <f>IS_Others!Y139</f>
        <v>250</v>
      </c>
      <c r="V45" s="139">
        <f>IS_Others!Z139</f>
        <v>250</v>
      </c>
      <c r="W45" s="139">
        <f>IS_Others!AA139</f>
        <v>250</v>
      </c>
      <c r="X45" s="139">
        <f>IS_Others!AB139</f>
        <v>250</v>
      </c>
      <c r="Y45" s="139">
        <f>IS_Others!AC139</f>
        <v>250</v>
      </c>
      <c r="Z45" s="139">
        <f>IS_Others!AD139</f>
        <v>250</v>
      </c>
      <c r="AA45" s="139">
        <f>IS_Others!AE139</f>
        <v>250</v>
      </c>
      <c r="AB45" s="139">
        <f>IS_Others!AF139</f>
        <v>250</v>
      </c>
      <c r="AC45" s="139">
        <f>IS_Others!AG139</f>
        <v>250</v>
      </c>
      <c r="AD45" s="139">
        <f>IS_Others!AH139</f>
        <v>250</v>
      </c>
      <c r="AE45" s="139">
        <f>IS_Others!AI139</f>
        <v>250</v>
      </c>
      <c r="AF45" s="139">
        <f>IS_Others!AJ139</f>
        <v>333.33333333333337</v>
      </c>
      <c r="AG45" s="139">
        <f>IS_Others!AK139</f>
        <v>333.33333333333337</v>
      </c>
      <c r="AH45" s="139">
        <f>IS_Others!AL139</f>
        <v>333.33333333333337</v>
      </c>
      <c r="AI45" s="139">
        <f>IS_Others!AM139</f>
        <v>333.33333333333337</v>
      </c>
      <c r="AJ45" s="139">
        <f>IS_Others!AN139</f>
        <v>333.33333333333337</v>
      </c>
      <c r="AK45" s="139">
        <f>IS_Others!AO139</f>
        <v>333.33333333333337</v>
      </c>
      <c r="AL45" s="139">
        <f>IS_Others!AP139</f>
        <v>333.33333333333337</v>
      </c>
      <c r="AM45" s="139">
        <f>IS_Others!AQ139</f>
        <v>333.33333333333337</v>
      </c>
      <c r="AN45" s="139">
        <f>IS_Others!AR139</f>
        <v>333.33333333333337</v>
      </c>
      <c r="AO45" s="139">
        <f>IS_Others!AS139</f>
        <v>333.33333333333337</v>
      </c>
      <c r="AP45" s="139">
        <f>IS_Others!AT139</f>
        <v>333.33333333333337</v>
      </c>
      <c r="AQ45" s="139">
        <f>IS_Others!AU139</f>
        <v>333.33333333333337</v>
      </c>
      <c r="AR45" s="139">
        <f>IS_Others!AV139</f>
        <v>416.66666666666669</v>
      </c>
      <c r="AS45" s="139">
        <f>IS_Others!AW139</f>
        <v>416.66666666666669</v>
      </c>
      <c r="AT45" s="139">
        <f>IS_Others!AX139</f>
        <v>416.66666666666669</v>
      </c>
      <c r="AU45" s="139">
        <f>IS_Others!AY139</f>
        <v>416.66666666666669</v>
      </c>
      <c r="AV45" s="139">
        <f>IS_Others!AZ139</f>
        <v>416.66666666666669</v>
      </c>
      <c r="AW45" s="139">
        <f>IS_Others!BA139</f>
        <v>416.66666666666669</v>
      </c>
      <c r="AX45" s="139">
        <f>IS_Others!BB139</f>
        <v>416.66666666666669</v>
      </c>
      <c r="AY45" s="139">
        <f>IS_Others!BC139</f>
        <v>416.66666666666669</v>
      </c>
      <c r="AZ45" s="139">
        <f>IS_Others!BD139</f>
        <v>416.66666666666669</v>
      </c>
      <c r="BA45" s="139">
        <f>IS_Others!BE139</f>
        <v>416.66666666666669</v>
      </c>
      <c r="BB45" s="139">
        <f>IS_Others!BF139</f>
        <v>416.66666666666669</v>
      </c>
      <c r="BC45" s="139">
        <f>IS_Others!BG139</f>
        <v>416.66666666666669</v>
      </c>
      <c r="BD45" s="139">
        <f>IS_Others!BH139</f>
        <v>500</v>
      </c>
      <c r="BE45" s="139">
        <f>IS_Others!BI139</f>
        <v>500</v>
      </c>
      <c r="BF45" s="139">
        <f>IS_Others!BJ139</f>
        <v>500</v>
      </c>
      <c r="BG45" s="139">
        <f>IS_Others!BK139</f>
        <v>500</v>
      </c>
      <c r="BH45" s="139">
        <f>IS_Others!BL139</f>
        <v>500</v>
      </c>
      <c r="BI45" s="139">
        <f>IS_Others!BM139</f>
        <v>500</v>
      </c>
      <c r="BJ45" s="139">
        <f>IS_Others!BN139</f>
        <v>500</v>
      </c>
      <c r="BK45" s="139">
        <f>IS_Others!BO139</f>
        <v>500</v>
      </c>
      <c r="BL45" s="139">
        <f>IS_Others!BP139</f>
        <v>500</v>
      </c>
      <c r="BM45" s="139">
        <f>IS_Others!BQ139</f>
        <v>500</v>
      </c>
      <c r="BN45" s="139">
        <f>IS_Others!BR139</f>
        <v>500</v>
      </c>
      <c r="BO45" s="139">
        <f>IS_Others!BS139</f>
        <v>500</v>
      </c>
      <c r="BQ45" s="155">
        <f t="shared" si="11"/>
        <v>2000.0000000000007</v>
      </c>
      <c r="BR45" s="155">
        <f t="shared" si="12"/>
        <v>3000</v>
      </c>
      <c r="BS45" s="155">
        <f t="shared" si="13"/>
        <v>4000.0000000000014</v>
      </c>
      <c r="BT45" s="155">
        <f t="shared" si="14"/>
        <v>5000</v>
      </c>
      <c r="BU45" s="155">
        <f t="shared" si="15"/>
        <v>6000</v>
      </c>
    </row>
    <row r="46" spans="3:73">
      <c r="C46" s="155" t="s">
        <v>548</v>
      </c>
      <c r="D46" s="155"/>
      <c r="G46" s="155" t="s">
        <v>1309</v>
      </c>
      <c r="H46" s="155">
        <f t="shared" ref="H46:AM46" si="18">SUBTOTAL(9,H47:H50)</f>
        <v>1600</v>
      </c>
      <c r="I46" s="155">
        <f t="shared" si="18"/>
        <v>0</v>
      </c>
      <c r="J46" s="155">
        <f t="shared" si="18"/>
        <v>0</v>
      </c>
      <c r="K46" s="155">
        <f t="shared" si="18"/>
        <v>0</v>
      </c>
      <c r="L46" s="155">
        <f t="shared" si="18"/>
        <v>0</v>
      </c>
      <c r="M46" s="155">
        <f t="shared" si="18"/>
        <v>0</v>
      </c>
      <c r="N46" s="155">
        <f t="shared" si="18"/>
        <v>0</v>
      </c>
      <c r="O46" s="155">
        <f t="shared" si="18"/>
        <v>0</v>
      </c>
      <c r="P46" s="155">
        <f t="shared" si="18"/>
        <v>0</v>
      </c>
      <c r="Q46" s="155">
        <f t="shared" si="18"/>
        <v>0</v>
      </c>
      <c r="R46" s="155">
        <f t="shared" si="18"/>
        <v>0</v>
      </c>
      <c r="S46" s="155">
        <f t="shared" si="18"/>
        <v>0</v>
      </c>
      <c r="T46" s="155">
        <f t="shared" si="18"/>
        <v>600</v>
      </c>
      <c r="U46" s="155">
        <f t="shared" si="18"/>
        <v>0</v>
      </c>
      <c r="V46" s="155">
        <f t="shared" si="18"/>
        <v>0</v>
      </c>
      <c r="W46" s="155">
        <f t="shared" si="18"/>
        <v>0</v>
      </c>
      <c r="X46" s="155">
        <f t="shared" si="18"/>
        <v>0</v>
      </c>
      <c r="Y46" s="155">
        <f t="shared" si="18"/>
        <v>0</v>
      </c>
      <c r="Z46" s="155">
        <f t="shared" si="18"/>
        <v>0</v>
      </c>
      <c r="AA46" s="155">
        <f t="shared" si="18"/>
        <v>0</v>
      </c>
      <c r="AB46" s="155">
        <f t="shared" si="18"/>
        <v>0</v>
      </c>
      <c r="AC46" s="155">
        <f t="shared" si="18"/>
        <v>0</v>
      </c>
      <c r="AD46" s="155">
        <f t="shared" si="18"/>
        <v>0</v>
      </c>
      <c r="AE46" s="155">
        <f t="shared" si="18"/>
        <v>0</v>
      </c>
      <c r="AF46" s="155">
        <f t="shared" si="18"/>
        <v>400</v>
      </c>
      <c r="AG46" s="155">
        <f t="shared" si="18"/>
        <v>0</v>
      </c>
      <c r="AH46" s="155">
        <f t="shared" si="18"/>
        <v>0</v>
      </c>
      <c r="AI46" s="155">
        <f t="shared" si="18"/>
        <v>0</v>
      </c>
      <c r="AJ46" s="155">
        <f t="shared" si="18"/>
        <v>0</v>
      </c>
      <c r="AK46" s="155">
        <f t="shared" si="18"/>
        <v>0</v>
      </c>
      <c r="AL46" s="155">
        <f t="shared" si="18"/>
        <v>0</v>
      </c>
      <c r="AM46" s="155">
        <f t="shared" si="18"/>
        <v>0</v>
      </c>
      <c r="AN46" s="155">
        <f t="shared" ref="AN46:BO46" si="19">SUBTOTAL(9,AN47:AN50)</f>
        <v>0</v>
      </c>
      <c r="AO46" s="155">
        <f t="shared" si="19"/>
        <v>0</v>
      </c>
      <c r="AP46" s="155">
        <f t="shared" si="19"/>
        <v>0</v>
      </c>
      <c r="AQ46" s="155">
        <f t="shared" si="19"/>
        <v>0</v>
      </c>
      <c r="AR46" s="155">
        <f t="shared" si="19"/>
        <v>200</v>
      </c>
      <c r="AS46" s="155">
        <f t="shared" si="19"/>
        <v>0</v>
      </c>
      <c r="AT46" s="155">
        <f t="shared" si="19"/>
        <v>0</v>
      </c>
      <c r="AU46" s="155">
        <f t="shared" si="19"/>
        <v>0</v>
      </c>
      <c r="AV46" s="155">
        <f t="shared" si="19"/>
        <v>0</v>
      </c>
      <c r="AW46" s="155">
        <f t="shared" si="19"/>
        <v>0</v>
      </c>
      <c r="AX46" s="155">
        <f t="shared" si="19"/>
        <v>0</v>
      </c>
      <c r="AY46" s="155">
        <f t="shared" si="19"/>
        <v>0</v>
      </c>
      <c r="AZ46" s="155">
        <f t="shared" si="19"/>
        <v>0</v>
      </c>
      <c r="BA46" s="155">
        <f t="shared" si="19"/>
        <v>0</v>
      </c>
      <c r="BB46" s="155">
        <f t="shared" si="19"/>
        <v>0</v>
      </c>
      <c r="BC46" s="155">
        <f t="shared" si="19"/>
        <v>0</v>
      </c>
      <c r="BD46" s="155">
        <f t="shared" si="19"/>
        <v>0</v>
      </c>
      <c r="BE46" s="155">
        <f t="shared" si="19"/>
        <v>0</v>
      </c>
      <c r="BF46" s="155">
        <f t="shared" si="19"/>
        <v>0</v>
      </c>
      <c r="BG46" s="155">
        <f t="shared" si="19"/>
        <v>0</v>
      </c>
      <c r="BH46" s="155">
        <f t="shared" si="19"/>
        <v>0</v>
      </c>
      <c r="BI46" s="155">
        <f t="shared" si="19"/>
        <v>0</v>
      </c>
      <c r="BJ46" s="155">
        <f t="shared" si="19"/>
        <v>0</v>
      </c>
      <c r="BK46" s="155">
        <f t="shared" si="19"/>
        <v>0</v>
      </c>
      <c r="BL46" s="155">
        <f t="shared" si="19"/>
        <v>0</v>
      </c>
      <c r="BM46" s="155">
        <f t="shared" si="19"/>
        <v>0</v>
      </c>
      <c r="BN46" s="155">
        <f t="shared" si="19"/>
        <v>0</v>
      </c>
      <c r="BO46" s="155">
        <f t="shared" si="19"/>
        <v>0</v>
      </c>
      <c r="BQ46" s="155">
        <f t="shared" si="11"/>
        <v>1600</v>
      </c>
      <c r="BR46" s="155">
        <f t="shared" si="12"/>
        <v>600</v>
      </c>
      <c r="BS46" s="155">
        <f t="shared" si="13"/>
        <v>400</v>
      </c>
      <c r="BT46" s="155">
        <f t="shared" si="14"/>
        <v>200</v>
      </c>
      <c r="BU46" s="155">
        <f t="shared" si="15"/>
        <v>0</v>
      </c>
    </row>
    <row r="47" spans="3:73">
      <c r="D47" s="139" t="s">
        <v>540</v>
      </c>
      <c r="H47" s="139">
        <f>IS_Others!L141</f>
        <v>1000</v>
      </c>
      <c r="I47" s="139">
        <f>IS_Others!M141</f>
        <v>0</v>
      </c>
      <c r="J47" s="139">
        <f>IS_Others!N141</f>
        <v>0</v>
      </c>
      <c r="K47" s="139">
        <f>IS_Others!O141</f>
        <v>0</v>
      </c>
      <c r="L47" s="139">
        <f>IS_Others!P141</f>
        <v>0</v>
      </c>
      <c r="M47" s="139">
        <f>IS_Others!Q141</f>
        <v>0</v>
      </c>
      <c r="N47" s="139">
        <f>IS_Others!R141</f>
        <v>0</v>
      </c>
      <c r="O47" s="139">
        <f>IS_Others!S141</f>
        <v>0</v>
      </c>
      <c r="P47" s="139">
        <f>IS_Others!T141</f>
        <v>0</v>
      </c>
      <c r="Q47" s="139">
        <f>IS_Others!U141</f>
        <v>0</v>
      </c>
      <c r="R47" s="139">
        <f>IS_Others!V141</f>
        <v>0</v>
      </c>
      <c r="S47" s="139">
        <f>IS_Others!W141</f>
        <v>0</v>
      </c>
      <c r="T47" s="139">
        <f>IS_Others!X141</f>
        <v>0</v>
      </c>
      <c r="U47" s="139">
        <f>IS_Others!Y141</f>
        <v>0</v>
      </c>
      <c r="V47" s="139">
        <f>IS_Others!Z141</f>
        <v>0</v>
      </c>
      <c r="W47" s="139">
        <f>IS_Others!AA141</f>
        <v>0</v>
      </c>
      <c r="X47" s="139">
        <f>IS_Others!AB141</f>
        <v>0</v>
      </c>
      <c r="Y47" s="139">
        <f>IS_Others!AC141</f>
        <v>0</v>
      </c>
      <c r="Z47" s="139">
        <f>IS_Others!AD141</f>
        <v>0</v>
      </c>
      <c r="AA47" s="139">
        <f>IS_Others!AE141</f>
        <v>0</v>
      </c>
      <c r="AB47" s="139">
        <f>IS_Others!AF141</f>
        <v>0</v>
      </c>
      <c r="AC47" s="139">
        <f>IS_Others!AG141</f>
        <v>0</v>
      </c>
      <c r="AD47" s="139">
        <f>IS_Others!AH141</f>
        <v>0</v>
      </c>
      <c r="AE47" s="139">
        <f>IS_Others!AI141</f>
        <v>0</v>
      </c>
      <c r="AF47" s="139">
        <f>IS_Others!AJ141</f>
        <v>0</v>
      </c>
      <c r="AG47" s="139">
        <f>IS_Others!AK141</f>
        <v>0</v>
      </c>
      <c r="AH47" s="139">
        <f>IS_Others!AL141</f>
        <v>0</v>
      </c>
      <c r="AI47" s="139">
        <f>IS_Others!AM141</f>
        <v>0</v>
      </c>
      <c r="AJ47" s="139">
        <f>IS_Others!AN141</f>
        <v>0</v>
      </c>
      <c r="AK47" s="139">
        <f>IS_Others!AO141</f>
        <v>0</v>
      </c>
      <c r="AL47" s="139">
        <f>IS_Others!AP141</f>
        <v>0</v>
      </c>
      <c r="AM47" s="139">
        <f>IS_Others!AQ141</f>
        <v>0</v>
      </c>
      <c r="AN47" s="139">
        <f>IS_Others!AR141</f>
        <v>0</v>
      </c>
      <c r="AO47" s="139">
        <f>IS_Others!AS141</f>
        <v>0</v>
      </c>
      <c r="AP47" s="139">
        <f>IS_Others!AT141</f>
        <v>0</v>
      </c>
      <c r="AQ47" s="139">
        <f>IS_Others!AU141</f>
        <v>0</v>
      </c>
      <c r="AR47" s="139">
        <f>IS_Others!AV141</f>
        <v>0</v>
      </c>
      <c r="AS47" s="139">
        <f>IS_Others!AW141</f>
        <v>0</v>
      </c>
      <c r="AT47" s="139">
        <f>IS_Others!AX141</f>
        <v>0</v>
      </c>
      <c r="AU47" s="139">
        <f>IS_Others!AY141</f>
        <v>0</v>
      </c>
      <c r="AV47" s="139">
        <f>IS_Others!AZ141</f>
        <v>0</v>
      </c>
      <c r="AW47" s="139">
        <f>IS_Others!BA141</f>
        <v>0</v>
      </c>
      <c r="AX47" s="139">
        <f>IS_Others!BB141</f>
        <v>0</v>
      </c>
      <c r="AY47" s="139">
        <f>IS_Others!BC141</f>
        <v>0</v>
      </c>
      <c r="AZ47" s="139">
        <f>IS_Others!BD141</f>
        <v>0</v>
      </c>
      <c r="BA47" s="139">
        <f>IS_Others!BE141</f>
        <v>0</v>
      </c>
      <c r="BB47" s="139">
        <f>IS_Others!BF141</f>
        <v>0</v>
      </c>
      <c r="BC47" s="139">
        <f>IS_Others!BG141</f>
        <v>0</v>
      </c>
      <c r="BD47" s="139">
        <f>IS_Others!BH141</f>
        <v>0</v>
      </c>
      <c r="BE47" s="139">
        <f>IS_Others!BI141</f>
        <v>0</v>
      </c>
      <c r="BF47" s="139">
        <f>IS_Others!BJ141</f>
        <v>0</v>
      </c>
      <c r="BG47" s="139">
        <f>IS_Others!BK141</f>
        <v>0</v>
      </c>
      <c r="BH47" s="139">
        <f>IS_Others!BL141</f>
        <v>0</v>
      </c>
      <c r="BI47" s="139">
        <f>IS_Others!BM141</f>
        <v>0</v>
      </c>
      <c r="BJ47" s="139">
        <f>IS_Others!BN141</f>
        <v>0</v>
      </c>
      <c r="BK47" s="139">
        <f>IS_Others!BO141</f>
        <v>0</v>
      </c>
      <c r="BL47" s="139">
        <f>IS_Others!BP141</f>
        <v>0</v>
      </c>
      <c r="BM47" s="139">
        <f>IS_Others!BQ141</f>
        <v>0</v>
      </c>
      <c r="BN47" s="139">
        <f>IS_Others!BR141</f>
        <v>0</v>
      </c>
      <c r="BO47" s="139">
        <f>IS_Others!BS141</f>
        <v>0</v>
      </c>
      <c r="BQ47" s="155">
        <f t="shared" si="11"/>
        <v>1000</v>
      </c>
      <c r="BR47" s="155">
        <f t="shared" si="12"/>
        <v>0</v>
      </c>
      <c r="BS47" s="155">
        <f t="shared" si="13"/>
        <v>0</v>
      </c>
      <c r="BT47" s="155">
        <f t="shared" si="14"/>
        <v>0</v>
      </c>
      <c r="BU47" s="155">
        <f t="shared" si="15"/>
        <v>0</v>
      </c>
    </row>
    <row r="48" spans="3:73">
      <c r="D48" s="139" t="s">
        <v>541</v>
      </c>
      <c r="H48" s="139">
        <f>IS_Others!L142</f>
        <v>200</v>
      </c>
      <c r="I48" s="139">
        <f>IS_Others!M142</f>
        <v>0</v>
      </c>
      <c r="J48" s="139">
        <f>IS_Others!N142</f>
        <v>0</v>
      </c>
      <c r="K48" s="139">
        <f>IS_Others!O142</f>
        <v>0</v>
      </c>
      <c r="L48" s="139">
        <f>IS_Others!P142</f>
        <v>0</v>
      </c>
      <c r="M48" s="139">
        <f>IS_Others!Q142</f>
        <v>0</v>
      </c>
      <c r="N48" s="139">
        <f>IS_Others!R142</f>
        <v>0</v>
      </c>
      <c r="O48" s="139">
        <f>IS_Others!S142</f>
        <v>0</v>
      </c>
      <c r="P48" s="139">
        <f>IS_Others!T142</f>
        <v>0</v>
      </c>
      <c r="Q48" s="139">
        <f>IS_Others!U142</f>
        <v>0</v>
      </c>
      <c r="R48" s="139">
        <f>IS_Others!V142</f>
        <v>0</v>
      </c>
      <c r="S48" s="139">
        <f>IS_Others!W142</f>
        <v>0</v>
      </c>
      <c r="T48" s="139">
        <f>IS_Others!X142</f>
        <v>600</v>
      </c>
      <c r="U48" s="139">
        <f>IS_Others!Y142</f>
        <v>0</v>
      </c>
      <c r="V48" s="139">
        <f>IS_Others!Z142</f>
        <v>0</v>
      </c>
      <c r="W48" s="139">
        <f>IS_Others!AA142</f>
        <v>0</v>
      </c>
      <c r="X48" s="139">
        <f>IS_Others!AB142</f>
        <v>0</v>
      </c>
      <c r="Y48" s="139">
        <f>IS_Others!AC142</f>
        <v>0</v>
      </c>
      <c r="Z48" s="139">
        <f>IS_Others!AD142</f>
        <v>0</v>
      </c>
      <c r="AA48" s="139">
        <f>IS_Others!AE142</f>
        <v>0</v>
      </c>
      <c r="AB48" s="139">
        <f>IS_Others!AF142</f>
        <v>0</v>
      </c>
      <c r="AC48" s="139">
        <f>IS_Others!AG142</f>
        <v>0</v>
      </c>
      <c r="AD48" s="139">
        <f>IS_Others!AH142</f>
        <v>0</v>
      </c>
      <c r="AE48" s="139">
        <f>IS_Others!AI142</f>
        <v>0</v>
      </c>
      <c r="AF48" s="139">
        <f>IS_Others!AJ142</f>
        <v>400</v>
      </c>
      <c r="AG48" s="139">
        <f>IS_Others!AK142</f>
        <v>0</v>
      </c>
      <c r="AH48" s="139">
        <f>IS_Others!AL142</f>
        <v>0</v>
      </c>
      <c r="AI48" s="139">
        <f>IS_Others!AM142</f>
        <v>0</v>
      </c>
      <c r="AJ48" s="139">
        <f>IS_Others!AN142</f>
        <v>0</v>
      </c>
      <c r="AK48" s="139">
        <f>IS_Others!AO142</f>
        <v>0</v>
      </c>
      <c r="AL48" s="139">
        <f>IS_Others!AP142</f>
        <v>0</v>
      </c>
      <c r="AM48" s="139">
        <f>IS_Others!AQ142</f>
        <v>0</v>
      </c>
      <c r="AN48" s="139">
        <f>IS_Others!AR142</f>
        <v>0</v>
      </c>
      <c r="AO48" s="139">
        <f>IS_Others!AS142</f>
        <v>0</v>
      </c>
      <c r="AP48" s="139">
        <f>IS_Others!AT142</f>
        <v>0</v>
      </c>
      <c r="AQ48" s="139">
        <f>IS_Others!AU142</f>
        <v>0</v>
      </c>
      <c r="AR48" s="139">
        <f>IS_Others!AV142</f>
        <v>200</v>
      </c>
      <c r="AS48" s="139">
        <f>IS_Others!AW142</f>
        <v>0</v>
      </c>
      <c r="AT48" s="139">
        <f>IS_Others!AX142</f>
        <v>0</v>
      </c>
      <c r="AU48" s="139">
        <f>IS_Others!AY142</f>
        <v>0</v>
      </c>
      <c r="AV48" s="139">
        <f>IS_Others!AZ142</f>
        <v>0</v>
      </c>
      <c r="AW48" s="139">
        <f>IS_Others!BA142</f>
        <v>0</v>
      </c>
      <c r="AX48" s="139">
        <f>IS_Others!BB142</f>
        <v>0</v>
      </c>
      <c r="AY48" s="139">
        <f>IS_Others!BC142</f>
        <v>0</v>
      </c>
      <c r="AZ48" s="139">
        <f>IS_Others!BD142</f>
        <v>0</v>
      </c>
      <c r="BA48" s="139">
        <f>IS_Others!BE142</f>
        <v>0</v>
      </c>
      <c r="BB48" s="139">
        <f>IS_Others!BF142</f>
        <v>0</v>
      </c>
      <c r="BC48" s="139">
        <f>IS_Others!BG142</f>
        <v>0</v>
      </c>
      <c r="BD48" s="139">
        <f>IS_Others!BH142</f>
        <v>0</v>
      </c>
      <c r="BE48" s="139">
        <f>IS_Others!BI142</f>
        <v>0</v>
      </c>
      <c r="BF48" s="139">
        <f>IS_Others!BJ142</f>
        <v>0</v>
      </c>
      <c r="BG48" s="139">
        <f>IS_Others!BK142</f>
        <v>0</v>
      </c>
      <c r="BH48" s="139">
        <f>IS_Others!BL142</f>
        <v>0</v>
      </c>
      <c r="BI48" s="139">
        <f>IS_Others!BM142</f>
        <v>0</v>
      </c>
      <c r="BJ48" s="139">
        <f>IS_Others!BN142</f>
        <v>0</v>
      </c>
      <c r="BK48" s="139">
        <f>IS_Others!BO142</f>
        <v>0</v>
      </c>
      <c r="BL48" s="139">
        <f>IS_Others!BP142</f>
        <v>0</v>
      </c>
      <c r="BM48" s="139">
        <f>IS_Others!BQ142</f>
        <v>0</v>
      </c>
      <c r="BN48" s="139">
        <f>IS_Others!BR142</f>
        <v>0</v>
      </c>
      <c r="BO48" s="139">
        <f>IS_Others!BS142</f>
        <v>0</v>
      </c>
      <c r="BQ48" s="155">
        <f t="shared" si="11"/>
        <v>200</v>
      </c>
      <c r="BR48" s="155">
        <f t="shared" si="12"/>
        <v>600</v>
      </c>
      <c r="BS48" s="155">
        <f t="shared" si="13"/>
        <v>400</v>
      </c>
      <c r="BT48" s="155">
        <f t="shared" si="14"/>
        <v>200</v>
      </c>
      <c r="BU48" s="155">
        <f t="shared" si="15"/>
        <v>0</v>
      </c>
    </row>
    <row r="49" spans="3:73">
      <c r="D49" s="139" t="s">
        <v>542</v>
      </c>
      <c r="H49" s="139">
        <f>IS_Others!L143</f>
        <v>200</v>
      </c>
      <c r="I49" s="139">
        <f>IS_Others!M143</f>
        <v>0</v>
      </c>
      <c r="J49" s="139">
        <f>IS_Others!N143</f>
        <v>0</v>
      </c>
      <c r="K49" s="139">
        <f>IS_Others!O143</f>
        <v>0</v>
      </c>
      <c r="L49" s="139">
        <f>IS_Others!P143</f>
        <v>0</v>
      </c>
      <c r="M49" s="139">
        <f>IS_Others!Q143</f>
        <v>0</v>
      </c>
      <c r="N49" s="139">
        <f>IS_Others!R143</f>
        <v>0</v>
      </c>
      <c r="O49" s="139">
        <f>IS_Others!S143</f>
        <v>0</v>
      </c>
      <c r="P49" s="139">
        <f>IS_Others!T143</f>
        <v>0</v>
      </c>
      <c r="Q49" s="139">
        <f>IS_Others!U143</f>
        <v>0</v>
      </c>
      <c r="R49" s="139">
        <f>IS_Others!V143</f>
        <v>0</v>
      </c>
      <c r="S49" s="139">
        <f>IS_Others!W143</f>
        <v>0</v>
      </c>
      <c r="T49" s="139">
        <f>IS_Others!X143</f>
        <v>0</v>
      </c>
      <c r="U49" s="139">
        <f>IS_Others!Y143</f>
        <v>0</v>
      </c>
      <c r="V49" s="139">
        <f>IS_Others!Z143</f>
        <v>0</v>
      </c>
      <c r="W49" s="139">
        <f>IS_Others!AA143</f>
        <v>0</v>
      </c>
      <c r="X49" s="139">
        <f>IS_Others!AB143</f>
        <v>0</v>
      </c>
      <c r="Y49" s="139">
        <f>IS_Others!AC143</f>
        <v>0</v>
      </c>
      <c r="Z49" s="139">
        <f>IS_Others!AD143</f>
        <v>0</v>
      </c>
      <c r="AA49" s="139">
        <f>IS_Others!AE143</f>
        <v>0</v>
      </c>
      <c r="AB49" s="139">
        <f>IS_Others!AF143</f>
        <v>0</v>
      </c>
      <c r="AC49" s="139">
        <f>IS_Others!AG143</f>
        <v>0</v>
      </c>
      <c r="AD49" s="139">
        <f>IS_Others!AH143</f>
        <v>0</v>
      </c>
      <c r="AE49" s="139">
        <f>IS_Others!AI143</f>
        <v>0</v>
      </c>
      <c r="AF49" s="139">
        <f>IS_Others!AJ143</f>
        <v>0</v>
      </c>
      <c r="AG49" s="139">
        <f>IS_Others!AK143</f>
        <v>0</v>
      </c>
      <c r="AH49" s="139">
        <f>IS_Others!AL143</f>
        <v>0</v>
      </c>
      <c r="AI49" s="139">
        <f>IS_Others!AM143</f>
        <v>0</v>
      </c>
      <c r="AJ49" s="139">
        <f>IS_Others!AN143</f>
        <v>0</v>
      </c>
      <c r="AK49" s="139">
        <f>IS_Others!AO143</f>
        <v>0</v>
      </c>
      <c r="AL49" s="139">
        <f>IS_Others!AP143</f>
        <v>0</v>
      </c>
      <c r="AM49" s="139">
        <f>IS_Others!AQ143</f>
        <v>0</v>
      </c>
      <c r="AN49" s="139">
        <f>IS_Others!AR143</f>
        <v>0</v>
      </c>
      <c r="AO49" s="139">
        <f>IS_Others!AS143</f>
        <v>0</v>
      </c>
      <c r="AP49" s="139">
        <f>IS_Others!AT143</f>
        <v>0</v>
      </c>
      <c r="AQ49" s="139">
        <f>IS_Others!AU143</f>
        <v>0</v>
      </c>
      <c r="AR49" s="139">
        <f>IS_Others!AV143</f>
        <v>0</v>
      </c>
      <c r="AS49" s="139">
        <f>IS_Others!AW143</f>
        <v>0</v>
      </c>
      <c r="AT49" s="139">
        <f>IS_Others!AX143</f>
        <v>0</v>
      </c>
      <c r="AU49" s="139">
        <f>IS_Others!AY143</f>
        <v>0</v>
      </c>
      <c r="AV49" s="139">
        <f>IS_Others!AZ143</f>
        <v>0</v>
      </c>
      <c r="AW49" s="139">
        <f>IS_Others!BA143</f>
        <v>0</v>
      </c>
      <c r="AX49" s="139">
        <f>IS_Others!BB143</f>
        <v>0</v>
      </c>
      <c r="AY49" s="139">
        <f>IS_Others!BC143</f>
        <v>0</v>
      </c>
      <c r="AZ49" s="139">
        <f>IS_Others!BD143</f>
        <v>0</v>
      </c>
      <c r="BA49" s="139">
        <f>IS_Others!BE143</f>
        <v>0</v>
      </c>
      <c r="BB49" s="139">
        <f>IS_Others!BF143</f>
        <v>0</v>
      </c>
      <c r="BC49" s="139">
        <f>IS_Others!BG143</f>
        <v>0</v>
      </c>
      <c r="BD49" s="139">
        <f>IS_Others!BH143</f>
        <v>0</v>
      </c>
      <c r="BE49" s="139">
        <f>IS_Others!BI143</f>
        <v>0</v>
      </c>
      <c r="BF49" s="139">
        <f>IS_Others!BJ143</f>
        <v>0</v>
      </c>
      <c r="BG49" s="139">
        <f>IS_Others!BK143</f>
        <v>0</v>
      </c>
      <c r="BH49" s="139">
        <f>IS_Others!BL143</f>
        <v>0</v>
      </c>
      <c r="BI49" s="139">
        <f>IS_Others!BM143</f>
        <v>0</v>
      </c>
      <c r="BJ49" s="139">
        <f>IS_Others!BN143</f>
        <v>0</v>
      </c>
      <c r="BK49" s="139">
        <f>IS_Others!BO143</f>
        <v>0</v>
      </c>
      <c r="BL49" s="139">
        <f>IS_Others!BP143</f>
        <v>0</v>
      </c>
      <c r="BM49" s="139">
        <f>IS_Others!BQ143</f>
        <v>0</v>
      </c>
      <c r="BN49" s="139">
        <f>IS_Others!BR143</f>
        <v>0</v>
      </c>
      <c r="BO49" s="139">
        <f>IS_Others!BS143</f>
        <v>0</v>
      </c>
      <c r="BQ49" s="155">
        <f t="shared" si="11"/>
        <v>200</v>
      </c>
      <c r="BR49" s="155">
        <f t="shared" si="12"/>
        <v>0</v>
      </c>
      <c r="BS49" s="155">
        <f t="shared" si="13"/>
        <v>0</v>
      </c>
      <c r="BT49" s="155">
        <f t="shared" si="14"/>
        <v>0</v>
      </c>
      <c r="BU49" s="155">
        <f t="shared" si="15"/>
        <v>0</v>
      </c>
    </row>
    <row r="50" spans="3:73">
      <c r="D50" s="139" t="s">
        <v>543</v>
      </c>
      <c r="H50" s="139">
        <f>IS_Others!L144</f>
        <v>200</v>
      </c>
      <c r="I50" s="139">
        <f>IS_Others!M144</f>
        <v>0</v>
      </c>
      <c r="J50" s="139">
        <f>IS_Others!N144</f>
        <v>0</v>
      </c>
      <c r="K50" s="139">
        <f>IS_Others!O144</f>
        <v>0</v>
      </c>
      <c r="L50" s="139">
        <f>IS_Others!P144</f>
        <v>0</v>
      </c>
      <c r="M50" s="139">
        <f>IS_Others!Q144</f>
        <v>0</v>
      </c>
      <c r="N50" s="139">
        <f>IS_Others!R144</f>
        <v>0</v>
      </c>
      <c r="O50" s="139">
        <f>IS_Others!S144</f>
        <v>0</v>
      </c>
      <c r="P50" s="139">
        <f>IS_Others!T144</f>
        <v>0</v>
      </c>
      <c r="Q50" s="139">
        <f>IS_Others!U144</f>
        <v>0</v>
      </c>
      <c r="R50" s="139">
        <f>IS_Others!V144</f>
        <v>0</v>
      </c>
      <c r="S50" s="139">
        <f>IS_Others!W144</f>
        <v>0</v>
      </c>
      <c r="T50" s="139">
        <f>IS_Others!X144</f>
        <v>0</v>
      </c>
      <c r="U50" s="139">
        <f>IS_Others!Y144</f>
        <v>0</v>
      </c>
      <c r="V50" s="139">
        <f>IS_Others!Z144</f>
        <v>0</v>
      </c>
      <c r="W50" s="139">
        <f>IS_Others!AA144</f>
        <v>0</v>
      </c>
      <c r="X50" s="139">
        <f>IS_Others!AB144</f>
        <v>0</v>
      </c>
      <c r="Y50" s="139">
        <f>IS_Others!AC144</f>
        <v>0</v>
      </c>
      <c r="Z50" s="139">
        <f>IS_Others!AD144</f>
        <v>0</v>
      </c>
      <c r="AA50" s="139">
        <f>IS_Others!AE144</f>
        <v>0</v>
      </c>
      <c r="AB50" s="139">
        <f>IS_Others!AF144</f>
        <v>0</v>
      </c>
      <c r="AC50" s="139">
        <f>IS_Others!AG144</f>
        <v>0</v>
      </c>
      <c r="AD50" s="139">
        <f>IS_Others!AH144</f>
        <v>0</v>
      </c>
      <c r="AE50" s="139">
        <f>IS_Others!AI144</f>
        <v>0</v>
      </c>
      <c r="AF50" s="139">
        <f>IS_Others!AJ144</f>
        <v>0</v>
      </c>
      <c r="AG50" s="139">
        <f>IS_Others!AK144</f>
        <v>0</v>
      </c>
      <c r="AH50" s="139">
        <f>IS_Others!AL144</f>
        <v>0</v>
      </c>
      <c r="AI50" s="139">
        <f>IS_Others!AM144</f>
        <v>0</v>
      </c>
      <c r="AJ50" s="139">
        <f>IS_Others!AN144</f>
        <v>0</v>
      </c>
      <c r="AK50" s="139">
        <f>IS_Others!AO144</f>
        <v>0</v>
      </c>
      <c r="AL50" s="139">
        <f>IS_Others!AP144</f>
        <v>0</v>
      </c>
      <c r="AM50" s="139">
        <f>IS_Others!AQ144</f>
        <v>0</v>
      </c>
      <c r="AN50" s="139">
        <f>IS_Others!AR144</f>
        <v>0</v>
      </c>
      <c r="AO50" s="139">
        <f>IS_Others!AS144</f>
        <v>0</v>
      </c>
      <c r="AP50" s="139">
        <f>IS_Others!AT144</f>
        <v>0</v>
      </c>
      <c r="AQ50" s="139">
        <f>IS_Others!AU144</f>
        <v>0</v>
      </c>
      <c r="AR50" s="139">
        <f>IS_Others!AV144</f>
        <v>0</v>
      </c>
      <c r="AS50" s="139">
        <f>IS_Others!AW144</f>
        <v>0</v>
      </c>
      <c r="AT50" s="139">
        <f>IS_Others!AX144</f>
        <v>0</v>
      </c>
      <c r="AU50" s="139">
        <f>IS_Others!AY144</f>
        <v>0</v>
      </c>
      <c r="AV50" s="139">
        <f>IS_Others!AZ144</f>
        <v>0</v>
      </c>
      <c r="AW50" s="139">
        <f>IS_Others!BA144</f>
        <v>0</v>
      </c>
      <c r="AX50" s="139">
        <f>IS_Others!BB144</f>
        <v>0</v>
      </c>
      <c r="AY50" s="139">
        <f>IS_Others!BC144</f>
        <v>0</v>
      </c>
      <c r="AZ50" s="139">
        <f>IS_Others!BD144</f>
        <v>0</v>
      </c>
      <c r="BA50" s="139">
        <f>IS_Others!BE144</f>
        <v>0</v>
      </c>
      <c r="BB50" s="139">
        <f>IS_Others!BF144</f>
        <v>0</v>
      </c>
      <c r="BC50" s="139">
        <f>IS_Others!BG144</f>
        <v>0</v>
      </c>
      <c r="BD50" s="139">
        <f>IS_Others!BH144</f>
        <v>0</v>
      </c>
      <c r="BE50" s="139">
        <f>IS_Others!BI144</f>
        <v>0</v>
      </c>
      <c r="BF50" s="139">
        <f>IS_Others!BJ144</f>
        <v>0</v>
      </c>
      <c r="BG50" s="139">
        <f>IS_Others!BK144</f>
        <v>0</v>
      </c>
      <c r="BH50" s="139">
        <f>IS_Others!BL144</f>
        <v>0</v>
      </c>
      <c r="BI50" s="139">
        <f>IS_Others!BM144</f>
        <v>0</v>
      </c>
      <c r="BJ50" s="139">
        <f>IS_Others!BN144</f>
        <v>0</v>
      </c>
      <c r="BK50" s="139">
        <f>IS_Others!BO144</f>
        <v>0</v>
      </c>
      <c r="BL50" s="139">
        <f>IS_Others!BP144</f>
        <v>0</v>
      </c>
      <c r="BM50" s="139">
        <f>IS_Others!BQ144</f>
        <v>0</v>
      </c>
      <c r="BN50" s="139">
        <f>IS_Others!BR144</f>
        <v>0</v>
      </c>
      <c r="BO50" s="139">
        <f>IS_Others!BS144</f>
        <v>0</v>
      </c>
      <c r="BQ50" s="155">
        <f t="shared" si="11"/>
        <v>200</v>
      </c>
      <c r="BR50" s="155">
        <f t="shared" si="12"/>
        <v>0</v>
      </c>
      <c r="BS50" s="155">
        <f t="shared" si="13"/>
        <v>0</v>
      </c>
      <c r="BT50" s="155">
        <f t="shared" si="14"/>
        <v>0</v>
      </c>
      <c r="BU50" s="155">
        <f t="shared" si="15"/>
        <v>0</v>
      </c>
    </row>
    <row r="51" spans="3:73" s="155" customFormat="1">
      <c r="C51" s="155" t="s">
        <v>549</v>
      </c>
      <c r="G51" s="155" t="s">
        <v>1310</v>
      </c>
      <c r="H51" s="155">
        <f t="shared" ref="H51:BN51" si="20">SUBTOTAL(9,H52:H53)</f>
        <v>100</v>
      </c>
      <c r="I51" s="155">
        <f t="shared" si="20"/>
        <v>0</v>
      </c>
      <c r="J51" s="155">
        <f t="shared" si="20"/>
        <v>0</v>
      </c>
      <c r="K51" s="155">
        <f t="shared" si="20"/>
        <v>0</v>
      </c>
      <c r="L51" s="155">
        <f t="shared" si="20"/>
        <v>0</v>
      </c>
      <c r="M51" s="155">
        <f t="shared" si="20"/>
        <v>0</v>
      </c>
      <c r="N51" s="155">
        <f t="shared" si="20"/>
        <v>0</v>
      </c>
      <c r="O51" s="155">
        <f t="shared" si="20"/>
        <v>0</v>
      </c>
      <c r="P51" s="155">
        <f t="shared" si="20"/>
        <v>0</v>
      </c>
      <c r="Q51" s="155">
        <f t="shared" si="20"/>
        <v>0</v>
      </c>
      <c r="R51" s="155">
        <f t="shared" si="20"/>
        <v>0</v>
      </c>
      <c r="S51" s="155">
        <f t="shared" si="20"/>
        <v>0</v>
      </c>
      <c r="T51" s="155">
        <f t="shared" si="20"/>
        <v>0</v>
      </c>
      <c r="U51" s="155">
        <f t="shared" si="20"/>
        <v>0</v>
      </c>
      <c r="V51" s="155">
        <f t="shared" si="20"/>
        <v>0</v>
      </c>
      <c r="W51" s="155">
        <f t="shared" si="20"/>
        <v>0</v>
      </c>
      <c r="X51" s="155">
        <f t="shared" si="20"/>
        <v>0</v>
      </c>
      <c r="Y51" s="155">
        <f t="shared" si="20"/>
        <v>0</v>
      </c>
      <c r="Z51" s="155">
        <f t="shared" si="20"/>
        <v>0</v>
      </c>
      <c r="AA51" s="155">
        <f t="shared" si="20"/>
        <v>0</v>
      </c>
      <c r="AB51" s="155">
        <f t="shared" si="20"/>
        <v>0</v>
      </c>
      <c r="AC51" s="155">
        <f t="shared" si="20"/>
        <v>0</v>
      </c>
      <c r="AD51" s="155">
        <f t="shared" si="20"/>
        <v>0</v>
      </c>
      <c r="AE51" s="155">
        <f t="shared" si="20"/>
        <v>0</v>
      </c>
      <c r="AF51" s="155">
        <f t="shared" si="20"/>
        <v>0</v>
      </c>
      <c r="AG51" s="155">
        <f t="shared" si="20"/>
        <v>0</v>
      </c>
      <c r="AH51" s="155">
        <f t="shared" si="20"/>
        <v>0</v>
      </c>
      <c r="AI51" s="155">
        <f t="shared" si="20"/>
        <v>0</v>
      </c>
      <c r="AJ51" s="155">
        <f t="shared" si="20"/>
        <v>0</v>
      </c>
      <c r="AK51" s="155">
        <f t="shared" si="20"/>
        <v>0</v>
      </c>
      <c r="AL51" s="155">
        <f t="shared" si="20"/>
        <v>0</v>
      </c>
      <c r="AM51" s="155">
        <f t="shared" si="20"/>
        <v>0</v>
      </c>
      <c r="AN51" s="155">
        <f t="shared" si="20"/>
        <v>0</v>
      </c>
      <c r="AO51" s="155">
        <f t="shared" si="20"/>
        <v>0</v>
      </c>
      <c r="AP51" s="155">
        <f t="shared" si="20"/>
        <v>0</v>
      </c>
      <c r="AQ51" s="155">
        <f t="shared" si="20"/>
        <v>0</v>
      </c>
      <c r="AR51" s="155">
        <f t="shared" si="20"/>
        <v>0</v>
      </c>
      <c r="AS51" s="155">
        <f t="shared" si="20"/>
        <v>0</v>
      </c>
      <c r="AT51" s="155">
        <f t="shared" si="20"/>
        <v>0</v>
      </c>
      <c r="AU51" s="155">
        <f t="shared" si="20"/>
        <v>0</v>
      </c>
      <c r="AV51" s="155">
        <f t="shared" si="20"/>
        <v>0</v>
      </c>
      <c r="AW51" s="155">
        <f t="shared" si="20"/>
        <v>0</v>
      </c>
      <c r="AX51" s="155">
        <f t="shared" si="20"/>
        <v>0</v>
      </c>
      <c r="AY51" s="155">
        <f t="shared" si="20"/>
        <v>0</v>
      </c>
      <c r="AZ51" s="155">
        <f t="shared" si="20"/>
        <v>0</v>
      </c>
      <c r="BA51" s="155">
        <f t="shared" si="20"/>
        <v>0</v>
      </c>
      <c r="BB51" s="155">
        <f t="shared" si="20"/>
        <v>0</v>
      </c>
      <c r="BC51" s="155">
        <f t="shared" si="20"/>
        <v>0</v>
      </c>
      <c r="BD51" s="155">
        <f t="shared" si="20"/>
        <v>0</v>
      </c>
      <c r="BE51" s="155">
        <f t="shared" si="20"/>
        <v>0</v>
      </c>
      <c r="BF51" s="155">
        <f t="shared" si="20"/>
        <v>0</v>
      </c>
      <c r="BG51" s="155">
        <f t="shared" si="20"/>
        <v>0</v>
      </c>
      <c r="BH51" s="155">
        <f t="shared" si="20"/>
        <v>0</v>
      </c>
      <c r="BI51" s="155">
        <f t="shared" si="20"/>
        <v>0</v>
      </c>
      <c r="BJ51" s="155">
        <f t="shared" si="20"/>
        <v>0</v>
      </c>
      <c r="BK51" s="155">
        <f t="shared" si="20"/>
        <v>0</v>
      </c>
      <c r="BL51" s="155">
        <f t="shared" si="20"/>
        <v>0</v>
      </c>
      <c r="BM51" s="155">
        <f t="shared" si="20"/>
        <v>0</v>
      </c>
      <c r="BN51" s="155">
        <f t="shared" si="20"/>
        <v>0</v>
      </c>
      <c r="BO51" s="155">
        <f>SUBTOTAL(9,BO52:BO53)</f>
        <v>0</v>
      </c>
      <c r="BQ51" s="155">
        <f t="shared" si="11"/>
        <v>100</v>
      </c>
      <c r="BR51" s="155">
        <f t="shared" si="12"/>
        <v>0</v>
      </c>
      <c r="BS51" s="155">
        <f t="shared" si="13"/>
        <v>0</v>
      </c>
      <c r="BT51" s="155">
        <f t="shared" si="14"/>
        <v>0</v>
      </c>
      <c r="BU51" s="155">
        <f t="shared" si="15"/>
        <v>0</v>
      </c>
    </row>
    <row r="52" spans="3:73">
      <c r="D52" s="139" t="s">
        <v>550</v>
      </c>
      <c r="H52" s="139">
        <f>IS_Others!L146</f>
        <v>100</v>
      </c>
      <c r="I52" s="139">
        <f>IS_Others!M146</f>
        <v>0</v>
      </c>
      <c r="J52" s="139">
        <f>IS_Others!N146</f>
        <v>0</v>
      </c>
      <c r="K52" s="139">
        <f>IS_Others!O146</f>
        <v>0</v>
      </c>
      <c r="L52" s="139">
        <f>IS_Others!P146</f>
        <v>0</v>
      </c>
      <c r="M52" s="139">
        <f>IS_Others!Q146</f>
        <v>0</v>
      </c>
      <c r="N52" s="139">
        <f>IS_Others!R146</f>
        <v>0</v>
      </c>
      <c r="O52" s="139">
        <f>IS_Others!S146</f>
        <v>0</v>
      </c>
      <c r="P52" s="139">
        <f>IS_Others!T146</f>
        <v>0</v>
      </c>
      <c r="Q52" s="139">
        <f>IS_Others!U146</f>
        <v>0</v>
      </c>
      <c r="R52" s="139">
        <f>IS_Others!V146</f>
        <v>0</v>
      </c>
      <c r="S52" s="139">
        <f>IS_Others!W146</f>
        <v>0</v>
      </c>
      <c r="T52" s="139">
        <f>IS_Others!X146</f>
        <v>0</v>
      </c>
      <c r="U52" s="139">
        <f>IS_Others!Y146</f>
        <v>0</v>
      </c>
      <c r="V52" s="139">
        <f>IS_Others!Z146</f>
        <v>0</v>
      </c>
      <c r="W52" s="139">
        <f>IS_Others!AA146</f>
        <v>0</v>
      </c>
      <c r="X52" s="139">
        <f>IS_Others!AB146</f>
        <v>0</v>
      </c>
      <c r="Y52" s="139">
        <f>IS_Others!AC146</f>
        <v>0</v>
      </c>
      <c r="Z52" s="139">
        <f>IS_Others!AD146</f>
        <v>0</v>
      </c>
      <c r="AA52" s="139">
        <f>IS_Others!AE146</f>
        <v>0</v>
      </c>
      <c r="AB52" s="139">
        <f>IS_Others!AF146</f>
        <v>0</v>
      </c>
      <c r="AC52" s="139">
        <f>IS_Others!AG146</f>
        <v>0</v>
      </c>
      <c r="AD52" s="139">
        <f>IS_Others!AH146</f>
        <v>0</v>
      </c>
      <c r="AE52" s="139">
        <f>IS_Others!AI146</f>
        <v>0</v>
      </c>
      <c r="AF52" s="139">
        <f>IS_Others!AJ146</f>
        <v>0</v>
      </c>
      <c r="AG52" s="139">
        <f>IS_Others!AK146</f>
        <v>0</v>
      </c>
      <c r="AH52" s="139">
        <f>IS_Others!AL146</f>
        <v>0</v>
      </c>
      <c r="AI52" s="139">
        <f>IS_Others!AM146</f>
        <v>0</v>
      </c>
      <c r="AJ52" s="139">
        <f>IS_Others!AN146</f>
        <v>0</v>
      </c>
      <c r="AK52" s="139">
        <f>IS_Others!AO146</f>
        <v>0</v>
      </c>
      <c r="AL52" s="139">
        <f>IS_Others!AP146</f>
        <v>0</v>
      </c>
      <c r="AM52" s="139">
        <f>IS_Others!AQ146</f>
        <v>0</v>
      </c>
      <c r="AN52" s="139">
        <f>IS_Others!AR146</f>
        <v>0</v>
      </c>
      <c r="AO52" s="139">
        <f>IS_Others!AS146</f>
        <v>0</v>
      </c>
      <c r="AP52" s="139">
        <f>IS_Others!AT146</f>
        <v>0</v>
      </c>
      <c r="AQ52" s="139">
        <f>IS_Others!AU146</f>
        <v>0</v>
      </c>
      <c r="AR52" s="139">
        <f>IS_Others!AV146</f>
        <v>0</v>
      </c>
      <c r="AS52" s="139">
        <f>IS_Others!AW146</f>
        <v>0</v>
      </c>
      <c r="AT52" s="139">
        <f>IS_Others!AX146</f>
        <v>0</v>
      </c>
      <c r="AU52" s="139">
        <f>IS_Others!AY146</f>
        <v>0</v>
      </c>
      <c r="AV52" s="139">
        <f>IS_Others!AZ146</f>
        <v>0</v>
      </c>
      <c r="AW52" s="139">
        <f>IS_Others!BA146</f>
        <v>0</v>
      </c>
      <c r="AX52" s="139">
        <f>IS_Others!BB146</f>
        <v>0</v>
      </c>
      <c r="AY52" s="139">
        <f>IS_Others!BC146</f>
        <v>0</v>
      </c>
      <c r="AZ52" s="139">
        <f>IS_Others!BD146</f>
        <v>0</v>
      </c>
      <c r="BA52" s="139">
        <f>IS_Others!BE146</f>
        <v>0</v>
      </c>
      <c r="BB52" s="139">
        <f>IS_Others!BF146</f>
        <v>0</v>
      </c>
      <c r="BC52" s="139">
        <f>IS_Others!BG146</f>
        <v>0</v>
      </c>
      <c r="BD52" s="139">
        <f>IS_Others!BH146</f>
        <v>0</v>
      </c>
      <c r="BE52" s="139">
        <f>IS_Others!BI146</f>
        <v>0</v>
      </c>
      <c r="BF52" s="139">
        <f>IS_Others!BJ146</f>
        <v>0</v>
      </c>
      <c r="BG52" s="139">
        <f>IS_Others!BK146</f>
        <v>0</v>
      </c>
      <c r="BH52" s="139">
        <f>IS_Others!BL146</f>
        <v>0</v>
      </c>
      <c r="BI52" s="139">
        <f>IS_Others!BM146</f>
        <v>0</v>
      </c>
      <c r="BJ52" s="139">
        <f>IS_Others!BN146</f>
        <v>0</v>
      </c>
      <c r="BK52" s="139">
        <f>IS_Others!BO146</f>
        <v>0</v>
      </c>
      <c r="BL52" s="139">
        <f>IS_Others!BP146</f>
        <v>0</v>
      </c>
      <c r="BM52" s="139">
        <f>IS_Others!BQ146</f>
        <v>0</v>
      </c>
      <c r="BN52" s="139">
        <f>IS_Others!BR146</f>
        <v>0</v>
      </c>
      <c r="BO52" s="139">
        <f>IS_Others!BS146</f>
        <v>0</v>
      </c>
      <c r="BQ52" s="155">
        <f t="shared" si="11"/>
        <v>100</v>
      </c>
      <c r="BR52" s="155">
        <f t="shared" si="12"/>
        <v>0</v>
      </c>
      <c r="BS52" s="155">
        <f t="shared" si="13"/>
        <v>0</v>
      </c>
      <c r="BT52" s="155">
        <f t="shared" si="14"/>
        <v>0</v>
      </c>
      <c r="BU52" s="155">
        <f t="shared" si="15"/>
        <v>0</v>
      </c>
    </row>
    <row r="53" spans="3:73">
      <c r="D53" s="139" t="s">
        <v>544</v>
      </c>
      <c r="H53" s="139">
        <f>IS_Others!L147</f>
        <v>0</v>
      </c>
      <c r="I53" s="139">
        <f>IS_Others!M147</f>
        <v>0</v>
      </c>
      <c r="J53" s="139">
        <f>IS_Others!N147</f>
        <v>0</v>
      </c>
      <c r="K53" s="139">
        <f>IS_Others!O147</f>
        <v>0</v>
      </c>
      <c r="L53" s="139">
        <f>IS_Others!P147</f>
        <v>0</v>
      </c>
      <c r="M53" s="139">
        <f>IS_Others!Q147</f>
        <v>0</v>
      </c>
      <c r="N53" s="139">
        <f>IS_Others!R147</f>
        <v>0</v>
      </c>
      <c r="O53" s="139">
        <f>IS_Others!S147</f>
        <v>0</v>
      </c>
      <c r="P53" s="139">
        <f>IS_Others!T147</f>
        <v>0</v>
      </c>
      <c r="Q53" s="139">
        <f>IS_Others!U147</f>
        <v>0</v>
      </c>
      <c r="R53" s="139">
        <f>IS_Others!V147</f>
        <v>0</v>
      </c>
      <c r="S53" s="139">
        <f>IS_Others!W147</f>
        <v>0</v>
      </c>
      <c r="T53" s="139">
        <f>IS_Others!X147</f>
        <v>0</v>
      </c>
      <c r="U53" s="139">
        <f>IS_Others!Y147</f>
        <v>0</v>
      </c>
      <c r="V53" s="139">
        <f>IS_Others!Z147</f>
        <v>0</v>
      </c>
      <c r="W53" s="139">
        <f>IS_Others!AA147</f>
        <v>0</v>
      </c>
      <c r="X53" s="139">
        <f>IS_Others!AB147</f>
        <v>0</v>
      </c>
      <c r="Y53" s="139">
        <f>IS_Others!AC147</f>
        <v>0</v>
      </c>
      <c r="Z53" s="139">
        <f>IS_Others!AD147</f>
        <v>0</v>
      </c>
      <c r="AA53" s="139">
        <f>IS_Others!AE147</f>
        <v>0</v>
      </c>
      <c r="AB53" s="139">
        <f>IS_Others!AF147</f>
        <v>0</v>
      </c>
      <c r="AC53" s="139">
        <f>IS_Others!AG147</f>
        <v>0</v>
      </c>
      <c r="AD53" s="139">
        <f>IS_Others!AH147</f>
        <v>0</v>
      </c>
      <c r="AE53" s="139">
        <f>IS_Others!AI147</f>
        <v>0</v>
      </c>
      <c r="AF53" s="139">
        <f>IS_Others!AJ147</f>
        <v>0</v>
      </c>
      <c r="AG53" s="139">
        <f>IS_Others!AK147</f>
        <v>0</v>
      </c>
      <c r="AH53" s="139">
        <f>IS_Others!AL147</f>
        <v>0</v>
      </c>
      <c r="AI53" s="139">
        <f>IS_Others!AM147</f>
        <v>0</v>
      </c>
      <c r="AJ53" s="139">
        <f>IS_Others!AN147</f>
        <v>0</v>
      </c>
      <c r="AK53" s="139">
        <f>IS_Others!AO147</f>
        <v>0</v>
      </c>
      <c r="AL53" s="139">
        <f>IS_Others!AP147</f>
        <v>0</v>
      </c>
      <c r="AM53" s="139">
        <f>IS_Others!AQ147</f>
        <v>0</v>
      </c>
      <c r="AN53" s="139">
        <f>IS_Others!AR147</f>
        <v>0</v>
      </c>
      <c r="AO53" s="139">
        <f>IS_Others!AS147</f>
        <v>0</v>
      </c>
      <c r="AP53" s="139">
        <f>IS_Others!AT147</f>
        <v>0</v>
      </c>
      <c r="AQ53" s="139">
        <f>IS_Others!AU147</f>
        <v>0</v>
      </c>
      <c r="AR53" s="139">
        <f>IS_Others!AV147</f>
        <v>0</v>
      </c>
      <c r="AS53" s="139">
        <f>IS_Others!AW147</f>
        <v>0</v>
      </c>
      <c r="AT53" s="139">
        <f>IS_Others!AX147</f>
        <v>0</v>
      </c>
      <c r="AU53" s="139">
        <f>IS_Others!AY147</f>
        <v>0</v>
      </c>
      <c r="AV53" s="139">
        <f>IS_Others!AZ147</f>
        <v>0</v>
      </c>
      <c r="AW53" s="139">
        <f>IS_Others!BA147</f>
        <v>0</v>
      </c>
      <c r="AX53" s="139">
        <f>IS_Others!BB147</f>
        <v>0</v>
      </c>
      <c r="AY53" s="139">
        <f>IS_Others!BC147</f>
        <v>0</v>
      </c>
      <c r="AZ53" s="139">
        <f>IS_Others!BD147</f>
        <v>0</v>
      </c>
      <c r="BA53" s="139">
        <f>IS_Others!BE147</f>
        <v>0</v>
      </c>
      <c r="BB53" s="139">
        <f>IS_Others!BF147</f>
        <v>0</v>
      </c>
      <c r="BC53" s="139">
        <f>IS_Others!BG147</f>
        <v>0</v>
      </c>
      <c r="BD53" s="139">
        <f>IS_Others!BH147</f>
        <v>0</v>
      </c>
      <c r="BE53" s="139">
        <f>IS_Others!BI147</f>
        <v>0</v>
      </c>
      <c r="BF53" s="139">
        <f>IS_Others!BJ147</f>
        <v>0</v>
      </c>
      <c r="BG53" s="139">
        <f>IS_Others!BK147</f>
        <v>0</v>
      </c>
      <c r="BH53" s="139">
        <f>IS_Others!BL147</f>
        <v>0</v>
      </c>
      <c r="BI53" s="139">
        <f>IS_Others!BM147</f>
        <v>0</v>
      </c>
      <c r="BJ53" s="139">
        <f>IS_Others!BN147</f>
        <v>0</v>
      </c>
      <c r="BK53" s="139">
        <f>IS_Others!BO147</f>
        <v>0</v>
      </c>
      <c r="BL53" s="139">
        <f>IS_Others!BP147</f>
        <v>0</v>
      </c>
      <c r="BM53" s="139">
        <f>IS_Others!BQ147</f>
        <v>0</v>
      </c>
      <c r="BN53" s="139">
        <f>IS_Others!BR147</f>
        <v>0</v>
      </c>
      <c r="BO53" s="139">
        <f>IS_Others!BS147</f>
        <v>0</v>
      </c>
      <c r="BQ53" s="155">
        <f t="shared" si="11"/>
        <v>0</v>
      </c>
      <c r="BR53" s="155">
        <f t="shared" si="12"/>
        <v>0</v>
      </c>
      <c r="BS53" s="155">
        <f t="shared" si="13"/>
        <v>0</v>
      </c>
      <c r="BT53" s="155">
        <f t="shared" si="14"/>
        <v>0</v>
      </c>
      <c r="BU53" s="155">
        <f t="shared" si="15"/>
        <v>0</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70C0"/>
    <pageSetUpPr fitToPage="1"/>
  </sheetPr>
  <dimension ref="B1:BY194"/>
  <sheetViews>
    <sheetView tabSelected="1" workbookViewId="0">
      <selection activeCell="R17" sqref="R17"/>
    </sheetView>
  </sheetViews>
  <sheetFormatPr defaultColWidth="9.125" defaultRowHeight="13.2" outlineLevelRow="1" outlineLevelCol="1"/>
  <cols>
    <col min="1" max="1" width="2" style="139" customWidth="1"/>
    <col min="2" max="4" width="2.25" style="139" customWidth="1"/>
    <col min="5" max="5" width="23" style="139" bestFit="1" customWidth="1"/>
    <col min="6" max="6" width="9.25" style="139" customWidth="1"/>
    <col min="7" max="10" width="9.25" style="139" customWidth="1" outlineLevel="1"/>
    <col min="11" max="11" width="9.25" style="139" customWidth="1"/>
    <col min="12" max="71" width="9.125" style="139" customWidth="1" outlineLevel="1"/>
    <col min="72" max="72" width="2.25" style="139" customWidth="1" outlineLevel="1"/>
    <col min="73" max="16384" width="9.125" style="139"/>
  </cols>
  <sheetData>
    <row r="1" spans="2:77">
      <c r="B1" s="376" t="s">
        <v>1289</v>
      </c>
    </row>
    <row r="2" spans="2:77">
      <c r="B2" s="376"/>
      <c r="H2" s="155" t="s">
        <v>1372</v>
      </c>
      <c r="L2" s="378">
        <v>1</v>
      </c>
      <c r="M2" s="378">
        <f>L2</f>
        <v>1</v>
      </c>
      <c r="N2" s="378">
        <f t="shared" ref="N2" si="0">M2</f>
        <v>1</v>
      </c>
      <c r="O2" s="378">
        <f t="shared" ref="O2" si="1">N2</f>
        <v>1</v>
      </c>
      <c r="P2" s="378">
        <f t="shared" ref="P2" si="2">O2</f>
        <v>1</v>
      </c>
      <c r="Q2" s="378">
        <f t="shared" ref="Q2" si="3">P2</f>
        <v>1</v>
      </c>
      <c r="R2" s="378">
        <f t="shared" ref="R2" si="4">Q2</f>
        <v>1</v>
      </c>
      <c r="S2" s="378">
        <f t="shared" ref="S2" si="5">R2</f>
        <v>1</v>
      </c>
      <c r="T2" s="378">
        <f t="shared" ref="T2" si="6">S2</f>
        <v>1</v>
      </c>
      <c r="U2" s="378">
        <f t="shared" ref="U2" si="7">T2</f>
        <v>1</v>
      </c>
      <c r="V2" s="378">
        <f t="shared" ref="V2" si="8">U2</f>
        <v>1</v>
      </c>
      <c r="W2" s="378">
        <f t="shared" ref="W2" si="9">V2</f>
        <v>1</v>
      </c>
      <c r="X2" s="378">
        <v>2</v>
      </c>
      <c r="Y2" s="378">
        <v>2</v>
      </c>
      <c r="Z2" s="378">
        <v>2</v>
      </c>
      <c r="AA2" s="378">
        <v>2</v>
      </c>
      <c r="AB2" s="378">
        <v>2</v>
      </c>
      <c r="AC2" s="378">
        <v>2</v>
      </c>
      <c r="AD2" s="378">
        <v>2</v>
      </c>
      <c r="AE2" s="378">
        <v>2</v>
      </c>
      <c r="AF2" s="378">
        <v>2</v>
      </c>
      <c r="AG2" s="378">
        <v>2</v>
      </c>
      <c r="AH2" s="378">
        <v>2</v>
      </c>
      <c r="AI2" s="378">
        <v>2</v>
      </c>
      <c r="AJ2" s="378">
        <v>3</v>
      </c>
      <c r="AK2" s="378">
        <v>3</v>
      </c>
      <c r="AL2" s="378">
        <v>3</v>
      </c>
      <c r="AM2" s="378">
        <v>3</v>
      </c>
      <c r="AN2" s="378">
        <v>3</v>
      </c>
      <c r="AO2" s="378">
        <v>3</v>
      </c>
      <c r="AP2" s="378">
        <v>3</v>
      </c>
      <c r="AQ2" s="378">
        <v>3</v>
      </c>
      <c r="AR2" s="378">
        <v>3</v>
      </c>
      <c r="AS2" s="378">
        <v>3</v>
      </c>
      <c r="AT2" s="378">
        <v>3</v>
      </c>
      <c r="AU2" s="378">
        <v>3</v>
      </c>
      <c r="AV2" s="378">
        <v>4</v>
      </c>
      <c r="AW2" s="378">
        <v>4</v>
      </c>
      <c r="AX2" s="378">
        <v>4</v>
      </c>
      <c r="AY2" s="378">
        <v>4</v>
      </c>
      <c r="AZ2" s="378">
        <v>4</v>
      </c>
      <c r="BA2" s="378">
        <v>4</v>
      </c>
      <c r="BB2" s="378">
        <v>4</v>
      </c>
      <c r="BC2" s="378">
        <v>4</v>
      </c>
      <c r="BD2" s="378">
        <v>4</v>
      </c>
      <c r="BE2" s="378">
        <v>4</v>
      </c>
      <c r="BF2" s="378">
        <v>4</v>
      </c>
      <c r="BG2" s="378">
        <v>4</v>
      </c>
      <c r="BH2" s="378">
        <v>5</v>
      </c>
      <c r="BI2" s="378">
        <v>5</v>
      </c>
      <c r="BJ2" s="378">
        <v>5</v>
      </c>
      <c r="BK2" s="378">
        <v>5</v>
      </c>
      <c r="BL2" s="378">
        <v>5</v>
      </c>
      <c r="BM2" s="378">
        <v>5</v>
      </c>
      <c r="BN2" s="378">
        <v>5</v>
      </c>
      <c r="BO2" s="378">
        <v>5</v>
      </c>
      <c r="BP2" s="378">
        <v>5</v>
      </c>
      <c r="BQ2" s="378">
        <v>5</v>
      </c>
      <c r="BR2" s="378">
        <v>5</v>
      </c>
      <c r="BS2" s="378">
        <v>5</v>
      </c>
    </row>
    <row r="3" spans="2:77">
      <c r="H3" s="377" t="s">
        <v>1373</v>
      </c>
      <c r="L3" s="298" t="s">
        <v>379</v>
      </c>
      <c r="M3" s="298"/>
      <c r="N3" s="298"/>
      <c r="O3" s="298"/>
      <c r="P3" s="298"/>
      <c r="Q3" s="298"/>
      <c r="R3" s="298"/>
      <c r="S3" s="298"/>
      <c r="T3" s="298"/>
      <c r="U3" s="298"/>
      <c r="V3" s="298"/>
      <c r="W3" s="298"/>
      <c r="X3" s="192" t="s">
        <v>380</v>
      </c>
      <c r="Y3" s="192"/>
      <c r="Z3" s="192"/>
      <c r="AA3" s="192"/>
      <c r="AB3" s="192"/>
      <c r="AC3" s="192"/>
      <c r="AD3" s="192"/>
      <c r="AE3" s="192"/>
      <c r="AF3" s="192"/>
      <c r="AG3" s="192"/>
      <c r="AH3" s="192"/>
      <c r="AI3" s="192"/>
      <c r="AJ3" s="299" t="s">
        <v>381</v>
      </c>
      <c r="AK3" s="299"/>
      <c r="AL3" s="299"/>
      <c r="AM3" s="299"/>
      <c r="AN3" s="299"/>
      <c r="AO3" s="299"/>
      <c r="AP3" s="299"/>
      <c r="AQ3" s="299"/>
      <c r="AR3" s="299"/>
      <c r="AS3" s="299"/>
      <c r="AT3" s="299"/>
      <c r="AU3" s="299"/>
      <c r="AV3" s="300" t="s">
        <v>382</v>
      </c>
      <c r="AW3" s="300"/>
      <c r="AX3" s="300"/>
      <c r="AY3" s="300"/>
      <c r="AZ3" s="300"/>
      <c r="BA3" s="300"/>
      <c r="BB3" s="300"/>
      <c r="BC3" s="300"/>
      <c r="BD3" s="300"/>
      <c r="BE3" s="300"/>
      <c r="BF3" s="300"/>
      <c r="BG3" s="300"/>
      <c r="BH3" s="301" t="s">
        <v>383</v>
      </c>
      <c r="BI3" s="302"/>
      <c r="BJ3" s="302"/>
      <c r="BK3" s="302"/>
      <c r="BL3" s="302"/>
      <c r="BM3" s="302"/>
      <c r="BN3" s="302"/>
      <c r="BO3" s="302"/>
      <c r="BP3" s="302"/>
      <c r="BQ3" s="302"/>
      <c r="BR3" s="302"/>
      <c r="BS3" s="302"/>
    </row>
    <row r="4" spans="2:77" ht="27" thickBot="1">
      <c r="B4" s="157" t="s">
        <v>554</v>
      </c>
      <c r="C4" s="157"/>
      <c r="D4" s="157"/>
      <c r="E4" s="157"/>
      <c r="F4" s="157" t="s">
        <v>1290</v>
      </c>
      <c r="G4" s="157" t="s">
        <v>497</v>
      </c>
      <c r="H4" s="303" t="s">
        <v>553</v>
      </c>
      <c r="I4" s="303" t="s">
        <v>574</v>
      </c>
      <c r="J4" s="303" t="s">
        <v>573</v>
      </c>
      <c r="K4" s="303"/>
      <c r="L4" s="304" t="s">
        <v>367</v>
      </c>
      <c r="M4" s="304" t="s">
        <v>368</v>
      </c>
      <c r="N4" s="304" t="s">
        <v>369</v>
      </c>
      <c r="O4" s="304" t="s">
        <v>370</v>
      </c>
      <c r="P4" s="304" t="s">
        <v>371</v>
      </c>
      <c r="Q4" s="304" t="s">
        <v>372</v>
      </c>
      <c r="R4" s="304" t="s">
        <v>373</v>
      </c>
      <c r="S4" s="304" t="s">
        <v>374</v>
      </c>
      <c r="T4" s="304" t="s">
        <v>375</v>
      </c>
      <c r="U4" s="304" t="s">
        <v>376</v>
      </c>
      <c r="V4" s="304" t="s">
        <v>377</v>
      </c>
      <c r="W4" s="304" t="s">
        <v>378</v>
      </c>
      <c r="X4" s="304" t="s">
        <v>385</v>
      </c>
      <c r="Y4" s="304" t="s">
        <v>386</v>
      </c>
      <c r="Z4" s="304" t="s">
        <v>387</v>
      </c>
      <c r="AA4" s="304" t="s">
        <v>388</v>
      </c>
      <c r="AB4" s="304" t="s">
        <v>389</v>
      </c>
      <c r="AC4" s="304" t="s">
        <v>390</v>
      </c>
      <c r="AD4" s="304" t="s">
        <v>391</v>
      </c>
      <c r="AE4" s="304" t="s">
        <v>392</v>
      </c>
      <c r="AF4" s="304" t="s">
        <v>393</v>
      </c>
      <c r="AG4" s="304" t="s">
        <v>394</v>
      </c>
      <c r="AH4" s="304" t="s">
        <v>395</v>
      </c>
      <c r="AI4" s="304" t="s">
        <v>396</v>
      </c>
      <c r="AJ4" s="304" t="s">
        <v>397</v>
      </c>
      <c r="AK4" s="304" t="s">
        <v>398</v>
      </c>
      <c r="AL4" s="304" t="s">
        <v>399</v>
      </c>
      <c r="AM4" s="304" t="s">
        <v>400</v>
      </c>
      <c r="AN4" s="304" t="s">
        <v>401</v>
      </c>
      <c r="AO4" s="304" t="s">
        <v>402</v>
      </c>
      <c r="AP4" s="304" t="s">
        <v>403</v>
      </c>
      <c r="AQ4" s="304" t="s">
        <v>404</v>
      </c>
      <c r="AR4" s="304" t="s">
        <v>405</v>
      </c>
      <c r="AS4" s="304" t="s">
        <v>406</v>
      </c>
      <c r="AT4" s="304" t="s">
        <v>407</v>
      </c>
      <c r="AU4" s="304" t="s">
        <v>408</v>
      </c>
      <c r="AV4" s="304" t="s">
        <v>409</v>
      </c>
      <c r="AW4" s="304" t="s">
        <v>410</v>
      </c>
      <c r="AX4" s="304" t="s">
        <v>411</v>
      </c>
      <c r="AY4" s="304" t="s">
        <v>412</v>
      </c>
      <c r="AZ4" s="304" t="s">
        <v>413</v>
      </c>
      <c r="BA4" s="304" t="s">
        <v>414</v>
      </c>
      <c r="BB4" s="304" t="s">
        <v>415</v>
      </c>
      <c r="BC4" s="304" t="s">
        <v>416</v>
      </c>
      <c r="BD4" s="304" t="s">
        <v>417</v>
      </c>
      <c r="BE4" s="304" t="s">
        <v>418</v>
      </c>
      <c r="BF4" s="304" t="s">
        <v>419</v>
      </c>
      <c r="BG4" s="304" t="s">
        <v>420</v>
      </c>
      <c r="BH4" s="304" t="s">
        <v>421</v>
      </c>
      <c r="BI4" s="304" t="s">
        <v>422</v>
      </c>
      <c r="BJ4" s="304" t="s">
        <v>423</v>
      </c>
      <c r="BK4" s="304" t="s">
        <v>424</v>
      </c>
      <c r="BL4" s="304" t="s">
        <v>425</v>
      </c>
      <c r="BM4" s="304" t="s">
        <v>426</v>
      </c>
      <c r="BN4" s="304" t="s">
        <v>427</v>
      </c>
      <c r="BO4" s="304" t="s">
        <v>428</v>
      </c>
      <c r="BP4" s="304" t="s">
        <v>429</v>
      </c>
      <c r="BQ4" s="304" t="s">
        <v>430</v>
      </c>
      <c r="BR4" s="304" t="s">
        <v>431</v>
      </c>
      <c r="BS4" s="304" t="s">
        <v>432</v>
      </c>
      <c r="BU4" s="304" t="s">
        <v>623</v>
      </c>
      <c r="BV4" s="304" t="s">
        <v>624</v>
      </c>
      <c r="BW4" s="304" t="s">
        <v>625</v>
      </c>
      <c r="BX4" s="304" t="s">
        <v>626</v>
      </c>
      <c r="BY4" s="304" t="s">
        <v>640</v>
      </c>
    </row>
    <row r="5" spans="2:77">
      <c r="B5" s="155" t="s">
        <v>616</v>
      </c>
      <c r="E5" s="305"/>
      <c r="L5" s="155">
        <f t="shared" ref="L5:BR5" si="10">SUBTOTAL(9,L6:L8)</f>
        <v>0</v>
      </c>
      <c r="M5" s="155">
        <f t="shared" si="10"/>
        <v>0</v>
      </c>
      <c r="N5" s="155">
        <f t="shared" si="10"/>
        <v>0</v>
      </c>
      <c r="O5" s="155">
        <f t="shared" si="10"/>
        <v>0</v>
      </c>
      <c r="P5" s="155">
        <f t="shared" si="10"/>
        <v>0</v>
      </c>
      <c r="Q5" s="155">
        <f t="shared" si="10"/>
        <v>0</v>
      </c>
      <c r="R5" s="155">
        <f t="shared" si="10"/>
        <v>4</v>
      </c>
      <c r="S5" s="155">
        <f t="shared" si="10"/>
        <v>4</v>
      </c>
      <c r="T5" s="155">
        <f t="shared" si="10"/>
        <v>4</v>
      </c>
      <c r="U5" s="155">
        <f t="shared" si="10"/>
        <v>4</v>
      </c>
      <c r="V5" s="155">
        <f t="shared" si="10"/>
        <v>4</v>
      </c>
      <c r="W5" s="155">
        <f t="shared" si="10"/>
        <v>4</v>
      </c>
      <c r="X5" s="155">
        <f t="shared" si="10"/>
        <v>5</v>
      </c>
      <c r="Y5" s="155">
        <f t="shared" si="10"/>
        <v>5</v>
      </c>
      <c r="Z5" s="155">
        <f t="shared" si="10"/>
        <v>5</v>
      </c>
      <c r="AA5" s="155">
        <f t="shared" si="10"/>
        <v>5</v>
      </c>
      <c r="AB5" s="155">
        <f t="shared" si="10"/>
        <v>5</v>
      </c>
      <c r="AC5" s="155">
        <f t="shared" si="10"/>
        <v>5</v>
      </c>
      <c r="AD5" s="155">
        <f t="shared" si="10"/>
        <v>6</v>
      </c>
      <c r="AE5" s="155">
        <f t="shared" si="10"/>
        <v>6</v>
      </c>
      <c r="AF5" s="155">
        <f t="shared" si="10"/>
        <v>6</v>
      </c>
      <c r="AG5" s="155">
        <f t="shared" si="10"/>
        <v>6</v>
      </c>
      <c r="AH5" s="155">
        <f t="shared" si="10"/>
        <v>6</v>
      </c>
      <c r="AI5" s="155">
        <f t="shared" si="10"/>
        <v>6</v>
      </c>
      <c r="AJ5" s="155">
        <f t="shared" si="10"/>
        <v>7</v>
      </c>
      <c r="AK5" s="155">
        <f t="shared" si="10"/>
        <v>7</v>
      </c>
      <c r="AL5" s="155">
        <f t="shared" si="10"/>
        <v>7</v>
      </c>
      <c r="AM5" s="155">
        <f t="shared" si="10"/>
        <v>7</v>
      </c>
      <c r="AN5" s="155">
        <f t="shared" si="10"/>
        <v>7</v>
      </c>
      <c r="AO5" s="155">
        <f t="shared" si="10"/>
        <v>7</v>
      </c>
      <c r="AP5" s="155">
        <f t="shared" si="10"/>
        <v>8</v>
      </c>
      <c r="AQ5" s="155">
        <f t="shared" si="10"/>
        <v>8</v>
      </c>
      <c r="AR5" s="155">
        <f t="shared" si="10"/>
        <v>8</v>
      </c>
      <c r="AS5" s="155">
        <f t="shared" si="10"/>
        <v>8</v>
      </c>
      <c r="AT5" s="155">
        <f t="shared" si="10"/>
        <v>8</v>
      </c>
      <c r="AU5" s="155">
        <f t="shared" si="10"/>
        <v>8</v>
      </c>
      <c r="AV5" s="155">
        <f t="shared" si="10"/>
        <v>9</v>
      </c>
      <c r="AW5" s="155">
        <f t="shared" si="10"/>
        <v>9</v>
      </c>
      <c r="AX5" s="155">
        <f t="shared" si="10"/>
        <v>9</v>
      </c>
      <c r="AY5" s="155">
        <f t="shared" si="10"/>
        <v>9</v>
      </c>
      <c r="AZ5" s="155">
        <f t="shared" si="10"/>
        <v>9</v>
      </c>
      <c r="BA5" s="155">
        <f t="shared" si="10"/>
        <v>9</v>
      </c>
      <c r="BB5" s="155">
        <f t="shared" si="10"/>
        <v>10</v>
      </c>
      <c r="BC5" s="155">
        <f t="shared" si="10"/>
        <v>10</v>
      </c>
      <c r="BD5" s="155">
        <f t="shared" si="10"/>
        <v>10</v>
      </c>
      <c r="BE5" s="155">
        <f t="shared" si="10"/>
        <v>10</v>
      </c>
      <c r="BF5" s="155">
        <f t="shared" si="10"/>
        <v>10</v>
      </c>
      <c r="BG5" s="155">
        <f t="shared" si="10"/>
        <v>10</v>
      </c>
      <c r="BH5" s="155">
        <f t="shared" si="10"/>
        <v>10</v>
      </c>
      <c r="BI5" s="155">
        <f t="shared" si="10"/>
        <v>10</v>
      </c>
      <c r="BJ5" s="155">
        <f t="shared" si="10"/>
        <v>10</v>
      </c>
      <c r="BK5" s="155">
        <f t="shared" si="10"/>
        <v>10</v>
      </c>
      <c r="BL5" s="155">
        <f t="shared" si="10"/>
        <v>10</v>
      </c>
      <c r="BM5" s="155">
        <f t="shared" si="10"/>
        <v>10</v>
      </c>
      <c r="BN5" s="155">
        <f t="shared" si="10"/>
        <v>10</v>
      </c>
      <c r="BO5" s="155">
        <f t="shared" si="10"/>
        <v>10</v>
      </c>
      <c r="BP5" s="155">
        <f t="shared" si="10"/>
        <v>10</v>
      </c>
      <c r="BQ5" s="155">
        <f t="shared" si="10"/>
        <v>10</v>
      </c>
      <c r="BR5" s="155">
        <f t="shared" si="10"/>
        <v>10</v>
      </c>
      <c r="BS5" s="155">
        <f>SUBTOTAL(9,BS6:BS8)</f>
        <v>10</v>
      </c>
      <c r="BU5" s="139">
        <f t="shared" ref="BU5:BU68" si="11">SUM(L5:W5)</f>
        <v>24</v>
      </c>
      <c r="BV5" s="139">
        <f t="shared" ref="BV5:BV68" si="12">SUM(X5:AI5)</f>
        <v>66</v>
      </c>
      <c r="BW5" s="139">
        <f t="shared" ref="BW5:BW68" si="13">SUM(AJ5:AU5)</f>
        <v>90</v>
      </c>
      <c r="BX5" s="139">
        <f t="shared" ref="BX5:BX68" si="14">SUM(AV5:BG5)</f>
        <v>114</v>
      </c>
      <c r="BY5" s="139">
        <f t="shared" ref="BY5:BY68" si="15">SUM(BH5:BS5)</f>
        <v>120</v>
      </c>
    </row>
    <row r="6" spans="2:77">
      <c r="C6" s="183"/>
      <c r="E6" s="306">
        <v>737</v>
      </c>
      <c r="F6" s="306"/>
      <c r="G6" s="155"/>
      <c r="L6" s="139">
        <f>SUMIFS(IS_항공기!L$7:L$17,IS_항공기!$D$7:$D$17,IS_Others!$E6)</f>
        <v>0</v>
      </c>
      <c r="M6" s="139">
        <f>SUMIFS(IS_항공기!M$7:M$17,IS_항공기!$D$7:$D$17,IS_Others!$E6)</f>
        <v>0</v>
      </c>
      <c r="N6" s="139">
        <f>SUMIFS(IS_항공기!N$7:N$17,IS_항공기!$D$7:$D$17,IS_Others!$E6)</f>
        <v>0</v>
      </c>
      <c r="O6" s="139">
        <f>SUMIFS(IS_항공기!O$7:O$17,IS_항공기!$D$7:$D$17,IS_Others!$E6)</f>
        <v>0</v>
      </c>
      <c r="P6" s="139">
        <f>SUMIFS(IS_항공기!P$7:P$17,IS_항공기!$D$7:$D$17,IS_Others!$E6)</f>
        <v>0</v>
      </c>
      <c r="Q6" s="139">
        <f>SUMIFS(IS_항공기!Q$7:Q$17,IS_항공기!$D$7:$D$17,IS_Others!$E6)</f>
        <v>0</v>
      </c>
      <c r="R6" s="139">
        <f>SUMIFS(IS_항공기!R$7:R$17,IS_항공기!$D$7:$D$17,IS_Others!$E6)</f>
        <v>3</v>
      </c>
      <c r="S6" s="139">
        <f>SUMIFS(IS_항공기!S$7:S$17,IS_항공기!$D$7:$D$17,IS_Others!$E6)</f>
        <v>3</v>
      </c>
      <c r="T6" s="139">
        <f>SUMIFS(IS_항공기!T$7:T$17,IS_항공기!$D$7:$D$17,IS_Others!$E6)</f>
        <v>3</v>
      </c>
      <c r="U6" s="139">
        <f>SUMIFS(IS_항공기!U$7:U$17,IS_항공기!$D$7:$D$17,IS_Others!$E6)</f>
        <v>3</v>
      </c>
      <c r="V6" s="139">
        <f>SUMIFS(IS_항공기!V$7:V$17,IS_항공기!$D$7:$D$17,IS_Others!$E6)</f>
        <v>3</v>
      </c>
      <c r="W6" s="139">
        <f>SUMIFS(IS_항공기!W$7:W$17,IS_항공기!$D$7:$D$17,IS_Others!$E6)</f>
        <v>3</v>
      </c>
      <c r="X6" s="139">
        <f>SUMIFS(IS_항공기!X$7:X$17,IS_항공기!$D$7:$D$17,IS_Others!$E6)</f>
        <v>4</v>
      </c>
      <c r="Y6" s="139">
        <f>SUMIFS(IS_항공기!Y$7:Y$17,IS_항공기!$D$7:$D$17,IS_Others!$E6)</f>
        <v>4</v>
      </c>
      <c r="Z6" s="139">
        <f>SUMIFS(IS_항공기!Z$7:Z$17,IS_항공기!$D$7:$D$17,IS_Others!$E6)</f>
        <v>4</v>
      </c>
      <c r="AA6" s="139">
        <f>SUMIFS(IS_항공기!AA$7:AA$17,IS_항공기!$D$7:$D$17,IS_Others!$E6)</f>
        <v>4</v>
      </c>
      <c r="AB6" s="139">
        <f>SUMIFS(IS_항공기!AB$7:AB$17,IS_항공기!$D$7:$D$17,IS_Others!$E6)</f>
        <v>4</v>
      </c>
      <c r="AC6" s="139">
        <f>SUMIFS(IS_항공기!AC$7:AC$17,IS_항공기!$D$7:$D$17,IS_Others!$E6)</f>
        <v>4</v>
      </c>
      <c r="AD6" s="139">
        <f>SUMIFS(IS_항공기!AD$7:AD$17,IS_항공기!$D$7:$D$17,IS_Others!$E6)</f>
        <v>4</v>
      </c>
      <c r="AE6" s="139">
        <f>SUMIFS(IS_항공기!AE$7:AE$17,IS_항공기!$D$7:$D$17,IS_Others!$E6)</f>
        <v>4</v>
      </c>
      <c r="AF6" s="139">
        <f>SUMIFS(IS_항공기!AF$7:AF$17,IS_항공기!$D$7:$D$17,IS_Others!$E6)</f>
        <v>4</v>
      </c>
      <c r="AG6" s="139">
        <f>SUMIFS(IS_항공기!AG$7:AG$17,IS_항공기!$D$7:$D$17,IS_Others!$E6)</f>
        <v>4</v>
      </c>
      <c r="AH6" s="139">
        <f>SUMIFS(IS_항공기!AH$7:AH$17,IS_항공기!$D$7:$D$17,IS_Others!$E6)</f>
        <v>4</v>
      </c>
      <c r="AI6" s="139">
        <f>SUMIFS(IS_항공기!AI$7:AI$17,IS_항공기!$D$7:$D$17,IS_Others!$E6)</f>
        <v>4</v>
      </c>
      <c r="AJ6" s="139">
        <f>SUMIFS(IS_항공기!AJ$7:AJ$17,IS_항공기!$D$7:$D$17,IS_Others!$E6)</f>
        <v>5</v>
      </c>
      <c r="AK6" s="139">
        <f>SUMIFS(IS_항공기!AK$7:AK$17,IS_항공기!$D$7:$D$17,IS_Others!$E6)</f>
        <v>5</v>
      </c>
      <c r="AL6" s="139">
        <f>SUMIFS(IS_항공기!AL$7:AL$17,IS_항공기!$D$7:$D$17,IS_Others!$E6)</f>
        <v>5</v>
      </c>
      <c r="AM6" s="139">
        <f>SUMIFS(IS_항공기!AM$7:AM$17,IS_항공기!$D$7:$D$17,IS_Others!$E6)</f>
        <v>5</v>
      </c>
      <c r="AN6" s="139">
        <f>SUMIFS(IS_항공기!AN$7:AN$17,IS_항공기!$D$7:$D$17,IS_Others!$E6)</f>
        <v>5</v>
      </c>
      <c r="AO6" s="139">
        <f>SUMIFS(IS_항공기!AO$7:AO$17,IS_항공기!$D$7:$D$17,IS_Others!$E6)</f>
        <v>5</v>
      </c>
      <c r="AP6" s="139">
        <f>SUMIFS(IS_항공기!AP$7:AP$17,IS_항공기!$D$7:$D$17,IS_Others!$E6)</f>
        <v>5</v>
      </c>
      <c r="AQ6" s="139">
        <f>SUMIFS(IS_항공기!AQ$7:AQ$17,IS_항공기!$D$7:$D$17,IS_Others!$E6)</f>
        <v>5</v>
      </c>
      <c r="AR6" s="139">
        <f>SUMIFS(IS_항공기!AR$7:AR$17,IS_항공기!$D$7:$D$17,IS_Others!$E6)</f>
        <v>5</v>
      </c>
      <c r="AS6" s="139">
        <f>SUMIFS(IS_항공기!AS$7:AS$17,IS_항공기!$D$7:$D$17,IS_Others!$E6)</f>
        <v>5</v>
      </c>
      <c r="AT6" s="139">
        <f>SUMIFS(IS_항공기!AT$7:AT$17,IS_항공기!$D$7:$D$17,IS_Others!$E6)</f>
        <v>5</v>
      </c>
      <c r="AU6" s="139">
        <f>SUMIFS(IS_항공기!AU$7:AU$17,IS_항공기!$D$7:$D$17,IS_Others!$E6)</f>
        <v>5</v>
      </c>
      <c r="AV6" s="139">
        <f>SUMIFS(IS_항공기!AV$7:AV$17,IS_항공기!$D$7:$D$17,IS_Others!$E6)</f>
        <v>5</v>
      </c>
      <c r="AW6" s="139">
        <f>SUMIFS(IS_항공기!AW$7:AW$17,IS_항공기!$D$7:$D$17,IS_Others!$E6)</f>
        <v>5</v>
      </c>
      <c r="AX6" s="139">
        <f>SUMIFS(IS_항공기!AX$7:AX$17,IS_항공기!$D$7:$D$17,IS_Others!$E6)</f>
        <v>5</v>
      </c>
      <c r="AY6" s="139">
        <f>SUMIFS(IS_항공기!AY$7:AY$17,IS_항공기!$D$7:$D$17,IS_Others!$E6)</f>
        <v>5</v>
      </c>
      <c r="AZ6" s="139">
        <f>SUMIFS(IS_항공기!AZ$7:AZ$17,IS_항공기!$D$7:$D$17,IS_Others!$E6)</f>
        <v>5</v>
      </c>
      <c r="BA6" s="139">
        <f>SUMIFS(IS_항공기!BA$7:BA$17,IS_항공기!$D$7:$D$17,IS_Others!$E6)</f>
        <v>5</v>
      </c>
      <c r="BB6" s="139">
        <f>SUMIFS(IS_항공기!BB$7:BB$17,IS_항공기!$D$7:$D$17,IS_Others!$E6)</f>
        <v>5</v>
      </c>
      <c r="BC6" s="139">
        <f>SUMIFS(IS_항공기!BC$7:BC$17,IS_항공기!$D$7:$D$17,IS_Others!$E6)</f>
        <v>5</v>
      </c>
      <c r="BD6" s="139">
        <f>SUMIFS(IS_항공기!BD$7:BD$17,IS_항공기!$D$7:$D$17,IS_Others!$E6)</f>
        <v>5</v>
      </c>
      <c r="BE6" s="139">
        <f>SUMIFS(IS_항공기!BE$7:BE$17,IS_항공기!$D$7:$D$17,IS_Others!$E6)</f>
        <v>5</v>
      </c>
      <c r="BF6" s="139">
        <f>SUMIFS(IS_항공기!BF$7:BF$17,IS_항공기!$D$7:$D$17,IS_Others!$E6)</f>
        <v>5</v>
      </c>
      <c r="BG6" s="139">
        <f>SUMIFS(IS_항공기!BG$7:BG$17,IS_항공기!$D$7:$D$17,IS_Others!$E6)</f>
        <v>5</v>
      </c>
      <c r="BH6" s="139">
        <f>SUMIFS(IS_항공기!BH$7:BH$17,IS_항공기!$D$7:$D$17,IS_Others!$E6)</f>
        <v>5</v>
      </c>
      <c r="BI6" s="139">
        <f>SUMIFS(IS_항공기!BI$7:BI$17,IS_항공기!$D$7:$D$17,IS_Others!$E6)</f>
        <v>5</v>
      </c>
      <c r="BJ6" s="139">
        <f>SUMIFS(IS_항공기!BJ$7:BJ$17,IS_항공기!$D$7:$D$17,IS_Others!$E6)</f>
        <v>5</v>
      </c>
      <c r="BK6" s="139">
        <f>SUMIFS(IS_항공기!BK$7:BK$17,IS_항공기!$D$7:$D$17,IS_Others!$E6)</f>
        <v>5</v>
      </c>
      <c r="BL6" s="139">
        <f>SUMIFS(IS_항공기!BL$7:BL$17,IS_항공기!$D$7:$D$17,IS_Others!$E6)</f>
        <v>5</v>
      </c>
      <c r="BM6" s="139">
        <f>SUMIFS(IS_항공기!BM$7:BM$17,IS_항공기!$D$7:$D$17,IS_Others!$E6)</f>
        <v>5</v>
      </c>
      <c r="BN6" s="139">
        <f>SUMIFS(IS_항공기!BN$7:BN$17,IS_항공기!$D$7:$D$17,IS_Others!$E6)</f>
        <v>5</v>
      </c>
      <c r="BO6" s="139">
        <f>SUMIFS(IS_항공기!BO$7:BO$17,IS_항공기!$D$7:$D$17,IS_Others!$E6)</f>
        <v>5</v>
      </c>
      <c r="BP6" s="139">
        <f>SUMIFS(IS_항공기!BP$7:BP$17,IS_항공기!$D$7:$D$17,IS_Others!$E6)</f>
        <v>5</v>
      </c>
      <c r="BQ6" s="139">
        <f>SUMIFS(IS_항공기!BQ$7:BQ$17,IS_항공기!$D$7:$D$17,IS_Others!$E6)</f>
        <v>5</v>
      </c>
      <c r="BR6" s="139">
        <f>SUMIFS(IS_항공기!BR$7:BR$17,IS_항공기!$D$7:$D$17,IS_Others!$E6)</f>
        <v>5</v>
      </c>
      <c r="BS6" s="139">
        <f>SUMIFS(IS_항공기!BS$7:BS$17,IS_항공기!$D$7:$D$17,IS_Others!$E6)</f>
        <v>5</v>
      </c>
      <c r="BU6" s="139">
        <f t="shared" si="11"/>
        <v>18</v>
      </c>
      <c r="BV6" s="139">
        <f t="shared" si="12"/>
        <v>48</v>
      </c>
      <c r="BW6" s="139">
        <f t="shared" si="13"/>
        <v>60</v>
      </c>
      <c r="BX6" s="139">
        <f t="shared" si="14"/>
        <v>60</v>
      </c>
      <c r="BY6" s="139">
        <f t="shared" si="15"/>
        <v>60</v>
      </c>
    </row>
    <row r="7" spans="2:77">
      <c r="D7" s="139">
        <f>노선구성!B48</f>
        <v>1</v>
      </c>
      <c r="E7" s="306">
        <v>767</v>
      </c>
      <c r="F7" s="306"/>
      <c r="G7" s="306"/>
      <c r="L7" s="139">
        <f>SUMIFS(IS_항공기!L$7:L$17,IS_항공기!$D$7:$D$17,IS_Others!$E7)</f>
        <v>0</v>
      </c>
      <c r="M7" s="139">
        <f>SUMIFS(IS_항공기!M$7:M$17,IS_항공기!$D$7:$D$17,IS_Others!$E7)</f>
        <v>0</v>
      </c>
      <c r="N7" s="139">
        <f>SUMIFS(IS_항공기!N$7:N$17,IS_항공기!$D$7:$D$17,IS_Others!$E7)</f>
        <v>0</v>
      </c>
      <c r="O7" s="139">
        <f>SUMIFS(IS_항공기!O$7:O$17,IS_항공기!$D$7:$D$17,IS_Others!$E7)</f>
        <v>0</v>
      </c>
      <c r="P7" s="139">
        <f>SUMIFS(IS_항공기!P$7:P$17,IS_항공기!$D$7:$D$17,IS_Others!$E7)</f>
        <v>0</v>
      </c>
      <c r="Q7" s="139">
        <f>SUMIFS(IS_항공기!Q$7:Q$17,IS_항공기!$D$7:$D$17,IS_Others!$E7)</f>
        <v>0</v>
      </c>
      <c r="R7" s="139">
        <f>SUMIFS(IS_항공기!R$7:R$17,IS_항공기!$D$7:$D$17,IS_Others!$E7)</f>
        <v>1</v>
      </c>
      <c r="S7" s="139">
        <f>SUMIFS(IS_항공기!S$7:S$17,IS_항공기!$D$7:$D$17,IS_Others!$E7)</f>
        <v>1</v>
      </c>
      <c r="T7" s="139">
        <f>SUMIFS(IS_항공기!T$7:T$17,IS_항공기!$D$7:$D$17,IS_Others!$E7)</f>
        <v>1</v>
      </c>
      <c r="U7" s="139">
        <f>SUMIFS(IS_항공기!U$7:U$17,IS_항공기!$D$7:$D$17,IS_Others!$E7)</f>
        <v>1</v>
      </c>
      <c r="V7" s="139">
        <f>SUMIFS(IS_항공기!V$7:V$17,IS_항공기!$D$7:$D$17,IS_Others!$E7)</f>
        <v>1</v>
      </c>
      <c r="W7" s="139">
        <f>SUMIFS(IS_항공기!W$7:W$17,IS_항공기!$D$7:$D$17,IS_Others!$E7)</f>
        <v>1</v>
      </c>
      <c r="X7" s="139">
        <f>SUMIFS(IS_항공기!X$7:X$17,IS_항공기!$D$7:$D$17,IS_Others!$E7)</f>
        <v>1</v>
      </c>
      <c r="Y7" s="139">
        <f>SUMIFS(IS_항공기!Y$7:Y$17,IS_항공기!$D$7:$D$17,IS_Others!$E7)</f>
        <v>1</v>
      </c>
      <c r="Z7" s="139">
        <f>SUMIFS(IS_항공기!Z$7:Z$17,IS_항공기!$D$7:$D$17,IS_Others!$E7)</f>
        <v>1</v>
      </c>
      <c r="AA7" s="139">
        <f>SUMIFS(IS_항공기!AA$7:AA$17,IS_항공기!$D$7:$D$17,IS_Others!$E7)</f>
        <v>1</v>
      </c>
      <c r="AB7" s="139">
        <f>SUMIFS(IS_항공기!AB$7:AB$17,IS_항공기!$D$7:$D$17,IS_Others!$E7)</f>
        <v>1</v>
      </c>
      <c r="AC7" s="139">
        <f>SUMIFS(IS_항공기!AC$7:AC$17,IS_항공기!$D$7:$D$17,IS_Others!$E7)</f>
        <v>1</v>
      </c>
      <c r="AD7" s="139">
        <f>SUMIFS(IS_항공기!AD$7:AD$17,IS_항공기!$D$7:$D$17,IS_Others!$E7)</f>
        <v>2</v>
      </c>
      <c r="AE7" s="139">
        <f>SUMIFS(IS_항공기!AE$7:AE$17,IS_항공기!$D$7:$D$17,IS_Others!$E7)</f>
        <v>2</v>
      </c>
      <c r="AF7" s="139">
        <f>SUMIFS(IS_항공기!AF$7:AF$17,IS_항공기!$D$7:$D$17,IS_Others!$E7)</f>
        <v>2</v>
      </c>
      <c r="AG7" s="139">
        <f>SUMIFS(IS_항공기!AG$7:AG$17,IS_항공기!$D$7:$D$17,IS_Others!$E7)</f>
        <v>2</v>
      </c>
      <c r="AH7" s="139">
        <f>SUMIFS(IS_항공기!AH$7:AH$17,IS_항공기!$D$7:$D$17,IS_Others!$E7)</f>
        <v>2</v>
      </c>
      <c r="AI7" s="139">
        <f>SUMIFS(IS_항공기!AI$7:AI$17,IS_항공기!$D$7:$D$17,IS_Others!$E7)</f>
        <v>2</v>
      </c>
      <c r="AJ7" s="139">
        <f>SUMIFS(IS_항공기!AJ$7:AJ$17,IS_항공기!$D$7:$D$17,IS_Others!$E7)</f>
        <v>2</v>
      </c>
      <c r="AK7" s="139">
        <f>SUMIFS(IS_항공기!AK$7:AK$17,IS_항공기!$D$7:$D$17,IS_Others!$E7)</f>
        <v>2</v>
      </c>
      <c r="AL7" s="139">
        <f>SUMIFS(IS_항공기!AL$7:AL$17,IS_항공기!$D$7:$D$17,IS_Others!$E7)</f>
        <v>2</v>
      </c>
      <c r="AM7" s="139">
        <f>SUMIFS(IS_항공기!AM$7:AM$17,IS_항공기!$D$7:$D$17,IS_Others!$E7)</f>
        <v>2</v>
      </c>
      <c r="AN7" s="139">
        <f>SUMIFS(IS_항공기!AN$7:AN$17,IS_항공기!$D$7:$D$17,IS_Others!$E7)</f>
        <v>2</v>
      </c>
      <c r="AO7" s="139">
        <f>SUMIFS(IS_항공기!AO$7:AO$17,IS_항공기!$D$7:$D$17,IS_Others!$E7)</f>
        <v>2</v>
      </c>
      <c r="AP7" s="139">
        <f>SUMIFS(IS_항공기!AP$7:AP$17,IS_항공기!$D$7:$D$17,IS_Others!$E7)</f>
        <v>3</v>
      </c>
      <c r="AQ7" s="139">
        <f>SUMIFS(IS_항공기!AQ$7:AQ$17,IS_항공기!$D$7:$D$17,IS_Others!$E7)</f>
        <v>3</v>
      </c>
      <c r="AR7" s="139">
        <f>SUMIFS(IS_항공기!AR$7:AR$17,IS_항공기!$D$7:$D$17,IS_Others!$E7)</f>
        <v>3</v>
      </c>
      <c r="AS7" s="139">
        <f>SUMIFS(IS_항공기!AS$7:AS$17,IS_항공기!$D$7:$D$17,IS_Others!$E7)</f>
        <v>3</v>
      </c>
      <c r="AT7" s="139">
        <f>SUMIFS(IS_항공기!AT$7:AT$17,IS_항공기!$D$7:$D$17,IS_Others!$E7)</f>
        <v>3</v>
      </c>
      <c r="AU7" s="139">
        <f>SUMIFS(IS_항공기!AU$7:AU$17,IS_항공기!$D$7:$D$17,IS_Others!$E7)</f>
        <v>3</v>
      </c>
      <c r="AV7" s="139">
        <f>SUMIFS(IS_항공기!AV$7:AV$17,IS_항공기!$D$7:$D$17,IS_Others!$E7)</f>
        <v>4</v>
      </c>
      <c r="AW7" s="139">
        <f>SUMIFS(IS_항공기!AW$7:AW$17,IS_항공기!$D$7:$D$17,IS_Others!$E7)</f>
        <v>4</v>
      </c>
      <c r="AX7" s="139">
        <f>SUMIFS(IS_항공기!AX$7:AX$17,IS_항공기!$D$7:$D$17,IS_Others!$E7)</f>
        <v>4</v>
      </c>
      <c r="AY7" s="139">
        <f>SUMIFS(IS_항공기!AY$7:AY$17,IS_항공기!$D$7:$D$17,IS_Others!$E7)</f>
        <v>4</v>
      </c>
      <c r="AZ7" s="139">
        <f>SUMIFS(IS_항공기!AZ$7:AZ$17,IS_항공기!$D$7:$D$17,IS_Others!$E7)</f>
        <v>4</v>
      </c>
      <c r="BA7" s="139">
        <f>SUMIFS(IS_항공기!BA$7:BA$17,IS_항공기!$D$7:$D$17,IS_Others!$E7)</f>
        <v>4</v>
      </c>
      <c r="BB7" s="139">
        <f>SUMIFS(IS_항공기!BB$7:BB$17,IS_항공기!$D$7:$D$17,IS_Others!$E7)</f>
        <v>5</v>
      </c>
      <c r="BC7" s="139">
        <f>SUMIFS(IS_항공기!BC$7:BC$17,IS_항공기!$D$7:$D$17,IS_Others!$E7)</f>
        <v>5</v>
      </c>
      <c r="BD7" s="139">
        <f>SUMIFS(IS_항공기!BD$7:BD$17,IS_항공기!$D$7:$D$17,IS_Others!$E7)</f>
        <v>5</v>
      </c>
      <c r="BE7" s="139">
        <f>SUMIFS(IS_항공기!BE$7:BE$17,IS_항공기!$D$7:$D$17,IS_Others!$E7)</f>
        <v>5</v>
      </c>
      <c r="BF7" s="139">
        <f>SUMIFS(IS_항공기!BF$7:BF$17,IS_항공기!$D$7:$D$17,IS_Others!$E7)</f>
        <v>5</v>
      </c>
      <c r="BG7" s="139">
        <f>SUMIFS(IS_항공기!BG$7:BG$17,IS_항공기!$D$7:$D$17,IS_Others!$E7)</f>
        <v>5</v>
      </c>
      <c r="BH7" s="139">
        <f>SUMIFS(IS_항공기!BH$7:BH$17,IS_항공기!$D$7:$D$17,IS_Others!$E7)</f>
        <v>5</v>
      </c>
      <c r="BI7" s="139">
        <f>SUMIFS(IS_항공기!BI$7:BI$17,IS_항공기!$D$7:$D$17,IS_Others!$E7)</f>
        <v>5</v>
      </c>
      <c r="BJ7" s="139">
        <f>SUMIFS(IS_항공기!BJ$7:BJ$17,IS_항공기!$D$7:$D$17,IS_Others!$E7)</f>
        <v>5</v>
      </c>
      <c r="BK7" s="139">
        <f>SUMIFS(IS_항공기!BK$7:BK$17,IS_항공기!$D$7:$D$17,IS_Others!$E7)</f>
        <v>5</v>
      </c>
      <c r="BL7" s="139">
        <f>SUMIFS(IS_항공기!BL$7:BL$17,IS_항공기!$D$7:$D$17,IS_Others!$E7)</f>
        <v>5</v>
      </c>
      <c r="BM7" s="139">
        <f>SUMIFS(IS_항공기!BM$7:BM$17,IS_항공기!$D$7:$D$17,IS_Others!$E7)</f>
        <v>5</v>
      </c>
      <c r="BN7" s="139">
        <f>SUMIFS(IS_항공기!BN$7:BN$17,IS_항공기!$D$7:$D$17,IS_Others!$E7)</f>
        <v>5</v>
      </c>
      <c r="BO7" s="139">
        <f>SUMIFS(IS_항공기!BO$7:BO$17,IS_항공기!$D$7:$D$17,IS_Others!$E7)</f>
        <v>5</v>
      </c>
      <c r="BP7" s="139">
        <f>SUMIFS(IS_항공기!BP$7:BP$17,IS_항공기!$D$7:$D$17,IS_Others!$E7)</f>
        <v>5</v>
      </c>
      <c r="BQ7" s="139">
        <f>SUMIFS(IS_항공기!BQ$7:BQ$17,IS_항공기!$D$7:$D$17,IS_Others!$E7)</f>
        <v>5</v>
      </c>
      <c r="BR7" s="139">
        <f>SUMIFS(IS_항공기!BR$7:BR$17,IS_항공기!$D$7:$D$17,IS_Others!$E7)</f>
        <v>5</v>
      </c>
      <c r="BS7" s="139">
        <f>SUMIFS(IS_항공기!BS$7:BS$17,IS_항공기!$D$7:$D$17,IS_Others!$E7)</f>
        <v>5</v>
      </c>
      <c r="BU7" s="139">
        <f t="shared" si="11"/>
        <v>6</v>
      </c>
      <c r="BV7" s="139">
        <f t="shared" si="12"/>
        <v>18</v>
      </c>
      <c r="BW7" s="139">
        <f t="shared" si="13"/>
        <v>30</v>
      </c>
      <c r="BX7" s="139">
        <f t="shared" si="14"/>
        <v>54</v>
      </c>
      <c r="BY7" s="139">
        <f t="shared" si="15"/>
        <v>60</v>
      </c>
    </row>
    <row r="8" spans="2:77">
      <c r="E8" s="306">
        <v>777</v>
      </c>
      <c r="F8" s="306"/>
      <c r="G8" s="306"/>
      <c r="L8" s="139">
        <f>SUMIFS(IS_항공기!L$7:L$17,IS_항공기!$D$7:$D$17,IS_Others!$E8)</f>
        <v>0</v>
      </c>
      <c r="M8" s="139">
        <f>SUMIFS(IS_항공기!M$7:M$17,IS_항공기!$D$7:$D$17,IS_Others!$E8)</f>
        <v>0</v>
      </c>
      <c r="N8" s="139">
        <f>SUMIFS(IS_항공기!N$7:N$17,IS_항공기!$D$7:$D$17,IS_Others!$E8)</f>
        <v>0</v>
      </c>
      <c r="O8" s="139">
        <f>SUMIFS(IS_항공기!O$7:O$17,IS_항공기!$D$7:$D$17,IS_Others!$E8)</f>
        <v>0</v>
      </c>
      <c r="P8" s="139">
        <f>SUMIFS(IS_항공기!P$7:P$17,IS_항공기!$D$7:$D$17,IS_Others!$E8)</f>
        <v>0</v>
      </c>
      <c r="Q8" s="139">
        <f>SUMIFS(IS_항공기!Q$7:Q$17,IS_항공기!$D$7:$D$17,IS_Others!$E8)</f>
        <v>0</v>
      </c>
      <c r="R8" s="139">
        <f>SUMIFS(IS_항공기!R$7:R$17,IS_항공기!$D$7:$D$17,IS_Others!$E8)</f>
        <v>0</v>
      </c>
      <c r="S8" s="139">
        <f>SUMIFS(IS_항공기!S$7:S$17,IS_항공기!$D$7:$D$17,IS_Others!$E8)</f>
        <v>0</v>
      </c>
      <c r="T8" s="139">
        <f>SUMIFS(IS_항공기!T$7:T$17,IS_항공기!$D$7:$D$17,IS_Others!$E8)</f>
        <v>0</v>
      </c>
      <c r="U8" s="139">
        <f>SUMIFS(IS_항공기!U$7:U$17,IS_항공기!$D$7:$D$17,IS_Others!$E8)</f>
        <v>0</v>
      </c>
      <c r="V8" s="139">
        <f>SUMIFS(IS_항공기!V$7:V$17,IS_항공기!$D$7:$D$17,IS_Others!$E8)</f>
        <v>0</v>
      </c>
      <c r="W8" s="139">
        <f>SUMIFS(IS_항공기!W$7:W$17,IS_항공기!$D$7:$D$17,IS_Others!$E8)</f>
        <v>0</v>
      </c>
      <c r="X8" s="139">
        <f>SUMIFS(IS_항공기!X$7:X$17,IS_항공기!$D$7:$D$17,IS_Others!$E8)</f>
        <v>0</v>
      </c>
      <c r="Y8" s="139">
        <f>SUMIFS(IS_항공기!Y$7:Y$17,IS_항공기!$D$7:$D$17,IS_Others!$E8)</f>
        <v>0</v>
      </c>
      <c r="Z8" s="139">
        <f>SUMIFS(IS_항공기!Z$7:Z$17,IS_항공기!$D$7:$D$17,IS_Others!$E8)</f>
        <v>0</v>
      </c>
      <c r="AA8" s="139">
        <f>SUMIFS(IS_항공기!AA$7:AA$17,IS_항공기!$D$7:$D$17,IS_Others!$E8)</f>
        <v>0</v>
      </c>
      <c r="AB8" s="139">
        <f>SUMIFS(IS_항공기!AB$7:AB$17,IS_항공기!$D$7:$D$17,IS_Others!$E8)</f>
        <v>0</v>
      </c>
      <c r="AC8" s="139">
        <f>SUMIFS(IS_항공기!AC$7:AC$17,IS_항공기!$D$7:$D$17,IS_Others!$E8)</f>
        <v>0</v>
      </c>
      <c r="AD8" s="139">
        <f>SUMIFS(IS_항공기!AD$7:AD$17,IS_항공기!$D$7:$D$17,IS_Others!$E8)</f>
        <v>0</v>
      </c>
      <c r="AE8" s="139">
        <f>SUMIFS(IS_항공기!AE$7:AE$17,IS_항공기!$D$7:$D$17,IS_Others!$E8)</f>
        <v>0</v>
      </c>
      <c r="AF8" s="139">
        <f>SUMIFS(IS_항공기!AF$7:AF$17,IS_항공기!$D$7:$D$17,IS_Others!$E8)</f>
        <v>0</v>
      </c>
      <c r="AG8" s="139">
        <f>SUMIFS(IS_항공기!AG$7:AG$17,IS_항공기!$D$7:$D$17,IS_Others!$E8)</f>
        <v>0</v>
      </c>
      <c r="AH8" s="139">
        <f>SUMIFS(IS_항공기!AH$7:AH$17,IS_항공기!$D$7:$D$17,IS_Others!$E8)</f>
        <v>0</v>
      </c>
      <c r="AI8" s="139">
        <f>SUMIFS(IS_항공기!AI$7:AI$17,IS_항공기!$D$7:$D$17,IS_Others!$E8)</f>
        <v>0</v>
      </c>
      <c r="AJ8" s="139">
        <f>SUMIFS(IS_항공기!AJ$7:AJ$17,IS_항공기!$D$7:$D$17,IS_Others!$E8)</f>
        <v>0</v>
      </c>
      <c r="AK8" s="139">
        <f>SUMIFS(IS_항공기!AK$7:AK$17,IS_항공기!$D$7:$D$17,IS_Others!$E8)</f>
        <v>0</v>
      </c>
      <c r="AL8" s="139">
        <f>SUMIFS(IS_항공기!AL$7:AL$17,IS_항공기!$D$7:$D$17,IS_Others!$E8)</f>
        <v>0</v>
      </c>
      <c r="AM8" s="139">
        <f>SUMIFS(IS_항공기!AM$7:AM$17,IS_항공기!$D$7:$D$17,IS_Others!$E8)</f>
        <v>0</v>
      </c>
      <c r="AN8" s="139">
        <f>SUMIFS(IS_항공기!AN$7:AN$17,IS_항공기!$D$7:$D$17,IS_Others!$E8)</f>
        <v>0</v>
      </c>
      <c r="AO8" s="139">
        <f>SUMIFS(IS_항공기!AO$7:AO$17,IS_항공기!$D$7:$D$17,IS_Others!$E8)</f>
        <v>0</v>
      </c>
      <c r="AP8" s="139">
        <f>SUMIFS(IS_항공기!AP$7:AP$17,IS_항공기!$D$7:$D$17,IS_Others!$E8)</f>
        <v>0</v>
      </c>
      <c r="AQ8" s="139">
        <f>SUMIFS(IS_항공기!AQ$7:AQ$17,IS_항공기!$D$7:$D$17,IS_Others!$E8)</f>
        <v>0</v>
      </c>
      <c r="AR8" s="139">
        <f>SUMIFS(IS_항공기!AR$7:AR$17,IS_항공기!$D$7:$D$17,IS_Others!$E8)</f>
        <v>0</v>
      </c>
      <c r="AS8" s="139">
        <f>SUMIFS(IS_항공기!AS$7:AS$17,IS_항공기!$D$7:$D$17,IS_Others!$E8)</f>
        <v>0</v>
      </c>
      <c r="AT8" s="139">
        <f>SUMIFS(IS_항공기!AT$7:AT$17,IS_항공기!$D$7:$D$17,IS_Others!$E8)</f>
        <v>0</v>
      </c>
      <c r="AU8" s="139">
        <f>SUMIFS(IS_항공기!AU$7:AU$17,IS_항공기!$D$7:$D$17,IS_Others!$E8)</f>
        <v>0</v>
      </c>
      <c r="AV8" s="139">
        <f>SUMIFS(IS_항공기!AV$7:AV$17,IS_항공기!$D$7:$D$17,IS_Others!$E8)</f>
        <v>0</v>
      </c>
      <c r="AW8" s="139">
        <f>SUMIFS(IS_항공기!AW$7:AW$17,IS_항공기!$D$7:$D$17,IS_Others!$E8)</f>
        <v>0</v>
      </c>
      <c r="AX8" s="139">
        <f>SUMIFS(IS_항공기!AX$7:AX$17,IS_항공기!$D$7:$D$17,IS_Others!$E8)</f>
        <v>0</v>
      </c>
      <c r="AY8" s="139">
        <f>SUMIFS(IS_항공기!AY$7:AY$17,IS_항공기!$D$7:$D$17,IS_Others!$E8)</f>
        <v>0</v>
      </c>
      <c r="AZ8" s="139">
        <f>SUMIFS(IS_항공기!AZ$7:AZ$17,IS_항공기!$D$7:$D$17,IS_Others!$E8)</f>
        <v>0</v>
      </c>
      <c r="BA8" s="139">
        <f>SUMIFS(IS_항공기!BA$7:BA$17,IS_항공기!$D$7:$D$17,IS_Others!$E8)</f>
        <v>0</v>
      </c>
      <c r="BB8" s="139">
        <f>SUMIFS(IS_항공기!BB$7:BB$17,IS_항공기!$D$7:$D$17,IS_Others!$E8)</f>
        <v>0</v>
      </c>
      <c r="BC8" s="139">
        <f>SUMIFS(IS_항공기!BC$7:BC$17,IS_항공기!$D$7:$D$17,IS_Others!$E8)</f>
        <v>0</v>
      </c>
      <c r="BD8" s="139">
        <f>SUMIFS(IS_항공기!BD$7:BD$17,IS_항공기!$D$7:$D$17,IS_Others!$E8)</f>
        <v>0</v>
      </c>
      <c r="BE8" s="139">
        <f>SUMIFS(IS_항공기!BE$7:BE$17,IS_항공기!$D$7:$D$17,IS_Others!$E8)</f>
        <v>0</v>
      </c>
      <c r="BF8" s="139">
        <f>SUMIFS(IS_항공기!BF$7:BF$17,IS_항공기!$D$7:$D$17,IS_Others!$E8)</f>
        <v>0</v>
      </c>
      <c r="BG8" s="139">
        <f>SUMIFS(IS_항공기!BG$7:BG$17,IS_항공기!$D$7:$D$17,IS_Others!$E8)</f>
        <v>0</v>
      </c>
      <c r="BH8" s="139">
        <f>SUMIFS(IS_항공기!BH$7:BH$17,IS_항공기!$D$7:$D$17,IS_Others!$E8)</f>
        <v>0</v>
      </c>
      <c r="BI8" s="139">
        <f>SUMIFS(IS_항공기!BI$7:BI$17,IS_항공기!$D$7:$D$17,IS_Others!$E8)</f>
        <v>0</v>
      </c>
      <c r="BJ8" s="139">
        <f>SUMIFS(IS_항공기!BJ$7:BJ$17,IS_항공기!$D$7:$D$17,IS_Others!$E8)</f>
        <v>0</v>
      </c>
      <c r="BK8" s="139">
        <f>SUMIFS(IS_항공기!BK$7:BK$17,IS_항공기!$D$7:$D$17,IS_Others!$E8)</f>
        <v>0</v>
      </c>
      <c r="BL8" s="139">
        <f>SUMIFS(IS_항공기!BL$7:BL$17,IS_항공기!$D$7:$D$17,IS_Others!$E8)</f>
        <v>0</v>
      </c>
      <c r="BM8" s="139">
        <f>SUMIFS(IS_항공기!BM$7:BM$17,IS_항공기!$D$7:$D$17,IS_Others!$E8)</f>
        <v>0</v>
      </c>
      <c r="BN8" s="139">
        <f>SUMIFS(IS_항공기!BN$7:BN$17,IS_항공기!$D$7:$D$17,IS_Others!$E8)</f>
        <v>0</v>
      </c>
      <c r="BO8" s="139">
        <f>SUMIFS(IS_항공기!BO$7:BO$17,IS_항공기!$D$7:$D$17,IS_Others!$E8)</f>
        <v>0</v>
      </c>
      <c r="BP8" s="139">
        <f>SUMIFS(IS_항공기!BP$7:BP$17,IS_항공기!$D$7:$D$17,IS_Others!$E8)</f>
        <v>0</v>
      </c>
      <c r="BQ8" s="139">
        <f>SUMIFS(IS_항공기!BQ$7:BQ$17,IS_항공기!$D$7:$D$17,IS_Others!$E8)</f>
        <v>0</v>
      </c>
      <c r="BR8" s="139">
        <f>SUMIFS(IS_항공기!BR$7:BR$17,IS_항공기!$D$7:$D$17,IS_Others!$E8)</f>
        <v>0</v>
      </c>
      <c r="BS8" s="139">
        <f>SUMIFS(IS_항공기!BS$7:BS$17,IS_항공기!$D$7:$D$17,IS_Others!$E8)</f>
        <v>0</v>
      </c>
      <c r="BU8" s="139">
        <f t="shared" si="11"/>
        <v>0</v>
      </c>
      <c r="BV8" s="139">
        <f t="shared" si="12"/>
        <v>0</v>
      </c>
      <c r="BW8" s="139">
        <f t="shared" si="13"/>
        <v>0</v>
      </c>
      <c r="BX8" s="139">
        <f t="shared" si="14"/>
        <v>0</v>
      </c>
      <c r="BY8" s="139">
        <f t="shared" si="15"/>
        <v>0</v>
      </c>
    </row>
    <row r="9" spans="2:77">
      <c r="E9" s="306"/>
      <c r="F9" s="306"/>
      <c r="G9" s="306"/>
      <c r="BU9" s="139">
        <f t="shared" si="11"/>
        <v>0</v>
      </c>
      <c r="BV9" s="139">
        <f t="shared" si="12"/>
        <v>0</v>
      </c>
      <c r="BW9" s="139">
        <f t="shared" si="13"/>
        <v>0</v>
      </c>
      <c r="BX9" s="139">
        <f t="shared" si="14"/>
        <v>0</v>
      </c>
      <c r="BY9" s="139">
        <f t="shared" si="15"/>
        <v>0</v>
      </c>
    </row>
    <row r="10" spans="2:77">
      <c r="B10" s="155" t="s">
        <v>610</v>
      </c>
      <c r="C10" s="307"/>
      <c r="E10" s="306"/>
      <c r="F10" s="306"/>
      <c r="G10" s="306"/>
      <c r="L10" s="155">
        <f t="shared" ref="L10:BR10" si="16">SUBTOTAL(9,L11:L12)</f>
        <v>0</v>
      </c>
      <c r="M10" s="155">
        <f t="shared" si="16"/>
        <v>0</v>
      </c>
      <c r="N10" s="155">
        <f t="shared" si="16"/>
        <v>0</v>
      </c>
      <c r="O10" s="155">
        <f t="shared" si="16"/>
        <v>0</v>
      </c>
      <c r="P10" s="155">
        <f t="shared" si="16"/>
        <v>0</v>
      </c>
      <c r="Q10" s="155">
        <f t="shared" si="16"/>
        <v>0</v>
      </c>
      <c r="R10" s="155">
        <f t="shared" si="16"/>
        <v>48</v>
      </c>
      <c r="S10" s="155">
        <f t="shared" si="16"/>
        <v>48</v>
      </c>
      <c r="T10" s="155">
        <f t="shared" si="16"/>
        <v>48</v>
      </c>
      <c r="U10" s="155">
        <f t="shared" si="16"/>
        <v>48</v>
      </c>
      <c r="V10" s="155">
        <f t="shared" si="16"/>
        <v>48</v>
      </c>
      <c r="W10" s="155">
        <f t="shared" si="16"/>
        <v>48</v>
      </c>
      <c r="X10" s="155">
        <f t="shared" si="16"/>
        <v>60</v>
      </c>
      <c r="Y10" s="155">
        <f t="shared" si="16"/>
        <v>60</v>
      </c>
      <c r="Z10" s="155">
        <f t="shared" si="16"/>
        <v>60</v>
      </c>
      <c r="AA10" s="155">
        <f t="shared" si="16"/>
        <v>60</v>
      </c>
      <c r="AB10" s="155">
        <f t="shared" si="16"/>
        <v>60</v>
      </c>
      <c r="AC10" s="155">
        <f t="shared" si="16"/>
        <v>60</v>
      </c>
      <c r="AD10" s="155">
        <f t="shared" si="16"/>
        <v>72</v>
      </c>
      <c r="AE10" s="155">
        <f t="shared" si="16"/>
        <v>72</v>
      </c>
      <c r="AF10" s="155">
        <f t="shared" si="16"/>
        <v>72</v>
      </c>
      <c r="AG10" s="155">
        <f t="shared" si="16"/>
        <v>72</v>
      </c>
      <c r="AH10" s="155">
        <f t="shared" si="16"/>
        <v>72</v>
      </c>
      <c r="AI10" s="155">
        <f t="shared" si="16"/>
        <v>72</v>
      </c>
      <c r="AJ10" s="155">
        <f t="shared" si="16"/>
        <v>84</v>
      </c>
      <c r="AK10" s="155">
        <f t="shared" si="16"/>
        <v>84</v>
      </c>
      <c r="AL10" s="155">
        <f t="shared" si="16"/>
        <v>84</v>
      </c>
      <c r="AM10" s="155">
        <f t="shared" si="16"/>
        <v>84</v>
      </c>
      <c r="AN10" s="155">
        <f t="shared" si="16"/>
        <v>84</v>
      </c>
      <c r="AO10" s="155">
        <f t="shared" si="16"/>
        <v>84</v>
      </c>
      <c r="AP10" s="155">
        <f t="shared" si="16"/>
        <v>96</v>
      </c>
      <c r="AQ10" s="155">
        <f t="shared" si="16"/>
        <v>96</v>
      </c>
      <c r="AR10" s="155">
        <f t="shared" si="16"/>
        <v>96</v>
      </c>
      <c r="AS10" s="155">
        <f t="shared" si="16"/>
        <v>96</v>
      </c>
      <c r="AT10" s="155">
        <f t="shared" si="16"/>
        <v>96</v>
      </c>
      <c r="AU10" s="155">
        <f t="shared" si="16"/>
        <v>96</v>
      </c>
      <c r="AV10" s="155">
        <f t="shared" si="16"/>
        <v>108</v>
      </c>
      <c r="AW10" s="155">
        <f t="shared" si="16"/>
        <v>108</v>
      </c>
      <c r="AX10" s="155">
        <f t="shared" si="16"/>
        <v>108</v>
      </c>
      <c r="AY10" s="155">
        <f t="shared" si="16"/>
        <v>108</v>
      </c>
      <c r="AZ10" s="155">
        <f t="shared" si="16"/>
        <v>108</v>
      </c>
      <c r="BA10" s="155">
        <f t="shared" si="16"/>
        <v>108</v>
      </c>
      <c r="BB10" s="155">
        <f t="shared" si="16"/>
        <v>120</v>
      </c>
      <c r="BC10" s="155">
        <f t="shared" si="16"/>
        <v>120</v>
      </c>
      <c r="BD10" s="155">
        <f t="shared" si="16"/>
        <v>120</v>
      </c>
      <c r="BE10" s="155">
        <f t="shared" si="16"/>
        <v>120</v>
      </c>
      <c r="BF10" s="155">
        <f t="shared" si="16"/>
        <v>120</v>
      </c>
      <c r="BG10" s="155">
        <f t="shared" si="16"/>
        <v>120</v>
      </c>
      <c r="BH10" s="155">
        <f t="shared" si="16"/>
        <v>120</v>
      </c>
      <c r="BI10" s="155">
        <f t="shared" si="16"/>
        <v>120</v>
      </c>
      <c r="BJ10" s="155">
        <f t="shared" si="16"/>
        <v>120</v>
      </c>
      <c r="BK10" s="155">
        <f t="shared" si="16"/>
        <v>120</v>
      </c>
      <c r="BL10" s="155">
        <f t="shared" si="16"/>
        <v>120</v>
      </c>
      <c r="BM10" s="155">
        <f t="shared" si="16"/>
        <v>120</v>
      </c>
      <c r="BN10" s="155">
        <f t="shared" si="16"/>
        <v>120</v>
      </c>
      <c r="BO10" s="155">
        <f t="shared" si="16"/>
        <v>120</v>
      </c>
      <c r="BP10" s="155">
        <f t="shared" si="16"/>
        <v>120</v>
      </c>
      <c r="BQ10" s="155">
        <f t="shared" si="16"/>
        <v>120</v>
      </c>
      <c r="BR10" s="155">
        <f t="shared" si="16"/>
        <v>120</v>
      </c>
      <c r="BS10" s="155">
        <f>SUBTOTAL(9,BS11:BS12)</f>
        <v>120</v>
      </c>
      <c r="BU10" s="139">
        <f t="shared" si="11"/>
        <v>288</v>
      </c>
      <c r="BV10" s="139">
        <f t="shared" si="12"/>
        <v>792</v>
      </c>
      <c r="BW10" s="139">
        <f t="shared" si="13"/>
        <v>1080</v>
      </c>
      <c r="BX10" s="139">
        <f t="shared" si="14"/>
        <v>1368</v>
      </c>
      <c r="BY10" s="139">
        <f t="shared" si="15"/>
        <v>1440</v>
      </c>
    </row>
    <row r="11" spans="2:77">
      <c r="E11" s="308" t="s">
        <v>611</v>
      </c>
      <c r="L11" s="139">
        <f>IS_기장!L7</f>
        <v>0</v>
      </c>
      <c r="M11" s="139">
        <f>IS_기장!M7</f>
        <v>0</v>
      </c>
      <c r="N11" s="139">
        <f>IS_기장!N7</f>
        <v>0</v>
      </c>
      <c r="O11" s="139">
        <f>IS_기장!O7</f>
        <v>0</v>
      </c>
      <c r="P11" s="139">
        <f>IS_기장!P7</f>
        <v>0</v>
      </c>
      <c r="Q11" s="139">
        <f>IS_기장!Q7</f>
        <v>0</v>
      </c>
      <c r="R11" s="139">
        <f>IS_기장!R7</f>
        <v>24</v>
      </c>
      <c r="S11" s="139">
        <f>IS_기장!S7</f>
        <v>24</v>
      </c>
      <c r="T11" s="139">
        <f>IS_기장!T7</f>
        <v>24</v>
      </c>
      <c r="U11" s="139">
        <f>IS_기장!U7</f>
        <v>24</v>
      </c>
      <c r="V11" s="139">
        <f>IS_기장!V7</f>
        <v>24</v>
      </c>
      <c r="W11" s="139">
        <f>IS_기장!W7</f>
        <v>24</v>
      </c>
      <c r="X11" s="139">
        <f>IS_기장!X7</f>
        <v>30</v>
      </c>
      <c r="Y11" s="139">
        <f>IS_기장!Y7</f>
        <v>30</v>
      </c>
      <c r="Z11" s="139">
        <f>IS_기장!Z7</f>
        <v>30</v>
      </c>
      <c r="AA11" s="139">
        <f>IS_기장!AA7</f>
        <v>30</v>
      </c>
      <c r="AB11" s="139">
        <f>IS_기장!AB7</f>
        <v>30</v>
      </c>
      <c r="AC11" s="139">
        <f>IS_기장!AC7</f>
        <v>30</v>
      </c>
      <c r="AD11" s="139">
        <f>IS_기장!AD7</f>
        <v>36</v>
      </c>
      <c r="AE11" s="139">
        <f>IS_기장!AE7</f>
        <v>36</v>
      </c>
      <c r="AF11" s="139">
        <f>IS_기장!AF7</f>
        <v>36</v>
      </c>
      <c r="AG11" s="139">
        <f>IS_기장!AG7</f>
        <v>36</v>
      </c>
      <c r="AH11" s="139">
        <f>IS_기장!AH7</f>
        <v>36</v>
      </c>
      <c r="AI11" s="139">
        <f>IS_기장!AI7</f>
        <v>36</v>
      </c>
      <c r="AJ11" s="139">
        <f>IS_기장!AJ7</f>
        <v>42</v>
      </c>
      <c r="AK11" s="139">
        <f>IS_기장!AK7</f>
        <v>42</v>
      </c>
      <c r="AL11" s="139">
        <f>IS_기장!AL7</f>
        <v>42</v>
      </c>
      <c r="AM11" s="139">
        <f>IS_기장!AM7</f>
        <v>42</v>
      </c>
      <c r="AN11" s="139">
        <f>IS_기장!AN7</f>
        <v>42</v>
      </c>
      <c r="AO11" s="139">
        <f>IS_기장!AO7</f>
        <v>42</v>
      </c>
      <c r="AP11" s="139">
        <f>IS_기장!AP7</f>
        <v>48</v>
      </c>
      <c r="AQ11" s="139">
        <f>IS_기장!AQ7</f>
        <v>48</v>
      </c>
      <c r="AR11" s="139">
        <f>IS_기장!AR7</f>
        <v>48</v>
      </c>
      <c r="AS11" s="139">
        <f>IS_기장!AS7</f>
        <v>48</v>
      </c>
      <c r="AT11" s="139">
        <f>IS_기장!AT7</f>
        <v>48</v>
      </c>
      <c r="AU11" s="139">
        <f>IS_기장!AU7</f>
        <v>48</v>
      </c>
      <c r="AV11" s="139">
        <f>IS_기장!AV7</f>
        <v>54</v>
      </c>
      <c r="AW11" s="139">
        <f>IS_기장!AW7</f>
        <v>54</v>
      </c>
      <c r="AX11" s="139">
        <f>IS_기장!AX7</f>
        <v>54</v>
      </c>
      <c r="AY11" s="139">
        <f>IS_기장!AY7</f>
        <v>54</v>
      </c>
      <c r="AZ11" s="139">
        <f>IS_기장!AZ7</f>
        <v>54</v>
      </c>
      <c r="BA11" s="139">
        <f>IS_기장!BA7</f>
        <v>54</v>
      </c>
      <c r="BB11" s="139">
        <f>IS_기장!BB7</f>
        <v>60</v>
      </c>
      <c r="BC11" s="139">
        <f>IS_기장!BC7</f>
        <v>60</v>
      </c>
      <c r="BD11" s="139">
        <f>IS_기장!BD7</f>
        <v>60</v>
      </c>
      <c r="BE11" s="139">
        <f>IS_기장!BE7</f>
        <v>60</v>
      </c>
      <c r="BF11" s="139">
        <f>IS_기장!BF7</f>
        <v>60</v>
      </c>
      <c r="BG11" s="139">
        <f>IS_기장!BG7</f>
        <v>60</v>
      </c>
      <c r="BH11" s="139">
        <f>IS_기장!BH7</f>
        <v>60</v>
      </c>
      <c r="BI11" s="139">
        <f>IS_기장!BI7</f>
        <v>60</v>
      </c>
      <c r="BJ11" s="139">
        <f>IS_기장!BJ7</f>
        <v>60</v>
      </c>
      <c r="BK11" s="139">
        <f>IS_기장!BK7</f>
        <v>60</v>
      </c>
      <c r="BL11" s="139">
        <f>IS_기장!BL7</f>
        <v>60</v>
      </c>
      <c r="BM11" s="139">
        <f>IS_기장!BM7</f>
        <v>60</v>
      </c>
      <c r="BN11" s="139">
        <f>IS_기장!BN7</f>
        <v>60</v>
      </c>
      <c r="BO11" s="139">
        <f>IS_기장!BO7</f>
        <v>60</v>
      </c>
      <c r="BP11" s="139">
        <f>IS_기장!BP7</f>
        <v>60</v>
      </c>
      <c r="BQ11" s="139">
        <f>IS_기장!BQ7</f>
        <v>60</v>
      </c>
      <c r="BR11" s="139">
        <f>IS_기장!BR7</f>
        <v>60</v>
      </c>
      <c r="BS11" s="139">
        <f>IS_기장!BS7</f>
        <v>60</v>
      </c>
      <c r="BU11" s="139">
        <f t="shared" si="11"/>
        <v>144</v>
      </c>
      <c r="BV11" s="139">
        <f t="shared" si="12"/>
        <v>396</v>
      </c>
      <c r="BW11" s="139">
        <f t="shared" si="13"/>
        <v>540</v>
      </c>
      <c r="BX11" s="139">
        <f t="shared" si="14"/>
        <v>684</v>
      </c>
      <c r="BY11" s="139">
        <f t="shared" si="15"/>
        <v>720</v>
      </c>
    </row>
    <row r="12" spans="2:77">
      <c r="E12" s="308" t="s">
        <v>612</v>
      </c>
      <c r="L12" s="139">
        <f>L11</f>
        <v>0</v>
      </c>
      <c r="M12" s="139">
        <f t="shared" ref="M12:BS12" si="17">M11</f>
        <v>0</v>
      </c>
      <c r="N12" s="139">
        <f t="shared" si="17"/>
        <v>0</v>
      </c>
      <c r="O12" s="139">
        <f t="shared" si="17"/>
        <v>0</v>
      </c>
      <c r="P12" s="139">
        <f t="shared" si="17"/>
        <v>0</v>
      </c>
      <c r="Q12" s="139">
        <f t="shared" si="17"/>
        <v>0</v>
      </c>
      <c r="R12" s="139">
        <f t="shared" si="17"/>
        <v>24</v>
      </c>
      <c r="S12" s="139">
        <f t="shared" si="17"/>
        <v>24</v>
      </c>
      <c r="T12" s="139">
        <f t="shared" si="17"/>
        <v>24</v>
      </c>
      <c r="U12" s="139">
        <f t="shared" si="17"/>
        <v>24</v>
      </c>
      <c r="V12" s="139">
        <f t="shared" si="17"/>
        <v>24</v>
      </c>
      <c r="W12" s="139">
        <f t="shared" si="17"/>
        <v>24</v>
      </c>
      <c r="X12" s="139">
        <f t="shared" si="17"/>
        <v>30</v>
      </c>
      <c r="Y12" s="139">
        <f t="shared" si="17"/>
        <v>30</v>
      </c>
      <c r="Z12" s="139">
        <f t="shared" si="17"/>
        <v>30</v>
      </c>
      <c r="AA12" s="139">
        <f t="shared" si="17"/>
        <v>30</v>
      </c>
      <c r="AB12" s="139">
        <f t="shared" si="17"/>
        <v>30</v>
      </c>
      <c r="AC12" s="139">
        <f t="shared" si="17"/>
        <v>30</v>
      </c>
      <c r="AD12" s="139">
        <f t="shared" si="17"/>
        <v>36</v>
      </c>
      <c r="AE12" s="139">
        <f t="shared" si="17"/>
        <v>36</v>
      </c>
      <c r="AF12" s="139">
        <f t="shared" si="17"/>
        <v>36</v>
      </c>
      <c r="AG12" s="139">
        <f t="shared" si="17"/>
        <v>36</v>
      </c>
      <c r="AH12" s="139">
        <f t="shared" si="17"/>
        <v>36</v>
      </c>
      <c r="AI12" s="139">
        <f t="shared" si="17"/>
        <v>36</v>
      </c>
      <c r="AJ12" s="139">
        <f t="shared" si="17"/>
        <v>42</v>
      </c>
      <c r="AK12" s="139">
        <f t="shared" si="17"/>
        <v>42</v>
      </c>
      <c r="AL12" s="139">
        <f t="shared" si="17"/>
        <v>42</v>
      </c>
      <c r="AM12" s="139">
        <f t="shared" si="17"/>
        <v>42</v>
      </c>
      <c r="AN12" s="139">
        <f t="shared" si="17"/>
        <v>42</v>
      </c>
      <c r="AO12" s="139">
        <f t="shared" si="17"/>
        <v>42</v>
      </c>
      <c r="AP12" s="139">
        <f t="shared" si="17"/>
        <v>48</v>
      </c>
      <c r="AQ12" s="139">
        <f t="shared" si="17"/>
        <v>48</v>
      </c>
      <c r="AR12" s="139">
        <f t="shared" si="17"/>
        <v>48</v>
      </c>
      <c r="AS12" s="139">
        <f t="shared" si="17"/>
        <v>48</v>
      </c>
      <c r="AT12" s="139">
        <f t="shared" si="17"/>
        <v>48</v>
      </c>
      <c r="AU12" s="139">
        <f t="shared" si="17"/>
        <v>48</v>
      </c>
      <c r="AV12" s="139">
        <f t="shared" si="17"/>
        <v>54</v>
      </c>
      <c r="AW12" s="139">
        <f t="shared" si="17"/>
        <v>54</v>
      </c>
      <c r="AX12" s="139">
        <f t="shared" si="17"/>
        <v>54</v>
      </c>
      <c r="AY12" s="139">
        <f t="shared" si="17"/>
        <v>54</v>
      </c>
      <c r="AZ12" s="139">
        <f t="shared" si="17"/>
        <v>54</v>
      </c>
      <c r="BA12" s="139">
        <f t="shared" si="17"/>
        <v>54</v>
      </c>
      <c r="BB12" s="139">
        <f t="shared" si="17"/>
        <v>60</v>
      </c>
      <c r="BC12" s="139">
        <f t="shared" si="17"/>
        <v>60</v>
      </c>
      <c r="BD12" s="139">
        <f t="shared" si="17"/>
        <v>60</v>
      </c>
      <c r="BE12" s="139">
        <f t="shared" si="17"/>
        <v>60</v>
      </c>
      <c r="BF12" s="139">
        <f t="shared" si="17"/>
        <v>60</v>
      </c>
      <c r="BG12" s="139">
        <f t="shared" si="17"/>
        <v>60</v>
      </c>
      <c r="BH12" s="139">
        <f t="shared" si="17"/>
        <v>60</v>
      </c>
      <c r="BI12" s="139">
        <f t="shared" si="17"/>
        <v>60</v>
      </c>
      <c r="BJ12" s="139">
        <f t="shared" si="17"/>
        <v>60</v>
      </c>
      <c r="BK12" s="139">
        <f t="shared" si="17"/>
        <v>60</v>
      </c>
      <c r="BL12" s="139">
        <f t="shared" si="17"/>
        <v>60</v>
      </c>
      <c r="BM12" s="139">
        <f t="shared" si="17"/>
        <v>60</v>
      </c>
      <c r="BN12" s="139">
        <f t="shared" si="17"/>
        <v>60</v>
      </c>
      <c r="BO12" s="139">
        <f t="shared" si="17"/>
        <v>60</v>
      </c>
      <c r="BP12" s="139">
        <f t="shared" si="17"/>
        <v>60</v>
      </c>
      <c r="BQ12" s="139">
        <f t="shared" si="17"/>
        <v>60</v>
      </c>
      <c r="BR12" s="139">
        <f t="shared" si="17"/>
        <v>60</v>
      </c>
      <c r="BS12" s="139">
        <f t="shared" si="17"/>
        <v>60</v>
      </c>
      <c r="BU12" s="139">
        <f t="shared" si="11"/>
        <v>144</v>
      </c>
      <c r="BV12" s="139">
        <f t="shared" si="12"/>
        <v>396</v>
      </c>
      <c r="BW12" s="139">
        <f t="shared" si="13"/>
        <v>540</v>
      </c>
      <c r="BX12" s="139">
        <f t="shared" si="14"/>
        <v>684</v>
      </c>
      <c r="BY12" s="139">
        <f t="shared" si="15"/>
        <v>720</v>
      </c>
    </row>
    <row r="13" spans="2:77">
      <c r="BU13" s="139">
        <f t="shared" si="11"/>
        <v>0</v>
      </c>
      <c r="BV13" s="139">
        <f t="shared" si="12"/>
        <v>0</v>
      </c>
      <c r="BW13" s="139">
        <f t="shared" si="13"/>
        <v>0</v>
      </c>
      <c r="BX13" s="139">
        <f t="shared" si="14"/>
        <v>0</v>
      </c>
      <c r="BY13" s="139">
        <f t="shared" si="15"/>
        <v>0</v>
      </c>
    </row>
    <row r="14" spans="2:77">
      <c r="B14" s="155" t="s">
        <v>619</v>
      </c>
      <c r="L14" s="139">
        <f>IS_LEG!L6</f>
        <v>0</v>
      </c>
      <c r="M14" s="139">
        <f>IS_LEG!M6</f>
        <v>0</v>
      </c>
      <c r="N14" s="139">
        <f>IS_LEG!N6</f>
        <v>0</v>
      </c>
      <c r="O14" s="139">
        <f>IS_LEG!O6</f>
        <v>0</v>
      </c>
      <c r="P14" s="139">
        <f>IS_LEG!P6</f>
        <v>0</v>
      </c>
      <c r="Q14" s="139">
        <f>IS_LEG!Q6</f>
        <v>0</v>
      </c>
      <c r="R14" s="139">
        <f>IS_LEG!R6</f>
        <v>1984</v>
      </c>
      <c r="S14" s="139">
        <f>IS_LEG!S6</f>
        <v>1984</v>
      </c>
      <c r="T14" s="139">
        <f>IS_LEG!T6</f>
        <v>1984</v>
      </c>
      <c r="U14" s="139">
        <f>IS_LEG!U6</f>
        <v>1984</v>
      </c>
      <c r="V14" s="139">
        <f>IS_LEG!V6</f>
        <v>1984</v>
      </c>
      <c r="W14" s="139">
        <f>IS_LEG!W6</f>
        <v>1984</v>
      </c>
      <c r="X14" s="139">
        <f>IS_LEG!X6</f>
        <v>2304</v>
      </c>
      <c r="Y14" s="139">
        <f>IS_LEG!Y6</f>
        <v>2304</v>
      </c>
      <c r="Z14" s="139">
        <f>IS_LEG!Z6</f>
        <v>2304</v>
      </c>
      <c r="AA14" s="139">
        <f>IS_LEG!AA6</f>
        <v>2304</v>
      </c>
      <c r="AB14" s="139">
        <f>IS_LEG!AB6</f>
        <v>2304</v>
      </c>
      <c r="AC14" s="139">
        <f>IS_LEG!AC6</f>
        <v>2304</v>
      </c>
      <c r="AD14" s="139">
        <f>IS_LEG!AD6</f>
        <v>2544</v>
      </c>
      <c r="AE14" s="139">
        <f>IS_LEG!AE6</f>
        <v>2544</v>
      </c>
      <c r="AF14" s="139">
        <f>IS_LEG!AF6</f>
        <v>2544</v>
      </c>
      <c r="AG14" s="139">
        <f>IS_LEG!AG6</f>
        <v>2544</v>
      </c>
      <c r="AH14" s="139">
        <f>IS_LEG!AH6</f>
        <v>2544</v>
      </c>
      <c r="AI14" s="139">
        <f>IS_LEG!AI6</f>
        <v>2544</v>
      </c>
      <c r="AJ14" s="139">
        <f>IS_LEG!AJ6</f>
        <v>2832</v>
      </c>
      <c r="AK14" s="139">
        <f>IS_LEG!AK6</f>
        <v>2832</v>
      </c>
      <c r="AL14" s="139">
        <f>IS_LEG!AL6</f>
        <v>2832</v>
      </c>
      <c r="AM14" s="139">
        <f>IS_LEG!AM6</f>
        <v>2832</v>
      </c>
      <c r="AN14" s="139">
        <f>IS_LEG!AN6</f>
        <v>2832</v>
      </c>
      <c r="AO14" s="139">
        <f>IS_LEG!AO6</f>
        <v>2832</v>
      </c>
      <c r="AP14" s="139">
        <f>IS_LEG!AP6</f>
        <v>3152</v>
      </c>
      <c r="AQ14" s="139">
        <f>IS_LEG!AQ6</f>
        <v>3152</v>
      </c>
      <c r="AR14" s="139">
        <f>IS_LEG!AR6</f>
        <v>3152</v>
      </c>
      <c r="AS14" s="139">
        <f>IS_LEG!AS6</f>
        <v>3152</v>
      </c>
      <c r="AT14" s="139">
        <f>IS_LEG!AT6</f>
        <v>3152</v>
      </c>
      <c r="AU14" s="139">
        <f>IS_LEG!AU6</f>
        <v>3152</v>
      </c>
      <c r="AV14" s="139">
        <f>IS_LEG!AV6</f>
        <v>3280</v>
      </c>
      <c r="AW14" s="139">
        <f>IS_LEG!AW6</f>
        <v>3280</v>
      </c>
      <c r="AX14" s="139">
        <f>IS_LEG!AX6</f>
        <v>3280</v>
      </c>
      <c r="AY14" s="139">
        <f>IS_LEG!AY6</f>
        <v>3280</v>
      </c>
      <c r="AZ14" s="139">
        <f>IS_LEG!AZ6</f>
        <v>3280</v>
      </c>
      <c r="BA14" s="139">
        <f>IS_LEG!BA6</f>
        <v>3280</v>
      </c>
      <c r="BB14" s="139">
        <f>IS_LEG!BB6</f>
        <v>3600</v>
      </c>
      <c r="BC14" s="139">
        <f>IS_LEG!BC6</f>
        <v>3600</v>
      </c>
      <c r="BD14" s="139">
        <f>IS_LEG!BD6</f>
        <v>3600</v>
      </c>
      <c r="BE14" s="139">
        <f>IS_LEG!BE6</f>
        <v>3600</v>
      </c>
      <c r="BF14" s="139">
        <f>IS_LEG!BF6</f>
        <v>3600</v>
      </c>
      <c r="BG14" s="139">
        <f>IS_LEG!BG6</f>
        <v>3600</v>
      </c>
      <c r="BH14" s="139">
        <f>IS_LEG!BH6</f>
        <v>3600</v>
      </c>
      <c r="BI14" s="139">
        <f>IS_LEG!BI6</f>
        <v>3600</v>
      </c>
      <c r="BJ14" s="139">
        <f>IS_LEG!BJ6</f>
        <v>3600</v>
      </c>
      <c r="BK14" s="139">
        <f>IS_LEG!BK6</f>
        <v>3600</v>
      </c>
      <c r="BL14" s="139">
        <f>IS_LEG!BL6</f>
        <v>3600</v>
      </c>
      <c r="BM14" s="139">
        <f>IS_LEG!BM6</f>
        <v>3600</v>
      </c>
      <c r="BN14" s="139">
        <f>IS_LEG!BN6</f>
        <v>3600</v>
      </c>
      <c r="BO14" s="139">
        <f>IS_LEG!BO6</f>
        <v>3600</v>
      </c>
      <c r="BP14" s="139">
        <f>IS_LEG!BP6</f>
        <v>3600</v>
      </c>
      <c r="BQ14" s="139">
        <f>IS_LEG!BQ6</f>
        <v>3600</v>
      </c>
      <c r="BR14" s="139">
        <f>IS_LEG!BR6</f>
        <v>3600</v>
      </c>
      <c r="BS14" s="139">
        <f>IS_LEG!BS6</f>
        <v>3600</v>
      </c>
      <c r="BU14" s="139">
        <f t="shared" si="11"/>
        <v>11904</v>
      </c>
      <c r="BV14" s="139">
        <f t="shared" si="12"/>
        <v>29088</v>
      </c>
      <c r="BW14" s="139">
        <f t="shared" si="13"/>
        <v>35904</v>
      </c>
      <c r="BX14" s="139">
        <f t="shared" si="14"/>
        <v>41280</v>
      </c>
      <c r="BY14" s="139">
        <f t="shared" si="15"/>
        <v>43200</v>
      </c>
    </row>
    <row r="15" spans="2:77">
      <c r="BU15" s="139">
        <f t="shared" si="11"/>
        <v>0</v>
      </c>
      <c r="BV15" s="139">
        <f t="shared" si="12"/>
        <v>0</v>
      </c>
      <c r="BW15" s="139">
        <f t="shared" si="13"/>
        <v>0</v>
      </c>
      <c r="BX15" s="139">
        <f t="shared" si="14"/>
        <v>0</v>
      </c>
      <c r="BY15" s="139">
        <f t="shared" si="15"/>
        <v>0</v>
      </c>
    </row>
    <row r="16" spans="2:77">
      <c r="B16" s="155" t="s">
        <v>480</v>
      </c>
      <c r="C16" s="155"/>
      <c r="L16" s="155">
        <f t="shared" ref="L16:BR16" si="18">SUBTOTAL(9,L17:L19)</f>
        <v>0</v>
      </c>
      <c r="M16" s="155">
        <f t="shared" si="18"/>
        <v>0</v>
      </c>
      <c r="N16" s="155">
        <f t="shared" si="18"/>
        <v>0</v>
      </c>
      <c r="O16" s="155">
        <f t="shared" si="18"/>
        <v>0</v>
      </c>
      <c r="P16" s="155">
        <f t="shared" si="18"/>
        <v>0</v>
      </c>
      <c r="Q16" s="155">
        <f t="shared" si="18"/>
        <v>0</v>
      </c>
      <c r="R16" s="155">
        <f t="shared" si="18"/>
        <v>711.43893333333335</v>
      </c>
      <c r="S16" s="155">
        <f t="shared" si="18"/>
        <v>711.43893333333335</v>
      </c>
      <c r="T16" s="155">
        <f t="shared" si="18"/>
        <v>711.43893333333335</v>
      </c>
      <c r="U16" s="155">
        <f t="shared" si="18"/>
        <v>711.43893333333335</v>
      </c>
      <c r="V16" s="155">
        <f t="shared" si="18"/>
        <v>711.43893333333335</v>
      </c>
      <c r="W16" s="155">
        <f t="shared" si="18"/>
        <v>711.43893333333335</v>
      </c>
      <c r="X16" s="155">
        <f t="shared" si="18"/>
        <v>961.29866666666646</v>
      </c>
      <c r="Y16" s="155">
        <f t="shared" si="18"/>
        <v>961.29866666666646</v>
      </c>
      <c r="Z16" s="155">
        <f t="shared" si="18"/>
        <v>961.29866666666646</v>
      </c>
      <c r="AA16" s="155">
        <f t="shared" si="18"/>
        <v>961.29866666666646</v>
      </c>
      <c r="AB16" s="155">
        <f t="shared" si="18"/>
        <v>961.29866666666646</v>
      </c>
      <c r="AC16" s="155">
        <f t="shared" si="18"/>
        <v>961.29866666666646</v>
      </c>
      <c r="AD16" s="155">
        <f t="shared" si="18"/>
        <v>1218.3583999999998</v>
      </c>
      <c r="AE16" s="155">
        <f t="shared" si="18"/>
        <v>1218.3583999999998</v>
      </c>
      <c r="AF16" s="155">
        <f t="shared" si="18"/>
        <v>1218.3583999999998</v>
      </c>
      <c r="AG16" s="155">
        <f t="shared" si="18"/>
        <v>1218.3583999999998</v>
      </c>
      <c r="AH16" s="155">
        <f t="shared" si="18"/>
        <v>1218.3583999999998</v>
      </c>
      <c r="AI16" s="155">
        <f t="shared" si="18"/>
        <v>1218.3583999999998</v>
      </c>
      <c r="AJ16" s="155">
        <f t="shared" si="18"/>
        <v>1512.1381333333331</v>
      </c>
      <c r="AK16" s="155">
        <f t="shared" si="18"/>
        <v>1512.1381333333331</v>
      </c>
      <c r="AL16" s="155">
        <f t="shared" si="18"/>
        <v>1512.1381333333331</v>
      </c>
      <c r="AM16" s="155">
        <f t="shared" si="18"/>
        <v>1512.1381333333331</v>
      </c>
      <c r="AN16" s="155">
        <f t="shared" si="18"/>
        <v>1512.1381333333331</v>
      </c>
      <c r="AO16" s="155">
        <f t="shared" si="18"/>
        <v>1512.1381333333331</v>
      </c>
      <c r="AP16" s="155">
        <f t="shared" si="18"/>
        <v>1843.3578666666667</v>
      </c>
      <c r="AQ16" s="155">
        <f t="shared" si="18"/>
        <v>1843.3578666666667</v>
      </c>
      <c r="AR16" s="155">
        <f t="shared" si="18"/>
        <v>1843.3578666666667</v>
      </c>
      <c r="AS16" s="155">
        <f t="shared" si="18"/>
        <v>1843.3578666666667</v>
      </c>
      <c r="AT16" s="155">
        <f t="shared" si="18"/>
        <v>1843.3578666666667</v>
      </c>
      <c r="AU16" s="155">
        <f t="shared" si="18"/>
        <v>1843.3578666666667</v>
      </c>
      <c r="AV16" s="155">
        <f t="shared" si="18"/>
        <v>2125.6175999999996</v>
      </c>
      <c r="AW16" s="155">
        <f t="shared" si="18"/>
        <v>2125.6175999999996</v>
      </c>
      <c r="AX16" s="155">
        <f t="shared" si="18"/>
        <v>2125.6175999999996</v>
      </c>
      <c r="AY16" s="155">
        <f t="shared" si="18"/>
        <v>2125.6175999999996</v>
      </c>
      <c r="AZ16" s="155">
        <f t="shared" si="18"/>
        <v>2125.6175999999996</v>
      </c>
      <c r="BA16" s="155">
        <f t="shared" si="18"/>
        <v>2125.6175999999996</v>
      </c>
      <c r="BB16" s="155">
        <f t="shared" si="18"/>
        <v>2505.797333333333</v>
      </c>
      <c r="BC16" s="155">
        <f t="shared" si="18"/>
        <v>2505.797333333333</v>
      </c>
      <c r="BD16" s="155">
        <f t="shared" si="18"/>
        <v>2505.797333333333</v>
      </c>
      <c r="BE16" s="155">
        <f t="shared" si="18"/>
        <v>2505.797333333333</v>
      </c>
      <c r="BF16" s="155">
        <f t="shared" si="18"/>
        <v>2505.797333333333</v>
      </c>
      <c r="BG16" s="155">
        <f t="shared" si="18"/>
        <v>2505.797333333333</v>
      </c>
      <c r="BH16" s="155">
        <f t="shared" si="18"/>
        <v>2505.797333333333</v>
      </c>
      <c r="BI16" s="155">
        <f t="shared" si="18"/>
        <v>2505.797333333333</v>
      </c>
      <c r="BJ16" s="155">
        <f t="shared" si="18"/>
        <v>2505.797333333333</v>
      </c>
      <c r="BK16" s="155">
        <f t="shared" si="18"/>
        <v>2505.797333333333</v>
      </c>
      <c r="BL16" s="155">
        <f t="shared" si="18"/>
        <v>2505.797333333333</v>
      </c>
      <c r="BM16" s="155">
        <f t="shared" si="18"/>
        <v>2505.797333333333</v>
      </c>
      <c r="BN16" s="155">
        <f t="shared" si="18"/>
        <v>2505.797333333333</v>
      </c>
      <c r="BO16" s="155">
        <f t="shared" si="18"/>
        <v>2505.797333333333</v>
      </c>
      <c r="BP16" s="155">
        <f t="shared" si="18"/>
        <v>2505.797333333333</v>
      </c>
      <c r="BQ16" s="155">
        <f t="shared" si="18"/>
        <v>2505.797333333333</v>
      </c>
      <c r="BR16" s="155">
        <f t="shared" si="18"/>
        <v>2505.797333333333</v>
      </c>
      <c r="BS16" s="155">
        <f>SUBTOTAL(9,BS17:BS19)</f>
        <v>2505.797333333333</v>
      </c>
      <c r="BU16" s="139">
        <f t="shared" si="11"/>
        <v>4268.6336000000001</v>
      </c>
      <c r="BV16" s="139">
        <f t="shared" si="12"/>
        <v>13077.942399999994</v>
      </c>
      <c r="BW16" s="139">
        <f t="shared" si="13"/>
        <v>20132.975999999999</v>
      </c>
      <c r="BX16" s="139">
        <f t="shared" si="14"/>
        <v>27788.48959999999</v>
      </c>
      <c r="BY16" s="139">
        <f t="shared" si="15"/>
        <v>30069.567999999988</v>
      </c>
    </row>
    <row r="17" spans="2:77">
      <c r="C17" s="155" t="s">
        <v>478</v>
      </c>
      <c r="F17" s="139" t="s">
        <v>1291</v>
      </c>
      <c r="L17" s="139">
        <f>0.015*CTRL!$F$136*(52/12)*L10</f>
        <v>0</v>
      </c>
      <c r="M17" s="139">
        <f>0.015*CTRL!$F$136*(52/12)*M10</f>
        <v>0</v>
      </c>
      <c r="N17" s="139">
        <f>0.015*CTRL!$F$136*(52/12)*N10</f>
        <v>0</v>
      </c>
      <c r="O17" s="139">
        <f>0.015*CTRL!$F$136*(52/12)*O10</f>
        <v>0</v>
      </c>
      <c r="P17" s="139">
        <f>0.015*CTRL!$F$136*(52/12)*P10</f>
        <v>0</v>
      </c>
      <c r="Q17" s="139">
        <f>0.015*CTRL!$F$136*(52/12)*Q10</f>
        <v>0</v>
      </c>
      <c r="R17" s="139">
        <f>0.015*CTRL!$F$136*(52/12)*R10</f>
        <v>320.98559999999998</v>
      </c>
      <c r="S17" s="139">
        <f>0.015*CTRL!$F$136*(52/12)*S10</f>
        <v>320.98559999999998</v>
      </c>
      <c r="T17" s="139">
        <f>0.015*CTRL!$F$136*(52/12)*T10</f>
        <v>320.98559999999998</v>
      </c>
      <c r="U17" s="139">
        <f>0.015*CTRL!$F$136*(52/12)*U10</f>
        <v>320.98559999999998</v>
      </c>
      <c r="V17" s="139">
        <f>0.015*CTRL!$F$136*(52/12)*V10</f>
        <v>320.98559999999998</v>
      </c>
      <c r="W17" s="139">
        <f>0.015*CTRL!$F$136*(52/12)*W10</f>
        <v>320.98559999999998</v>
      </c>
      <c r="X17" s="139">
        <f>0.015*CTRL!$F$136*(52/12)*X10</f>
        <v>401.23199999999991</v>
      </c>
      <c r="Y17" s="139">
        <f>0.015*CTRL!$F$136*(52/12)*Y10</f>
        <v>401.23199999999991</v>
      </c>
      <c r="Z17" s="139">
        <f>0.015*CTRL!$F$136*(52/12)*Z10</f>
        <v>401.23199999999991</v>
      </c>
      <c r="AA17" s="139">
        <f>0.015*CTRL!$F$136*(52/12)*AA10</f>
        <v>401.23199999999991</v>
      </c>
      <c r="AB17" s="139">
        <f>0.015*CTRL!$F$136*(52/12)*AB10</f>
        <v>401.23199999999991</v>
      </c>
      <c r="AC17" s="139">
        <f>0.015*CTRL!$F$136*(52/12)*AC10</f>
        <v>401.23199999999991</v>
      </c>
      <c r="AD17" s="139">
        <f>0.015*CTRL!$F$136*(52/12)*AD10</f>
        <v>481.47839999999991</v>
      </c>
      <c r="AE17" s="139">
        <f>0.015*CTRL!$F$136*(52/12)*AE10</f>
        <v>481.47839999999991</v>
      </c>
      <c r="AF17" s="139">
        <f>0.015*CTRL!$F$136*(52/12)*AF10</f>
        <v>481.47839999999991</v>
      </c>
      <c r="AG17" s="139">
        <f>0.015*CTRL!$F$136*(52/12)*AG10</f>
        <v>481.47839999999991</v>
      </c>
      <c r="AH17" s="139">
        <f>0.015*CTRL!$F$136*(52/12)*AH10</f>
        <v>481.47839999999991</v>
      </c>
      <c r="AI17" s="139">
        <f>0.015*CTRL!$F$136*(52/12)*AI10</f>
        <v>481.47839999999991</v>
      </c>
      <c r="AJ17" s="139">
        <f>0.015*CTRL!$F$136*(52/12)*AJ10</f>
        <v>561.72479999999996</v>
      </c>
      <c r="AK17" s="139">
        <f>0.015*CTRL!$F$136*(52/12)*AK10</f>
        <v>561.72479999999996</v>
      </c>
      <c r="AL17" s="139">
        <f>0.015*CTRL!$F$136*(52/12)*AL10</f>
        <v>561.72479999999996</v>
      </c>
      <c r="AM17" s="139">
        <f>0.015*CTRL!$F$136*(52/12)*AM10</f>
        <v>561.72479999999996</v>
      </c>
      <c r="AN17" s="139">
        <f>0.015*CTRL!$F$136*(52/12)*AN10</f>
        <v>561.72479999999996</v>
      </c>
      <c r="AO17" s="139">
        <f>0.015*CTRL!$F$136*(52/12)*AO10</f>
        <v>561.72479999999996</v>
      </c>
      <c r="AP17" s="139">
        <f>0.015*CTRL!$F$136*(52/12)*AP10</f>
        <v>641.97119999999995</v>
      </c>
      <c r="AQ17" s="139">
        <f>0.015*CTRL!$F$136*(52/12)*AQ10</f>
        <v>641.97119999999995</v>
      </c>
      <c r="AR17" s="139">
        <f>0.015*CTRL!$F$136*(52/12)*AR10</f>
        <v>641.97119999999995</v>
      </c>
      <c r="AS17" s="139">
        <f>0.015*CTRL!$F$136*(52/12)*AS10</f>
        <v>641.97119999999995</v>
      </c>
      <c r="AT17" s="139">
        <f>0.015*CTRL!$F$136*(52/12)*AT10</f>
        <v>641.97119999999995</v>
      </c>
      <c r="AU17" s="139">
        <f>0.015*CTRL!$F$136*(52/12)*AU10</f>
        <v>641.97119999999995</v>
      </c>
      <c r="AV17" s="139">
        <f>0.015*CTRL!$F$136*(52/12)*AV10</f>
        <v>722.21759999999983</v>
      </c>
      <c r="AW17" s="139">
        <f>0.015*CTRL!$F$136*(52/12)*AW10</f>
        <v>722.21759999999983</v>
      </c>
      <c r="AX17" s="139">
        <f>0.015*CTRL!$F$136*(52/12)*AX10</f>
        <v>722.21759999999983</v>
      </c>
      <c r="AY17" s="139">
        <f>0.015*CTRL!$F$136*(52/12)*AY10</f>
        <v>722.21759999999983</v>
      </c>
      <c r="AZ17" s="139">
        <f>0.015*CTRL!$F$136*(52/12)*AZ10</f>
        <v>722.21759999999983</v>
      </c>
      <c r="BA17" s="139">
        <f>0.015*CTRL!$F$136*(52/12)*BA10</f>
        <v>722.21759999999983</v>
      </c>
      <c r="BB17" s="139">
        <f>0.015*CTRL!$F$136*(52/12)*BB10</f>
        <v>802.46399999999983</v>
      </c>
      <c r="BC17" s="139">
        <f>0.015*CTRL!$F$136*(52/12)*BC10</f>
        <v>802.46399999999983</v>
      </c>
      <c r="BD17" s="139">
        <f>0.015*CTRL!$F$136*(52/12)*BD10</f>
        <v>802.46399999999983</v>
      </c>
      <c r="BE17" s="139">
        <f>0.015*CTRL!$F$136*(52/12)*BE10</f>
        <v>802.46399999999983</v>
      </c>
      <c r="BF17" s="139">
        <f>0.015*CTRL!$F$136*(52/12)*BF10</f>
        <v>802.46399999999983</v>
      </c>
      <c r="BG17" s="139">
        <f>0.015*CTRL!$F$136*(52/12)*BG10</f>
        <v>802.46399999999983</v>
      </c>
      <c r="BH17" s="139">
        <f>0.015*CTRL!$F$136*(52/12)*BH10</f>
        <v>802.46399999999983</v>
      </c>
      <c r="BI17" s="139">
        <f>0.015*CTRL!$F$136*(52/12)*BI10</f>
        <v>802.46399999999983</v>
      </c>
      <c r="BJ17" s="139">
        <f>0.015*CTRL!$F$136*(52/12)*BJ10</f>
        <v>802.46399999999983</v>
      </c>
      <c r="BK17" s="139">
        <f>0.015*CTRL!$F$136*(52/12)*BK10</f>
        <v>802.46399999999983</v>
      </c>
      <c r="BL17" s="139">
        <f>0.015*CTRL!$F$136*(52/12)*BL10</f>
        <v>802.46399999999983</v>
      </c>
      <c r="BM17" s="139">
        <f>0.015*CTRL!$F$136*(52/12)*BM10</f>
        <v>802.46399999999983</v>
      </c>
      <c r="BN17" s="139">
        <f>0.015*CTRL!$F$136*(52/12)*BN10</f>
        <v>802.46399999999983</v>
      </c>
      <c r="BO17" s="139">
        <f>0.015*CTRL!$F$136*(52/12)*BO10</f>
        <v>802.46399999999983</v>
      </c>
      <c r="BP17" s="139">
        <f>0.015*CTRL!$F$136*(52/12)*BP10</f>
        <v>802.46399999999983</v>
      </c>
      <c r="BQ17" s="139">
        <f>0.015*CTRL!$F$136*(52/12)*BQ10</f>
        <v>802.46399999999983</v>
      </c>
      <c r="BR17" s="139">
        <f>0.015*CTRL!$F$136*(52/12)*BR10</f>
        <v>802.46399999999983</v>
      </c>
      <c r="BS17" s="139">
        <f>0.015*CTRL!$F$136*(52/12)*BS10</f>
        <v>802.46399999999983</v>
      </c>
      <c r="BU17" s="139">
        <f t="shared" si="11"/>
        <v>1925.9135999999999</v>
      </c>
      <c r="BV17" s="139">
        <f t="shared" si="12"/>
        <v>5296.2623999999987</v>
      </c>
      <c r="BW17" s="139">
        <f t="shared" si="13"/>
        <v>7222.1759999999995</v>
      </c>
      <c r="BX17" s="139">
        <f t="shared" si="14"/>
        <v>9148.0895999999975</v>
      </c>
      <c r="BY17" s="139">
        <f t="shared" si="15"/>
        <v>9629.5679999999975</v>
      </c>
    </row>
    <row r="18" spans="2:77">
      <c r="C18" s="155" t="s">
        <v>1292</v>
      </c>
      <c r="F18" s="139" t="s">
        <v>1293</v>
      </c>
      <c r="L18" s="139">
        <f t="shared" ref="L18:Q18" si="19">0.0075*L10*L14/2</f>
        <v>0</v>
      </c>
      <c r="M18" s="139">
        <f t="shared" si="19"/>
        <v>0</v>
      </c>
      <c r="N18" s="139">
        <f t="shared" si="19"/>
        <v>0</v>
      </c>
      <c r="O18" s="139">
        <f t="shared" si="19"/>
        <v>0</v>
      </c>
      <c r="P18" s="139">
        <f t="shared" si="19"/>
        <v>0</v>
      </c>
      <c r="Q18" s="139">
        <f t="shared" si="19"/>
        <v>0</v>
      </c>
      <c r="R18" s="139">
        <f>0.0075*R10*R14/2</f>
        <v>357.12</v>
      </c>
      <c r="S18" s="139">
        <f t="shared" ref="S18:BS18" si="20">0.0075*S10*S14/2</f>
        <v>357.12</v>
      </c>
      <c r="T18" s="139">
        <f t="shared" si="20"/>
        <v>357.12</v>
      </c>
      <c r="U18" s="139">
        <f t="shared" si="20"/>
        <v>357.12</v>
      </c>
      <c r="V18" s="139">
        <f t="shared" si="20"/>
        <v>357.12</v>
      </c>
      <c r="W18" s="139">
        <f t="shared" si="20"/>
        <v>357.12</v>
      </c>
      <c r="X18" s="139">
        <f t="shared" si="20"/>
        <v>518.4</v>
      </c>
      <c r="Y18" s="139">
        <f t="shared" si="20"/>
        <v>518.4</v>
      </c>
      <c r="Z18" s="139">
        <f t="shared" si="20"/>
        <v>518.4</v>
      </c>
      <c r="AA18" s="139">
        <f t="shared" si="20"/>
        <v>518.4</v>
      </c>
      <c r="AB18" s="139">
        <f t="shared" si="20"/>
        <v>518.4</v>
      </c>
      <c r="AC18" s="139">
        <f t="shared" si="20"/>
        <v>518.4</v>
      </c>
      <c r="AD18" s="139">
        <f t="shared" si="20"/>
        <v>686.88</v>
      </c>
      <c r="AE18" s="139">
        <f t="shared" si="20"/>
        <v>686.88</v>
      </c>
      <c r="AF18" s="139">
        <f t="shared" si="20"/>
        <v>686.88</v>
      </c>
      <c r="AG18" s="139">
        <f t="shared" si="20"/>
        <v>686.88</v>
      </c>
      <c r="AH18" s="139">
        <f t="shared" si="20"/>
        <v>686.88</v>
      </c>
      <c r="AI18" s="139">
        <f t="shared" si="20"/>
        <v>686.88</v>
      </c>
      <c r="AJ18" s="139">
        <f t="shared" si="20"/>
        <v>892.08</v>
      </c>
      <c r="AK18" s="139">
        <f t="shared" si="20"/>
        <v>892.08</v>
      </c>
      <c r="AL18" s="139">
        <f t="shared" si="20"/>
        <v>892.08</v>
      </c>
      <c r="AM18" s="139">
        <f t="shared" si="20"/>
        <v>892.08</v>
      </c>
      <c r="AN18" s="139">
        <f t="shared" si="20"/>
        <v>892.08</v>
      </c>
      <c r="AO18" s="139">
        <f t="shared" si="20"/>
        <v>892.08</v>
      </c>
      <c r="AP18" s="139">
        <f t="shared" si="20"/>
        <v>1134.72</v>
      </c>
      <c r="AQ18" s="139">
        <f t="shared" si="20"/>
        <v>1134.72</v>
      </c>
      <c r="AR18" s="139">
        <f t="shared" si="20"/>
        <v>1134.72</v>
      </c>
      <c r="AS18" s="139">
        <f t="shared" si="20"/>
        <v>1134.72</v>
      </c>
      <c r="AT18" s="139">
        <f t="shared" si="20"/>
        <v>1134.72</v>
      </c>
      <c r="AU18" s="139">
        <f t="shared" si="20"/>
        <v>1134.72</v>
      </c>
      <c r="AV18" s="139">
        <f t="shared" si="20"/>
        <v>1328.3999999999999</v>
      </c>
      <c r="AW18" s="139">
        <f t="shared" si="20"/>
        <v>1328.3999999999999</v>
      </c>
      <c r="AX18" s="139">
        <f t="shared" si="20"/>
        <v>1328.3999999999999</v>
      </c>
      <c r="AY18" s="139">
        <f t="shared" si="20"/>
        <v>1328.3999999999999</v>
      </c>
      <c r="AZ18" s="139">
        <f t="shared" si="20"/>
        <v>1328.3999999999999</v>
      </c>
      <c r="BA18" s="139">
        <f t="shared" si="20"/>
        <v>1328.3999999999999</v>
      </c>
      <c r="BB18" s="139">
        <f t="shared" si="20"/>
        <v>1619.9999999999998</v>
      </c>
      <c r="BC18" s="139">
        <f t="shared" si="20"/>
        <v>1619.9999999999998</v>
      </c>
      <c r="BD18" s="139">
        <f t="shared" si="20"/>
        <v>1619.9999999999998</v>
      </c>
      <c r="BE18" s="139">
        <f t="shared" si="20"/>
        <v>1619.9999999999998</v>
      </c>
      <c r="BF18" s="139">
        <f t="shared" si="20"/>
        <v>1619.9999999999998</v>
      </c>
      <c r="BG18" s="139">
        <f t="shared" si="20"/>
        <v>1619.9999999999998</v>
      </c>
      <c r="BH18" s="139">
        <f t="shared" si="20"/>
        <v>1619.9999999999998</v>
      </c>
      <c r="BI18" s="139">
        <f t="shared" si="20"/>
        <v>1619.9999999999998</v>
      </c>
      <c r="BJ18" s="139">
        <f t="shared" si="20"/>
        <v>1619.9999999999998</v>
      </c>
      <c r="BK18" s="139">
        <f t="shared" si="20"/>
        <v>1619.9999999999998</v>
      </c>
      <c r="BL18" s="139">
        <f t="shared" si="20"/>
        <v>1619.9999999999998</v>
      </c>
      <c r="BM18" s="139">
        <f t="shared" si="20"/>
        <v>1619.9999999999998</v>
      </c>
      <c r="BN18" s="139">
        <f t="shared" si="20"/>
        <v>1619.9999999999998</v>
      </c>
      <c r="BO18" s="139">
        <f t="shared" si="20"/>
        <v>1619.9999999999998</v>
      </c>
      <c r="BP18" s="139">
        <f t="shared" si="20"/>
        <v>1619.9999999999998</v>
      </c>
      <c r="BQ18" s="139">
        <f t="shared" si="20"/>
        <v>1619.9999999999998</v>
      </c>
      <c r="BR18" s="139">
        <f t="shared" si="20"/>
        <v>1619.9999999999998</v>
      </c>
      <c r="BS18" s="139">
        <f t="shared" si="20"/>
        <v>1619.9999999999998</v>
      </c>
      <c r="BU18" s="139">
        <f t="shared" si="11"/>
        <v>2142.7199999999998</v>
      </c>
      <c r="BV18" s="139">
        <f t="shared" si="12"/>
        <v>7231.68</v>
      </c>
      <c r="BW18" s="139">
        <f t="shared" si="13"/>
        <v>12160.8</v>
      </c>
      <c r="BX18" s="139">
        <f t="shared" si="14"/>
        <v>17690.399999999998</v>
      </c>
      <c r="BY18" s="139">
        <f t="shared" si="15"/>
        <v>19439.999999999996</v>
      </c>
    </row>
    <row r="19" spans="2:77">
      <c r="C19" s="155" t="s">
        <v>479</v>
      </c>
      <c r="F19" s="139" t="s">
        <v>617</v>
      </c>
      <c r="L19" s="139">
        <f t="shared" ref="L19:BR19" si="21">100/12*L5</f>
        <v>0</v>
      </c>
      <c r="M19" s="139">
        <f t="shared" si="21"/>
        <v>0</v>
      </c>
      <c r="N19" s="139">
        <f t="shared" si="21"/>
        <v>0</v>
      </c>
      <c r="O19" s="139">
        <f t="shared" si="21"/>
        <v>0</v>
      </c>
      <c r="P19" s="139">
        <f t="shared" si="21"/>
        <v>0</v>
      </c>
      <c r="Q19" s="139">
        <f t="shared" si="21"/>
        <v>0</v>
      </c>
      <c r="R19" s="139">
        <f t="shared" si="21"/>
        <v>33.333333333333336</v>
      </c>
      <c r="S19" s="139">
        <f t="shared" si="21"/>
        <v>33.333333333333336</v>
      </c>
      <c r="T19" s="139">
        <f t="shared" si="21"/>
        <v>33.333333333333336</v>
      </c>
      <c r="U19" s="139">
        <f t="shared" si="21"/>
        <v>33.333333333333336</v>
      </c>
      <c r="V19" s="139">
        <f t="shared" si="21"/>
        <v>33.333333333333336</v>
      </c>
      <c r="W19" s="139">
        <f t="shared" si="21"/>
        <v>33.333333333333336</v>
      </c>
      <c r="X19" s="139">
        <f t="shared" si="21"/>
        <v>41.666666666666671</v>
      </c>
      <c r="Y19" s="139">
        <f t="shared" si="21"/>
        <v>41.666666666666671</v>
      </c>
      <c r="Z19" s="139">
        <f t="shared" si="21"/>
        <v>41.666666666666671</v>
      </c>
      <c r="AA19" s="139">
        <f t="shared" si="21"/>
        <v>41.666666666666671</v>
      </c>
      <c r="AB19" s="139">
        <f t="shared" si="21"/>
        <v>41.666666666666671</v>
      </c>
      <c r="AC19" s="139">
        <f t="shared" si="21"/>
        <v>41.666666666666671</v>
      </c>
      <c r="AD19" s="139">
        <f t="shared" si="21"/>
        <v>50</v>
      </c>
      <c r="AE19" s="139">
        <f t="shared" si="21"/>
        <v>50</v>
      </c>
      <c r="AF19" s="139">
        <f t="shared" si="21"/>
        <v>50</v>
      </c>
      <c r="AG19" s="139">
        <f t="shared" si="21"/>
        <v>50</v>
      </c>
      <c r="AH19" s="139">
        <f t="shared" si="21"/>
        <v>50</v>
      </c>
      <c r="AI19" s="139">
        <f t="shared" si="21"/>
        <v>50</v>
      </c>
      <c r="AJ19" s="139">
        <f t="shared" si="21"/>
        <v>58.333333333333336</v>
      </c>
      <c r="AK19" s="139">
        <f t="shared" si="21"/>
        <v>58.333333333333336</v>
      </c>
      <c r="AL19" s="139">
        <f t="shared" si="21"/>
        <v>58.333333333333336</v>
      </c>
      <c r="AM19" s="139">
        <f t="shared" si="21"/>
        <v>58.333333333333336</v>
      </c>
      <c r="AN19" s="139">
        <f t="shared" si="21"/>
        <v>58.333333333333336</v>
      </c>
      <c r="AO19" s="139">
        <f t="shared" si="21"/>
        <v>58.333333333333336</v>
      </c>
      <c r="AP19" s="139">
        <f t="shared" si="21"/>
        <v>66.666666666666671</v>
      </c>
      <c r="AQ19" s="139">
        <f t="shared" si="21"/>
        <v>66.666666666666671</v>
      </c>
      <c r="AR19" s="139">
        <f t="shared" si="21"/>
        <v>66.666666666666671</v>
      </c>
      <c r="AS19" s="139">
        <f t="shared" si="21"/>
        <v>66.666666666666671</v>
      </c>
      <c r="AT19" s="139">
        <f t="shared" si="21"/>
        <v>66.666666666666671</v>
      </c>
      <c r="AU19" s="139">
        <f t="shared" si="21"/>
        <v>66.666666666666671</v>
      </c>
      <c r="AV19" s="139">
        <f t="shared" si="21"/>
        <v>75</v>
      </c>
      <c r="AW19" s="139">
        <f t="shared" si="21"/>
        <v>75</v>
      </c>
      <c r="AX19" s="139">
        <f t="shared" si="21"/>
        <v>75</v>
      </c>
      <c r="AY19" s="139">
        <f t="shared" si="21"/>
        <v>75</v>
      </c>
      <c r="AZ19" s="139">
        <f t="shared" si="21"/>
        <v>75</v>
      </c>
      <c r="BA19" s="139">
        <f t="shared" si="21"/>
        <v>75</v>
      </c>
      <c r="BB19" s="139">
        <f t="shared" si="21"/>
        <v>83.333333333333343</v>
      </c>
      <c r="BC19" s="139">
        <f t="shared" si="21"/>
        <v>83.333333333333343</v>
      </c>
      <c r="BD19" s="139">
        <f t="shared" si="21"/>
        <v>83.333333333333343</v>
      </c>
      <c r="BE19" s="139">
        <f t="shared" si="21"/>
        <v>83.333333333333343</v>
      </c>
      <c r="BF19" s="139">
        <f t="shared" si="21"/>
        <v>83.333333333333343</v>
      </c>
      <c r="BG19" s="139">
        <f t="shared" si="21"/>
        <v>83.333333333333343</v>
      </c>
      <c r="BH19" s="139">
        <f t="shared" si="21"/>
        <v>83.333333333333343</v>
      </c>
      <c r="BI19" s="139">
        <f t="shared" si="21"/>
        <v>83.333333333333343</v>
      </c>
      <c r="BJ19" s="139">
        <f t="shared" si="21"/>
        <v>83.333333333333343</v>
      </c>
      <c r="BK19" s="139">
        <f t="shared" si="21"/>
        <v>83.333333333333343</v>
      </c>
      <c r="BL19" s="139">
        <f t="shared" si="21"/>
        <v>83.333333333333343</v>
      </c>
      <c r="BM19" s="139">
        <f t="shared" si="21"/>
        <v>83.333333333333343</v>
      </c>
      <c r="BN19" s="139">
        <f t="shared" si="21"/>
        <v>83.333333333333343</v>
      </c>
      <c r="BO19" s="139">
        <f t="shared" si="21"/>
        <v>83.333333333333343</v>
      </c>
      <c r="BP19" s="139">
        <f t="shared" si="21"/>
        <v>83.333333333333343</v>
      </c>
      <c r="BQ19" s="139">
        <f t="shared" si="21"/>
        <v>83.333333333333343</v>
      </c>
      <c r="BR19" s="139">
        <f t="shared" si="21"/>
        <v>83.333333333333343</v>
      </c>
      <c r="BS19" s="139">
        <f>100/12*BS5</f>
        <v>83.333333333333343</v>
      </c>
      <c r="BU19" s="139">
        <f t="shared" si="11"/>
        <v>200.00000000000003</v>
      </c>
      <c r="BV19" s="139">
        <f t="shared" si="12"/>
        <v>550</v>
      </c>
      <c r="BW19" s="139">
        <f t="shared" si="13"/>
        <v>749.99999999999989</v>
      </c>
      <c r="BX19" s="139">
        <f t="shared" si="14"/>
        <v>950.00000000000023</v>
      </c>
      <c r="BY19" s="139">
        <f t="shared" si="15"/>
        <v>1000.0000000000003</v>
      </c>
    </row>
    <row r="20" spans="2:77">
      <c r="BU20" s="139">
        <f t="shared" si="11"/>
        <v>0</v>
      </c>
      <c r="BV20" s="139">
        <f t="shared" si="12"/>
        <v>0</v>
      </c>
      <c r="BW20" s="139">
        <f t="shared" si="13"/>
        <v>0</v>
      </c>
      <c r="BX20" s="139">
        <f t="shared" si="14"/>
        <v>0</v>
      </c>
      <c r="BY20" s="139">
        <f t="shared" si="15"/>
        <v>0</v>
      </c>
    </row>
    <row r="21" spans="2:77">
      <c r="B21" s="155" t="s">
        <v>560</v>
      </c>
      <c r="C21" s="155"/>
      <c r="BU21" s="139">
        <f t="shared" si="11"/>
        <v>0</v>
      </c>
      <c r="BV21" s="139">
        <f t="shared" si="12"/>
        <v>0</v>
      </c>
      <c r="BW21" s="139">
        <f t="shared" si="13"/>
        <v>0</v>
      </c>
      <c r="BX21" s="139">
        <f t="shared" si="14"/>
        <v>0</v>
      </c>
      <c r="BY21" s="139">
        <f t="shared" si="15"/>
        <v>0</v>
      </c>
    </row>
    <row r="22" spans="2:77">
      <c r="C22" s="155" t="s">
        <v>154</v>
      </c>
      <c r="L22" s="155">
        <f t="shared" ref="L22:BR22" si="22">SUBTOTAL(9,L23:L65)</f>
        <v>31.625</v>
      </c>
      <c r="M22" s="155">
        <f t="shared" si="22"/>
        <v>31.625</v>
      </c>
      <c r="N22" s="155">
        <f t="shared" si="22"/>
        <v>31.625</v>
      </c>
      <c r="O22" s="155">
        <f t="shared" si="22"/>
        <v>31.625</v>
      </c>
      <c r="P22" s="155">
        <f t="shared" si="22"/>
        <v>31.625</v>
      </c>
      <c r="Q22" s="155">
        <f t="shared" si="22"/>
        <v>31.625</v>
      </c>
      <c r="R22" s="155">
        <f t="shared" si="22"/>
        <v>824.35833333333335</v>
      </c>
      <c r="S22" s="155">
        <f t="shared" si="22"/>
        <v>824.35833333333335</v>
      </c>
      <c r="T22" s="155">
        <f t="shared" si="22"/>
        <v>824.35833333333335</v>
      </c>
      <c r="U22" s="155">
        <f t="shared" si="22"/>
        <v>824.35833333333335</v>
      </c>
      <c r="V22" s="155">
        <f t="shared" si="22"/>
        <v>824.35833333333335</v>
      </c>
      <c r="W22" s="155">
        <f t="shared" si="22"/>
        <v>824.35833333333335</v>
      </c>
      <c r="X22" s="155">
        <f t="shared" si="22"/>
        <v>1031.7083333333333</v>
      </c>
      <c r="Y22" s="155">
        <f t="shared" si="22"/>
        <v>1031.7083333333333</v>
      </c>
      <c r="Z22" s="155">
        <f t="shared" si="22"/>
        <v>1031.7083333333333</v>
      </c>
      <c r="AA22" s="155">
        <f t="shared" si="22"/>
        <v>1031.7083333333333</v>
      </c>
      <c r="AB22" s="155">
        <f t="shared" si="22"/>
        <v>1031.7083333333333</v>
      </c>
      <c r="AC22" s="155">
        <f t="shared" si="22"/>
        <v>1031.7083333333333</v>
      </c>
      <c r="AD22" s="155">
        <f t="shared" si="22"/>
        <v>1225.3083333333334</v>
      </c>
      <c r="AE22" s="155">
        <f t="shared" si="22"/>
        <v>1225.3083333333334</v>
      </c>
      <c r="AF22" s="155">
        <f t="shared" si="22"/>
        <v>1225.3083333333334</v>
      </c>
      <c r="AG22" s="155">
        <f t="shared" si="22"/>
        <v>1225.3083333333334</v>
      </c>
      <c r="AH22" s="155">
        <f t="shared" si="22"/>
        <v>1225.3083333333334</v>
      </c>
      <c r="AI22" s="155">
        <f t="shared" si="22"/>
        <v>1225.3083333333334</v>
      </c>
      <c r="AJ22" s="155">
        <f t="shared" si="22"/>
        <v>1433.575</v>
      </c>
      <c r="AK22" s="155">
        <f t="shared" si="22"/>
        <v>1433.575</v>
      </c>
      <c r="AL22" s="155">
        <f t="shared" si="22"/>
        <v>1433.575</v>
      </c>
      <c r="AM22" s="155">
        <f t="shared" si="22"/>
        <v>1433.575</v>
      </c>
      <c r="AN22" s="155">
        <f t="shared" si="22"/>
        <v>1433.575</v>
      </c>
      <c r="AO22" s="155">
        <f t="shared" si="22"/>
        <v>1433.575</v>
      </c>
      <c r="AP22" s="155">
        <f t="shared" si="22"/>
        <v>1631.7583333333332</v>
      </c>
      <c r="AQ22" s="155">
        <f t="shared" si="22"/>
        <v>1631.7583333333332</v>
      </c>
      <c r="AR22" s="155">
        <f t="shared" si="22"/>
        <v>1631.7583333333332</v>
      </c>
      <c r="AS22" s="155">
        <f t="shared" si="22"/>
        <v>1631.7583333333332</v>
      </c>
      <c r="AT22" s="155">
        <f t="shared" si="22"/>
        <v>1631.7583333333332</v>
      </c>
      <c r="AU22" s="155">
        <f t="shared" si="22"/>
        <v>1631.7583333333332</v>
      </c>
      <c r="AV22" s="155">
        <f t="shared" si="22"/>
        <v>1829.9416666666664</v>
      </c>
      <c r="AW22" s="155">
        <f t="shared" si="22"/>
        <v>1829.9416666666664</v>
      </c>
      <c r="AX22" s="155">
        <f t="shared" si="22"/>
        <v>1829.9416666666664</v>
      </c>
      <c r="AY22" s="155">
        <f t="shared" si="22"/>
        <v>1829.9416666666664</v>
      </c>
      <c r="AZ22" s="155">
        <f t="shared" si="22"/>
        <v>1829.9416666666664</v>
      </c>
      <c r="BA22" s="155">
        <f t="shared" si="22"/>
        <v>1829.9416666666664</v>
      </c>
      <c r="BB22" s="155">
        <f t="shared" si="22"/>
        <v>2028.1249999999995</v>
      </c>
      <c r="BC22" s="155">
        <f t="shared" si="22"/>
        <v>2028.1249999999995</v>
      </c>
      <c r="BD22" s="155">
        <f t="shared" si="22"/>
        <v>2028.1249999999995</v>
      </c>
      <c r="BE22" s="155">
        <f t="shared" si="22"/>
        <v>2028.1249999999995</v>
      </c>
      <c r="BF22" s="155">
        <f t="shared" si="22"/>
        <v>2028.1249999999995</v>
      </c>
      <c r="BG22" s="155">
        <f t="shared" si="22"/>
        <v>2028.1249999999995</v>
      </c>
      <c r="BH22" s="155">
        <f t="shared" si="22"/>
        <v>2028.1249999999995</v>
      </c>
      <c r="BI22" s="155">
        <f t="shared" si="22"/>
        <v>2028.1249999999995</v>
      </c>
      <c r="BJ22" s="155">
        <f t="shared" si="22"/>
        <v>2028.1249999999995</v>
      </c>
      <c r="BK22" s="155">
        <f t="shared" si="22"/>
        <v>2028.1249999999995</v>
      </c>
      <c r="BL22" s="155">
        <f t="shared" si="22"/>
        <v>2028.1249999999995</v>
      </c>
      <c r="BM22" s="155">
        <f t="shared" si="22"/>
        <v>2028.1249999999995</v>
      </c>
      <c r="BN22" s="155">
        <f t="shared" si="22"/>
        <v>2028.1249999999995</v>
      </c>
      <c r="BO22" s="155">
        <f t="shared" si="22"/>
        <v>2028.1249999999995</v>
      </c>
      <c r="BP22" s="155">
        <f t="shared" si="22"/>
        <v>2028.1249999999995</v>
      </c>
      <c r="BQ22" s="155">
        <f t="shared" si="22"/>
        <v>2028.1249999999995</v>
      </c>
      <c r="BR22" s="155">
        <f t="shared" si="22"/>
        <v>2028.1249999999995</v>
      </c>
      <c r="BS22" s="155">
        <f>SUBTOTAL(9,BS23:BS65)</f>
        <v>2028.1249999999995</v>
      </c>
      <c r="BU22" s="139">
        <f t="shared" si="11"/>
        <v>5135.9000000000005</v>
      </c>
      <c r="BV22" s="139">
        <f t="shared" si="12"/>
        <v>13542.100000000002</v>
      </c>
      <c r="BW22" s="139">
        <f t="shared" si="13"/>
        <v>18392</v>
      </c>
      <c r="BX22" s="139">
        <f t="shared" si="14"/>
        <v>23148.399999999998</v>
      </c>
      <c r="BY22" s="139">
        <f t="shared" si="15"/>
        <v>24337.499999999996</v>
      </c>
    </row>
    <row r="23" spans="2:77" s="155" customFormat="1">
      <c r="D23" s="155" t="s">
        <v>155</v>
      </c>
      <c r="L23" s="155">
        <f t="shared" ref="L23:AQ23" si="23">SUBTOTAL(9,L24:L26)</f>
        <v>13.333333333333336</v>
      </c>
      <c r="M23" s="155">
        <f t="shared" si="23"/>
        <v>13.333333333333336</v>
      </c>
      <c r="N23" s="155">
        <f t="shared" si="23"/>
        <v>13.333333333333336</v>
      </c>
      <c r="O23" s="155">
        <f t="shared" si="23"/>
        <v>13.333333333333336</v>
      </c>
      <c r="P23" s="155">
        <f t="shared" si="23"/>
        <v>13.333333333333336</v>
      </c>
      <c r="Q23" s="155">
        <f t="shared" si="23"/>
        <v>13.333333333333336</v>
      </c>
      <c r="R23" s="155">
        <f t="shared" si="23"/>
        <v>13.333333333333336</v>
      </c>
      <c r="S23" s="155">
        <f t="shared" si="23"/>
        <v>13.333333333333336</v>
      </c>
      <c r="T23" s="155">
        <f t="shared" si="23"/>
        <v>13.333333333333336</v>
      </c>
      <c r="U23" s="155">
        <f t="shared" si="23"/>
        <v>13.333333333333336</v>
      </c>
      <c r="V23" s="155">
        <f t="shared" si="23"/>
        <v>13.333333333333336</v>
      </c>
      <c r="W23" s="155">
        <f t="shared" si="23"/>
        <v>13.333333333333336</v>
      </c>
      <c r="X23" s="155">
        <f t="shared" si="23"/>
        <v>13.333333333333336</v>
      </c>
      <c r="Y23" s="155">
        <f t="shared" si="23"/>
        <v>13.333333333333336</v>
      </c>
      <c r="Z23" s="155">
        <f t="shared" si="23"/>
        <v>13.333333333333336</v>
      </c>
      <c r="AA23" s="155">
        <f t="shared" si="23"/>
        <v>13.333333333333336</v>
      </c>
      <c r="AB23" s="155">
        <f t="shared" si="23"/>
        <v>13.333333333333336</v>
      </c>
      <c r="AC23" s="155">
        <f t="shared" si="23"/>
        <v>13.333333333333336</v>
      </c>
      <c r="AD23" s="155">
        <f t="shared" si="23"/>
        <v>9.1666666666666679</v>
      </c>
      <c r="AE23" s="155">
        <f t="shared" si="23"/>
        <v>9.1666666666666679</v>
      </c>
      <c r="AF23" s="155">
        <f t="shared" si="23"/>
        <v>9.1666666666666679</v>
      </c>
      <c r="AG23" s="155">
        <f t="shared" si="23"/>
        <v>9.1666666666666679</v>
      </c>
      <c r="AH23" s="155">
        <f t="shared" si="23"/>
        <v>9.1666666666666679</v>
      </c>
      <c r="AI23" s="155">
        <f t="shared" si="23"/>
        <v>9.1666666666666679</v>
      </c>
      <c r="AJ23" s="155">
        <f t="shared" si="23"/>
        <v>9.1666666666666679</v>
      </c>
      <c r="AK23" s="155">
        <f t="shared" si="23"/>
        <v>9.1666666666666679</v>
      </c>
      <c r="AL23" s="155">
        <f t="shared" si="23"/>
        <v>9.1666666666666679</v>
      </c>
      <c r="AM23" s="155">
        <f t="shared" si="23"/>
        <v>9.1666666666666679</v>
      </c>
      <c r="AN23" s="155">
        <f t="shared" si="23"/>
        <v>9.1666666666666679</v>
      </c>
      <c r="AO23" s="155">
        <f t="shared" si="23"/>
        <v>9.1666666666666679</v>
      </c>
      <c r="AP23" s="155">
        <f t="shared" si="23"/>
        <v>9.1666666666666679</v>
      </c>
      <c r="AQ23" s="155">
        <f t="shared" si="23"/>
        <v>9.1666666666666679</v>
      </c>
      <c r="AR23" s="155">
        <f t="shared" ref="AR23:BS23" si="24">SUBTOTAL(9,AR24:AR26)</f>
        <v>9.1666666666666679</v>
      </c>
      <c r="AS23" s="155">
        <f t="shared" si="24"/>
        <v>9.1666666666666679</v>
      </c>
      <c r="AT23" s="155">
        <f t="shared" si="24"/>
        <v>9.1666666666666679</v>
      </c>
      <c r="AU23" s="155">
        <f t="shared" si="24"/>
        <v>9.1666666666666679</v>
      </c>
      <c r="AV23" s="155">
        <f t="shared" si="24"/>
        <v>9.1666666666666679</v>
      </c>
      <c r="AW23" s="155">
        <f t="shared" si="24"/>
        <v>9.1666666666666679</v>
      </c>
      <c r="AX23" s="155">
        <f t="shared" si="24"/>
        <v>9.1666666666666679</v>
      </c>
      <c r="AY23" s="155">
        <f t="shared" si="24"/>
        <v>9.1666666666666679</v>
      </c>
      <c r="AZ23" s="155">
        <f t="shared" si="24"/>
        <v>9.1666666666666679</v>
      </c>
      <c r="BA23" s="155">
        <f t="shared" si="24"/>
        <v>9.1666666666666679</v>
      </c>
      <c r="BB23" s="155">
        <f t="shared" si="24"/>
        <v>9.1666666666666679</v>
      </c>
      <c r="BC23" s="155">
        <f t="shared" si="24"/>
        <v>9.1666666666666679</v>
      </c>
      <c r="BD23" s="155">
        <f t="shared" si="24"/>
        <v>9.1666666666666679</v>
      </c>
      <c r="BE23" s="155">
        <f t="shared" si="24"/>
        <v>9.1666666666666679</v>
      </c>
      <c r="BF23" s="155">
        <f t="shared" si="24"/>
        <v>9.1666666666666679</v>
      </c>
      <c r="BG23" s="155">
        <f t="shared" si="24"/>
        <v>9.1666666666666679</v>
      </c>
      <c r="BH23" s="155">
        <f t="shared" si="24"/>
        <v>9.1666666666666679</v>
      </c>
      <c r="BI23" s="155">
        <f t="shared" si="24"/>
        <v>9.1666666666666679</v>
      </c>
      <c r="BJ23" s="155">
        <f t="shared" si="24"/>
        <v>9.1666666666666679</v>
      </c>
      <c r="BK23" s="155">
        <f t="shared" si="24"/>
        <v>9.1666666666666679</v>
      </c>
      <c r="BL23" s="155">
        <f t="shared" si="24"/>
        <v>9.1666666666666679</v>
      </c>
      <c r="BM23" s="155">
        <f t="shared" si="24"/>
        <v>9.1666666666666679</v>
      </c>
      <c r="BN23" s="155">
        <f t="shared" si="24"/>
        <v>9.1666666666666679</v>
      </c>
      <c r="BO23" s="155">
        <f t="shared" si="24"/>
        <v>9.1666666666666679</v>
      </c>
      <c r="BP23" s="155">
        <f t="shared" si="24"/>
        <v>9.1666666666666679</v>
      </c>
      <c r="BQ23" s="155">
        <f t="shared" si="24"/>
        <v>9.1666666666666679</v>
      </c>
      <c r="BR23" s="155">
        <f t="shared" si="24"/>
        <v>9.1666666666666679</v>
      </c>
      <c r="BS23" s="155">
        <f t="shared" si="24"/>
        <v>9.1666666666666679</v>
      </c>
      <c r="BU23" s="155">
        <f t="shared" si="11"/>
        <v>160.00000000000009</v>
      </c>
      <c r="BV23" s="155">
        <f t="shared" si="12"/>
        <v>135.00000000000006</v>
      </c>
      <c r="BW23" s="155">
        <f t="shared" si="13"/>
        <v>110.00000000000004</v>
      </c>
      <c r="BX23" s="155">
        <f t="shared" si="14"/>
        <v>110.00000000000004</v>
      </c>
      <c r="BY23" s="155">
        <f t="shared" si="15"/>
        <v>110.00000000000004</v>
      </c>
    </row>
    <row r="24" spans="2:77" outlineLevel="1">
      <c r="C24" s="155"/>
      <c r="E24" s="139" t="s">
        <v>494</v>
      </c>
      <c r="F24" s="139" t="s">
        <v>561</v>
      </c>
      <c r="G24" s="139">
        <v>1</v>
      </c>
      <c r="H24" s="311">
        <f>기타비용분석!H12/12</f>
        <v>5</v>
      </c>
      <c r="I24" s="139" t="s">
        <v>111</v>
      </c>
      <c r="J24" s="139" t="s">
        <v>575</v>
      </c>
      <c r="L24" s="139">
        <f>$H24*L154</f>
        <v>5</v>
      </c>
      <c r="M24" s="139">
        <f t="shared" ref="M24:BR24" si="25">$H24*M154</f>
        <v>5</v>
      </c>
      <c r="N24" s="139">
        <f t="shared" si="25"/>
        <v>5</v>
      </c>
      <c r="O24" s="139">
        <f t="shared" si="25"/>
        <v>5</v>
      </c>
      <c r="P24" s="139">
        <f t="shared" si="25"/>
        <v>5</v>
      </c>
      <c r="Q24" s="139">
        <f t="shared" si="25"/>
        <v>5</v>
      </c>
      <c r="R24" s="139">
        <f t="shared" si="25"/>
        <v>5</v>
      </c>
      <c r="S24" s="139">
        <f t="shared" si="25"/>
        <v>5</v>
      </c>
      <c r="T24" s="139">
        <f t="shared" si="25"/>
        <v>5</v>
      </c>
      <c r="U24" s="139">
        <f t="shared" si="25"/>
        <v>5</v>
      </c>
      <c r="V24" s="139">
        <f t="shared" si="25"/>
        <v>5</v>
      </c>
      <c r="W24" s="139">
        <f t="shared" si="25"/>
        <v>5</v>
      </c>
      <c r="X24" s="139">
        <f t="shared" si="25"/>
        <v>5</v>
      </c>
      <c r="Y24" s="139">
        <f t="shared" si="25"/>
        <v>5</v>
      </c>
      <c r="Z24" s="139">
        <f t="shared" si="25"/>
        <v>5</v>
      </c>
      <c r="AA24" s="139">
        <f t="shared" si="25"/>
        <v>5</v>
      </c>
      <c r="AB24" s="139">
        <f t="shared" si="25"/>
        <v>5</v>
      </c>
      <c r="AC24" s="139">
        <f t="shared" si="25"/>
        <v>5</v>
      </c>
      <c r="AD24" s="139">
        <f t="shared" si="25"/>
        <v>5</v>
      </c>
      <c r="AE24" s="139">
        <f t="shared" si="25"/>
        <v>5</v>
      </c>
      <c r="AF24" s="139">
        <f t="shared" si="25"/>
        <v>5</v>
      </c>
      <c r="AG24" s="139">
        <f t="shared" si="25"/>
        <v>5</v>
      </c>
      <c r="AH24" s="139">
        <f t="shared" si="25"/>
        <v>5</v>
      </c>
      <c r="AI24" s="139">
        <f t="shared" si="25"/>
        <v>5</v>
      </c>
      <c r="AJ24" s="139">
        <f t="shared" si="25"/>
        <v>5</v>
      </c>
      <c r="AK24" s="139">
        <f t="shared" si="25"/>
        <v>5</v>
      </c>
      <c r="AL24" s="139">
        <f t="shared" si="25"/>
        <v>5</v>
      </c>
      <c r="AM24" s="139">
        <f t="shared" si="25"/>
        <v>5</v>
      </c>
      <c r="AN24" s="139">
        <f t="shared" si="25"/>
        <v>5</v>
      </c>
      <c r="AO24" s="139">
        <f t="shared" si="25"/>
        <v>5</v>
      </c>
      <c r="AP24" s="139">
        <f t="shared" si="25"/>
        <v>5</v>
      </c>
      <c r="AQ24" s="139">
        <f t="shared" si="25"/>
        <v>5</v>
      </c>
      <c r="AR24" s="139">
        <f t="shared" si="25"/>
        <v>5</v>
      </c>
      <c r="AS24" s="139">
        <f t="shared" si="25"/>
        <v>5</v>
      </c>
      <c r="AT24" s="139">
        <f t="shared" si="25"/>
        <v>5</v>
      </c>
      <c r="AU24" s="139">
        <f t="shared" si="25"/>
        <v>5</v>
      </c>
      <c r="AV24" s="139">
        <f t="shared" si="25"/>
        <v>5</v>
      </c>
      <c r="AW24" s="139">
        <f t="shared" si="25"/>
        <v>5</v>
      </c>
      <c r="AX24" s="139">
        <f t="shared" si="25"/>
        <v>5</v>
      </c>
      <c r="AY24" s="139">
        <f t="shared" si="25"/>
        <v>5</v>
      </c>
      <c r="AZ24" s="139">
        <f t="shared" si="25"/>
        <v>5</v>
      </c>
      <c r="BA24" s="139">
        <f t="shared" si="25"/>
        <v>5</v>
      </c>
      <c r="BB24" s="139">
        <f t="shared" si="25"/>
        <v>5</v>
      </c>
      <c r="BC24" s="139">
        <f t="shared" si="25"/>
        <v>5</v>
      </c>
      <c r="BD24" s="139">
        <f t="shared" si="25"/>
        <v>5</v>
      </c>
      <c r="BE24" s="139">
        <f t="shared" si="25"/>
        <v>5</v>
      </c>
      <c r="BF24" s="139">
        <f t="shared" si="25"/>
        <v>5</v>
      </c>
      <c r="BG24" s="139">
        <f t="shared" si="25"/>
        <v>5</v>
      </c>
      <c r="BH24" s="139">
        <f t="shared" si="25"/>
        <v>5</v>
      </c>
      <c r="BI24" s="139">
        <f t="shared" si="25"/>
        <v>5</v>
      </c>
      <c r="BJ24" s="139">
        <f t="shared" si="25"/>
        <v>5</v>
      </c>
      <c r="BK24" s="139">
        <f t="shared" si="25"/>
        <v>5</v>
      </c>
      <c r="BL24" s="139">
        <f t="shared" si="25"/>
        <v>5</v>
      </c>
      <c r="BM24" s="139">
        <f t="shared" si="25"/>
        <v>5</v>
      </c>
      <c r="BN24" s="139">
        <f t="shared" si="25"/>
        <v>5</v>
      </c>
      <c r="BO24" s="139">
        <f t="shared" si="25"/>
        <v>5</v>
      </c>
      <c r="BP24" s="139">
        <f t="shared" si="25"/>
        <v>5</v>
      </c>
      <c r="BQ24" s="139">
        <f t="shared" si="25"/>
        <v>5</v>
      </c>
      <c r="BR24" s="139">
        <f t="shared" si="25"/>
        <v>5</v>
      </c>
      <c r="BS24" s="139">
        <f>$H24*BS154</f>
        <v>5</v>
      </c>
      <c r="BU24" s="139">
        <f t="shared" si="11"/>
        <v>60</v>
      </c>
      <c r="BV24" s="139">
        <f t="shared" si="12"/>
        <v>60</v>
      </c>
      <c r="BW24" s="139">
        <f t="shared" si="13"/>
        <v>60</v>
      </c>
      <c r="BX24" s="139">
        <f t="shared" si="14"/>
        <v>60</v>
      </c>
      <c r="BY24" s="139">
        <f t="shared" si="15"/>
        <v>60</v>
      </c>
    </row>
    <row r="25" spans="2:77" outlineLevel="1">
      <c r="C25" s="155"/>
      <c r="E25" s="139" t="s">
        <v>495</v>
      </c>
      <c r="F25" s="139" t="s">
        <v>561</v>
      </c>
      <c r="G25" s="139">
        <v>1</v>
      </c>
      <c r="H25" s="311">
        <f>기타비용분석!H13/12</f>
        <v>4.166666666666667</v>
      </c>
      <c r="I25" s="139" t="s">
        <v>111</v>
      </c>
      <c r="J25" s="139" t="s">
        <v>575</v>
      </c>
      <c r="L25" s="139">
        <f t="shared" ref="L25:BS25" si="26">$H25*L155</f>
        <v>4.166666666666667</v>
      </c>
      <c r="M25" s="139">
        <f t="shared" si="26"/>
        <v>4.166666666666667</v>
      </c>
      <c r="N25" s="139">
        <f t="shared" si="26"/>
        <v>4.166666666666667</v>
      </c>
      <c r="O25" s="139">
        <f t="shared" si="26"/>
        <v>4.166666666666667</v>
      </c>
      <c r="P25" s="139">
        <f t="shared" si="26"/>
        <v>4.166666666666667</v>
      </c>
      <c r="Q25" s="139">
        <f t="shared" si="26"/>
        <v>4.166666666666667</v>
      </c>
      <c r="R25" s="139">
        <f t="shared" si="26"/>
        <v>4.166666666666667</v>
      </c>
      <c r="S25" s="139">
        <f t="shared" si="26"/>
        <v>4.166666666666667</v>
      </c>
      <c r="T25" s="139">
        <f t="shared" si="26"/>
        <v>4.166666666666667</v>
      </c>
      <c r="U25" s="139">
        <f t="shared" si="26"/>
        <v>4.166666666666667</v>
      </c>
      <c r="V25" s="139">
        <f t="shared" si="26"/>
        <v>4.166666666666667</v>
      </c>
      <c r="W25" s="139">
        <f t="shared" si="26"/>
        <v>4.166666666666667</v>
      </c>
      <c r="X25" s="139">
        <f t="shared" si="26"/>
        <v>4.166666666666667</v>
      </c>
      <c r="Y25" s="139">
        <f t="shared" si="26"/>
        <v>4.166666666666667</v>
      </c>
      <c r="Z25" s="139">
        <f t="shared" si="26"/>
        <v>4.166666666666667</v>
      </c>
      <c r="AA25" s="139">
        <f t="shared" si="26"/>
        <v>4.166666666666667</v>
      </c>
      <c r="AB25" s="139">
        <f t="shared" si="26"/>
        <v>4.166666666666667</v>
      </c>
      <c r="AC25" s="139">
        <f t="shared" si="26"/>
        <v>4.166666666666667</v>
      </c>
      <c r="AD25" s="139">
        <f t="shared" si="26"/>
        <v>4.166666666666667</v>
      </c>
      <c r="AE25" s="139">
        <f t="shared" si="26"/>
        <v>4.166666666666667</v>
      </c>
      <c r="AF25" s="139">
        <f t="shared" si="26"/>
        <v>4.166666666666667</v>
      </c>
      <c r="AG25" s="139">
        <f t="shared" si="26"/>
        <v>4.166666666666667</v>
      </c>
      <c r="AH25" s="139">
        <f t="shared" si="26"/>
        <v>4.166666666666667</v>
      </c>
      <c r="AI25" s="139">
        <f t="shared" si="26"/>
        <v>4.166666666666667</v>
      </c>
      <c r="AJ25" s="139">
        <f t="shared" si="26"/>
        <v>4.166666666666667</v>
      </c>
      <c r="AK25" s="139">
        <f t="shared" si="26"/>
        <v>4.166666666666667</v>
      </c>
      <c r="AL25" s="139">
        <f t="shared" si="26"/>
        <v>4.166666666666667</v>
      </c>
      <c r="AM25" s="139">
        <f t="shared" si="26"/>
        <v>4.166666666666667</v>
      </c>
      <c r="AN25" s="139">
        <f t="shared" si="26"/>
        <v>4.166666666666667</v>
      </c>
      <c r="AO25" s="139">
        <f t="shared" si="26"/>
        <v>4.166666666666667</v>
      </c>
      <c r="AP25" s="139">
        <f t="shared" si="26"/>
        <v>4.166666666666667</v>
      </c>
      <c r="AQ25" s="139">
        <f t="shared" si="26"/>
        <v>4.166666666666667</v>
      </c>
      <c r="AR25" s="139">
        <f t="shared" si="26"/>
        <v>4.166666666666667</v>
      </c>
      <c r="AS25" s="139">
        <f t="shared" si="26"/>
        <v>4.166666666666667</v>
      </c>
      <c r="AT25" s="139">
        <f t="shared" si="26"/>
        <v>4.166666666666667</v>
      </c>
      <c r="AU25" s="139">
        <f t="shared" si="26"/>
        <v>4.166666666666667</v>
      </c>
      <c r="AV25" s="139">
        <f t="shared" si="26"/>
        <v>4.166666666666667</v>
      </c>
      <c r="AW25" s="139">
        <f t="shared" si="26"/>
        <v>4.166666666666667</v>
      </c>
      <c r="AX25" s="139">
        <f t="shared" si="26"/>
        <v>4.166666666666667</v>
      </c>
      <c r="AY25" s="139">
        <f t="shared" si="26"/>
        <v>4.166666666666667</v>
      </c>
      <c r="AZ25" s="139">
        <f t="shared" si="26"/>
        <v>4.166666666666667</v>
      </c>
      <c r="BA25" s="139">
        <f t="shared" si="26"/>
        <v>4.166666666666667</v>
      </c>
      <c r="BB25" s="139">
        <f t="shared" si="26"/>
        <v>4.166666666666667</v>
      </c>
      <c r="BC25" s="139">
        <f t="shared" si="26"/>
        <v>4.166666666666667</v>
      </c>
      <c r="BD25" s="139">
        <f t="shared" si="26"/>
        <v>4.166666666666667</v>
      </c>
      <c r="BE25" s="139">
        <f t="shared" si="26"/>
        <v>4.166666666666667</v>
      </c>
      <c r="BF25" s="139">
        <f t="shared" si="26"/>
        <v>4.166666666666667</v>
      </c>
      <c r="BG25" s="139">
        <f t="shared" si="26"/>
        <v>4.166666666666667</v>
      </c>
      <c r="BH25" s="139">
        <f t="shared" si="26"/>
        <v>4.166666666666667</v>
      </c>
      <c r="BI25" s="139">
        <f t="shared" si="26"/>
        <v>4.166666666666667</v>
      </c>
      <c r="BJ25" s="139">
        <f t="shared" si="26"/>
        <v>4.166666666666667</v>
      </c>
      <c r="BK25" s="139">
        <f t="shared" si="26"/>
        <v>4.166666666666667</v>
      </c>
      <c r="BL25" s="139">
        <f t="shared" si="26"/>
        <v>4.166666666666667</v>
      </c>
      <c r="BM25" s="139">
        <f t="shared" si="26"/>
        <v>4.166666666666667</v>
      </c>
      <c r="BN25" s="139">
        <f t="shared" si="26"/>
        <v>4.166666666666667</v>
      </c>
      <c r="BO25" s="139">
        <f t="shared" si="26"/>
        <v>4.166666666666667</v>
      </c>
      <c r="BP25" s="139">
        <f t="shared" si="26"/>
        <v>4.166666666666667</v>
      </c>
      <c r="BQ25" s="139">
        <f t="shared" si="26"/>
        <v>4.166666666666667</v>
      </c>
      <c r="BR25" s="139">
        <f t="shared" si="26"/>
        <v>4.166666666666667</v>
      </c>
      <c r="BS25" s="139">
        <f t="shared" si="26"/>
        <v>4.166666666666667</v>
      </c>
      <c r="BU25" s="139">
        <f t="shared" si="11"/>
        <v>49.999999999999993</v>
      </c>
      <c r="BV25" s="139">
        <f t="shared" si="12"/>
        <v>49.999999999999993</v>
      </c>
      <c r="BW25" s="139">
        <f t="shared" si="13"/>
        <v>49.999999999999993</v>
      </c>
      <c r="BX25" s="139">
        <f t="shared" si="14"/>
        <v>49.999999999999993</v>
      </c>
      <c r="BY25" s="139">
        <f t="shared" si="15"/>
        <v>49.999999999999993</v>
      </c>
    </row>
    <row r="26" spans="2:77" outlineLevel="1">
      <c r="C26" s="155"/>
      <c r="E26" s="139" t="s">
        <v>496</v>
      </c>
      <c r="F26" s="139" t="s">
        <v>561</v>
      </c>
      <c r="G26" s="139">
        <v>1</v>
      </c>
      <c r="H26" s="311">
        <f>기타비용분석!H14/12</f>
        <v>4.166666666666667</v>
      </c>
      <c r="I26" s="139" t="s">
        <v>111</v>
      </c>
      <c r="J26" s="139" t="s">
        <v>575</v>
      </c>
      <c r="L26" s="139">
        <f t="shared" ref="L26:AQ26" si="27">$H26*L156</f>
        <v>4.166666666666667</v>
      </c>
      <c r="M26" s="139">
        <f t="shared" si="27"/>
        <v>4.166666666666667</v>
      </c>
      <c r="N26" s="139">
        <f t="shared" si="27"/>
        <v>4.166666666666667</v>
      </c>
      <c r="O26" s="139">
        <f t="shared" si="27"/>
        <v>4.166666666666667</v>
      </c>
      <c r="P26" s="139">
        <f t="shared" si="27"/>
        <v>4.166666666666667</v>
      </c>
      <c r="Q26" s="139">
        <f t="shared" si="27"/>
        <v>4.166666666666667</v>
      </c>
      <c r="R26" s="139">
        <f t="shared" si="27"/>
        <v>4.166666666666667</v>
      </c>
      <c r="S26" s="139">
        <f t="shared" si="27"/>
        <v>4.166666666666667</v>
      </c>
      <c r="T26" s="139">
        <f t="shared" si="27"/>
        <v>4.166666666666667</v>
      </c>
      <c r="U26" s="139">
        <f t="shared" si="27"/>
        <v>4.166666666666667</v>
      </c>
      <c r="V26" s="139">
        <f t="shared" si="27"/>
        <v>4.166666666666667</v>
      </c>
      <c r="W26" s="139">
        <f t="shared" si="27"/>
        <v>4.166666666666667</v>
      </c>
      <c r="X26" s="139">
        <f t="shared" si="27"/>
        <v>4.166666666666667</v>
      </c>
      <c r="Y26" s="139">
        <f t="shared" si="27"/>
        <v>4.166666666666667</v>
      </c>
      <c r="Z26" s="139">
        <f t="shared" si="27"/>
        <v>4.166666666666667</v>
      </c>
      <c r="AA26" s="139">
        <f t="shared" si="27"/>
        <v>4.166666666666667</v>
      </c>
      <c r="AB26" s="139">
        <f t="shared" si="27"/>
        <v>4.166666666666667</v>
      </c>
      <c r="AC26" s="139">
        <f t="shared" si="27"/>
        <v>4.166666666666667</v>
      </c>
      <c r="AD26" s="139">
        <f t="shared" si="27"/>
        <v>0</v>
      </c>
      <c r="AE26" s="139">
        <f t="shared" si="27"/>
        <v>0</v>
      </c>
      <c r="AF26" s="139">
        <f t="shared" si="27"/>
        <v>0</v>
      </c>
      <c r="AG26" s="139">
        <f t="shared" si="27"/>
        <v>0</v>
      </c>
      <c r="AH26" s="139">
        <f t="shared" si="27"/>
        <v>0</v>
      </c>
      <c r="AI26" s="139">
        <f t="shared" si="27"/>
        <v>0</v>
      </c>
      <c r="AJ26" s="139">
        <f t="shared" si="27"/>
        <v>0</v>
      </c>
      <c r="AK26" s="139">
        <f t="shared" si="27"/>
        <v>0</v>
      </c>
      <c r="AL26" s="139">
        <f t="shared" si="27"/>
        <v>0</v>
      </c>
      <c r="AM26" s="139">
        <f t="shared" si="27"/>
        <v>0</v>
      </c>
      <c r="AN26" s="139">
        <f t="shared" si="27"/>
        <v>0</v>
      </c>
      <c r="AO26" s="139">
        <f t="shared" si="27"/>
        <v>0</v>
      </c>
      <c r="AP26" s="139">
        <f t="shared" si="27"/>
        <v>0</v>
      </c>
      <c r="AQ26" s="139">
        <f t="shared" si="27"/>
        <v>0</v>
      </c>
      <c r="AR26" s="139">
        <f t="shared" ref="AR26:BS26" si="28">$H26*AR156</f>
        <v>0</v>
      </c>
      <c r="AS26" s="139">
        <f t="shared" si="28"/>
        <v>0</v>
      </c>
      <c r="AT26" s="139">
        <f t="shared" si="28"/>
        <v>0</v>
      </c>
      <c r="AU26" s="139">
        <f t="shared" si="28"/>
        <v>0</v>
      </c>
      <c r="AV26" s="139">
        <f t="shared" si="28"/>
        <v>0</v>
      </c>
      <c r="AW26" s="139">
        <f t="shared" si="28"/>
        <v>0</v>
      </c>
      <c r="AX26" s="139">
        <f t="shared" si="28"/>
        <v>0</v>
      </c>
      <c r="AY26" s="139">
        <f t="shared" si="28"/>
        <v>0</v>
      </c>
      <c r="AZ26" s="139">
        <f t="shared" si="28"/>
        <v>0</v>
      </c>
      <c r="BA26" s="139">
        <f t="shared" si="28"/>
        <v>0</v>
      </c>
      <c r="BB26" s="139">
        <f t="shared" si="28"/>
        <v>0</v>
      </c>
      <c r="BC26" s="139">
        <f t="shared" si="28"/>
        <v>0</v>
      </c>
      <c r="BD26" s="139">
        <f t="shared" si="28"/>
        <v>0</v>
      </c>
      <c r="BE26" s="139">
        <f t="shared" si="28"/>
        <v>0</v>
      </c>
      <c r="BF26" s="139">
        <f t="shared" si="28"/>
        <v>0</v>
      </c>
      <c r="BG26" s="139">
        <f t="shared" si="28"/>
        <v>0</v>
      </c>
      <c r="BH26" s="139">
        <f t="shared" si="28"/>
        <v>0</v>
      </c>
      <c r="BI26" s="139">
        <f t="shared" si="28"/>
        <v>0</v>
      </c>
      <c r="BJ26" s="139">
        <f t="shared" si="28"/>
        <v>0</v>
      </c>
      <c r="BK26" s="139">
        <f t="shared" si="28"/>
        <v>0</v>
      </c>
      <c r="BL26" s="139">
        <f t="shared" si="28"/>
        <v>0</v>
      </c>
      <c r="BM26" s="139">
        <f t="shared" si="28"/>
        <v>0</v>
      </c>
      <c r="BN26" s="139">
        <f t="shared" si="28"/>
        <v>0</v>
      </c>
      <c r="BO26" s="139">
        <f t="shared" si="28"/>
        <v>0</v>
      </c>
      <c r="BP26" s="139">
        <f t="shared" si="28"/>
        <v>0</v>
      </c>
      <c r="BQ26" s="139">
        <f t="shared" si="28"/>
        <v>0</v>
      </c>
      <c r="BR26" s="139">
        <f t="shared" si="28"/>
        <v>0</v>
      </c>
      <c r="BS26" s="139">
        <f t="shared" si="28"/>
        <v>0</v>
      </c>
      <c r="BU26" s="139">
        <f t="shared" si="11"/>
        <v>49.999999999999993</v>
      </c>
      <c r="BV26" s="139">
        <f t="shared" si="12"/>
        <v>25.000000000000004</v>
      </c>
      <c r="BW26" s="139">
        <f t="shared" si="13"/>
        <v>0</v>
      </c>
      <c r="BX26" s="139">
        <f t="shared" si="14"/>
        <v>0</v>
      </c>
      <c r="BY26" s="139">
        <f t="shared" si="15"/>
        <v>0</v>
      </c>
    </row>
    <row r="27" spans="2:77" s="155" customFormat="1">
      <c r="D27" s="155" t="s">
        <v>96</v>
      </c>
      <c r="L27" s="155">
        <f t="shared" ref="L27:BR27" si="29">SUBTOTAL(9,L28:L40)</f>
        <v>12.083333333333334</v>
      </c>
      <c r="M27" s="155">
        <f t="shared" si="29"/>
        <v>12.083333333333334</v>
      </c>
      <c r="N27" s="155">
        <f t="shared" si="29"/>
        <v>12.083333333333334</v>
      </c>
      <c r="O27" s="155">
        <f t="shared" si="29"/>
        <v>12.083333333333334</v>
      </c>
      <c r="P27" s="155">
        <f t="shared" si="29"/>
        <v>12.083333333333334</v>
      </c>
      <c r="Q27" s="155">
        <f t="shared" si="29"/>
        <v>12.083333333333334</v>
      </c>
      <c r="R27" s="155">
        <f t="shared" si="29"/>
        <v>505.41666666666663</v>
      </c>
      <c r="S27" s="155">
        <f t="shared" si="29"/>
        <v>505.41666666666663</v>
      </c>
      <c r="T27" s="155">
        <f t="shared" si="29"/>
        <v>505.41666666666663</v>
      </c>
      <c r="U27" s="155">
        <f t="shared" si="29"/>
        <v>505.41666666666663</v>
      </c>
      <c r="V27" s="155">
        <f t="shared" si="29"/>
        <v>505.41666666666663</v>
      </c>
      <c r="W27" s="155">
        <f t="shared" si="29"/>
        <v>505.41666666666663</v>
      </c>
      <c r="X27" s="155">
        <f t="shared" si="29"/>
        <v>632.08333333333326</v>
      </c>
      <c r="Y27" s="155">
        <f t="shared" si="29"/>
        <v>632.08333333333326</v>
      </c>
      <c r="Z27" s="155">
        <f t="shared" si="29"/>
        <v>632.08333333333326</v>
      </c>
      <c r="AA27" s="155">
        <f t="shared" si="29"/>
        <v>632.08333333333326</v>
      </c>
      <c r="AB27" s="155">
        <f t="shared" si="29"/>
        <v>632.08333333333326</v>
      </c>
      <c r="AC27" s="155">
        <f t="shared" si="29"/>
        <v>632.08333333333326</v>
      </c>
      <c r="AD27" s="155">
        <f t="shared" si="29"/>
        <v>755.41666666666663</v>
      </c>
      <c r="AE27" s="155">
        <f t="shared" si="29"/>
        <v>755.41666666666663</v>
      </c>
      <c r="AF27" s="155">
        <f t="shared" si="29"/>
        <v>755.41666666666663</v>
      </c>
      <c r="AG27" s="155">
        <f t="shared" si="29"/>
        <v>755.41666666666663</v>
      </c>
      <c r="AH27" s="155">
        <f t="shared" si="29"/>
        <v>755.41666666666663</v>
      </c>
      <c r="AI27" s="155">
        <f t="shared" si="29"/>
        <v>755.41666666666663</v>
      </c>
      <c r="AJ27" s="155">
        <f t="shared" si="29"/>
        <v>882.08333333333337</v>
      </c>
      <c r="AK27" s="155">
        <f t="shared" si="29"/>
        <v>882.08333333333337</v>
      </c>
      <c r="AL27" s="155">
        <f t="shared" si="29"/>
        <v>882.08333333333337</v>
      </c>
      <c r="AM27" s="155">
        <f t="shared" si="29"/>
        <v>882.08333333333337</v>
      </c>
      <c r="AN27" s="155">
        <f t="shared" si="29"/>
        <v>882.08333333333337</v>
      </c>
      <c r="AO27" s="155">
        <f t="shared" si="29"/>
        <v>882.08333333333337</v>
      </c>
      <c r="AP27" s="155">
        <f t="shared" si="29"/>
        <v>1005.4166666666666</v>
      </c>
      <c r="AQ27" s="155">
        <f t="shared" si="29"/>
        <v>1005.4166666666666</v>
      </c>
      <c r="AR27" s="155">
        <f t="shared" si="29"/>
        <v>1005.4166666666666</v>
      </c>
      <c r="AS27" s="155">
        <f t="shared" si="29"/>
        <v>1005.4166666666666</v>
      </c>
      <c r="AT27" s="155">
        <f t="shared" si="29"/>
        <v>1005.4166666666666</v>
      </c>
      <c r="AU27" s="155">
        <f t="shared" si="29"/>
        <v>1005.4166666666666</v>
      </c>
      <c r="AV27" s="155">
        <f t="shared" si="29"/>
        <v>1128.75</v>
      </c>
      <c r="AW27" s="155">
        <f t="shared" si="29"/>
        <v>1128.75</v>
      </c>
      <c r="AX27" s="155">
        <f t="shared" si="29"/>
        <v>1128.75</v>
      </c>
      <c r="AY27" s="155">
        <f t="shared" si="29"/>
        <v>1128.75</v>
      </c>
      <c r="AZ27" s="155">
        <f t="shared" si="29"/>
        <v>1128.75</v>
      </c>
      <c r="BA27" s="155">
        <f t="shared" si="29"/>
        <v>1128.75</v>
      </c>
      <c r="BB27" s="155">
        <f t="shared" si="29"/>
        <v>1252.0833333333333</v>
      </c>
      <c r="BC27" s="155">
        <f t="shared" si="29"/>
        <v>1252.0833333333333</v>
      </c>
      <c r="BD27" s="155">
        <f t="shared" si="29"/>
        <v>1252.0833333333333</v>
      </c>
      <c r="BE27" s="155">
        <f t="shared" si="29"/>
        <v>1252.0833333333333</v>
      </c>
      <c r="BF27" s="155">
        <f t="shared" si="29"/>
        <v>1252.0833333333333</v>
      </c>
      <c r="BG27" s="155">
        <f t="shared" si="29"/>
        <v>1252.0833333333333</v>
      </c>
      <c r="BH27" s="155">
        <f t="shared" si="29"/>
        <v>1252.0833333333333</v>
      </c>
      <c r="BI27" s="155">
        <f t="shared" si="29"/>
        <v>1252.0833333333333</v>
      </c>
      <c r="BJ27" s="155">
        <f t="shared" si="29"/>
        <v>1252.0833333333333</v>
      </c>
      <c r="BK27" s="155">
        <f t="shared" si="29"/>
        <v>1252.0833333333333</v>
      </c>
      <c r="BL27" s="155">
        <f t="shared" si="29"/>
        <v>1252.0833333333333</v>
      </c>
      <c r="BM27" s="155">
        <f t="shared" si="29"/>
        <v>1252.0833333333333</v>
      </c>
      <c r="BN27" s="155">
        <f t="shared" si="29"/>
        <v>1252.0833333333333</v>
      </c>
      <c r="BO27" s="155">
        <f t="shared" si="29"/>
        <v>1252.0833333333333</v>
      </c>
      <c r="BP27" s="155">
        <f t="shared" si="29"/>
        <v>1252.0833333333333</v>
      </c>
      <c r="BQ27" s="155">
        <f t="shared" si="29"/>
        <v>1252.0833333333333</v>
      </c>
      <c r="BR27" s="155">
        <f t="shared" si="29"/>
        <v>1252.0833333333333</v>
      </c>
      <c r="BS27" s="155">
        <f>SUBTOTAL(9,BS28:BS40)</f>
        <v>1252.0833333333333</v>
      </c>
      <c r="BU27" s="155">
        <f t="shared" si="11"/>
        <v>3104.9999999999995</v>
      </c>
      <c r="BV27" s="155">
        <f t="shared" si="12"/>
        <v>8325</v>
      </c>
      <c r="BW27" s="155">
        <f t="shared" si="13"/>
        <v>11324.999999999998</v>
      </c>
      <c r="BX27" s="155">
        <f t="shared" si="14"/>
        <v>14285.000000000002</v>
      </c>
      <c r="BY27" s="155">
        <f t="shared" si="15"/>
        <v>15025.000000000002</v>
      </c>
    </row>
    <row r="28" spans="2:77" outlineLevel="1">
      <c r="C28" s="155"/>
      <c r="E28" s="139" t="s">
        <v>498</v>
      </c>
      <c r="F28" s="139" t="s">
        <v>561</v>
      </c>
      <c r="G28" s="165" t="s">
        <v>562</v>
      </c>
      <c r="H28" s="165"/>
      <c r="I28" s="158" t="s">
        <v>557</v>
      </c>
      <c r="J28" s="158"/>
      <c r="K28" s="158"/>
      <c r="L28" s="139">
        <f t="shared" ref="L28:AQ28" si="30">$H28*L158</f>
        <v>0</v>
      </c>
      <c r="M28" s="139">
        <f t="shared" si="30"/>
        <v>0</v>
      </c>
      <c r="N28" s="139">
        <f t="shared" si="30"/>
        <v>0</v>
      </c>
      <c r="O28" s="139">
        <f t="shared" si="30"/>
        <v>0</v>
      </c>
      <c r="P28" s="139">
        <f t="shared" si="30"/>
        <v>0</v>
      </c>
      <c r="Q28" s="139">
        <f t="shared" si="30"/>
        <v>0</v>
      </c>
      <c r="R28" s="139">
        <f t="shared" si="30"/>
        <v>0</v>
      </c>
      <c r="S28" s="139">
        <f t="shared" si="30"/>
        <v>0</v>
      </c>
      <c r="T28" s="139">
        <f t="shared" si="30"/>
        <v>0</v>
      </c>
      <c r="U28" s="139">
        <f t="shared" si="30"/>
        <v>0</v>
      </c>
      <c r="V28" s="139">
        <f t="shared" si="30"/>
        <v>0</v>
      </c>
      <c r="W28" s="139">
        <f t="shared" si="30"/>
        <v>0</v>
      </c>
      <c r="X28" s="139">
        <f t="shared" si="30"/>
        <v>0</v>
      </c>
      <c r="Y28" s="139">
        <f t="shared" si="30"/>
        <v>0</v>
      </c>
      <c r="Z28" s="139">
        <f t="shared" si="30"/>
        <v>0</v>
      </c>
      <c r="AA28" s="139">
        <f t="shared" si="30"/>
        <v>0</v>
      </c>
      <c r="AB28" s="139">
        <f t="shared" si="30"/>
        <v>0</v>
      </c>
      <c r="AC28" s="139">
        <f t="shared" si="30"/>
        <v>0</v>
      </c>
      <c r="AD28" s="139">
        <f t="shared" si="30"/>
        <v>0</v>
      </c>
      <c r="AE28" s="139">
        <f t="shared" si="30"/>
        <v>0</v>
      </c>
      <c r="AF28" s="139">
        <f t="shared" si="30"/>
        <v>0</v>
      </c>
      <c r="AG28" s="139">
        <f t="shared" si="30"/>
        <v>0</v>
      </c>
      <c r="AH28" s="139">
        <f t="shared" si="30"/>
        <v>0</v>
      </c>
      <c r="AI28" s="139">
        <f t="shared" si="30"/>
        <v>0</v>
      </c>
      <c r="AJ28" s="139">
        <f t="shared" si="30"/>
        <v>0</v>
      </c>
      <c r="AK28" s="139">
        <f t="shared" si="30"/>
        <v>0</v>
      </c>
      <c r="AL28" s="139">
        <f t="shared" si="30"/>
        <v>0</v>
      </c>
      <c r="AM28" s="139">
        <f t="shared" si="30"/>
        <v>0</v>
      </c>
      <c r="AN28" s="139">
        <f t="shared" si="30"/>
        <v>0</v>
      </c>
      <c r="AO28" s="139">
        <f t="shared" si="30"/>
        <v>0</v>
      </c>
      <c r="AP28" s="139">
        <f t="shared" si="30"/>
        <v>0</v>
      </c>
      <c r="AQ28" s="139">
        <f t="shared" si="30"/>
        <v>0</v>
      </c>
      <c r="AR28" s="139">
        <f t="shared" ref="AR28:BS28" si="31">$H28*AR158</f>
        <v>0</v>
      </c>
      <c r="AS28" s="139">
        <f t="shared" si="31"/>
        <v>0</v>
      </c>
      <c r="AT28" s="139">
        <f t="shared" si="31"/>
        <v>0</v>
      </c>
      <c r="AU28" s="139">
        <f t="shared" si="31"/>
        <v>0</v>
      </c>
      <c r="AV28" s="139">
        <f t="shared" si="31"/>
        <v>0</v>
      </c>
      <c r="AW28" s="139">
        <f t="shared" si="31"/>
        <v>0</v>
      </c>
      <c r="AX28" s="139">
        <f t="shared" si="31"/>
        <v>0</v>
      </c>
      <c r="AY28" s="139">
        <f t="shared" si="31"/>
        <v>0</v>
      </c>
      <c r="AZ28" s="139">
        <f t="shared" si="31"/>
        <v>0</v>
      </c>
      <c r="BA28" s="139">
        <f t="shared" si="31"/>
        <v>0</v>
      </c>
      <c r="BB28" s="139">
        <f t="shared" si="31"/>
        <v>0</v>
      </c>
      <c r="BC28" s="139">
        <f t="shared" si="31"/>
        <v>0</v>
      </c>
      <c r="BD28" s="139">
        <f t="shared" si="31"/>
        <v>0</v>
      </c>
      <c r="BE28" s="139">
        <f t="shared" si="31"/>
        <v>0</v>
      </c>
      <c r="BF28" s="139">
        <f t="shared" si="31"/>
        <v>0</v>
      </c>
      <c r="BG28" s="139">
        <f t="shared" si="31"/>
        <v>0</v>
      </c>
      <c r="BH28" s="139">
        <f t="shared" si="31"/>
        <v>0</v>
      </c>
      <c r="BI28" s="139">
        <f t="shared" si="31"/>
        <v>0</v>
      </c>
      <c r="BJ28" s="139">
        <f t="shared" si="31"/>
        <v>0</v>
      </c>
      <c r="BK28" s="139">
        <f t="shared" si="31"/>
        <v>0</v>
      </c>
      <c r="BL28" s="139">
        <f t="shared" si="31"/>
        <v>0</v>
      </c>
      <c r="BM28" s="139">
        <f t="shared" si="31"/>
        <v>0</v>
      </c>
      <c r="BN28" s="139">
        <f t="shared" si="31"/>
        <v>0</v>
      </c>
      <c r="BO28" s="139">
        <f t="shared" si="31"/>
        <v>0</v>
      </c>
      <c r="BP28" s="139">
        <f t="shared" si="31"/>
        <v>0</v>
      </c>
      <c r="BQ28" s="139">
        <f t="shared" si="31"/>
        <v>0</v>
      </c>
      <c r="BR28" s="139">
        <f t="shared" si="31"/>
        <v>0</v>
      </c>
      <c r="BS28" s="139">
        <f t="shared" si="31"/>
        <v>0</v>
      </c>
      <c r="BU28" s="139">
        <f t="shared" si="11"/>
        <v>0</v>
      </c>
      <c r="BV28" s="139">
        <f t="shared" si="12"/>
        <v>0</v>
      </c>
      <c r="BW28" s="139">
        <f t="shared" si="13"/>
        <v>0</v>
      </c>
      <c r="BX28" s="139">
        <f t="shared" si="14"/>
        <v>0</v>
      </c>
      <c r="BY28" s="139">
        <f t="shared" si="15"/>
        <v>0</v>
      </c>
    </row>
    <row r="29" spans="2:77" outlineLevel="1">
      <c r="B29" s="221"/>
      <c r="C29" s="310"/>
      <c r="D29" s="221"/>
      <c r="E29" s="221" t="s">
        <v>98</v>
      </c>
      <c r="F29" s="221" t="s">
        <v>563</v>
      </c>
      <c r="G29" s="221" t="s">
        <v>564</v>
      </c>
      <c r="H29" s="361">
        <f>기타비용분석!H17/12</f>
        <v>12.5</v>
      </c>
      <c r="I29" s="221" t="s">
        <v>113</v>
      </c>
      <c r="J29" s="139" t="s">
        <v>576</v>
      </c>
      <c r="L29" s="139">
        <f t="shared" ref="L29:AQ29" si="32">$H29*L159</f>
        <v>0</v>
      </c>
      <c r="M29" s="139">
        <f t="shared" si="32"/>
        <v>0</v>
      </c>
      <c r="N29" s="139">
        <f t="shared" si="32"/>
        <v>0</v>
      </c>
      <c r="O29" s="139">
        <f t="shared" si="32"/>
        <v>0</v>
      </c>
      <c r="P29" s="139">
        <f t="shared" si="32"/>
        <v>0</v>
      </c>
      <c r="Q29" s="139">
        <f t="shared" si="32"/>
        <v>0</v>
      </c>
      <c r="R29" s="139">
        <f t="shared" si="32"/>
        <v>300</v>
      </c>
      <c r="S29" s="139">
        <f t="shared" si="32"/>
        <v>300</v>
      </c>
      <c r="T29" s="139">
        <f t="shared" si="32"/>
        <v>300</v>
      </c>
      <c r="U29" s="139">
        <f t="shared" si="32"/>
        <v>300</v>
      </c>
      <c r="V29" s="139">
        <f t="shared" si="32"/>
        <v>300</v>
      </c>
      <c r="W29" s="139">
        <f t="shared" si="32"/>
        <v>300</v>
      </c>
      <c r="X29" s="139">
        <f t="shared" si="32"/>
        <v>375</v>
      </c>
      <c r="Y29" s="139">
        <f t="shared" si="32"/>
        <v>375</v>
      </c>
      <c r="Z29" s="139">
        <f t="shared" si="32"/>
        <v>375</v>
      </c>
      <c r="AA29" s="139">
        <f t="shared" si="32"/>
        <v>375</v>
      </c>
      <c r="AB29" s="139">
        <f t="shared" si="32"/>
        <v>375</v>
      </c>
      <c r="AC29" s="139">
        <f t="shared" si="32"/>
        <v>375</v>
      </c>
      <c r="AD29" s="139">
        <f t="shared" si="32"/>
        <v>450</v>
      </c>
      <c r="AE29" s="139">
        <f t="shared" si="32"/>
        <v>450</v>
      </c>
      <c r="AF29" s="139">
        <f t="shared" si="32"/>
        <v>450</v>
      </c>
      <c r="AG29" s="139">
        <f t="shared" si="32"/>
        <v>450</v>
      </c>
      <c r="AH29" s="139">
        <f t="shared" si="32"/>
        <v>450</v>
      </c>
      <c r="AI29" s="139">
        <f t="shared" si="32"/>
        <v>450</v>
      </c>
      <c r="AJ29" s="139">
        <f t="shared" si="32"/>
        <v>525</v>
      </c>
      <c r="AK29" s="139">
        <f t="shared" si="32"/>
        <v>525</v>
      </c>
      <c r="AL29" s="139">
        <f t="shared" si="32"/>
        <v>525</v>
      </c>
      <c r="AM29" s="139">
        <f t="shared" si="32"/>
        <v>525</v>
      </c>
      <c r="AN29" s="139">
        <f t="shared" si="32"/>
        <v>525</v>
      </c>
      <c r="AO29" s="139">
        <f t="shared" si="32"/>
        <v>525</v>
      </c>
      <c r="AP29" s="139">
        <f t="shared" si="32"/>
        <v>600</v>
      </c>
      <c r="AQ29" s="139">
        <f t="shared" si="32"/>
        <v>600</v>
      </c>
      <c r="AR29" s="139">
        <f t="shared" ref="AR29:BS29" si="33">$H29*AR159</f>
        <v>600</v>
      </c>
      <c r="AS29" s="139">
        <f t="shared" si="33"/>
        <v>600</v>
      </c>
      <c r="AT29" s="139">
        <f t="shared" si="33"/>
        <v>600</v>
      </c>
      <c r="AU29" s="139">
        <f t="shared" si="33"/>
        <v>600</v>
      </c>
      <c r="AV29" s="139">
        <f t="shared" si="33"/>
        <v>675</v>
      </c>
      <c r="AW29" s="139">
        <f t="shared" si="33"/>
        <v>675</v>
      </c>
      <c r="AX29" s="139">
        <f t="shared" si="33"/>
        <v>675</v>
      </c>
      <c r="AY29" s="139">
        <f t="shared" si="33"/>
        <v>675</v>
      </c>
      <c r="AZ29" s="139">
        <f t="shared" si="33"/>
        <v>675</v>
      </c>
      <c r="BA29" s="139">
        <f t="shared" si="33"/>
        <v>675</v>
      </c>
      <c r="BB29" s="139">
        <f t="shared" si="33"/>
        <v>750</v>
      </c>
      <c r="BC29" s="139">
        <f t="shared" si="33"/>
        <v>750</v>
      </c>
      <c r="BD29" s="139">
        <f t="shared" si="33"/>
        <v>750</v>
      </c>
      <c r="BE29" s="139">
        <f t="shared" si="33"/>
        <v>750</v>
      </c>
      <c r="BF29" s="139">
        <f t="shared" si="33"/>
        <v>750</v>
      </c>
      <c r="BG29" s="139">
        <f t="shared" si="33"/>
        <v>750</v>
      </c>
      <c r="BH29" s="139">
        <f t="shared" si="33"/>
        <v>750</v>
      </c>
      <c r="BI29" s="139">
        <f t="shared" si="33"/>
        <v>750</v>
      </c>
      <c r="BJ29" s="139">
        <f t="shared" si="33"/>
        <v>750</v>
      </c>
      <c r="BK29" s="139">
        <f t="shared" si="33"/>
        <v>750</v>
      </c>
      <c r="BL29" s="139">
        <f t="shared" si="33"/>
        <v>750</v>
      </c>
      <c r="BM29" s="139">
        <f t="shared" si="33"/>
        <v>750</v>
      </c>
      <c r="BN29" s="139">
        <f t="shared" si="33"/>
        <v>750</v>
      </c>
      <c r="BO29" s="139">
        <f t="shared" si="33"/>
        <v>750</v>
      </c>
      <c r="BP29" s="139">
        <f t="shared" si="33"/>
        <v>750</v>
      </c>
      <c r="BQ29" s="139">
        <f t="shared" si="33"/>
        <v>750</v>
      </c>
      <c r="BR29" s="139">
        <f t="shared" si="33"/>
        <v>750</v>
      </c>
      <c r="BS29" s="139">
        <f t="shared" si="33"/>
        <v>750</v>
      </c>
      <c r="BU29" s="139">
        <f t="shared" si="11"/>
        <v>1800</v>
      </c>
      <c r="BV29" s="139">
        <f t="shared" si="12"/>
        <v>4950</v>
      </c>
      <c r="BW29" s="139">
        <f t="shared" si="13"/>
        <v>6750</v>
      </c>
      <c r="BX29" s="139">
        <f t="shared" si="14"/>
        <v>8550</v>
      </c>
      <c r="BY29" s="139">
        <f t="shared" si="15"/>
        <v>9000</v>
      </c>
    </row>
    <row r="30" spans="2:77" outlineLevel="1">
      <c r="B30" s="221"/>
      <c r="C30" s="310"/>
      <c r="D30" s="221"/>
      <c r="E30" s="221" t="s">
        <v>99</v>
      </c>
      <c r="F30" s="221" t="s">
        <v>563</v>
      </c>
      <c r="G30" s="221"/>
      <c r="H30" s="361">
        <f>기타비용분석!H18/12</f>
        <v>5.833333333333333</v>
      </c>
      <c r="I30" s="221" t="s">
        <v>113</v>
      </c>
      <c r="J30" s="139" t="s">
        <v>577</v>
      </c>
      <c r="K30" s="158"/>
      <c r="L30" s="139">
        <f t="shared" ref="L30:AQ30" si="34">$H30*L160</f>
        <v>0</v>
      </c>
      <c r="M30" s="139">
        <f t="shared" si="34"/>
        <v>0</v>
      </c>
      <c r="N30" s="139">
        <f t="shared" si="34"/>
        <v>0</v>
      </c>
      <c r="O30" s="139">
        <f t="shared" si="34"/>
        <v>0</v>
      </c>
      <c r="P30" s="139">
        <f t="shared" si="34"/>
        <v>0</v>
      </c>
      <c r="Q30" s="139">
        <f t="shared" si="34"/>
        <v>0</v>
      </c>
      <c r="R30" s="139">
        <f t="shared" si="34"/>
        <v>140</v>
      </c>
      <c r="S30" s="139">
        <f t="shared" si="34"/>
        <v>140</v>
      </c>
      <c r="T30" s="139">
        <f t="shared" si="34"/>
        <v>140</v>
      </c>
      <c r="U30" s="139">
        <f t="shared" si="34"/>
        <v>140</v>
      </c>
      <c r="V30" s="139">
        <f t="shared" si="34"/>
        <v>140</v>
      </c>
      <c r="W30" s="139">
        <f t="shared" si="34"/>
        <v>140</v>
      </c>
      <c r="X30" s="139">
        <f t="shared" si="34"/>
        <v>175</v>
      </c>
      <c r="Y30" s="139">
        <f t="shared" si="34"/>
        <v>175</v>
      </c>
      <c r="Z30" s="139">
        <f t="shared" si="34"/>
        <v>175</v>
      </c>
      <c r="AA30" s="139">
        <f t="shared" si="34"/>
        <v>175</v>
      </c>
      <c r="AB30" s="139">
        <f t="shared" si="34"/>
        <v>175</v>
      </c>
      <c r="AC30" s="139">
        <f t="shared" si="34"/>
        <v>175</v>
      </c>
      <c r="AD30" s="139">
        <f t="shared" si="34"/>
        <v>210</v>
      </c>
      <c r="AE30" s="139">
        <f t="shared" si="34"/>
        <v>210</v>
      </c>
      <c r="AF30" s="139">
        <f t="shared" si="34"/>
        <v>210</v>
      </c>
      <c r="AG30" s="139">
        <f t="shared" si="34"/>
        <v>210</v>
      </c>
      <c r="AH30" s="139">
        <f t="shared" si="34"/>
        <v>210</v>
      </c>
      <c r="AI30" s="139">
        <f t="shared" si="34"/>
        <v>210</v>
      </c>
      <c r="AJ30" s="139">
        <f t="shared" si="34"/>
        <v>245</v>
      </c>
      <c r="AK30" s="139">
        <f t="shared" si="34"/>
        <v>245</v>
      </c>
      <c r="AL30" s="139">
        <f t="shared" si="34"/>
        <v>245</v>
      </c>
      <c r="AM30" s="139">
        <f t="shared" si="34"/>
        <v>245</v>
      </c>
      <c r="AN30" s="139">
        <f t="shared" si="34"/>
        <v>245</v>
      </c>
      <c r="AO30" s="139">
        <f t="shared" si="34"/>
        <v>245</v>
      </c>
      <c r="AP30" s="139">
        <f t="shared" si="34"/>
        <v>280</v>
      </c>
      <c r="AQ30" s="139">
        <f t="shared" si="34"/>
        <v>280</v>
      </c>
      <c r="AR30" s="139">
        <f t="shared" ref="AR30:BS30" si="35">$H30*AR160</f>
        <v>280</v>
      </c>
      <c r="AS30" s="139">
        <f t="shared" si="35"/>
        <v>280</v>
      </c>
      <c r="AT30" s="139">
        <f t="shared" si="35"/>
        <v>280</v>
      </c>
      <c r="AU30" s="139">
        <f t="shared" si="35"/>
        <v>280</v>
      </c>
      <c r="AV30" s="139">
        <f t="shared" si="35"/>
        <v>315</v>
      </c>
      <c r="AW30" s="139">
        <f t="shared" si="35"/>
        <v>315</v>
      </c>
      <c r="AX30" s="139">
        <f t="shared" si="35"/>
        <v>315</v>
      </c>
      <c r="AY30" s="139">
        <f t="shared" si="35"/>
        <v>315</v>
      </c>
      <c r="AZ30" s="139">
        <f t="shared" si="35"/>
        <v>315</v>
      </c>
      <c r="BA30" s="139">
        <f t="shared" si="35"/>
        <v>315</v>
      </c>
      <c r="BB30" s="139">
        <f t="shared" si="35"/>
        <v>350</v>
      </c>
      <c r="BC30" s="139">
        <f t="shared" si="35"/>
        <v>350</v>
      </c>
      <c r="BD30" s="139">
        <f t="shared" si="35"/>
        <v>350</v>
      </c>
      <c r="BE30" s="139">
        <f t="shared" si="35"/>
        <v>350</v>
      </c>
      <c r="BF30" s="139">
        <f t="shared" si="35"/>
        <v>350</v>
      </c>
      <c r="BG30" s="139">
        <f t="shared" si="35"/>
        <v>350</v>
      </c>
      <c r="BH30" s="139">
        <f t="shared" si="35"/>
        <v>350</v>
      </c>
      <c r="BI30" s="139">
        <f t="shared" si="35"/>
        <v>350</v>
      </c>
      <c r="BJ30" s="139">
        <f t="shared" si="35"/>
        <v>350</v>
      </c>
      <c r="BK30" s="139">
        <f t="shared" si="35"/>
        <v>350</v>
      </c>
      <c r="BL30" s="139">
        <f t="shared" si="35"/>
        <v>350</v>
      </c>
      <c r="BM30" s="139">
        <f t="shared" si="35"/>
        <v>350</v>
      </c>
      <c r="BN30" s="139">
        <f t="shared" si="35"/>
        <v>350</v>
      </c>
      <c r="BO30" s="139">
        <f t="shared" si="35"/>
        <v>350</v>
      </c>
      <c r="BP30" s="139">
        <f t="shared" si="35"/>
        <v>350</v>
      </c>
      <c r="BQ30" s="139">
        <f t="shared" si="35"/>
        <v>350</v>
      </c>
      <c r="BR30" s="139">
        <f t="shared" si="35"/>
        <v>350</v>
      </c>
      <c r="BS30" s="139">
        <f t="shared" si="35"/>
        <v>350</v>
      </c>
      <c r="BU30" s="139">
        <f t="shared" si="11"/>
        <v>840</v>
      </c>
      <c r="BV30" s="139">
        <f t="shared" si="12"/>
        <v>2310</v>
      </c>
      <c r="BW30" s="139">
        <f t="shared" si="13"/>
        <v>3150</v>
      </c>
      <c r="BX30" s="139">
        <f t="shared" si="14"/>
        <v>3990</v>
      </c>
      <c r="BY30" s="139">
        <f t="shared" si="15"/>
        <v>4200</v>
      </c>
    </row>
    <row r="31" spans="2:77" outlineLevel="1">
      <c r="C31" s="155"/>
      <c r="E31" s="139" t="s">
        <v>499</v>
      </c>
      <c r="G31" s="165" t="s">
        <v>562</v>
      </c>
      <c r="H31" s="311">
        <f>기타비용분석!H19/12</f>
        <v>4.166666666666667</v>
      </c>
      <c r="I31" s="158" t="s">
        <v>557</v>
      </c>
      <c r="J31" s="165"/>
      <c r="L31" s="139">
        <f t="shared" ref="L31:BS31" si="36">$H31*L161</f>
        <v>0</v>
      </c>
      <c r="M31" s="139">
        <f t="shared" si="36"/>
        <v>0</v>
      </c>
      <c r="N31" s="139">
        <f t="shared" si="36"/>
        <v>0</v>
      </c>
      <c r="O31" s="139">
        <f t="shared" si="36"/>
        <v>0</v>
      </c>
      <c r="P31" s="139">
        <f t="shared" si="36"/>
        <v>0</v>
      </c>
      <c r="Q31" s="139">
        <f t="shared" si="36"/>
        <v>0</v>
      </c>
      <c r="R31" s="139">
        <f t="shared" si="36"/>
        <v>0</v>
      </c>
      <c r="S31" s="139">
        <f t="shared" si="36"/>
        <v>0</v>
      </c>
      <c r="T31" s="139">
        <f t="shared" si="36"/>
        <v>0</v>
      </c>
      <c r="U31" s="139">
        <f t="shared" si="36"/>
        <v>0</v>
      </c>
      <c r="V31" s="139">
        <f t="shared" si="36"/>
        <v>0</v>
      </c>
      <c r="W31" s="139">
        <f t="shared" si="36"/>
        <v>0</v>
      </c>
      <c r="X31" s="139">
        <f t="shared" si="36"/>
        <v>0</v>
      </c>
      <c r="Y31" s="139">
        <f t="shared" si="36"/>
        <v>0</v>
      </c>
      <c r="Z31" s="139">
        <f t="shared" si="36"/>
        <v>0</v>
      </c>
      <c r="AA31" s="139">
        <f t="shared" si="36"/>
        <v>0</v>
      </c>
      <c r="AB31" s="139">
        <f t="shared" si="36"/>
        <v>0</v>
      </c>
      <c r="AC31" s="139">
        <f t="shared" si="36"/>
        <v>0</v>
      </c>
      <c r="AD31" s="139">
        <f t="shared" si="36"/>
        <v>0</v>
      </c>
      <c r="AE31" s="139">
        <f t="shared" si="36"/>
        <v>0</v>
      </c>
      <c r="AF31" s="139">
        <f t="shared" si="36"/>
        <v>0</v>
      </c>
      <c r="AG31" s="139">
        <f t="shared" si="36"/>
        <v>0</v>
      </c>
      <c r="AH31" s="139">
        <f t="shared" si="36"/>
        <v>0</v>
      </c>
      <c r="AI31" s="139">
        <f t="shared" si="36"/>
        <v>0</v>
      </c>
      <c r="AJ31" s="139">
        <f t="shared" si="36"/>
        <v>0</v>
      </c>
      <c r="AK31" s="139">
        <f t="shared" si="36"/>
        <v>0</v>
      </c>
      <c r="AL31" s="139">
        <f t="shared" si="36"/>
        <v>0</v>
      </c>
      <c r="AM31" s="139">
        <f t="shared" si="36"/>
        <v>0</v>
      </c>
      <c r="AN31" s="139">
        <f t="shared" si="36"/>
        <v>0</v>
      </c>
      <c r="AO31" s="139">
        <f t="shared" si="36"/>
        <v>0</v>
      </c>
      <c r="AP31" s="139">
        <f t="shared" si="36"/>
        <v>0</v>
      </c>
      <c r="AQ31" s="139">
        <f t="shared" si="36"/>
        <v>0</v>
      </c>
      <c r="AR31" s="139">
        <f t="shared" si="36"/>
        <v>0</v>
      </c>
      <c r="AS31" s="139">
        <f t="shared" si="36"/>
        <v>0</v>
      </c>
      <c r="AT31" s="139">
        <f t="shared" si="36"/>
        <v>0</v>
      </c>
      <c r="AU31" s="139">
        <f t="shared" si="36"/>
        <v>0</v>
      </c>
      <c r="AV31" s="139">
        <f t="shared" si="36"/>
        <v>0</v>
      </c>
      <c r="AW31" s="139">
        <f t="shared" si="36"/>
        <v>0</v>
      </c>
      <c r="AX31" s="139">
        <f t="shared" si="36"/>
        <v>0</v>
      </c>
      <c r="AY31" s="139">
        <f t="shared" si="36"/>
        <v>0</v>
      </c>
      <c r="AZ31" s="139">
        <f t="shared" si="36"/>
        <v>0</v>
      </c>
      <c r="BA31" s="139">
        <f t="shared" si="36"/>
        <v>0</v>
      </c>
      <c r="BB31" s="139">
        <f t="shared" si="36"/>
        <v>0</v>
      </c>
      <c r="BC31" s="139">
        <f t="shared" si="36"/>
        <v>0</v>
      </c>
      <c r="BD31" s="139">
        <f t="shared" si="36"/>
        <v>0</v>
      </c>
      <c r="BE31" s="139">
        <f t="shared" si="36"/>
        <v>0</v>
      </c>
      <c r="BF31" s="139">
        <f t="shared" si="36"/>
        <v>0</v>
      </c>
      <c r="BG31" s="139">
        <f t="shared" si="36"/>
        <v>0</v>
      </c>
      <c r="BH31" s="139">
        <f t="shared" si="36"/>
        <v>0</v>
      </c>
      <c r="BI31" s="139">
        <f t="shared" si="36"/>
        <v>0</v>
      </c>
      <c r="BJ31" s="139">
        <f t="shared" si="36"/>
        <v>0</v>
      </c>
      <c r="BK31" s="139">
        <f t="shared" si="36"/>
        <v>0</v>
      </c>
      <c r="BL31" s="139">
        <f t="shared" si="36"/>
        <v>0</v>
      </c>
      <c r="BM31" s="139">
        <f t="shared" si="36"/>
        <v>0</v>
      </c>
      <c r="BN31" s="139">
        <f t="shared" si="36"/>
        <v>0</v>
      </c>
      <c r="BO31" s="139">
        <f t="shared" si="36"/>
        <v>0</v>
      </c>
      <c r="BP31" s="139">
        <f t="shared" si="36"/>
        <v>0</v>
      </c>
      <c r="BQ31" s="139">
        <f t="shared" si="36"/>
        <v>0</v>
      </c>
      <c r="BR31" s="139">
        <f t="shared" si="36"/>
        <v>0</v>
      </c>
      <c r="BS31" s="139">
        <f t="shared" si="36"/>
        <v>0</v>
      </c>
      <c r="BU31" s="139">
        <f t="shared" si="11"/>
        <v>0</v>
      </c>
      <c r="BV31" s="139">
        <f t="shared" si="12"/>
        <v>0</v>
      </c>
      <c r="BW31" s="139">
        <f t="shared" si="13"/>
        <v>0</v>
      </c>
      <c r="BX31" s="139">
        <f t="shared" si="14"/>
        <v>0</v>
      </c>
      <c r="BY31" s="139">
        <f t="shared" si="15"/>
        <v>0</v>
      </c>
    </row>
    <row r="32" spans="2:77" outlineLevel="1">
      <c r="C32" s="155"/>
      <c r="E32" s="139" t="s">
        <v>500</v>
      </c>
      <c r="G32" s="165" t="s">
        <v>562</v>
      </c>
      <c r="H32" s="311">
        <f>기타비용분석!H20/12</f>
        <v>3.3333333333333335</v>
      </c>
      <c r="I32" s="158" t="s">
        <v>557</v>
      </c>
      <c r="J32" s="165"/>
      <c r="L32" s="139">
        <f t="shared" ref="L32:BS32" si="37">$H32*L162</f>
        <v>0</v>
      </c>
      <c r="M32" s="139">
        <f t="shared" si="37"/>
        <v>0</v>
      </c>
      <c r="N32" s="139">
        <f t="shared" si="37"/>
        <v>0</v>
      </c>
      <c r="O32" s="139">
        <f t="shared" si="37"/>
        <v>0</v>
      </c>
      <c r="P32" s="139">
        <f t="shared" si="37"/>
        <v>0</v>
      </c>
      <c r="Q32" s="139">
        <f t="shared" si="37"/>
        <v>0</v>
      </c>
      <c r="R32" s="139">
        <f t="shared" si="37"/>
        <v>0</v>
      </c>
      <c r="S32" s="139">
        <f t="shared" si="37"/>
        <v>0</v>
      </c>
      <c r="T32" s="139">
        <f t="shared" si="37"/>
        <v>0</v>
      </c>
      <c r="U32" s="139">
        <f t="shared" si="37"/>
        <v>0</v>
      </c>
      <c r="V32" s="139">
        <f t="shared" si="37"/>
        <v>0</v>
      </c>
      <c r="W32" s="139">
        <f t="shared" si="37"/>
        <v>0</v>
      </c>
      <c r="X32" s="139">
        <f t="shared" si="37"/>
        <v>0</v>
      </c>
      <c r="Y32" s="139">
        <f t="shared" si="37"/>
        <v>0</v>
      </c>
      <c r="Z32" s="139">
        <f t="shared" si="37"/>
        <v>0</v>
      </c>
      <c r="AA32" s="139">
        <f t="shared" si="37"/>
        <v>0</v>
      </c>
      <c r="AB32" s="139">
        <f t="shared" si="37"/>
        <v>0</v>
      </c>
      <c r="AC32" s="139">
        <f t="shared" si="37"/>
        <v>0</v>
      </c>
      <c r="AD32" s="139">
        <f t="shared" si="37"/>
        <v>0</v>
      </c>
      <c r="AE32" s="139">
        <f t="shared" si="37"/>
        <v>0</v>
      </c>
      <c r="AF32" s="139">
        <f t="shared" si="37"/>
        <v>0</v>
      </c>
      <c r="AG32" s="139">
        <f t="shared" si="37"/>
        <v>0</v>
      </c>
      <c r="AH32" s="139">
        <f t="shared" si="37"/>
        <v>0</v>
      </c>
      <c r="AI32" s="139">
        <f t="shared" si="37"/>
        <v>0</v>
      </c>
      <c r="AJ32" s="139">
        <f t="shared" si="37"/>
        <v>0</v>
      </c>
      <c r="AK32" s="139">
        <f t="shared" si="37"/>
        <v>0</v>
      </c>
      <c r="AL32" s="139">
        <f t="shared" si="37"/>
        <v>0</v>
      </c>
      <c r="AM32" s="139">
        <f t="shared" si="37"/>
        <v>0</v>
      </c>
      <c r="AN32" s="139">
        <f t="shared" si="37"/>
        <v>0</v>
      </c>
      <c r="AO32" s="139">
        <f t="shared" si="37"/>
        <v>0</v>
      </c>
      <c r="AP32" s="139">
        <f t="shared" si="37"/>
        <v>0</v>
      </c>
      <c r="AQ32" s="139">
        <f t="shared" si="37"/>
        <v>0</v>
      </c>
      <c r="AR32" s="139">
        <f t="shared" si="37"/>
        <v>0</v>
      </c>
      <c r="AS32" s="139">
        <f t="shared" si="37"/>
        <v>0</v>
      </c>
      <c r="AT32" s="139">
        <f t="shared" si="37"/>
        <v>0</v>
      </c>
      <c r="AU32" s="139">
        <f t="shared" si="37"/>
        <v>0</v>
      </c>
      <c r="AV32" s="139">
        <f t="shared" si="37"/>
        <v>0</v>
      </c>
      <c r="AW32" s="139">
        <f t="shared" si="37"/>
        <v>0</v>
      </c>
      <c r="AX32" s="139">
        <f t="shared" si="37"/>
        <v>0</v>
      </c>
      <c r="AY32" s="139">
        <f t="shared" si="37"/>
        <v>0</v>
      </c>
      <c r="AZ32" s="139">
        <f t="shared" si="37"/>
        <v>0</v>
      </c>
      <c r="BA32" s="139">
        <f t="shared" si="37"/>
        <v>0</v>
      </c>
      <c r="BB32" s="139">
        <f t="shared" si="37"/>
        <v>0</v>
      </c>
      <c r="BC32" s="139">
        <f t="shared" si="37"/>
        <v>0</v>
      </c>
      <c r="BD32" s="139">
        <f t="shared" si="37"/>
        <v>0</v>
      </c>
      <c r="BE32" s="139">
        <f t="shared" si="37"/>
        <v>0</v>
      </c>
      <c r="BF32" s="139">
        <f t="shared" si="37"/>
        <v>0</v>
      </c>
      <c r="BG32" s="139">
        <f t="shared" si="37"/>
        <v>0</v>
      </c>
      <c r="BH32" s="139">
        <f t="shared" si="37"/>
        <v>0</v>
      </c>
      <c r="BI32" s="139">
        <f t="shared" si="37"/>
        <v>0</v>
      </c>
      <c r="BJ32" s="139">
        <f t="shared" si="37"/>
        <v>0</v>
      </c>
      <c r="BK32" s="139">
        <f t="shared" si="37"/>
        <v>0</v>
      </c>
      <c r="BL32" s="139">
        <f t="shared" si="37"/>
        <v>0</v>
      </c>
      <c r="BM32" s="139">
        <f t="shared" si="37"/>
        <v>0</v>
      </c>
      <c r="BN32" s="139">
        <f t="shared" si="37"/>
        <v>0</v>
      </c>
      <c r="BO32" s="139">
        <f t="shared" si="37"/>
        <v>0</v>
      </c>
      <c r="BP32" s="139">
        <f t="shared" si="37"/>
        <v>0</v>
      </c>
      <c r="BQ32" s="139">
        <f t="shared" si="37"/>
        <v>0</v>
      </c>
      <c r="BR32" s="139">
        <f t="shared" si="37"/>
        <v>0</v>
      </c>
      <c r="BS32" s="139">
        <f t="shared" si="37"/>
        <v>0</v>
      </c>
      <c r="BU32" s="139">
        <f t="shared" si="11"/>
        <v>0</v>
      </c>
      <c r="BV32" s="139">
        <f t="shared" si="12"/>
        <v>0</v>
      </c>
      <c r="BW32" s="139">
        <f t="shared" si="13"/>
        <v>0</v>
      </c>
      <c r="BX32" s="139">
        <f t="shared" si="14"/>
        <v>0</v>
      </c>
      <c r="BY32" s="139">
        <f t="shared" si="15"/>
        <v>0</v>
      </c>
    </row>
    <row r="33" spans="3:77" outlineLevel="1">
      <c r="C33" s="155"/>
      <c r="E33" s="139" t="s">
        <v>501</v>
      </c>
      <c r="G33" s="165" t="s">
        <v>562</v>
      </c>
      <c r="H33" s="311">
        <f>기타비용분석!H21/12</f>
        <v>2.0833333333333335</v>
      </c>
      <c r="I33" s="158" t="s">
        <v>557</v>
      </c>
      <c r="J33" s="165"/>
      <c r="K33" s="165"/>
      <c r="L33" s="139">
        <f t="shared" ref="L33:BS33" si="38">$H33*L163</f>
        <v>0</v>
      </c>
      <c r="M33" s="139">
        <f t="shared" si="38"/>
        <v>0</v>
      </c>
      <c r="N33" s="139">
        <f t="shared" si="38"/>
        <v>0</v>
      </c>
      <c r="O33" s="139">
        <f t="shared" si="38"/>
        <v>0</v>
      </c>
      <c r="P33" s="139">
        <f t="shared" si="38"/>
        <v>0</v>
      </c>
      <c r="Q33" s="139">
        <f t="shared" si="38"/>
        <v>0</v>
      </c>
      <c r="R33" s="139">
        <f t="shared" si="38"/>
        <v>0</v>
      </c>
      <c r="S33" s="139">
        <f t="shared" si="38"/>
        <v>0</v>
      </c>
      <c r="T33" s="139">
        <f t="shared" si="38"/>
        <v>0</v>
      </c>
      <c r="U33" s="139">
        <f t="shared" si="38"/>
        <v>0</v>
      </c>
      <c r="V33" s="139">
        <f t="shared" si="38"/>
        <v>0</v>
      </c>
      <c r="W33" s="139">
        <f t="shared" si="38"/>
        <v>0</v>
      </c>
      <c r="X33" s="139">
        <f t="shared" si="38"/>
        <v>0</v>
      </c>
      <c r="Y33" s="139">
        <f t="shared" si="38"/>
        <v>0</v>
      </c>
      <c r="Z33" s="139">
        <f t="shared" si="38"/>
        <v>0</v>
      </c>
      <c r="AA33" s="139">
        <f t="shared" si="38"/>
        <v>0</v>
      </c>
      <c r="AB33" s="139">
        <f t="shared" si="38"/>
        <v>0</v>
      </c>
      <c r="AC33" s="139">
        <f t="shared" si="38"/>
        <v>0</v>
      </c>
      <c r="AD33" s="139">
        <f t="shared" si="38"/>
        <v>0</v>
      </c>
      <c r="AE33" s="139">
        <f t="shared" si="38"/>
        <v>0</v>
      </c>
      <c r="AF33" s="139">
        <f t="shared" si="38"/>
        <v>0</v>
      </c>
      <c r="AG33" s="139">
        <f t="shared" si="38"/>
        <v>0</v>
      </c>
      <c r="AH33" s="139">
        <f t="shared" si="38"/>
        <v>0</v>
      </c>
      <c r="AI33" s="139">
        <f t="shared" si="38"/>
        <v>0</v>
      </c>
      <c r="AJ33" s="139">
        <f t="shared" si="38"/>
        <v>0</v>
      </c>
      <c r="AK33" s="139">
        <f t="shared" si="38"/>
        <v>0</v>
      </c>
      <c r="AL33" s="139">
        <f t="shared" si="38"/>
        <v>0</v>
      </c>
      <c r="AM33" s="139">
        <f t="shared" si="38"/>
        <v>0</v>
      </c>
      <c r="AN33" s="139">
        <f t="shared" si="38"/>
        <v>0</v>
      </c>
      <c r="AO33" s="139">
        <f t="shared" si="38"/>
        <v>0</v>
      </c>
      <c r="AP33" s="139">
        <f t="shared" si="38"/>
        <v>0</v>
      </c>
      <c r="AQ33" s="139">
        <f t="shared" si="38"/>
        <v>0</v>
      </c>
      <c r="AR33" s="139">
        <f t="shared" si="38"/>
        <v>0</v>
      </c>
      <c r="AS33" s="139">
        <f t="shared" si="38"/>
        <v>0</v>
      </c>
      <c r="AT33" s="139">
        <f t="shared" si="38"/>
        <v>0</v>
      </c>
      <c r="AU33" s="139">
        <f t="shared" si="38"/>
        <v>0</v>
      </c>
      <c r="AV33" s="139">
        <f t="shared" si="38"/>
        <v>0</v>
      </c>
      <c r="AW33" s="139">
        <f t="shared" si="38"/>
        <v>0</v>
      </c>
      <c r="AX33" s="139">
        <f t="shared" si="38"/>
        <v>0</v>
      </c>
      <c r="AY33" s="139">
        <f t="shared" si="38"/>
        <v>0</v>
      </c>
      <c r="AZ33" s="139">
        <f t="shared" si="38"/>
        <v>0</v>
      </c>
      <c r="BA33" s="139">
        <f t="shared" si="38"/>
        <v>0</v>
      </c>
      <c r="BB33" s="139">
        <f t="shared" si="38"/>
        <v>0</v>
      </c>
      <c r="BC33" s="139">
        <f t="shared" si="38"/>
        <v>0</v>
      </c>
      <c r="BD33" s="139">
        <f t="shared" si="38"/>
        <v>0</v>
      </c>
      <c r="BE33" s="139">
        <f t="shared" si="38"/>
        <v>0</v>
      </c>
      <c r="BF33" s="139">
        <f t="shared" si="38"/>
        <v>0</v>
      </c>
      <c r="BG33" s="139">
        <f t="shared" si="38"/>
        <v>0</v>
      </c>
      <c r="BH33" s="139">
        <f t="shared" si="38"/>
        <v>0</v>
      </c>
      <c r="BI33" s="139">
        <f t="shared" si="38"/>
        <v>0</v>
      </c>
      <c r="BJ33" s="139">
        <f t="shared" si="38"/>
        <v>0</v>
      </c>
      <c r="BK33" s="139">
        <f t="shared" si="38"/>
        <v>0</v>
      </c>
      <c r="BL33" s="139">
        <f t="shared" si="38"/>
        <v>0</v>
      </c>
      <c r="BM33" s="139">
        <f t="shared" si="38"/>
        <v>0</v>
      </c>
      <c r="BN33" s="139">
        <f t="shared" si="38"/>
        <v>0</v>
      </c>
      <c r="BO33" s="139">
        <f t="shared" si="38"/>
        <v>0</v>
      </c>
      <c r="BP33" s="139">
        <f t="shared" si="38"/>
        <v>0</v>
      </c>
      <c r="BQ33" s="139">
        <f t="shared" si="38"/>
        <v>0</v>
      </c>
      <c r="BR33" s="139">
        <f t="shared" si="38"/>
        <v>0</v>
      </c>
      <c r="BS33" s="139">
        <f t="shared" si="38"/>
        <v>0</v>
      </c>
      <c r="BU33" s="139">
        <f t="shared" si="11"/>
        <v>0</v>
      </c>
      <c r="BV33" s="139">
        <f t="shared" si="12"/>
        <v>0</v>
      </c>
      <c r="BW33" s="139">
        <f t="shared" si="13"/>
        <v>0</v>
      </c>
      <c r="BX33" s="139">
        <f t="shared" si="14"/>
        <v>0</v>
      </c>
      <c r="BY33" s="139">
        <f t="shared" si="15"/>
        <v>0</v>
      </c>
    </row>
    <row r="34" spans="3:77" outlineLevel="1">
      <c r="C34" s="155"/>
      <c r="E34" s="139" t="s">
        <v>502</v>
      </c>
      <c r="F34" s="139" t="s">
        <v>561</v>
      </c>
      <c r="G34" s="139">
        <v>1</v>
      </c>
      <c r="H34" s="311">
        <f>기타비용분석!H22/12</f>
        <v>3.75</v>
      </c>
      <c r="L34" s="139">
        <f t="shared" ref="L34:BS34" si="39">$H34*L164</f>
        <v>3.75</v>
      </c>
      <c r="M34" s="139">
        <f t="shared" si="39"/>
        <v>3.75</v>
      </c>
      <c r="N34" s="139">
        <f t="shared" si="39"/>
        <v>3.75</v>
      </c>
      <c r="O34" s="139">
        <f t="shared" si="39"/>
        <v>3.75</v>
      </c>
      <c r="P34" s="139">
        <f t="shared" si="39"/>
        <v>3.75</v>
      </c>
      <c r="Q34" s="139">
        <f t="shared" si="39"/>
        <v>3.75</v>
      </c>
      <c r="R34" s="139">
        <f t="shared" si="39"/>
        <v>3.75</v>
      </c>
      <c r="S34" s="139">
        <f t="shared" si="39"/>
        <v>3.75</v>
      </c>
      <c r="T34" s="139">
        <f t="shared" si="39"/>
        <v>3.75</v>
      </c>
      <c r="U34" s="139">
        <f t="shared" si="39"/>
        <v>3.75</v>
      </c>
      <c r="V34" s="139">
        <f t="shared" si="39"/>
        <v>3.75</v>
      </c>
      <c r="W34" s="139">
        <f t="shared" si="39"/>
        <v>3.75</v>
      </c>
      <c r="X34" s="139">
        <f t="shared" si="39"/>
        <v>3.75</v>
      </c>
      <c r="Y34" s="139">
        <f t="shared" si="39"/>
        <v>3.75</v>
      </c>
      <c r="Z34" s="139">
        <f t="shared" si="39"/>
        <v>3.75</v>
      </c>
      <c r="AA34" s="139">
        <f t="shared" si="39"/>
        <v>3.75</v>
      </c>
      <c r="AB34" s="139">
        <f t="shared" si="39"/>
        <v>3.75</v>
      </c>
      <c r="AC34" s="139">
        <f t="shared" si="39"/>
        <v>3.75</v>
      </c>
      <c r="AD34" s="139">
        <f t="shared" si="39"/>
        <v>3.75</v>
      </c>
      <c r="AE34" s="139">
        <f t="shared" si="39"/>
        <v>3.75</v>
      </c>
      <c r="AF34" s="139">
        <f t="shared" si="39"/>
        <v>3.75</v>
      </c>
      <c r="AG34" s="139">
        <f t="shared" si="39"/>
        <v>3.75</v>
      </c>
      <c r="AH34" s="139">
        <f t="shared" si="39"/>
        <v>3.75</v>
      </c>
      <c r="AI34" s="139">
        <f t="shared" si="39"/>
        <v>3.75</v>
      </c>
      <c r="AJ34" s="139">
        <f t="shared" si="39"/>
        <v>3.75</v>
      </c>
      <c r="AK34" s="139">
        <f t="shared" si="39"/>
        <v>3.75</v>
      </c>
      <c r="AL34" s="139">
        <f t="shared" si="39"/>
        <v>3.75</v>
      </c>
      <c r="AM34" s="139">
        <f t="shared" si="39"/>
        <v>3.75</v>
      </c>
      <c r="AN34" s="139">
        <f t="shared" si="39"/>
        <v>3.75</v>
      </c>
      <c r="AO34" s="139">
        <f t="shared" si="39"/>
        <v>3.75</v>
      </c>
      <c r="AP34" s="139">
        <f t="shared" si="39"/>
        <v>3.75</v>
      </c>
      <c r="AQ34" s="139">
        <f t="shared" si="39"/>
        <v>3.75</v>
      </c>
      <c r="AR34" s="139">
        <f t="shared" si="39"/>
        <v>3.75</v>
      </c>
      <c r="AS34" s="139">
        <f t="shared" si="39"/>
        <v>3.75</v>
      </c>
      <c r="AT34" s="139">
        <f t="shared" si="39"/>
        <v>3.75</v>
      </c>
      <c r="AU34" s="139">
        <f t="shared" si="39"/>
        <v>3.75</v>
      </c>
      <c r="AV34" s="139">
        <f t="shared" si="39"/>
        <v>3.75</v>
      </c>
      <c r="AW34" s="139">
        <f t="shared" si="39"/>
        <v>3.75</v>
      </c>
      <c r="AX34" s="139">
        <f t="shared" si="39"/>
        <v>3.75</v>
      </c>
      <c r="AY34" s="139">
        <f t="shared" si="39"/>
        <v>3.75</v>
      </c>
      <c r="AZ34" s="139">
        <f t="shared" si="39"/>
        <v>3.75</v>
      </c>
      <c r="BA34" s="139">
        <f t="shared" si="39"/>
        <v>3.75</v>
      </c>
      <c r="BB34" s="139">
        <f t="shared" si="39"/>
        <v>3.75</v>
      </c>
      <c r="BC34" s="139">
        <f t="shared" si="39"/>
        <v>3.75</v>
      </c>
      <c r="BD34" s="139">
        <f t="shared" si="39"/>
        <v>3.75</v>
      </c>
      <c r="BE34" s="139">
        <f t="shared" si="39"/>
        <v>3.75</v>
      </c>
      <c r="BF34" s="139">
        <f t="shared" si="39"/>
        <v>3.75</v>
      </c>
      <c r="BG34" s="139">
        <f t="shared" si="39"/>
        <v>3.75</v>
      </c>
      <c r="BH34" s="139">
        <f t="shared" si="39"/>
        <v>3.75</v>
      </c>
      <c r="BI34" s="139">
        <f t="shared" si="39"/>
        <v>3.75</v>
      </c>
      <c r="BJ34" s="139">
        <f t="shared" si="39"/>
        <v>3.75</v>
      </c>
      <c r="BK34" s="139">
        <f t="shared" si="39"/>
        <v>3.75</v>
      </c>
      <c r="BL34" s="139">
        <f t="shared" si="39"/>
        <v>3.75</v>
      </c>
      <c r="BM34" s="139">
        <f t="shared" si="39"/>
        <v>3.75</v>
      </c>
      <c r="BN34" s="139">
        <f t="shared" si="39"/>
        <v>3.75</v>
      </c>
      <c r="BO34" s="139">
        <f t="shared" si="39"/>
        <v>3.75</v>
      </c>
      <c r="BP34" s="139">
        <f t="shared" si="39"/>
        <v>3.75</v>
      </c>
      <c r="BQ34" s="139">
        <f t="shared" si="39"/>
        <v>3.75</v>
      </c>
      <c r="BR34" s="139">
        <f t="shared" si="39"/>
        <v>3.75</v>
      </c>
      <c r="BS34" s="139">
        <f t="shared" si="39"/>
        <v>3.75</v>
      </c>
      <c r="BU34" s="139">
        <f t="shared" si="11"/>
        <v>45</v>
      </c>
      <c r="BV34" s="139">
        <f t="shared" si="12"/>
        <v>45</v>
      </c>
      <c r="BW34" s="139">
        <f t="shared" si="13"/>
        <v>45</v>
      </c>
      <c r="BX34" s="139">
        <f t="shared" si="14"/>
        <v>45</v>
      </c>
      <c r="BY34" s="139">
        <f t="shared" si="15"/>
        <v>45</v>
      </c>
    </row>
    <row r="35" spans="3:77" outlineLevel="1">
      <c r="C35" s="155"/>
      <c r="E35" s="139" t="s">
        <v>503</v>
      </c>
      <c r="G35" s="165" t="s">
        <v>565</v>
      </c>
      <c r="H35" s="311">
        <f>기타비용분석!H23/12</f>
        <v>2.5</v>
      </c>
      <c r="L35" s="139">
        <f t="shared" ref="L35:BS35" si="40">$H35*L165</f>
        <v>0</v>
      </c>
      <c r="M35" s="139">
        <f t="shared" si="40"/>
        <v>0</v>
      </c>
      <c r="N35" s="139">
        <f t="shared" si="40"/>
        <v>0</v>
      </c>
      <c r="O35" s="139">
        <f t="shared" si="40"/>
        <v>0</v>
      </c>
      <c r="P35" s="139">
        <f t="shared" si="40"/>
        <v>0</v>
      </c>
      <c r="Q35" s="139">
        <f t="shared" si="40"/>
        <v>0</v>
      </c>
      <c r="R35" s="139">
        <f t="shared" si="40"/>
        <v>30</v>
      </c>
      <c r="S35" s="139">
        <f t="shared" si="40"/>
        <v>30</v>
      </c>
      <c r="T35" s="139">
        <f t="shared" si="40"/>
        <v>30</v>
      </c>
      <c r="U35" s="139">
        <f t="shared" si="40"/>
        <v>30</v>
      </c>
      <c r="V35" s="139">
        <f t="shared" si="40"/>
        <v>30</v>
      </c>
      <c r="W35" s="139">
        <f t="shared" si="40"/>
        <v>30</v>
      </c>
      <c r="X35" s="139">
        <f t="shared" si="40"/>
        <v>37.5</v>
      </c>
      <c r="Y35" s="139">
        <f t="shared" si="40"/>
        <v>37.5</v>
      </c>
      <c r="Z35" s="139">
        <f t="shared" si="40"/>
        <v>37.5</v>
      </c>
      <c r="AA35" s="139">
        <f t="shared" si="40"/>
        <v>37.5</v>
      </c>
      <c r="AB35" s="139">
        <f t="shared" si="40"/>
        <v>37.5</v>
      </c>
      <c r="AC35" s="139">
        <f t="shared" si="40"/>
        <v>37.5</v>
      </c>
      <c r="AD35" s="139">
        <f t="shared" si="40"/>
        <v>45</v>
      </c>
      <c r="AE35" s="139">
        <f t="shared" si="40"/>
        <v>45</v>
      </c>
      <c r="AF35" s="139">
        <f t="shared" si="40"/>
        <v>45</v>
      </c>
      <c r="AG35" s="139">
        <f t="shared" si="40"/>
        <v>45</v>
      </c>
      <c r="AH35" s="139">
        <f t="shared" si="40"/>
        <v>45</v>
      </c>
      <c r="AI35" s="139">
        <f t="shared" si="40"/>
        <v>45</v>
      </c>
      <c r="AJ35" s="139">
        <f t="shared" si="40"/>
        <v>52.5</v>
      </c>
      <c r="AK35" s="139">
        <f t="shared" si="40"/>
        <v>52.5</v>
      </c>
      <c r="AL35" s="139">
        <f t="shared" si="40"/>
        <v>52.5</v>
      </c>
      <c r="AM35" s="139">
        <f t="shared" si="40"/>
        <v>52.5</v>
      </c>
      <c r="AN35" s="139">
        <f t="shared" si="40"/>
        <v>52.5</v>
      </c>
      <c r="AO35" s="139">
        <f t="shared" si="40"/>
        <v>52.5</v>
      </c>
      <c r="AP35" s="139">
        <f t="shared" si="40"/>
        <v>60</v>
      </c>
      <c r="AQ35" s="139">
        <f t="shared" si="40"/>
        <v>60</v>
      </c>
      <c r="AR35" s="139">
        <f t="shared" si="40"/>
        <v>60</v>
      </c>
      <c r="AS35" s="139">
        <f t="shared" si="40"/>
        <v>60</v>
      </c>
      <c r="AT35" s="139">
        <f t="shared" si="40"/>
        <v>60</v>
      </c>
      <c r="AU35" s="139">
        <f t="shared" si="40"/>
        <v>60</v>
      </c>
      <c r="AV35" s="139">
        <f t="shared" si="40"/>
        <v>67.5</v>
      </c>
      <c r="AW35" s="139">
        <f t="shared" si="40"/>
        <v>67.5</v>
      </c>
      <c r="AX35" s="139">
        <f t="shared" si="40"/>
        <v>67.5</v>
      </c>
      <c r="AY35" s="139">
        <f t="shared" si="40"/>
        <v>67.5</v>
      </c>
      <c r="AZ35" s="139">
        <f t="shared" si="40"/>
        <v>67.5</v>
      </c>
      <c r="BA35" s="139">
        <f t="shared" si="40"/>
        <v>67.5</v>
      </c>
      <c r="BB35" s="139">
        <f t="shared" si="40"/>
        <v>75</v>
      </c>
      <c r="BC35" s="139">
        <f t="shared" si="40"/>
        <v>75</v>
      </c>
      <c r="BD35" s="139">
        <f t="shared" si="40"/>
        <v>75</v>
      </c>
      <c r="BE35" s="139">
        <f t="shared" si="40"/>
        <v>75</v>
      </c>
      <c r="BF35" s="139">
        <f t="shared" si="40"/>
        <v>75</v>
      </c>
      <c r="BG35" s="139">
        <f t="shared" si="40"/>
        <v>75</v>
      </c>
      <c r="BH35" s="139">
        <f t="shared" si="40"/>
        <v>75</v>
      </c>
      <c r="BI35" s="139">
        <f t="shared" si="40"/>
        <v>75</v>
      </c>
      <c r="BJ35" s="139">
        <f t="shared" si="40"/>
        <v>75</v>
      </c>
      <c r="BK35" s="139">
        <f t="shared" si="40"/>
        <v>75</v>
      </c>
      <c r="BL35" s="139">
        <f t="shared" si="40"/>
        <v>75</v>
      </c>
      <c r="BM35" s="139">
        <f t="shared" si="40"/>
        <v>75</v>
      </c>
      <c r="BN35" s="139">
        <f t="shared" si="40"/>
        <v>75</v>
      </c>
      <c r="BO35" s="139">
        <f t="shared" si="40"/>
        <v>75</v>
      </c>
      <c r="BP35" s="139">
        <f t="shared" si="40"/>
        <v>75</v>
      </c>
      <c r="BQ35" s="139">
        <f t="shared" si="40"/>
        <v>75</v>
      </c>
      <c r="BR35" s="139">
        <f t="shared" si="40"/>
        <v>75</v>
      </c>
      <c r="BS35" s="139">
        <f t="shared" si="40"/>
        <v>75</v>
      </c>
      <c r="BU35" s="139">
        <f t="shared" si="11"/>
        <v>180</v>
      </c>
      <c r="BV35" s="139">
        <f t="shared" si="12"/>
        <v>495</v>
      </c>
      <c r="BW35" s="139">
        <f t="shared" si="13"/>
        <v>675</v>
      </c>
      <c r="BX35" s="139">
        <f t="shared" si="14"/>
        <v>855</v>
      </c>
      <c r="BY35" s="139">
        <f t="shared" si="15"/>
        <v>900</v>
      </c>
    </row>
    <row r="36" spans="3:77" outlineLevel="1">
      <c r="C36" s="155"/>
      <c r="E36" s="139" t="s">
        <v>504</v>
      </c>
      <c r="G36" s="165" t="s">
        <v>562</v>
      </c>
      <c r="H36" s="165"/>
      <c r="I36" s="158" t="s">
        <v>557</v>
      </c>
      <c r="J36" s="158"/>
      <c r="K36" s="158"/>
      <c r="L36" s="139">
        <f t="shared" ref="L36:BS36" si="41">$H36*L166</f>
        <v>0</v>
      </c>
      <c r="M36" s="139">
        <f t="shared" si="41"/>
        <v>0</v>
      </c>
      <c r="N36" s="139">
        <f t="shared" si="41"/>
        <v>0</v>
      </c>
      <c r="O36" s="139">
        <f t="shared" si="41"/>
        <v>0</v>
      </c>
      <c r="P36" s="139">
        <f t="shared" si="41"/>
        <v>0</v>
      </c>
      <c r="Q36" s="139">
        <f t="shared" si="41"/>
        <v>0</v>
      </c>
      <c r="R36" s="139">
        <f t="shared" si="41"/>
        <v>0</v>
      </c>
      <c r="S36" s="139">
        <f t="shared" si="41"/>
        <v>0</v>
      </c>
      <c r="T36" s="139">
        <f t="shared" si="41"/>
        <v>0</v>
      </c>
      <c r="U36" s="139">
        <f t="shared" si="41"/>
        <v>0</v>
      </c>
      <c r="V36" s="139">
        <f t="shared" si="41"/>
        <v>0</v>
      </c>
      <c r="W36" s="139">
        <f t="shared" si="41"/>
        <v>0</v>
      </c>
      <c r="X36" s="139">
        <f t="shared" si="41"/>
        <v>0</v>
      </c>
      <c r="Y36" s="139">
        <f t="shared" si="41"/>
        <v>0</v>
      </c>
      <c r="Z36" s="139">
        <f t="shared" si="41"/>
        <v>0</v>
      </c>
      <c r="AA36" s="139">
        <f t="shared" si="41"/>
        <v>0</v>
      </c>
      <c r="AB36" s="139">
        <f t="shared" si="41"/>
        <v>0</v>
      </c>
      <c r="AC36" s="139">
        <f t="shared" si="41"/>
        <v>0</v>
      </c>
      <c r="AD36" s="139">
        <f t="shared" si="41"/>
        <v>0</v>
      </c>
      <c r="AE36" s="139">
        <f t="shared" si="41"/>
        <v>0</v>
      </c>
      <c r="AF36" s="139">
        <f t="shared" si="41"/>
        <v>0</v>
      </c>
      <c r="AG36" s="139">
        <f t="shared" si="41"/>
        <v>0</v>
      </c>
      <c r="AH36" s="139">
        <f t="shared" si="41"/>
        <v>0</v>
      </c>
      <c r="AI36" s="139">
        <f t="shared" si="41"/>
        <v>0</v>
      </c>
      <c r="AJ36" s="139">
        <f t="shared" si="41"/>
        <v>0</v>
      </c>
      <c r="AK36" s="139">
        <f t="shared" si="41"/>
        <v>0</v>
      </c>
      <c r="AL36" s="139">
        <f t="shared" si="41"/>
        <v>0</v>
      </c>
      <c r="AM36" s="139">
        <f t="shared" si="41"/>
        <v>0</v>
      </c>
      <c r="AN36" s="139">
        <f t="shared" si="41"/>
        <v>0</v>
      </c>
      <c r="AO36" s="139">
        <f t="shared" si="41"/>
        <v>0</v>
      </c>
      <c r="AP36" s="139">
        <f t="shared" si="41"/>
        <v>0</v>
      </c>
      <c r="AQ36" s="139">
        <f t="shared" si="41"/>
        <v>0</v>
      </c>
      <c r="AR36" s="139">
        <f t="shared" si="41"/>
        <v>0</v>
      </c>
      <c r="AS36" s="139">
        <f t="shared" si="41"/>
        <v>0</v>
      </c>
      <c r="AT36" s="139">
        <f t="shared" si="41"/>
        <v>0</v>
      </c>
      <c r="AU36" s="139">
        <f t="shared" si="41"/>
        <v>0</v>
      </c>
      <c r="AV36" s="139">
        <f t="shared" si="41"/>
        <v>0</v>
      </c>
      <c r="AW36" s="139">
        <f t="shared" si="41"/>
        <v>0</v>
      </c>
      <c r="AX36" s="139">
        <f t="shared" si="41"/>
        <v>0</v>
      </c>
      <c r="AY36" s="139">
        <f t="shared" si="41"/>
        <v>0</v>
      </c>
      <c r="AZ36" s="139">
        <f t="shared" si="41"/>
        <v>0</v>
      </c>
      <c r="BA36" s="139">
        <f t="shared" si="41"/>
        <v>0</v>
      </c>
      <c r="BB36" s="139">
        <f t="shared" si="41"/>
        <v>0</v>
      </c>
      <c r="BC36" s="139">
        <f t="shared" si="41"/>
        <v>0</v>
      </c>
      <c r="BD36" s="139">
        <f t="shared" si="41"/>
        <v>0</v>
      </c>
      <c r="BE36" s="139">
        <f t="shared" si="41"/>
        <v>0</v>
      </c>
      <c r="BF36" s="139">
        <f t="shared" si="41"/>
        <v>0</v>
      </c>
      <c r="BG36" s="139">
        <f t="shared" si="41"/>
        <v>0</v>
      </c>
      <c r="BH36" s="139">
        <f t="shared" si="41"/>
        <v>0</v>
      </c>
      <c r="BI36" s="139">
        <f t="shared" si="41"/>
        <v>0</v>
      </c>
      <c r="BJ36" s="139">
        <f t="shared" si="41"/>
        <v>0</v>
      </c>
      <c r="BK36" s="139">
        <f t="shared" si="41"/>
        <v>0</v>
      </c>
      <c r="BL36" s="139">
        <f t="shared" si="41"/>
        <v>0</v>
      </c>
      <c r="BM36" s="139">
        <f t="shared" si="41"/>
        <v>0</v>
      </c>
      <c r="BN36" s="139">
        <f t="shared" si="41"/>
        <v>0</v>
      </c>
      <c r="BO36" s="139">
        <f t="shared" si="41"/>
        <v>0</v>
      </c>
      <c r="BP36" s="139">
        <f t="shared" si="41"/>
        <v>0</v>
      </c>
      <c r="BQ36" s="139">
        <f t="shared" si="41"/>
        <v>0</v>
      </c>
      <c r="BR36" s="139">
        <f t="shared" si="41"/>
        <v>0</v>
      </c>
      <c r="BS36" s="139">
        <f t="shared" si="41"/>
        <v>0</v>
      </c>
      <c r="BU36" s="139">
        <f t="shared" si="11"/>
        <v>0</v>
      </c>
      <c r="BV36" s="139">
        <f t="shared" si="12"/>
        <v>0</v>
      </c>
      <c r="BW36" s="139">
        <f t="shared" si="13"/>
        <v>0</v>
      </c>
      <c r="BX36" s="139">
        <f t="shared" si="14"/>
        <v>0</v>
      </c>
      <c r="BY36" s="139">
        <f t="shared" si="15"/>
        <v>0</v>
      </c>
    </row>
    <row r="37" spans="3:77" outlineLevel="1">
      <c r="C37" s="155"/>
      <c r="E37" s="139" t="s">
        <v>505</v>
      </c>
      <c r="F37" s="139" t="s">
        <v>561</v>
      </c>
      <c r="G37" s="139">
        <v>1</v>
      </c>
      <c r="H37" s="311">
        <f>기타비용분석!H25/12</f>
        <v>5</v>
      </c>
      <c r="I37" s="139" t="s">
        <v>555</v>
      </c>
      <c r="L37" s="139">
        <f t="shared" ref="L37:BS37" si="42">$H37*L167</f>
        <v>5</v>
      </c>
      <c r="M37" s="139">
        <f t="shared" si="42"/>
        <v>5</v>
      </c>
      <c r="N37" s="139">
        <f t="shared" si="42"/>
        <v>5</v>
      </c>
      <c r="O37" s="139">
        <f t="shared" si="42"/>
        <v>5</v>
      </c>
      <c r="P37" s="139">
        <f t="shared" si="42"/>
        <v>5</v>
      </c>
      <c r="Q37" s="139">
        <f t="shared" si="42"/>
        <v>5</v>
      </c>
      <c r="R37" s="139">
        <f t="shared" si="42"/>
        <v>5</v>
      </c>
      <c r="S37" s="139">
        <f t="shared" si="42"/>
        <v>5</v>
      </c>
      <c r="T37" s="139">
        <f t="shared" si="42"/>
        <v>5</v>
      </c>
      <c r="U37" s="139">
        <f t="shared" si="42"/>
        <v>5</v>
      </c>
      <c r="V37" s="139">
        <f t="shared" si="42"/>
        <v>5</v>
      </c>
      <c r="W37" s="139">
        <f t="shared" si="42"/>
        <v>5</v>
      </c>
      <c r="X37" s="139">
        <f t="shared" si="42"/>
        <v>5</v>
      </c>
      <c r="Y37" s="139">
        <f t="shared" si="42"/>
        <v>5</v>
      </c>
      <c r="Z37" s="139">
        <f t="shared" si="42"/>
        <v>5</v>
      </c>
      <c r="AA37" s="139">
        <f t="shared" si="42"/>
        <v>5</v>
      </c>
      <c r="AB37" s="139">
        <f t="shared" si="42"/>
        <v>5</v>
      </c>
      <c r="AC37" s="139">
        <f t="shared" si="42"/>
        <v>5</v>
      </c>
      <c r="AD37" s="139">
        <f t="shared" si="42"/>
        <v>5</v>
      </c>
      <c r="AE37" s="139">
        <f t="shared" si="42"/>
        <v>5</v>
      </c>
      <c r="AF37" s="139">
        <f t="shared" si="42"/>
        <v>5</v>
      </c>
      <c r="AG37" s="139">
        <f t="shared" si="42"/>
        <v>5</v>
      </c>
      <c r="AH37" s="139">
        <f t="shared" si="42"/>
        <v>5</v>
      </c>
      <c r="AI37" s="139">
        <f t="shared" si="42"/>
        <v>5</v>
      </c>
      <c r="AJ37" s="139">
        <f t="shared" si="42"/>
        <v>5</v>
      </c>
      <c r="AK37" s="139">
        <f t="shared" si="42"/>
        <v>5</v>
      </c>
      <c r="AL37" s="139">
        <f t="shared" si="42"/>
        <v>5</v>
      </c>
      <c r="AM37" s="139">
        <f t="shared" si="42"/>
        <v>5</v>
      </c>
      <c r="AN37" s="139">
        <f t="shared" si="42"/>
        <v>5</v>
      </c>
      <c r="AO37" s="139">
        <f t="shared" si="42"/>
        <v>5</v>
      </c>
      <c r="AP37" s="139">
        <f t="shared" si="42"/>
        <v>5</v>
      </c>
      <c r="AQ37" s="139">
        <f t="shared" si="42"/>
        <v>5</v>
      </c>
      <c r="AR37" s="139">
        <f t="shared" si="42"/>
        <v>5</v>
      </c>
      <c r="AS37" s="139">
        <f t="shared" si="42"/>
        <v>5</v>
      </c>
      <c r="AT37" s="139">
        <f t="shared" si="42"/>
        <v>5</v>
      </c>
      <c r="AU37" s="139">
        <f t="shared" si="42"/>
        <v>5</v>
      </c>
      <c r="AV37" s="139">
        <f t="shared" si="42"/>
        <v>5</v>
      </c>
      <c r="AW37" s="139">
        <f t="shared" si="42"/>
        <v>5</v>
      </c>
      <c r="AX37" s="139">
        <f t="shared" si="42"/>
        <v>5</v>
      </c>
      <c r="AY37" s="139">
        <f t="shared" si="42"/>
        <v>5</v>
      </c>
      <c r="AZ37" s="139">
        <f t="shared" si="42"/>
        <v>5</v>
      </c>
      <c r="BA37" s="139">
        <f t="shared" si="42"/>
        <v>5</v>
      </c>
      <c r="BB37" s="139">
        <f t="shared" si="42"/>
        <v>5</v>
      </c>
      <c r="BC37" s="139">
        <f t="shared" si="42"/>
        <v>5</v>
      </c>
      <c r="BD37" s="139">
        <f t="shared" si="42"/>
        <v>5</v>
      </c>
      <c r="BE37" s="139">
        <f t="shared" si="42"/>
        <v>5</v>
      </c>
      <c r="BF37" s="139">
        <f t="shared" si="42"/>
        <v>5</v>
      </c>
      <c r="BG37" s="139">
        <f t="shared" si="42"/>
        <v>5</v>
      </c>
      <c r="BH37" s="139">
        <f t="shared" si="42"/>
        <v>5</v>
      </c>
      <c r="BI37" s="139">
        <f t="shared" si="42"/>
        <v>5</v>
      </c>
      <c r="BJ37" s="139">
        <f t="shared" si="42"/>
        <v>5</v>
      </c>
      <c r="BK37" s="139">
        <f t="shared" si="42"/>
        <v>5</v>
      </c>
      <c r="BL37" s="139">
        <f t="shared" si="42"/>
        <v>5</v>
      </c>
      <c r="BM37" s="139">
        <f t="shared" si="42"/>
        <v>5</v>
      </c>
      <c r="BN37" s="139">
        <f t="shared" si="42"/>
        <v>5</v>
      </c>
      <c r="BO37" s="139">
        <f t="shared" si="42"/>
        <v>5</v>
      </c>
      <c r="BP37" s="139">
        <f t="shared" si="42"/>
        <v>5</v>
      </c>
      <c r="BQ37" s="139">
        <f t="shared" si="42"/>
        <v>5</v>
      </c>
      <c r="BR37" s="139">
        <f t="shared" si="42"/>
        <v>5</v>
      </c>
      <c r="BS37" s="139">
        <f t="shared" si="42"/>
        <v>5</v>
      </c>
      <c r="BU37" s="139">
        <f t="shared" si="11"/>
        <v>60</v>
      </c>
      <c r="BV37" s="139">
        <f t="shared" si="12"/>
        <v>60</v>
      </c>
      <c r="BW37" s="139">
        <f t="shared" si="13"/>
        <v>60</v>
      </c>
      <c r="BX37" s="139">
        <f t="shared" si="14"/>
        <v>60</v>
      </c>
      <c r="BY37" s="139">
        <f t="shared" si="15"/>
        <v>60</v>
      </c>
    </row>
    <row r="38" spans="3:77" outlineLevel="1">
      <c r="C38" s="155"/>
      <c r="E38" s="139" t="s">
        <v>506</v>
      </c>
      <c r="H38" s="311">
        <f>기타비용분석!H26/12</f>
        <v>3.3333333333333335</v>
      </c>
      <c r="I38" s="139" t="s">
        <v>555</v>
      </c>
      <c r="L38" s="139">
        <f t="shared" ref="L38:BS38" si="43">$H38*L168</f>
        <v>3.3333333333333335</v>
      </c>
      <c r="M38" s="139">
        <f t="shared" si="43"/>
        <v>3.3333333333333335</v>
      </c>
      <c r="N38" s="139">
        <f t="shared" si="43"/>
        <v>3.3333333333333335</v>
      </c>
      <c r="O38" s="139">
        <f t="shared" si="43"/>
        <v>3.3333333333333335</v>
      </c>
      <c r="P38" s="139">
        <f t="shared" si="43"/>
        <v>3.3333333333333335</v>
      </c>
      <c r="Q38" s="139">
        <f t="shared" si="43"/>
        <v>3.3333333333333335</v>
      </c>
      <c r="R38" s="139">
        <f t="shared" si="43"/>
        <v>3.3333333333333335</v>
      </c>
      <c r="S38" s="139">
        <f t="shared" si="43"/>
        <v>3.3333333333333335</v>
      </c>
      <c r="T38" s="139">
        <f t="shared" si="43"/>
        <v>3.3333333333333335</v>
      </c>
      <c r="U38" s="139">
        <f t="shared" si="43"/>
        <v>3.3333333333333335</v>
      </c>
      <c r="V38" s="139">
        <f t="shared" si="43"/>
        <v>3.3333333333333335</v>
      </c>
      <c r="W38" s="139">
        <f t="shared" si="43"/>
        <v>3.3333333333333335</v>
      </c>
      <c r="X38" s="139">
        <f t="shared" si="43"/>
        <v>6.666666666666667</v>
      </c>
      <c r="Y38" s="139">
        <f t="shared" si="43"/>
        <v>6.666666666666667</v>
      </c>
      <c r="Z38" s="139">
        <f t="shared" si="43"/>
        <v>6.666666666666667</v>
      </c>
      <c r="AA38" s="139">
        <f t="shared" si="43"/>
        <v>6.666666666666667</v>
      </c>
      <c r="AB38" s="139">
        <f t="shared" si="43"/>
        <v>6.666666666666667</v>
      </c>
      <c r="AC38" s="139">
        <f t="shared" si="43"/>
        <v>6.666666666666667</v>
      </c>
      <c r="AD38" s="139">
        <f t="shared" si="43"/>
        <v>6.666666666666667</v>
      </c>
      <c r="AE38" s="139">
        <f t="shared" si="43"/>
        <v>6.666666666666667</v>
      </c>
      <c r="AF38" s="139">
        <f t="shared" si="43"/>
        <v>6.666666666666667</v>
      </c>
      <c r="AG38" s="139">
        <f t="shared" si="43"/>
        <v>6.666666666666667</v>
      </c>
      <c r="AH38" s="139">
        <f t="shared" si="43"/>
        <v>6.666666666666667</v>
      </c>
      <c r="AI38" s="139">
        <f t="shared" si="43"/>
        <v>6.666666666666667</v>
      </c>
      <c r="AJ38" s="139">
        <f t="shared" si="43"/>
        <v>10</v>
      </c>
      <c r="AK38" s="139">
        <f t="shared" si="43"/>
        <v>10</v>
      </c>
      <c r="AL38" s="139">
        <f t="shared" si="43"/>
        <v>10</v>
      </c>
      <c r="AM38" s="139">
        <f t="shared" si="43"/>
        <v>10</v>
      </c>
      <c r="AN38" s="139">
        <f t="shared" si="43"/>
        <v>10</v>
      </c>
      <c r="AO38" s="139">
        <f t="shared" si="43"/>
        <v>10</v>
      </c>
      <c r="AP38" s="139">
        <f t="shared" si="43"/>
        <v>10</v>
      </c>
      <c r="AQ38" s="139">
        <f t="shared" si="43"/>
        <v>10</v>
      </c>
      <c r="AR38" s="139">
        <f t="shared" si="43"/>
        <v>10</v>
      </c>
      <c r="AS38" s="139">
        <f t="shared" si="43"/>
        <v>10</v>
      </c>
      <c r="AT38" s="139">
        <f t="shared" si="43"/>
        <v>10</v>
      </c>
      <c r="AU38" s="139">
        <f t="shared" si="43"/>
        <v>10</v>
      </c>
      <c r="AV38" s="139">
        <f t="shared" si="43"/>
        <v>10</v>
      </c>
      <c r="AW38" s="139">
        <f t="shared" si="43"/>
        <v>10</v>
      </c>
      <c r="AX38" s="139">
        <f t="shared" si="43"/>
        <v>10</v>
      </c>
      <c r="AY38" s="139">
        <f t="shared" si="43"/>
        <v>10</v>
      </c>
      <c r="AZ38" s="139">
        <f t="shared" si="43"/>
        <v>10</v>
      </c>
      <c r="BA38" s="139">
        <f t="shared" si="43"/>
        <v>10</v>
      </c>
      <c r="BB38" s="139">
        <f t="shared" si="43"/>
        <v>10</v>
      </c>
      <c r="BC38" s="139">
        <f t="shared" si="43"/>
        <v>10</v>
      </c>
      <c r="BD38" s="139">
        <f t="shared" si="43"/>
        <v>10</v>
      </c>
      <c r="BE38" s="139">
        <f t="shared" si="43"/>
        <v>10</v>
      </c>
      <c r="BF38" s="139">
        <f t="shared" si="43"/>
        <v>10</v>
      </c>
      <c r="BG38" s="139">
        <f t="shared" si="43"/>
        <v>10</v>
      </c>
      <c r="BH38" s="139">
        <f t="shared" si="43"/>
        <v>10</v>
      </c>
      <c r="BI38" s="139">
        <f t="shared" si="43"/>
        <v>10</v>
      </c>
      <c r="BJ38" s="139">
        <f t="shared" si="43"/>
        <v>10</v>
      </c>
      <c r="BK38" s="139">
        <f t="shared" si="43"/>
        <v>10</v>
      </c>
      <c r="BL38" s="139">
        <f t="shared" si="43"/>
        <v>10</v>
      </c>
      <c r="BM38" s="139">
        <f t="shared" si="43"/>
        <v>10</v>
      </c>
      <c r="BN38" s="139">
        <f t="shared" si="43"/>
        <v>10</v>
      </c>
      <c r="BO38" s="139">
        <f t="shared" si="43"/>
        <v>10</v>
      </c>
      <c r="BP38" s="139">
        <f t="shared" si="43"/>
        <v>10</v>
      </c>
      <c r="BQ38" s="139">
        <f t="shared" si="43"/>
        <v>10</v>
      </c>
      <c r="BR38" s="139">
        <f t="shared" si="43"/>
        <v>10</v>
      </c>
      <c r="BS38" s="139">
        <f t="shared" si="43"/>
        <v>10</v>
      </c>
      <c r="BU38" s="139">
        <f t="shared" si="11"/>
        <v>40</v>
      </c>
      <c r="BV38" s="139">
        <f t="shared" si="12"/>
        <v>80</v>
      </c>
      <c r="BW38" s="139">
        <f t="shared" si="13"/>
        <v>120</v>
      </c>
      <c r="BX38" s="139">
        <f t="shared" si="14"/>
        <v>120</v>
      </c>
      <c r="BY38" s="139">
        <f t="shared" si="15"/>
        <v>120</v>
      </c>
    </row>
    <row r="39" spans="3:77" outlineLevel="1">
      <c r="C39" s="155"/>
      <c r="E39" s="139" t="s">
        <v>507</v>
      </c>
      <c r="G39" s="165" t="s">
        <v>562</v>
      </c>
      <c r="H39" s="165"/>
      <c r="I39" s="158" t="s">
        <v>557</v>
      </c>
      <c r="J39" s="158"/>
      <c r="K39" s="158"/>
      <c r="L39" s="139">
        <f t="shared" ref="L39:BS39" si="44">$H39*L169</f>
        <v>0</v>
      </c>
      <c r="M39" s="139">
        <f t="shared" si="44"/>
        <v>0</v>
      </c>
      <c r="N39" s="139">
        <f t="shared" si="44"/>
        <v>0</v>
      </c>
      <c r="O39" s="139">
        <f t="shared" si="44"/>
        <v>0</v>
      </c>
      <c r="P39" s="139">
        <f t="shared" si="44"/>
        <v>0</v>
      </c>
      <c r="Q39" s="139">
        <f t="shared" si="44"/>
        <v>0</v>
      </c>
      <c r="R39" s="139">
        <f t="shared" si="44"/>
        <v>0</v>
      </c>
      <c r="S39" s="139">
        <f t="shared" si="44"/>
        <v>0</v>
      </c>
      <c r="T39" s="139">
        <f t="shared" si="44"/>
        <v>0</v>
      </c>
      <c r="U39" s="139">
        <f t="shared" si="44"/>
        <v>0</v>
      </c>
      <c r="V39" s="139">
        <f t="shared" si="44"/>
        <v>0</v>
      </c>
      <c r="W39" s="139">
        <f t="shared" si="44"/>
        <v>0</v>
      </c>
      <c r="X39" s="139">
        <f t="shared" si="44"/>
        <v>0</v>
      </c>
      <c r="Y39" s="139">
        <f t="shared" si="44"/>
        <v>0</v>
      </c>
      <c r="Z39" s="139">
        <f t="shared" si="44"/>
        <v>0</v>
      </c>
      <c r="AA39" s="139">
        <f t="shared" si="44"/>
        <v>0</v>
      </c>
      <c r="AB39" s="139">
        <f t="shared" si="44"/>
        <v>0</v>
      </c>
      <c r="AC39" s="139">
        <f t="shared" si="44"/>
        <v>0</v>
      </c>
      <c r="AD39" s="139">
        <f t="shared" si="44"/>
        <v>0</v>
      </c>
      <c r="AE39" s="139">
        <f t="shared" si="44"/>
        <v>0</v>
      </c>
      <c r="AF39" s="139">
        <f t="shared" si="44"/>
        <v>0</v>
      </c>
      <c r="AG39" s="139">
        <f t="shared" si="44"/>
        <v>0</v>
      </c>
      <c r="AH39" s="139">
        <f t="shared" si="44"/>
        <v>0</v>
      </c>
      <c r="AI39" s="139">
        <f t="shared" si="44"/>
        <v>0</v>
      </c>
      <c r="AJ39" s="139">
        <f t="shared" si="44"/>
        <v>0</v>
      </c>
      <c r="AK39" s="139">
        <f t="shared" si="44"/>
        <v>0</v>
      </c>
      <c r="AL39" s="139">
        <f t="shared" si="44"/>
        <v>0</v>
      </c>
      <c r="AM39" s="139">
        <f t="shared" si="44"/>
        <v>0</v>
      </c>
      <c r="AN39" s="139">
        <f t="shared" si="44"/>
        <v>0</v>
      </c>
      <c r="AO39" s="139">
        <f t="shared" si="44"/>
        <v>0</v>
      </c>
      <c r="AP39" s="139">
        <f t="shared" si="44"/>
        <v>0</v>
      </c>
      <c r="AQ39" s="139">
        <f t="shared" si="44"/>
        <v>0</v>
      </c>
      <c r="AR39" s="139">
        <f t="shared" si="44"/>
        <v>0</v>
      </c>
      <c r="AS39" s="139">
        <f t="shared" si="44"/>
        <v>0</v>
      </c>
      <c r="AT39" s="139">
        <f t="shared" si="44"/>
        <v>0</v>
      </c>
      <c r="AU39" s="139">
        <f t="shared" si="44"/>
        <v>0</v>
      </c>
      <c r="AV39" s="139">
        <f t="shared" si="44"/>
        <v>0</v>
      </c>
      <c r="AW39" s="139">
        <f t="shared" si="44"/>
        <v>0</v>
      </c>
      <c r="AX39" s="139">
        <f t="shared" si="44"/>
        <v>0</v>
      </c>
      <c r="AY39" s="139">
        <f t="shared" si="44"/>
        <v>0</v>
      </c>
      <c r="AZ39" s="139">
        <f t="shared" si="44"/>
        <v>0</v>
      </c>
      <c r="BA39" s="139">
        <f t="shared" si="44"/>
        <v>0</v>
      </c>
      <c r="BB39" s="139">
        <f t="shared" si="44"/>
        <v>0</v>
      </c>
      <c r="BC39" s="139">
        <f t="shared" si="44"/>
        <v>0</v>
      </c>
      <c r="BD39" s="139">
        <f t="shared" si="44"/>
        <v>0</v>
      </c>
      <c r="BE39" s="139">
        <f t="shared" si="44"/>
        <v>0</v>
      </c>
      <c r="BF39" s="139">
        <f t="shared" si="44"/>
        <v>0</v>
      </c>
      <c r="BG39" s="139">
        <f t="shared" si="44"/>
        <v>0</v>
      </c>
      <c r="BH39" s="139">
        <f t="shared" si="44"/>
        <v>0</v>
      </c>
      <c r="BI39" s="139">
        <f t="shared" si="44"/>
        <v>0</v>
      </c>
      <c r="BJ39" s="139">
        <f t="shared" si="44"/>
        <v>0</v>
      </c>
      <c r="BK39" s="139">
        <f t="shared" si="44"/>
        <v>0</v>
      </c>
      <c r="BL39" s="139">
        <f t="shared" si="44"/>
        <v>0</v>
      </c>
      <c r="BM39" s="139">
        <f t="shared" si="44"/>
        <v>0</v>
      </c>
      <c r="BN39" s="139">
        <f t="shared" si="44"/>
        <v>0</v>
      </c>
      <c r="BO39" s="139">
        <f t="shared" si="44"/>
        <v>0</v>
      </c>
      <c r="BP39" s="139">
        <f t="shared" si="44"/>
        <v>0</v>
      </c>
      <c r="BQ39" s="139">
        <f t="shared" si="44"/>
        <v>0</v>
      </c>
      <c r="BR39" s="139">
        <f t="shared" si="44"/>
        <v>0</v>
      </c>
      <c r="BS39" s="139">
        <f t="shared" si="44"/>
        <v>0</v>
      </c>
      <c r="BU39" s="139">
        <f t="shared" si="11"/>
        <v>0</v>
      </c>
      <c r="BV39" s="139">
        <f t="shared" si="12"/>
        <v>0</v>
      </c>
      <c r="BW39" s="139">
        <f t="shared" si="13"/>
        <v>0</v>
      </c>
      <c r="BX39" s="139">
        <f t="shared" si="14"/>
        <v>0</v>
      </c>
      <c r="BY39" s="139">
        <f t="shared" si="15"/>
        <v>0</v>
      </c>
    </row>
    <row r="40" spans="3:77" outlineLevel="1">
      <c r="C40" s="155"/>
      <c r="E40" s="139" t="s">
        <v>508</v>
      </c>
      <c r="F40" s="139" t="s">
        <v>561</v>
      </c>
      <c r="G40" s="139">
        <v>1</v>
      </c>
      <c r="H40" s="311">
        <f>기타비용분석!H28/12</f>
        <v>2.9166666666666665</v>
      </c>
      <c r="I40" s="139" t="s">
        <v>555</v>
      </c>
      <c r="L40" s="139">
        <f t="shared" ref="L40:BS40" si="45">$H40*L170</f>
        <v>0</v>
      </c>
      <c r="M40" s="139">
        <f t="shared" si="45"/>
        <v>0</v>
      </c>
      <c r="N40" s="139">
        <f t="shared" si="45"/>
        <v>0</v>
      </c>
      <c r="O40" s="139">
        <f t="shared" si="45"/>
        <v>0</v>
      </c>
      <c r="P40" s="139">
        <f t="shared" si="45"/>
        <v>0</v>
      </c>
      <c r="Q40" s="139">
        <f t="shared" si="45"/>
        <v>0</v>
      </c>
      <c r="R40" s="139">
        <f t="shared" si="45"/>
        <v>23.333333333333332</v>
      </c>
      <c r="S40" s="139">
        <f t="shared" si="45"/>
        <v>23.333333333333332</v>
      </c>
      <c r="T40" s="139">
        <f t="shared" si="45"/>
        <v>23.333333333333332</v>
      </c>
      <c r="U40" s="139">
        <f t="shared" si="45"/>
        <v>23.333333333333332</v>
      </c>
      <c r="V40" s="139">
        <f t="shared" si="45"/>
        <v>23.333333333333332</v>
      </c>
      <c r="W40" s="139">
        <f t="shared" si="45"/>
        <v>23.333333333333332</v>
      </c>
      <c r="X40" s="139">
        <f t="shared" si="45"/>
        <v>29.166666666666664</v>
      </c>
      <c r="Y40" s="139">
        <f t="shared" si="45"/>
        <v>29.166666666666664</v>
      </c>
      <c r="Z40" s="139">
        <f t="shared" si="45"/>
        <v>29.166666666666664</v>
      </c>
      <c r="AA40" s="139">
        <f t="shared" si="45"/>
        <v>29.166666666666664</v>
      </c>
      <c r="AB40" s="139">
        <f t="shared" si="45"/>
        <v>29.166666666666664</v>
      </c>
      <c r="AC40" s="139">
        <f t="shared" si="45"/>
        <v>29.166666666666664</v>
      </c>
      <c r="AD40" s="139">
        <f t="shared" si="45"/>
        <v>35</v>
      </c>
      <c r="AE40" s="139">
        <f t="shared" si="45"/>
        <v>35</v>
      </c>
      <c r="AF40" s="139">
        <f t="shared" si="45"/>
        <v>35</v>
      </c>
      <c r="AG40" s="139">
        <f t="shared" si="45"/>
        <v>35</v>
      </c>
      <c r="AH40" s="139">
        <f t="shared" si="45"/>
        <v>35</v>
      </c>
      <c r="AI40" s="139">
        <f t="shared" si="45"/>
        <v>35</v>
      </c>
      <c r="AJ40" s="139">
        <f t="shared" si="45"/>
        <v>40.833333333333329</v>
      </c>
      <c r="AK40" s="139">
        <f t="shared" si="45"/>
        <v>40.833333333333329</v>
      </c>
      <c r="AL40" s="139">
        <f t="shared" si="45"/>
        <v>40.833333333333329</v>
      </c>
      <c r="AM40" s="139">
        <f t="shared" si="45"/>
        <v>40.833333333333329</v>
      </c>
      <c r="AN40" s="139">
        <f t="shared" si="45"/>
        <v>40.833333333333329</v>
      </c>
      <c r="AO40" s="139">
        <f t="shared" si="45"/>
        <v>40.833333333333329</v>
      </c>
      <c r="AP40" s="139">
        <f t="shared" si="45"/>
        <v>46.666666666666664</v>
      </c>
      <c r="AQ40" s="139">
        <f t="shared" si="45"/>
        <v>46.666666666666664</v>
      </c>
      <c r="AR40" s="139">
        <f t="shared" si="45"/>
        <v>46.666666666666664</v>
      </c>
      <c r="AS40" s="139">
        <f t="shared" si="45"/>
        <v>46.666666666666664</v>
      </c>
      <c r="AT40" s="139">
        <f t="shared" si="45"/>
        <v>46.666666666666664</v>
      </c>
      <c r="AU40" s="139">
        <f t="shared" si="45"/>
        <v>46.666666666666664</v>
      </c>
      <c r="AV40" s="139">
        <f t="shared" si="45"/>
        <v>52.5</v>
      </c>
      <c r="AW40" s="139">
        <f t="shared" si="45"/>
        <v>52.5</v>
      </c>
      <c r="AX40" s="139">
        <f t="shared" si="45"/>
        <v>52.5</v>
      </c>
      <c r="AY40" s="139">
        <f t="shared" si="45"/>
        <v>52.5</v>
      </c>
      <c r="AZ40" s="139">
        <f t="shared" si="45"/>
        <v>52.5</v>
      </c>
      <c r="BA40" s="139">
        <f t="shared" si="45"/>
        <v>52.5</v>
      </c>
      <c r="BB40" s="139">
        <f t="shared" si="45"/>
        <v>58.333333333333329</v>
      </c>
      <c r="BC40" s="139">
        <f t="shared" si="45"/>
        <v>58.333333333333329</v>
      </c>
      <c r="BD40" s="139">
        <f t="shared" si="45"/>
        <v>58.333333333333329</v>
      </c>
      <c r="BE40" s="139">
        <f t="shared" si="45"/>
        <v>58.333333333333329</v>
      </c>
      <c r="BF40" s="139">
        <f t="shared" si="45"/>
        <v>58.333333333333329</v>
      </c>
      <c r="BG40" s="139">
        <f t="shared" si="45"/>
        <v>58.333333333333329</v>
      </c>
      <c r="BH40" s="139">
        <f t="shared" si="45"/>
        <v>58.333333333333329</v>
      </c>
      <c r="BI40" s="139">
        <f t="shared" si="45"/>
        <v>58.333333333333329</v>
      </c>
      <c r="BJ40" s="139">
        <f t="shared" si="45"/>
        <v>58.333333333333329</v>
      </c>
      <c r="BK40" s="139">
        <f t="shared" si="45"/>
        <v>58.333333333333329</v>
      </c>
      <c r="BL40" s="139">
        <f t="shared" si="45"/>
        <v>58.333333333333329</v>
      </c>
      <c r="BM40" s="139">
        <f t="shared" si="45"/>
        <v>58.333333333333329</v>
      </c>
      <c r="BN40" s="139">
        <f t="shared" si="45"/>
        <v>58.333333333333329</v>
      </c>
      <c r="BO40" s="139">
        <f t="shared" si="45"/>
        <v>58.333333333333329</v>
      </c>
      <c r="BP40" s="139">
        <f t="shared" si="45"/>
        <v>58.333333333333329</v>
      </c>
      <c r="BQ40" s="139">
        <f t="shared" si="45"/>
        <v>58.333333333333329</v>
      </c>
      <c r="BR40" s="139">
        <f t="shared" si="45"/>
        <v>58.333333333333329</v>
      </c>
      <c r="BS40" s="139">
        <f t="shared" si="45"/>
        <v>58.333333333333329</v>
      </c>
      <c r="BU40" s="139">
        <f t="shared" si="11"/>
        <v>140</v>
      </c>
      <c r="BV40" s="139">
        <f t="shared" si="12"/>
        <v>385</v>
      </c>
      <c r="BW40" s="139">
        <f t="shared" si="13"/>
        <v>525</v>
      </c>
      <c r="BX40" s="139">
        <f t="shared" si="14"/>
        <v>665</v>
      </c>
      <c r="BY40" s="139">
        <f t="shared" si="15"/>
        <v>700</v>
      </c>
    </row>
    <row r="41" spans="3:77" s="155" customFormat="1">
      <c r="D41" s="155" t="s">
        <v>216</v>
      </c>
      <c r="L41" s="155">
        <f t="shared" ref="L41:BR41" si="46">SUBTOTAL(9,L42:L46)</f>
        <v>0</v>
      </c>
      <c r="M41" s="155">
        <f t="shared" si="46"/>
        <v>0</v>
      </c>
      <c r="N41" s="155">
        <f t="shared" si="46"/>
        <v>0</v>
      </c>
      <c r="O41" s="155">
        <f t="shared" si="46"/>
        <v>0</v>
      </c>
      <c r="P41" s="155">
        <f t="shared" si="46"/>
        <v>0</v>
      </c>
      <c r="Q41" s="155">
        <f t="shared" si="46"/>
        <v>0</v>
      </c>
      <c r="R41" s="155">
        <f t="shared" si="46"/>
        <v>153.33333333333331</v>
      </c>
      <c r="S41" s="155">
        <f t="shared" si="46"/>
        <v>153.33333333333331</v>
      </c>
      <c r="T41" s="155">
        <f t="shared" si="46"/>
        <v>153.33333333333331</v>
      </c>
      <c r="U41" s="155">
        <f t="shared" si="46"/>
        <v>153.33333333333331</v>
      </c>
      <c r="V41" s="155">
        <f t="shared" si="46"/>
        <v>153.33333333333331</v>
      </c>
      <c r="W41" s="155">
        <f t="shared" si="46"/>
        <v>153.33333333333331</v>
      </c>
      <c r="X41" s="155">
        <f t="shared" si="46"/>
        <v>191.66666666666666</v>
      </c>
      <c r="Y41" s="155">
        <f t="shared" si="46"/>
        <v>191.66666666666666</v>
      </c>
      <c r="Z41" s="155">
        <f t="shared" si="46"/>
        <v>191.66666666666666</v>
      </c>
      <c r="AA41" s="155">
        <f t="shared" si="46"/>
        <v>191.66666666666666</v>
      </c>
      <c r="AB41" s="155">
        <f t="shared" si="46"/>
        <v>191.66666666666666</v>
      </c>
      <c r="AC41" s="155">
        <f t="shared" si="46"/>
        <v>191.66666666666666</v>
      </c>
      <c r="AD41" s="155">
        <f t="shared" si="46"/>
        <v>230</v>
      </c>
      <c r="AE41" s="155">
        <f t="shared" si="46"/>
        <v>230</v>
      </c>
      <c r="AF41" s="155">
        <f t="shared" si="46"/>
        <v>230</v>
      </c>
      <c r="AG41" s="155">
        <f t="shared" si="46"/>
        <v>230</v>
      </c>
      <c r="AH41" s="155">
        <f t="shared" si="46"/>
        <v>230</v>
      </c>
      <c r="AI41" s="155">
        <f t="shared" si="46"/>
        <v>230</v>
      </c>
      <c r="AJ41" s="155">
        <f t="shared" si="46"/>
        <v>268.33333333333331</v>
      </c>
      <c r="AK41" s="155">
        <f t="shared" si="46"/>
        <v>268.33333333333331</v>
      </c>
      <c r="AL41" s="155">
        <f t="shared" si="46"/>
        <v>268.33333333333331</v>
      </c>
      <c r="AM41" s="155">
        <f t="shared" si="46"/>
        <v>268.33333333333331</v>
      </c>
      <c r="AN41" s="155">
        <f t="shared" si="46"/>
        <v>268.33333333333331</v>
      </c>
      <c r="AO41" s="155">
        <f t="shared" si="46"/>
        <v>268.33333333333331</v>
      </c>
      <c r="AP41" s="155">
        <f t="shared" si="46"/>
        <v>306.66666666666663</v>
      </c>
      <c r="AQ41" s="155">
        <f t="shared" si="46"/>
        <v>306.66666666666663</v>
      </c>
      <c r="AR41" s="155">
        <f t="shared" si="46"/>
        <v>306.66666666666663</v>
      </c>
      <c r="AS41" s="155">
        <f t="shared" si="46"/>
        <v>306.66666666666663</v>
      </c>
      <c r="AT41" s="155">
        <f t="shared" si="46"/>
        <v>306.66666666666663</v>
      </c>
      <c r="AU41" s="155">
        <f t="shared" si="46"/>
        <v>306.66666666666663</v>
      </c>
      <c r="AV41" s="155">
        <f t="shared" si="46"/>
        <v>345</v>
      </c>
      <c r="AW41" s="155">
        <f t="shared" si="46"/>
        <v>345</v>
      </c>
      <c r="AX41" s="155">
        <f t="shared" si="46"/>
        <v>345</v>
      </c>
      <c r="AY41" s="155">
        <f t="shared" si="46"/>
        <v>345</v>
      </c>
      <c r="AZ41" s="155">
        <f t="shared" si="46"/>
        <v>345</v>
      </c>
      <c r="BA41" s="155">
        <f t="shared" si="46"/>
        <v>345</v>
      </c>
      <c r="BB41" s="155">
        <f t="shared" si="46"/>
        <v>383.33333333333331</v>
      </c>
      <c r="BC41" s="155">
        <f t="shared" si="46"/>
        <v>383.33333333333331</v>
      </c>
      <c r="BD41" s="155">
        <f t="shared" si="46"/>
        <v>383.33333333333331</v>
      </c>
      <c r="BE41" s="155">
        <f t="shared" si="46"/>
        <v>383.33333333333331</v>
      </c>
      <c r="BF41" s="155">
        <f t="shared" si="46"/>
        <v>383.33333333333331</v>
      </c>
      <c r="BG41" s="155">
        <f t="shared" si="46"/>
        <v>383.33333333333331</v>
      </c>
      <c r="BH41" s="155">
        <f t="shared" si="46"/>
        <v>383.33333333333331</v>
      </c>
      <c r="BI41" s="155">
        <f t="shared" si="46"/>
        <v>383.33333333333331</v>
      </c>
      <c r="BJ41" s="155">
        <f t="shared" si="46"/>
        <v>383.33333333333331</v>
      </c>
      <c r="BK41" s="155">
        <f t="shared" si="46"/>
        <v>383.33333333333331</v>
      </c>
      <c r="BL41" s="155">
        <f t="shared" si="46"/>
        <v>383.33333333333331</v>
      </c>
      <c r="BM41" s="155">
        <f t="shared" si="46"/>
        <v>383.33333333333331</v>
      </c>
      <c r="BN41" s="155">
        <f t="shared" si="46"/>
        <v>383.33333333333331</v>
      </c>
      <c r="BO41" s="155">
        <f t="shared" si="46"/>
        <v>383.33333333333331</v>
      </c>
      <c r="BP41" s="155">
        <f t="shared" si="46"/>
        <v>383.33333333333331</v>
      </c>
      <c r="BQ41" s="155">
        <f t="shared" si="46"/>
        <v>383.33333333333331</v>
      </c>
      <c r="BR41" s="155">
        <f t="shared" si="46"/>
        <v>383.33333333333331</v>
      </c>
      <c r="BS41" s="155">
        <f>SUBTOTAL(9,BS42:BS46)</f>
        <v>383.33333333333331</v>
      </c>
      <c r="BU41" s="155">
        <f t="shared" si="11"/>
        <v>919.99999999999977</v>
      </c>
      <c r="BV41" s="155">
        <f t="shared" si="12"/>
        <v>2530</v>
      </c>
      <c r="BW41" s="155">
        <f t="shared" si="13"/>
        <v>3449.9999999999991</v>
      </c>
      <c r="BX41" s="155">
        <f t="shared" si="14"/>
        <v>4370.0000000000009</v>
      </c>
      <c r="BY41" s="155">
        <f t="shared" si="15"/>
        <v>4600</v>
      </c>
    </row>
    <row r="42" spans="3:77" outlineLevel="1">
      <c r="C42" s="155"/>
      <c r="E42" s="139" t="s">
        <v>498</v>
      </c>
      <c r="G42" s="165" t="s">
        <v>562</v>
      </c>
      <c r="H42" s="165"/>
      <c r="I42" s="165"/>
      <c r="J42" s="165"/>
      <c r="K42" s="165"/>
      <c r="L42" s="139">
        <f t="shared" ref="L42:BS42" si="47">$H42*L172</f>
        <v>0</v>
      </c>
      <c r="M42" s="139">
        <f t="shared" si="47"/>
        <v>0</v>
      </c>
      <c r="N42" s="139">
        <f t="shared" si="47"/>
        <v>0</v>
      </c>
      <c r="O42" s="139">
        <f t="shared" si="47"/>
        <v>0</v>
      </c>
      <c r="P42" s="139">
        <f t="shared" si="47"/>
        <v>0</v>
      </c>
      <c r="Q42" s="139">
        <f t="shared" si="47"/>
        <v>0</v>
      </c>
      <c r="R42" s="139">
        <f t="shared" si="47"/>
        <v>0</v>
      </c>
      <c r="S42" s="139">
        <f t="shared" si="47"/>
        <v>0</v>
      </c>
      <c r="T42" s="139">
        <f t="shared" si="47"/>
        <v>0</v>
      </c>
      <c r="U42" s="139">
        <f t="shared" si="47"/>
        <v>0</v>
      </c>
      <c r="V42" s="139">
        <f t="shared" si="47"/>
        <v>0</v>
      </c>
      <c r="W42" s="139">
        <f t="shared" si="47"/>
        <v>0</v>
      </c>
      <c r="X42" s="139">
        <f t="shared" si="47"/>
        <v>0</v>
      </c>
      <c r="Y42" s="139">
        <f t="shared" si="47"/>
        <v>0</v>
      </c>
      <c r="Z42" s="139">
        <f t="shared" si="47"/>
        <v>0</v>
      </c>
      <c r="AA42" s="139">
        <f t="shared" si="47"/>
        <v>0</v>
      </c>
      <c r="AB42" s="139">
        <f t="shared" si="47"/>
        <v>0</v>
      </c>
      <c r="AC42" s="139">
        <f t="shared" si="47"/>
        <v>0</v>
      </c>
      <c r="AD42" s="139">
        <f t="shared" si="47"/>
        <v>0</v>
      </c>
      <c r="AE42" s="139">
        <f t="shared" si="47"/>
        <v>0</v>
      </c>
      <c r="AF42" s="139">
        <f t="shared" si="47"/>
        <v>0</v>
      </c>
      <c r="AG42" s="139">
        <f t="shared" si="47"/>
        <v>0</v>
      </c>
      <c r="AH42" s="139">
        <f t="shared" si="47"/>
        <v>0</v>
      </c>
      <c r="AI42" s="139">
        <f t="shared" si="47"/>
        <v>0</v>
      </c>
      <c r="AJ42" s="139">
        <f t="shared" si="47"/>
        <v>0</v>
      </c>
      <c r="AK42" s="139">
        <f t="shared" si="47"/>
        <v>0</v>
      </c>
      <c r="AL42" s="139">
        <f t="shared" si="47"/>
        <v>0</v>
      </c>
      <c r="AM42" s="139">
        <f t="shared" si="47"/>
        <v>0</v>
      </c>
      <c r="AN42" s="139">
        <f t="shared" si="47"/>
        <v>0</v>
      </c>
      <c r="AO42" s="139">
        <f t="shared" si="47"/>
        <v>0</v>
      </c>
      <c r="AP42" s="139">
        <f t="shared" si="47"/>
        <v>0</v>
      </c>
      <c r="AQ42" s="139">
        <f t="shared" si="47"/>
        <v>0</v>
      </c>
      <c r="AR42" s="139">
        <f t="shared" si="47"/>
        <v>0</v>
      </c>
      <c r="AS42" s="139">
        <f t="shared" si="47"/>
        <v>0</v>
      </c>
      <c r="AT42" s="139">
        <f t="shared" si="47"/>
        <v>0</v>
      </c>
      <c r="AU42" s="139">
        <f t="shared" si="47"/>
        <v>0</v>
      </c>
      <c r="AV42" s="139">
        <f t="shared" si="47"/>
        <v>0</v>
      </c>
      <c r="AW42" s="139">
        <f t="shared" si="47"/>
        <v>0</v>
      </c>
      <c r="AX42" s="139">
        <f t="shared" si="47"/>
        <v>0</v>
      </c>
      <c r="AY42" s="139">
        <f t="shared" si="47"/>
        <v>0</v>
      </c>
      <c r="AZ42" s="139">
        <f t="shared" si="47"/>
        <v>0</v>
      </c>
      <c r="BA42" s="139">
        <f t="shared" si="47"/>
        <v>0</v>
      </c>
      <c r="BB42" s="139">
        <f t="shared" si="47"/>
        <v>0</v>
      </c>
      <c r="BC42" s="139">
        <f t="shared" si="47"/>
        <v>0</v>
      </c>
      <c r="BD42" s="139">
        <f t="shared" si="47"/>
        <v>0</v>
      </c>
      <c r="BE42" s="139">
        <f t="shared" si="47"/>
        <v>0</v>
      </c>
      <c r="BF42" s="139">
        <f t="shared" si="47"/>
        <v>0</v>
      </c>
      <c r="BG42" s="139">
        <f t="shared" si="47"/>
        <v>0</v>
      </c>
      <c r="BH42" s="139">
        <f t="shared" si="47"/>
        <v>0</v>
      </c>
      <c r="BI42" s="139">
        <f t="shared" si="47"/>
        <v>0</v>
      </c>
      <c r="BJ42" s="139">
        <f t="shared" si="47"/>
        <v>0</v>
      </c>
      <c r="BK42" s="139">
        <f t="shared" si="47"/>
        <v>0</v>
      </c>
      <c r="BL42" s="139">
        <f t="shared" si="47"/>
        <v>0</v>
      </c>
      <c r="BM42" s="139">
        <f t="shared" si="47"/>
        <v>0</v>
      </c>
      <c r="BN42" s="139">
        <f t="shared" si="47"/>
        <v>0</v>
      </c>
      <c r="BO42" s="139">
        <f t="shared" si="47"/>
        <v>0</v>
      </c>
      <c r="BP42" s="139">
        <f t="shared" si="47"/>
        <v>0</v>
      </c>
      <c r="BQ42" s="139">
        <f t="shared" si="47"/>
        <v>0</v>
      </c>
      <c r="BR42" s="139">
        <f t="shared" si="47"/>
        <v>0</v>
      </c>
      <c r="BS42" s="139">
        <f t="shared" si="47"/>
        <v>0</v>
      </c>
      <c r="BU42" s="139">
        <f t="shared" si="11"/>
        <v>0</v>
      </c>
      <c r="BV42" s="139">
        <f t="shared" si="12"/>
        <v>0</v>
      </c>
      <c r="BW42" s="139">
        <f t="shared" si="13"/>
        <v>0</v>
      </c>
      <c r="BX42" s="139">
        <f t="shared" si="14"/>
        <v>0</v>
      </c>
      <c r="BY42" s="139">
        <f t="shared" si="15"/>
        <v>0</v>
      </c>
    </row>
    <row r="43" spans="3:77" outlineLevel="1">
      <c r="C43" s="155"/>
      <c r="E43" s="139" t="s">
        <v>512</v>
      </c>
      <c r="F43" s="139" t="s">
        <v>566</v>
      </c>
      <c r="G43" s="139" t="s">
        <v>565</v>
      </c>
      <c r="H43" s="311">
        <f>기타비용분석!H31/12</f>
        <v>5.833333333333333</v>
      </c>
      <c r="L43" s="139">
        <f t="shared" ref="L43:BS43" si="48">$H43*L173</f>
        <v>0</v>
      </c>
      <c r="M43" s="139">
        <f t="shared" si="48"/>
        <v>0</v>
      </c>
      <c r="N43" s="139">
        <f t="shared" si="48"/>
        <v>0</v>
      </c>
      <c r="O43" s="139">
        <f t="shared" si="48"/>
        <v>0</v>
      </c>
      <c r="P43" s="139">
        <f t="shared" si="48"/>
        <v>0</v>
      </c>
      <c r="Q43" s="139">
        <f t="shared" si="48"/>
        <v>0</v>
      </c>
      <c r="R43" s="139">
        <f t="shared" si="48"/>
        <v>23.333333333333332</v>
      </c>
      <c r="S43" s="139">
        <f t="shared" si="48"/>
        <v>23.333333333333332</v>
      </c>
      <c r="T43" s="139">
        <f t="shared" si="48"/>
        <v>23.333333333333332</v>
      </c>
      <c r="U43" s="139">
        <f t="shared" si="48"/>
        <v>23.333333333333332</v>
      </c>
      <c r="V43" s="139">
        <f t="shared" si="48"/>
        <v>23.333333333333332</v>
      </c>
      <c r="W43" s="139">
        <f t="shared" si="48"/>
        <v>23.333333333333332</v>
      </c>
      <c r="X43" s="139">
        <f t="shared" si="48"/>
        <v>29.166666666666664</v>
      </c>
      <c r="Y43" s="139">
        <f t="shared" si="48"/>
        <v>29.166666666666664</v>
      </c>
      <c r="Z43" s="139">
        <f t="shared" si="48"/>
        <v>29.166666666666664</v>
      </c>
      <c r="AA43" s="139">
        <f t="shared" si="48"/>
        <v>29.166666666666664</v>
      </c>
      <c r="AB43" s="139">
        <f t="shared" si="48"/>
        <v>29.166666666666664</v>
      </c>
      <c r="AC43" s="139">
        <f t="shared" si="48"/>
        <v>29.166666666666664</v>
      </c>
      <c r="AD43" s="139">
        <f t="shared" si="48"/>
        <v>35</v>
      </c>
      <c r="AE43" s="139">
        <f t="shared" si="48"/>
        <v>35</v>
      </c>
      <c r="AF43" s="139">
        <f t="shared" si="48"/>
        <v>35</v>
      </c>
      <c r="AG43" s="139">
        <f t="shared" si="48"/>
        <v>35</v>
      </c>
      <c r="AH43" s="139">
        <f t="shared" si="48"/>
        <v>35</v>
      </c>
      <c r="AI43" s="139">
        <f t="shared" si="48"/>
        <v>35</v>
      </c>
      <c r="AJ43" s="139">
        <f t="shared" si="48"/>
        <v>40.833333333333329</v>
      </c>
      <c r="AK43" s="139">
        <f t="shared" si="48"/>
        <v>40.833333333333329</v>
      </c>
      <c r="AL43" s="139">
        <f t="shared" si="48"/>
        <v>40.833333333333329</v>
      </c>
      <c r="AM43" s="139">
        <f t="shared" si="48"/>
        <v>40.833333333333329</v>
      </c>
      <c r="AN43" s="139">
        <f t="shared" si="48"/>
        <v>40.833333333333329</v>
      </c>
      <c r="AO43" s="139">
        <f t="shared" si="48"/>
        <v>40.833333333333329</v>
      </c>
      <c r="AP43" s="139">
        <f t="shared" si="48"/>
        <v>46.666666666666664</v>
      </c>
      <c r="AQ43" s="139">
        <f t="shared" si="48"/>
        <v>46.666666666666664</v>
      </c>
      <c r="AR43" s="139">
        <f t="shared" si="48"/>
        <v>46.666666666666664</v>
      </c>
      <c r="AS43" s="139">
        <f t="shared" si="48"/>
        <v>46.666666666666664</v>
      </c>
      <c r="AT43" s="139">
        <f t="shared" si="48"/>
        <v>46.666666666666664</v>
      </c>
      <c r="AU43" s="139">
        <f t="shared" si="48"/>
        <v>46.666666666666664</v>
      </c>
      <c r="AV43" s="139">
        <f t="shared" si="48"/>
        <v>52.5</v>
      </c>
      <c r="AW43" s="139">
        <f t="shared" si="48"/>
        <v>52.5</v>
      </c>
      <c r="AX43" s="139">
        <f t="shared" si="48"/>
        <v>52.5</v>
      </c>
      <c r="AY43" s="139">
        <f t="shared" si="48"/>
        <v>52.5</v>
      </c>
      <c r="AZ43" s="139">
        <f t="shared" si="48"/>
        <v>52.5</v>
      </c>
      <c r="BA43" s="139">
        <f t="shared" si="48"/>
        <v>52.5</v>
      </c>
      <c r="BB43" s="139">
        <f t="shared" si="48"/>
        <v>58.333333333333329</v>
      </c>
      <c r="BC43" s="139">
        <f t="shared" si="48"/>
        <v>58.333333333333329</v>
      </c>
      <c r="BD43" s="139">
        <f t="shared" si="48"/>
        <v>58.333333333333329</v>
      </c>
      <c r="BE43" s="139">
        <f t="shared" si="48"/>
        <v>58.333333333333329</v>
      </c>
      <c r="BF43" s="139">
        <f t="shared" si="48"/>
        <v>58.333333333333329</v>
      </c>
      <c r="BG43" s="139">
        <f t="shared" si="48"/>
        <v>58.333333333333329</v>
      </c>
      <c r="BH43" s="139">
        <f t="shared" si="48"/>
        <v>58.333333333333329</v>
      </c>
      <c r="BI43" s="139">
        <f t="shared" si="48"/>
        <v>58.333333333333329</v>
      </c>
      <c r="BJ43" s="139">
        <f t="shared" si="48"/>
        <v>58.333333333333329</v>
      </c>
      <c r="BK43" s="139">
        <f t="shared" si="48"/>
        <v>58.333333333333329</v>
      </c>
      <c r="BL43" s="139">
        <f t="shared" si="48"/>
        <v>58.333333333333329</v>
      </c>
      <c r="BM43" s="139">
        <f t="shared" si="48"/>
        <v>58.333333333333329</v>
      </c>
      <c r="BN43" s="139">
        <f t="shared" si="48"/>
        <v>58.333333333333329</v>
      </c>
      <c r="BO43" s="139">
        <f t="shared" si="48"/>
        <v>58.333333333333329</v>
      </c>
      <c r="BP43" s="139">
        <f t="shared" si="48"/>
        <v>58.333333333333329</v>
      </c>
      <c r="BQ43" s="139">
        <f t="shared" si="48"/>
        <v>58.333333333333329</v>
      </c>
      <c r="BR43" s="139">
        <f t="shared" si="48"/>
        <v>58.333333333333329</v>
      </c>
      <c r="BS43" s="139">
        <f t="shared" si="48"/>
        <v>58.333333333333329</v>
      </c>
      <c r="BU43" s="139">
        <f t="shared" si="11"/>
        <v>140</v>
      </c>
      <c r="BV43" s="139">
        <f t="shared" si="12"/>
        <v>385</v>
      </c>
      <c r="BW43" s="139">
        <f t="shared" si="13"/>
        <v>525</v>
      </c>
      <c r="BX43" s="139">
        <f t="shared" si="14"/>
        <v>665</v>
      </c>
      <c r="BY43" s="139">
        <f t="shared" si="15"/>
        <v>700</v>
      </c>
    </row>
    <row r="44" spans="3:77" outlineLevel="1">
      <c r="C44" s="155"/>
      <c r="E44" s="139" t="s">
        <v>513</v>
      </c>
      <c r="F44" s="139" t="s">
        <v>561</v>
      </c>
      <c r="H44" s="311">
        <f>기타비용분석!H32/12</f>
        <v>5</v>
      </c>
      <c r="L44" s="139">
        <f t="shared" ref="L44:BS44" si="49">$H44*L174</f>
        <v>0</v>
      </c>
      <c r="M44" s="139">
        <f t="shared" si="49"/>
        <v>0</v>
      </c>
      <c r="N44" s="139">
        <f t="shared" si="49"/>
        <v>0</v>
      </c>
      <c r="O44" s="139">
        <f t="shared" si="49"/>
        <v>0</v>
      </c>
      <c r="P44" s="139">
        <f t="shared" si="49"/>
        <v>0</v>
      </c>
      <c r="Q44" s="139">
        <f t="shared" si="49"/>
        <v>0</v>
      </c>
      <c r="R44" s="139">
        <f t="shared" si="49"/>
        <v>60</v>
      </c>
      <c r="S44" s="139">
        <f t="shared" si="49"/>
        <v>60</v>
      </c>
      <c r="T44" s="139">
        <f t="shared" si="49"/>
        <v>60</v>
      </c>
      <c r="U44" s="139">
        <f t="shared" si="49"/>
        <v>60</v>
      </c>
      <c r="V44" s="139">
        <f t="shared" si="49"/>
        <v>60</v>
      </c>
      <c r="W44" s="139">
        <f t="shared" si="49"/>
        <v>60</v>
      </c>
      <c r="X44" s="139">
        <f t="shared" si="49"/>
        <v>75</v>
      </c>
      <c r="Y44" s="139">
        <f t="shared" si="49"/>
        <v>75</v>
      </c>
      <c r="Z44" s="139">
        <f t="shared" si="49"/>
        <v>75</v>
      </c>
      <c r="AA44" s="139">
        <f t="shared" si="49"/>
        <v>75</v>
      </c>
      <c r="AB44" s="139">
        <f t="shared" si="49"/>
        <v>75</v>
      </c>
      <c r="AC44" s="139">
        <f t="shared" si="49"/>
        <v>75</v>
      </c>
      <c r="AD44" s="139">
        <f t="shared" si="49"/>
        <v>90</v>
      </c>
      <c r="AE44" s="139">
        <f t="shared" si="49"/>
        <v>90</v>
      </c>
      <c r="AF44" s="139">
        <f t="shared" si="49"/>
        <v>90</v>
      </c>
      <c r="AG44" s="139">
        <f t="shared" si="49"/>
        <v>90</v>
      </c>
      <c r="AH44" s="139">
        <f t="shared" si="49"/>
        <v>90</v>
      </c>
      <c r="AI44" s="139">
        <f t="shared" si="49"/>
        <v>90</v>
      </c>
      <c r="AJ44" s="139">
        <f t="shared" si="49"/>
        <v>105</v>
      </c>
      <c r="AK44" s="139">
        <f t="shared" si="49"/>
        <v>105</v>
      </c>
      <c r="AL44" s="139">
        <f t="shared" si="49"/>
        <v>105</v>
      </c>
      <c r="AM44" s="139">
        <f t="shared" si="49"/>
        <v>105</v>
      </c>
      <c r="AN44" s="139">
        <f t="shared" si="49"/>
        <v>105</v>
      </c>
      <c r="AO44" s="139">
        <f t="shared" si="49"/>
        <v>105</v>
      </c>
      <c r="AP44" s="139">
        <f t="shared" si="49"/>
        <v>120</v>
      </c>
      <c r="AQ44" s="139">
        <f t="shared" si="49"/>
        <v>120</v>
      </c>
      <c r="AR44" s="139">
        <f t="shared" si="49"/>
        <v>120</v>
      </c>
      <c r="AS44" s="139">
        <f t="shared" si="49"/>
        <v>120</v>
      </c>
      <c r="AT44" s="139">
        <f t="shared" si="49"/>
        <v>120</v>
      </c>
      <c r="AU44" s="139">
        <f t="shared" si="49"/>
        <v>120</v>
      </c>
      <c r="AV44" s="139">
        <f t="shared" si="49"/>
        <v>135</v>
      </c>
      <c r="AW44" s="139">
        <f t="shared" si="49"/>
        <v>135</v>
      </c>
      <c r="AX44" s="139">
        <f t="shared" si="49"/>
        <v>135</v>
      </c>
      <c r="AY44" s="139">
        <f t="shared" si="49"/>
        <v>135</v>
      </c>
      <c r="AZ44" s="139">
        <f t="shared" si="49"/>
        <v>135</v>
      </c>
      <c r="BA44" s="139">
        <f t="shared" si="49"/>
        <v>135</v>
      </c>
      <c r="BB44" s="139">
        <f t="shared" si="49"/>
        <v>150</v>
      </c>
      <c r="BC44" s="139">
        <f t="shared" si="49"/>
        <v>150</v>
      </c>
      <c r="BD44" s="139">
        <f t="shared" si="49"/>
        <v>150</v>
      </c>
      <c r="BE44" s="139">
        <f t="shared" si="49"/>
        <v>150</v>
      </c>
      <c r="BF44" s="139">
        <f t="shared" si="49"/>
        <v>150</v>
      </c>
      <c r="BG44" s="139">
        <f t="shared" si="49"/>
        <v>150</v>
      </c>
      <c r="BH44" s="139">
        <f t="shared" si="49"/>
        <v>150</v>
      </c>
      <c r="BI44" s="139">
        <f t="shared" si="49"/>
        <v>150</v>
      </c>
      <c r="BJ44" s="139">
        <f t="shared" si="49"/>
        <v>150</v>
      </c>
      <c r="BK44" s="139">
        <f t="shared" si="49"/>
        <v>150</v>
      </c>
      <c r="BL44" s="139">
        <f t="shared" si="49"/>
        <v>150</v>
      </c>
      <c r="BM44" s="139">
        <f t="shared" si="49"/>
        <v>150</v>
      </c>
      <c r="BN44" s="139">
        <f t="shared" si="49"/>
        <v>150</v>
      </c>
      <c r="BO44" s="139">
        <f t="shared" si="49"/>
        <v>150</v>
      </c>
      <c r="BP44" s="139">
        <f t="shared" si="49"/>
        <v>150</v>
      </c>
      <c r="BQ44" s="139">
        <f t="shared" si="49"/>
        <v>150</v>
      </c>
      <c r="BR44" s="139">
        <f t="shared" si="49"/>
        <v>150</v>
      </c>
      <c r="BS44" s="139">
        <f t="shared" si="49"/>
        <v>150</v>
      </c>
      <c r="BU44" s="139">
        <f t="shared" si="11"/>
        <v>360</v>
      </c>
      <c r="BV44" s="139">
        <f t="shared" si="12"/>
        <v>990</v>
      </c>
      <c r="BW44" s="139">
        <f t="shared" si="13"/>
        <v>1350</v>
      </c>
      <c r="BX44" s="139">
        <f t="shared" si="14"/>
        <v>1710</v>
      </c>
      <c r="BY44" s="139">
        <f t="shared" si="15"/>
        <v>1800</v>
      </c>
    </row>
    <row r="45" spans="3:77" outlineLevel="1">
      <c r="C45" s="155"/>
      <c r="E45" s="139" t="s">
        <v>514</v>
      </c>
      <c r="F45" s="139" t="s">
        <v>567</v>
      </c>
      <c r="G45" s="139" t="s">
        <v>565</v>
      </c>
      <c r="H45" s="311">
        <f>기타비용분석!H33/12</f>
        <v>2.9166666666666665</v>
      </c>
      <c r="L45" s="139">
        <f t="shared" ref="L45:BS45" si="50">$H45*L175</f>
        <v>0</v>
      </c>
      <c r="M45" s="139">
        <f t="shared" si="50"/>
        <v>0</v>
      </c>
      <c r="N45" s="139">
        <f t="shared" si="50"/>
        <v>0</v>
      </c>
      <c r="O45" s="139">
        <f t="shared" si="50"/>
        <v>0</v>
      </c>
      <c r="P45" s="139">
        <f t="shared" si="50"/>
        <v>0</v>
      </c>
      <c r="Q45" s="139">
        <f t="shared" si="50"/>
        <v>0</v>
      </c>
      <c r="R45" s="139">
        <f t="shared" si="50"/>
        <v>70</v>
      </c>
      <c r="S45" s="139">
        <f t="shared" si="50"/>
        <v>70</v>
      </c>
      <c r="T45" s="139">
        <f t="shared" si="50"/>
        <v>70</v>
      </c>
      <c r="U45" s="139">
        <f t="shared" si="50"/>
        <v>70</v>
      </c>
      <c r="V45" s="139">
        <f t="shared" si="50"/>
        <v>70</v>
      </c>
      <c r="W45" s="139">
        <f t="shared" si="50"/>
        <v>70</v>
      </c>
      <c r="X45" s="139">
        <f t="shared" si="50"/>
        <v>87.5</v>
      </c>
      <c r="Y45" s="139">
        <f t="shared" si="50"/>
        <v>87.5</v>
      </c>
      <c r="Z45" s="139">
        <f t="shared" si="50"/>
        <v>87.5</v>
      </c>
      <c r="AA45" s="139">
        <f t="shared" si="50"/>
        <v>87.5</v>
      </c>
      <c r="AB45" s="139">
        <f t="shared" si="50"/>
        <v>87.5</v>
      </c>
      <c r="AC45" s="139">
        <f t="shared" si="50"/>
        <v>87.5</v>
      </c>
      <c r="AD45" s="139">
        <f t="shared" si="50"/>
        <v>105</v>
      </c>
      <c r="AE45" s="139">
        <f t="shared" si="50"/>
        <v>105</v>
      </c>
      <c r="AF45" s="139">
        <f t="shared" si="50"/>
        <v>105</v>
      </c>
      <c r="AG45" s="139">
        <f t="shared" si="50"/>
        <v>105</v>
      </c>
      <c r="AH45" s="139">
        <f t="shared" si="50"/>
        <v>105</v>
      </c>
      <c r="AI45" s="139">
        <f t="shared" si="50"/>
        <v>105</v>
      </c>
      <c r="AJ45" s="139">
        <f t="shared" si="50"/>
        <v>122.5</v>
      </c>
      <c r="AK45" s="139">
        <f t="shared" si="50"/>
        <v>122.5</v>
      </c>
      <c r="AL45" s="139">
        <f t="shared" si="50"/>
        <v>122.5</v>
      </c>
      <c r="AM45" s="139">
        <f t="shared" si="50"/>
        <v>122.5</v>
      </c>
      <c r="AN45" s="139">
        <f t="shared" si="50"/>
        <v>122.5</v>
      </c>
      <c r="AO45" s="139">
        <f t="shared" si="50"/>
        <v>122.5</v>
      </c>
      <c r="AP45" s="139">
        <f t="shared" si="50"/>
        <v>140</v>
      </c>
      <c r="AQ45" s="139">
        <f t="shared" si="50"/>
        <v>140</v>
      </c>
      <c r="AR45" s="139">
        <f t="shared" si="50"/>
        <v>140</v>
      </c>
      <c r="AS45" s="139">
        <f t="shared" si="50"/>
        <v>140</v>
      </c>
      <c r="AT45" s="139">
        <f t="shared" si="50"/>
        <v>140</v>
      </c>
      <c r="AU45" s="139">
        <f t="shared" si="50"/>
        <v>140</v>
      </c>
      <c r="AV45" s="139">
        <f t="shared" si="50"/>
        <v>157.5</v>
      </c>
      <c r="AW45" s="139">
        <f t="shared" si="50"/>
        <v>157.5</v>
      </c>
      <c r="AX45" s="139">
        <f t="shared" si="50"/>
        <v>157.5</v>
      </c>
      <c r="AY45" s="139">
        <f t="shared" si="50"/>
        <v>157.5</v>
      </c>
      <c r="AZ45" s="139">
        <f t="shared" si="50"/>
        <v>157.5</v>
      </c>
      <c r="BA45" s="139">
        <f t="shared" si="50"/>
        <v>157.5</v>
      </c>
      <c r="BB45" s="139">
        <f t="shared" si="50"/>
        <v>175</v>
      </c>
      <c r="BC45" s="139">
        <f t="shared" si="50"/>
        <v>175</v>
      </c>
      <c r="BD45" s="139">
        <f t="shared" si="50"/>
        <v>175</v>
      </c>
      <c r="BE45" s="139">
        <f t="shared" si="50"/>
        <v>175</v>
      </c>
      <c r="BF45" s="139">
        <f t="shared" si="50"/>
        <v>175</v>
      </c>
      <c r="BG45" s="139">
        <f t="shared" si="50"/>
        <v>175</v>
      </c>
      <c r="BH45" s="139">
        <f t="shared" si="50"/>
        <v>175</v>
      </c>
      <c r="BI45" s="139">
        <f t="shared" si="50"/>
        <v>175</v>
      </c>
      <c r="BJ45" s="139">
        <f t="shared" si="50"/>
        <v>175</v>
      </c>
      <c r="BK45" s="139">
        <f t="shared" si="50"/>
        <v>175</v>
      </c>
      <c r="BL45" s="139">
        <f t="shared" si="50"/>
        <v>175</v>
      </c>
      <c r="BM45" s="139">
        <f t="shared" si="50"/>
        <v>175</v>
      </c>
      <c r="BN45" s="139">
        <f t="shared" si="50"/>
        <v>175</v>
      </c>
      <c r="BO45" s="139">
        <f t="shared" si="50"/>
        <v>175</v>
      </c>
      <c r="BP45" s="139">
        <f t="shared" si="50"/>
        <v>175</v>
      </c>
      <c r="BQ45" s="139">
        <f t="shared" si="50"/>
        <v>175</v>
      </c>
      <c r="BR45" s="139">
        <f t="shared" si="50"/>
        <v>175</v>
      </c>
      <c r="BS45" s="139">
        <f t="shared" si="50"/>
        <v>175</v>
      </c>
      <c r="BU45" s="139">
        <f t="shared" si="11"/>
        <v>420</v>
      </c>
      <c r="BV45" s="139">
        <f t="shared" si="12"/>
        <v>1155</v>
      </c>
      <c r="BW45" s="139">
        <f t="shared" si="13"/>
        <v>1575</v>
      </c>
      <c r="BX45" s="139">
        <f t="shared" si="14"/>
        <v>1995</v>
      </c>
      <c r="BY45" s="139">
        <f t="shared" si="15"/>
        <v>2100</v>
      </c>
    </row>
    <row r="46" spans="3:77" outlineLevel="1">
      <c r="C46" s="155"/>
      <c r="E46" s="139" t="s">
        <v>515</v>
      </c>
      <c r="G46" s="165" t="s">
        <v>562</v>
      </c>
      <c r="H46" s="165"/>
      <c r="I46" s="165"/>
      <c r="J46" s="165"/>
      <c r="K46" s="165"/>
      <c r="L46" s="139">
        <f t="shared" ref="L46:BS46" si="51">$H46*L176</f>
        <v>0</v>
      </c>
      <c r="M46" s="139">
        <f t="shared" si="51"/>
        <v>0</v>
      </c>
      <c r="N46" s="139">
        <f t="shared" si="51"/>
        <v>0</v>
      </c>
      <c r="O46" s="139">
        <f t="shared" si="51"/>
        <v>0</v>
      </c>
      <c r="P46" s="139">
        <f t="shared" si="51"/>
        <v>0</v>
      </c>
      <c r="Q46" s="139">
        <f t="shared" si="51"/>
        <v>0</v>
      </c>
      <c r="R46" s="139">
        <f t="shared" si="51"/>
        <v>0</v>
      </c>
      <c r="S46" s="139">
        <f t="shared" si="51"/>
        <v>0</v>
      </c>
      <c r="T46" s="139">
        <f t="shared" si="51"/>
        <v>0</v>
      </c>
      <c r="U46" s="139">
        <f t="shared" si="51"/>
        <v>0</v>
      </c>
      <c r="V46" s="139">
        <f t="shared" si="51"/>
        <v>0</v>
      </c>
      <c r="W46" s="139">
        <f t="shared" si="51"/>
        <v>0</v>
      </c>
      <c r="X46" s="139">
        <f t="shared" si="51"/>
        <v>0</v>
      </c>
      <c r="Y46" s="139">
        <f t="shared" si="51"/>
        <v>0</v>
      </c>
      <c r="Z46" s="139">
        <f t="shared" si="51"/>
        <v>0</v>
      </c>
      <c r="AA46" s="139">
        <f t="shared" si="51"/>
        <v>0</v>
      </c>
      <c r="AB46" s="139">
        <f t="shared" si="51"/>
        <v>0</v>
      </c>
      <c r="AC46" s="139">
        <f t="shared" si="51"/>
        <v>0</v>
      </c>
      <c r="AD46" s="139">
        <f t="shared" si="51"/>
        <v>0</v>
      </c>
      <c r="AE46" s="139">
        <f t="shared" si="51"/>
        <v>0</v>
      </c>
      <c r="AF46" s="139">
        <f t="shared" si="51"/>
        <v>0</v>
      </c>
      <c r="AG46" s="139">
        <f t="shared" si="51"/>
        <v>0</v>
      </c>
      <c r="AH46" s="139">
        <f t="shared" si="51"/>
        <v>0</v>
      </c>
      <c r="AI46" s="139">
        <f t="shared" si="51"/>
        <v>0</v>
      </c>
      <c r="AJ46" s="139">
        <f t="shared" si="51"/>
        <v>0</v>
      </c>
      <c r="AK46" s="139">
        <f t="shared" si="51"/>
        <v>0</v>
      </c>
      <c r="AL46" s="139">
        <f t="shared" si="51"/>
        <v>0</v>
      </c>
      <c r="AM46" s="139">
        <f t="shared" si="51"/>
        <v>0</v>
      </c>
      <c r="AN46" s="139">
        <f t="shared" si="51"/>
        <v>0</v>
      </c>
      <c r="AO46" s="139">
        <f t="shared" si="51"/>
        <v>0</v>
      </c>
      <c r="AP46" s="139">
        <f t="shared" si="51"/>
        <v>0</v>
      </c>
      <c r="AQ46" s="139">
        <f t="shared" si="51"/>
        <v>0</v>
      </c>
      <c r="AR46" s="139">
        <f t="shared" si="51"/>
        <v>0</v>
      </c>
      <c r="AS46" s="139">
        <f t="shared" si="51"/>
        <v>0</v>
      </c>
      <c r="AT46" s="139">
        <f t="shared" si="51"/>
        <v>0</v>
      </c>
      <c r="AU46" s="139">
        <f t="shared" si="51"/>
        <v>0</v>
      </c>
      <c r="AV46" s="139">
        <f t="shared" si="51"/>
        <v>0</v>
      </c>
      <c r="AW46" s="139">
        <f t="shared" si="51"/>
        <v>0</v>
      </c>
      <c r="AX46" s="139">
        <f t="shared" si="51"/>
        <v>0</v>
      </c>
      <c r="AY46" s="139">
        <f t="shared" si="51"/>
        <v>0</v>
      </c>
      <c r="AZ46" s="139">
        <f t="shared" si="51"/>
        <v>0</v>
      </c>
      <c r="BA46" s="139">
        <f t="shared" si="51"/>
        <v>0</v>
      </c>
      <c r="BB46" s="139">
        <f t="shared" si="51"/>
        <v>0</v>
      </c>
      <c r="BC46" s="139">
        <f t="shared" si="51"/>
        <v>0</v>
      </c>
      <c r="BD46" s="139">
        <f t="shared" si="51"/>
        <v>0</v>
      </c>
      <c r="BE46" s="139">
        <f t="shared" si="51"/>
        <v>0</v>
      </c>
      <c r="BF46" s="139">
        <f t="shared" si="51"/>
        <v>0</v>
      </c>
      <c r="BG46" s="139">
        <f t="shared" si="51"/>
        <v>0</v>
      </c>
      <c r="BH46" s="139">
        <f t="shared" si="51"/>
        <v>0</v>
      </c>
      <c r="BI46" s="139">
        <f t="shared" si="51"/>
        <v>0</v>
      </c>
      <c r="BJ46" s="139">
        <f t="shared" si="51"/>
        <v>0</v>
      </c>
      <c r="BK46" s="139">
        <f t="shared" si="51"/>
        <v>0</v>
      </c>
      <c r="BL46" s="139">
        <f t="shared" si="51"/>
        <v>0</v>
      </c>
      <c r="BM46" s="139">
        <f t="shared" si="51"/>
        <v>0</v>
      </c>
      <c r="BN46" s="139">
        <f t="shared" si="51"/>
        <v>0</v>
      </c>
      <c r="BO46" s="139">
        <f t="shared" si="51"/>
        <v>0</v>
      </c>
      <c r="BP46" s="139">
        <f t="shared" si="51"/>
        <v>0</v>
      </c>
      <c r="BQ46" s="139">
        <f t="shared" si="51"/>
        <v>0</v>
      </c>
      <c r="BR46" s="139">
        <f t="shared" si="51"/>
        <v>0</v>
      </c>
      <c r="BS46" s="139">
        <f t="shared" si="51"/>
        <v>0</v>
      </c>
      <c r="BU46" s="139">
        <f t="shared" si="11"/>
        <v>0</v>
      </c>
      <c r="BV46" s="139">
        <f t="shared" si="12"/>
        <v>0</v>
      </c>
      <c r="BW46" s="139">
        <f t="shared" si="13"/>
        <v>0</v>
      </c>
      <c r="BX46" s="139">
        <f t="shared" si="14"/>
        <v>0</v>
      </c>
      <c r="BY46" s="139">
        <f t="shared" si="15"/>
        <v>0</v>
      </c>
    </row>
    <row r="47" spans="3:77" s="155" customFormat="1">
      <c r="D47" s="155" t="s">
        <v>157</v>
      </c>
      <c r="F47" s="155" t="s">
        <v>561</v>
      </c>
      <c r="L47" s="155">
        <f>SUBTOTAL(9,L48:L55)</f>
        <v>3.3333333333333335</v>
      </c>
      <c r="M47" s="155">
        <f t="shared" ref="M47:BS47" si="52">SUBTOTAL(9,M48:M55)</f>
        <v>3.3333333333333335</v>
      </c>
      <c r="N47" s="155">
        <f t="shared" si="52"/>
        <v>3.3333333333333335</v>
      </c>
      <c r="O47" s="155">
        <f t="shared" si="52"/>
        <v>3.3333333333333335</v>
      </c>
      <c r="P47" s="155">
        <f t="shared" si="52"/>
        <v>3.3333333333333335</v>
      </c>
      <c r="Q47" s="155">
        <f t="shared" si="52"/>
        <v>3.3333333333333335</v>
      </c>
      <c r="R47" s="155">
        <f t="shared" si="52"/>
        <v>35.666666666666664</v>
      </c>
      <c r="S47" s="155">
        <f t="shared" si="52"/>
        <v>35.666666666666664</v>
      </c>
      <c r="T47" s="155">
        <f t="shared" si="52"/>
        <v>35.666666666666664</v>
      </c>
      <c r="U47" s="155">
        <f t="shared" si="52"/>
        <v>35.666666666666664</v>
      </c>
      <c r="V47" s="155">
        <f t="shared" si="52"/>
        <v>35.666666666666664</v>
      </c>
      <c r="W47" s="155">
        <f t="shared" si="52"/>
        <v>35.666666666666664</v>
      </c>
      <c r="X47" s="155">
        <f t="shared" si="52"/>
        <v>48.75</v>
      </c>
      <c r="Y47" s="155">
        <f t="shared" si="52"/>
        <v>48.75</v>
      </c>
      <c r="Z47" s="155">
        <f t="shared" si="52"/>
        <v>48.75</v>
      </c>
      <c r="AA47" s="155">
        <f t="shared" si="52"/>
        <v>48.75</v>
      </c>
      <c r="AB47" s="155">
        <f t="shared" si="52"/>
        <v>48.75</v>
      </c>
      <c r="AC47" s="155">
        <f t="shared" si="52"/>
        <v>48.75</v>
      </c>
      <c r="AD47" s="155">
        <f t="shared" si="52"/>
        <v>56.833333333333336</v>
      </c>
      <c r="AE47" s="155">
        <f t="shared" si="52"/>
        <v>56.833333333333336</v>
      </c>
      <c r="AF47" s="155">
        <f t="shared" si="52"/>
        <v>56.833333333333336</v>
      </c>
      <c r="AG47" s="155">
        <f t="shared" si="52"/>
        <v>56.833333333333336</v>
      </c>
      <c r="AH47" s="155">
        <f t="shared" si="52"/>
        <v>56.833333333333336</v>
      </c>
      <c r="AI47" s="155">
        <f t="shared" si="52"/>
        <v>56.833333333333336</v>
      </c>
      <c r="AJ47" s="155">
        <f t="shared" si="52"/>
        <v>64.916666666666671</v>
      </c>
      <c r="AK47" s="155">
        <f t="shared" si="52"/>
        <v>64.916666666666671</v>
      </c>
      <c r="AL47" s="155">
        <f t="shared" si="52"/>
        <v>64.916666666666671</v>
      </c>
      <c r="AM47" s="155">
        <f t="shared" si="52"/>
        <v>64.916666666666671</v>
      </c>
      <c r="AN47" s="155">
        <f t="shared" si="52"/>
        <v>64.916666666666671</v>
      </c>
      <c r="AO47" s="155">
        <f t="shared" si="52"/>
        <v>64.916666666666671</v>
      </c>
      <c r="AP47" s="155">
        <f t="shared" si="52"/>
        <v>73</v>
      </c>
      <c r="AQ47" s="155">
        <f t="shared" si="52"/>
        <v>73</v>
      </c>
      <c r="AR47" s="155">
        <f t="shared" si="52"/>
        <v>73</v>
      </c>
      <c r="AS47" s="155">
        <f t="shared" si="52"/>
        <v>73</v>
      </c>
      <c r="AT47" s="155">
        <f t="shared" si="52"/>
        <v>73</v>
      </c>
      <c r="AU47" s="155">
        <f t="shared" si="52"/>
        <v>73</v>
      </c>
      <c r="AV47" s="155">
        <f t="shared" si="52"/>
        <v>81.083333333333343</v>
      </c>
      <c r="AW47" s="155">
        <f t="shared" si="52"/>
        <v>81.083333333333343</v>
      </c>
      <c r="AX47" s="155">
        <f t="shared" si="52"/>
        <v>81.083333333333343</v>
      </c>
      <c r="AY47" s="155">
        <f t="shared" si="52"/>
        <v>81.083333333333343</v>
      </c>
      <c r="AZ47" s="155">
        <f t="shared" si="52"/>
        <v>81.083333333333343</v>
      </c>
      <c r="BA47" s="155">
        <f t="shared" si="52"/>
        <v>81.083333333333343</v>
      </c>
      <c r="BB47" s="155">
        <f t="shared" si="52"/>
        <v>89.166666666666657</v>
      </c>
      <c r="BC47" s="155">
        <f t="shared" si="52"/>
        <v>89.166666666666657</v>
      </c>
      <c r="BD47" s="155">
        <f t="shared" si="52"/>
        <v>89.166666666666657</v>
      </c>
      <c r="BE47" s="155">
        <f t="shared" si="52"/>
        <v>89.166666666666657</v>
      </c>
      <c r="BF47" s="155">
        <f t="shared" si="52"/>
        <v>89.166666666666657</v>
      </c>
      <c r="BG47" s="155">
        <f t="shared" si="52"/>
        <v>89.166666666666657</v>
      </c>
      <c r="BH47" s="155">
        <f t="shared" si="52"/>
        <v>89.166666666666657</v>
      </c>
      <c r="BI47" s="155">
        <f t="shared" si="52"/>
        <v>89.166666666666657</v>
      </c>
      <c r="BJ47" s="155">
        <f t="shared" si="52"/>
        <v>89.166666666666657</v>
      </c>
      <c r="BK47" s="155">
        <f t="shared" si="52"/>
        <v>89.166666666666657</v>
      </c>
      <c r="BL47" s="155">
        <f t="shared" si="52"/>
        <v>89.166666666666657</v>
      </c>
      <c r="BM47" s="155">
        <f t="shared" si="52"/>
        <v>89.166666666666657</v>
      </c>
      <c r="BN47" s="155">
        <f t="shared" si="52"/>
        <v>89.166666666666657</v>
      </c>
      <c r="BO47" s="155">
        <f t="shared" si="52"/>
        <v>89.166666666666657</v>
      </c>
      <c r="BP47" s="155">
        <f t="shared" si="52"/>
        <v>89.166666666666657</v>
      </c>
      <c r="BQ47" s="155">
        <f t="shared" si="52"/>
        <v>89.166666666666657</v>
      </c>
      <c r="BR47" s="155">
        <f t="shared" si="52"/>
        <v>89.166666666666657</v>
      </c>
      <c r="BS47" s="155">
        <f t="shared" si="52"/>
        <v>89.166666666666657</v>
      </c>
      <c r="BU47" s="155">
        <f t="shared" si="11"/>
        <v>233.99999999999997</v>
      </c>
      <c r="BV47" s="155">
        <f t="shared" si="12"/>
        <v>633.5</v>
      </c>
      <c r="BW47" s="155">
        <f t="shared" si="13"/>
        <v>827.5</v>
      </c>
      <c r="BX47" s="155">
        <f t="shared" si="14"/>
        <v>1021.4999999999999</v>
      </c>
      <c r="BY47" s="155">
        <f t="shared" si="15"/>
        <v>1069.9999999999998</v>
      </c>
    </row>
    <row r="48" spans="3:77" outlineLevel="1">
      <c r="C48" s="155"/>
      <c r="E48" s="139" t="s">
        <v>498</v>
      </c>
      <c r="H48" s="311">
        <f>기타비용분석!H36/12</f>
        <v>5</v>
      </c>
      <c r="L48" s="139">
        <f t="shared" ref="L48:BS48" si="53">$H48*L178</f>
        <v>0</v>
      </c>
      <c r="M48" s="139">
        <f t="shared" si="53"/>
        <v>0</v>
      </c>
      <c r="N48" s="139">
        <f t="shared" si="53"/>
        <v>0</v>
      </c>
      <c r="O48" s="139">
        <f t="shared" si="53"/>
        <v>0</v>
      </c>
      <c r="P48" s="139">
        <f t="shared" si="53"/>
        <v>0</v>
      </c>
      <c r="Q48" s="139">
        <f t="shared" si="53"/>
        <v>0</v>
      </c>
      <c r="R48" s="139">
        <f t="shared" si="53"/>
        <v>0</v>
      </c>
      <c r="S48" s="139">
        <f t="shared" si="53"/>
        <v>0</v>
      </c>
      <c r="T48" s="139">
        <f t="shared" si="53"/>
        <v>0</v>
      </c>
      <c r="U48" s="139">
        <f t="shared" si="53"/>
        <v>0</v>
      </c>
      <c r="V48" s="139">
        <f t="shared" si="53"/>
        <v>0</v>
      </c>
      <c r="W48" s="139">
        <f t="shared" si="53"/>
        <v>0</v>
      </c>
      <c r="X48" s="139">
        <f t="shared" si="53"/>
        <v>5</v>
      </c>
      <c r="Y48" s="139">
        <f t="shared" si="53"/>
        <v>5</v>
      </c>
      <c r="Z48" s="139">
        <f t="shared" si="53"/>
        <v>5</v>
      </c>
      <c r="AA48" s="139">
        <f t="shared" si="53"/>
        <v>5</v>
      </c>
      <c r="AB48" s="139">
        <f t="shared" si="53"/>
        <v>5</v>
      </c>
      <c r="AC48" s="139">
        <f t="shared" si="53"/>
        <v>5</v>
      </c>
      <c r="AD48" s="139">
        <f t="shared" si="53"/>
        <v>5</v>
      </c>
      <c r="AE48" s="139">
        <f t="shared" si="53"/>
        <v>5</v>
      </c>
      <c r="AF48" s="139">
        <f t="shared" si="53"/>
        <v>5</v>
      </c>
      <c r="AG48" s="139">
        <f t="shared" si="53"/>
        <v>5</v>
      </c>
      <c r="AH48" s="139">
        <f t="shared" si="53"/>
        <v>5</v>
      </c>
      <c r="AI48" s="139">
        <f t="shared" si="53"/>
        <v>5</v>
      </c>
      <c r="AJ48" s="139">
        <f t="shared" si="53"/>
        <v>5</v>
      </c>
      <c r="AK48" s="139">
        <f t="shared" si="53"/>
        <v>5</v>
      </c>
      <c r="AL48" s="139">
        <f t="shared" si="53"/>
        <v>5</v>
      </c>
      <c r="AM48" s="139">
        <f t="shared" si="53"/>
        <v>5</v>
      </c>
      <c r="AN48" s="139">
        <f t="shared" si="53"/>
        <v>5</v>
      </c>
      <c r="AO48" s="139">
        <f t="shared" si="53"/>
        <v>5</v>
      </c>
      <c r="AP48" s="139">
        <f t="shared" si="53"/>
        <v>5</v>
      </c>
      <c r="AQ48" s="139">
        <f t="shared" si="53"/>
        <v>5</v>
      </c>
      <c r="AR48" s="139">
        <f t="shared" si="53"/>
        <v>5</v>
      </c>
      <c r="AS48" s="139">
        <f t="shared" si="53"/>
        <v>5</v>
      </c>
      <c r="AT48" s="139">
        <f t="shared" si="53"/>
        <v>5</v>
      </c>
      <c r="AU48" s="139">
        <f t="shared" si="53"/>
        <v>5</v>
      </c>
      <c r="AV48" s="139">
        <f t="shared" si="53"/>
        <v>5</v>
      </c>
      <c r="AW48" s="139">
        <f t="shared" si="53"/>
        <v>5</v>
      </c>
      <c r="AX48" s="139">
        <f t="shared" si="53"/>
        <v>5</v>
      </c>
      <c r="AY48" s="139">
        <f t="shared" si="53"/>
        <v>5</v>
      </c>
      <c r="AZ48" s="139">
        <f t="shared" si="53"/>
        <v>5</v>
      </c>
      <c r="BA48" s="139">
        <f t="shared" si="53"/>
        <v>5</v>
      </c>
      <c r="BB48" s="139">
        <f t="shared" si="53"/>
        <v>5</v>
      </c>
      <c r="BC48" s="139">
        <f t="shared" si="53"/>
        <v>5</v>
      </c>
      <c r="BD48" s="139">
        <f t="shared" si="53"/>
        <v>5</v>
      </c>
      <c r="BE48" s="139">
        <f t="shared" si="53"/>
        <v>5</v>
      </c>
      <c r="BF48" s="139">
        <f t="shared" si="53"/>
        <v>5</v>
      </c>
      <c r="BG48" s="139">
        <f t="shared" si="53"/>
        <v>5</v>
      </c>
      <c r="BH48" s="139">
        <f t="shared" si="53"/>
        <v>5</v>
      </c>
      <c r="BI48" s="139">
        <f t="shared" si="53"/>
        <v>5</v>
      </c>
      <c r="BJ48" s="139">
        <f t="shared" si="53"/>
        <v>5</v>
      </c>
      <c r="BK48" s="139">
        <f t="shared" si="53"/>
        <v>5</v>
      </c>
      <c r="BL48" s="139">
        <f t="shared" si="53"/>
        <v>5</v>
      </c>
      <c r="BM48" s="139">
        <f t="shared" si="53"/>
        <v>5</v>
      </c>
      <c r="BN48" s="139">
        <f t="shared" si="53"/>
        <v>5</v>
      </c>
      <c r="BO48" s="139">
        <f t="shared" si="53"/>
        <v>5</v>
      </c>
      <c r="BP48" s="139">
        <f t="shared" si="53"/>
        <v>5</v>
      </c>
      <c r="BQ48" s="139">
        <f t="shared" si="53"/>
        <v>5</v>
      </c>
      <c r="BR48" s="139">
        <f t="shared" si="53"/>
        <v>5</v>
      </c>
      <c r="BS48" s="139">
        <f t="shared" si="53"/>
        <v>5</v>
      </c>
      <c r="BU48" s="139">
        <f t="shared" si="11"/>
        <v>0</v>
      </c>
      <c r="BV48" s="139">
        <f t="shared" si="12"/>
        <v>60</v>
      </c>
      <c r="BW48" s="139">
        <f t="shared" si="13"/>
        <v>60</v>
      </c>
      <c r="BX48" s="139">
        <f t="shared" si="14"/>
        <v>60</v>
      </c>
      <c r="BY48" s="139">
        <f t="shared" si="15"/>
        <v>60</v>
      </c>
    </row>
    <row r="49" spans="3:77" outlineLevel="1">
      <c r="C49" s="155"/>
      <c r="E49" s="139" t="s">
        <v>517</v>
      </c>
      <c r="H49" s="311">
        <f>기타비용분석!H37/12</f>
        <v>3.3333333333333335</v>
      </c>
      <c r="L49" s="139">
        <f t="shared" ref="L49:BS49" si="54">$H49*L179</f>
        <v>3.3333333333333335</v>
      </c>
      <c r="M49" s="139">
        <f t="shared" si="54"/>
        <v>3.3333333333333335</v>
      </c>
      <c r="N49" s="139">
        <f t="shared" si="54"/>
        <v>3.3333333333333335</v>
      </c>
      <c r="O49" s="139">
        <f t="shared" si="54"/>
        <v>3.3333333333333335</v>
      </c>
      <c r="P49" s="139">
        <f t="shared" si="54"/>
        <v>3.3333333333333335</v>
      </c>
      <c r="Q49" s="139">
        <f t="shared" si="54"/>
        <v>3.3333333333333335</v>
      </c>
      <c r="R49" s="139">
        <f t="shared" si="54"/>
        <v>3.3333333333333335</v>
      </c>
      <c r="S49" s="139">
        <f t="shared" si="54"/>
        <v>3.3333333333333335</v>
      </c>
      <c r="T49" s="139">
        <f t="shared" si="54"/>
        <v>3.3333333333333335</v>
      </c>
      <c r="U49" s="139">
        <f t="shared" si="54"/>
        <v>3.3333333333333335</v>
      </c>
      <c r="V49" s="139">
        <f t="shared" si="54"/>
        <v>3.3333333333333335</v>
      </c>
      <c r="W49" s="139">
        <f t="shared" si="54"/>
        <v>3.3333333333333335</v>
      </c>
      <c r="X49" s="139">
        <f t="shared" si="54"/>
        <v>3.3333333333333335</v>
      </c>
      <c r="Y49" s="139">
        <f t="shared" si="54"/>
        <v>3.3333333333333335</v>
      </c>
      <c r="Z49" s="139">
        <f t="shared" si="54"/>
        <v>3.3333333333333335</v>
      </c>
      <c r="AA49" s="139">
        <f t="shared" si="54"/>
        <v>3.3333333333333335</v>
      </c>
      <c r="AB49" s="139">
        <f t="shared" si="54"/>
        <v>3.3333333333333335</v>
      </c>
      <c r="AC49" s="139">
        <f t="shared" si="54"/>
        <v>3.3333333333333335</v>
      </c>
      <c r="AD49" s="139">
        <f t="shared" si="54"/>
        <v>3.3333333333333335</v>
      </c>
      <c r="AE49" s="139">
        <f t="shared" si="54"/>
        <v>3.3333333333333335</v>
      </c>
      <c r="AF49" s="139">
        <f t="shared" si="54"/>
        <v>3.3333333333333335</v>
      </c>
      <c r="AG49" s="139">
        <f t="shared" si="54"/>
        <v>3.3333333333333335</v>
      </c>
      <c r="AH49" s="139">
        <f t="shared" si="54"/>
        <v>3.3333333333333335</v>
      </c>
      <c r="AI49" s="139">
        <f t="shared" si="54"/>
        <v>3.3333333333333335</v>
      </c>
      <c r="AJ49" s="139">
        <f t="shared" si="54"/>
        <v>3.3333333333333335</v>
      </c>
      <c r="AK49" s="139">
        <f t="shared" si="54"/>
        <v>3.3333333333333335</v>
      </c>
      <c r="AL49" s="139">
        <f t="shared" si="54"/>
        <v>3.3333333333333335</v>
      </c>
      <c r="AM49" s="139">
        <f t="shared" si="54"/>
        <v>3.3333333333333335</v>
      </c>
      <c r="AN49" s="139">
        <f t="shared" si="54"/>
        <v>3.3333333333333335</v>
      </c>
      <c r="AO49" s="139">
        <f t="shared" si="54"/>
        <v>3.3333333333333335</v>
      </c>
      <c r="AP49" s="139">
        <f t="shared" si="54"/>
        <v>3.3333333333333335</v>
      </c>
      <c r="AQ49" s="139">
        <f t="shared" si="54"/>
        <v>3.3333333333333335</v>
      </c>
      <c r="AR49" s="139">
        <f t="shared" si="54"/>
        <v>3.3333333333333335</v>
      </c>
      <c r="AS49" s="139">
        <f t="shared" si="54"/>
        <v>3.3333333333333335</v>
      </c>
      <c r="AT49" s="139">
        <f t="shared" si="54"/>
        <v>3.3333333333333335</v>
      </c>
      <c r="AU49" s="139">
        <f t="shared" si="54"/>
        <v>3.3333333333333335</v>
      </c>
      <c r="AV49" s="139">
        <f t="shared" si="54"/>
        <v>3.3333333333333335</v>
      </c>
      <c r="AW49" s="139">
        <f t="shared" si="54"/>
        <v>3.3333333333333335</v>
      </c>
      <c r="AX49" s="139">
        <f t="shared" si="54"/>
        <v>3.3333333333333335</v>
      </c>
      <c r="AY49" s="139">
        <f t="shared" si="54"/>
        <v>3.3333333333333335</v>
      </c>
      <c r="AZ49" s="139">
        <f t="shared" si="54"/>
        <v>3.3333333333333335</v>
      </c>
      <c r="BA49" s="139">
        <f t="shared" si="54"/>
        <v>3.3333333333333335</v>
      </c>
      <c r="BB49" s="139">
        <f t="shared" si="54"/>
        <v>3.3333333333333335</v>
      </c>
      <c r="BC49" s="139">
        <f t="shared" si="54"/>
        <v>3.3333333333333335</v>
      </c>
      <c r="BD49" s="139">
        <f t="shared" si="54"/>
        <v>3.3333333333333335</v>
      </c>
      <c r="BE49" s="139">
        <f t="shared" si="54"/>
        <v>3.3333333333333335</v>
      </c>
      <c r="BF49" s="139">
        <f t="shared" si="54"/>
        <v>3.3333333333333335</v>
      </c>
      <c r="BG49" s="139">
        <f t="shared" si="54"/>
        <v>3.3333333333333335</v>
      </c>
      <c r="BH49" s="139">
        <f t="shared" si="54"/>
        <v>3.3333333333333335</v>
      </c>
      <c r="BI49" s="139">
        <f t="shared" si="54"/>
        <v>3.3333333333333335</v>
      </c>
      <c r="BJ49" s="139">
        <f t="shared" si="54"/>
        <v>3.3333333333333335</v>
      </c>
      <c r="BK49" s="139">
        <f t="shared" si="54"/>
        <v>3.3333333333333335</v>
      </c>
      <c r="BL49" s="139">
        <f t="shared" si="54"/>
        <v>3.3333333333333335</v>
      </c>
      <c r="BM49" s="139">
        <f t="shared" si="54"/>
        <v>3.3333333333333335</v>
      </c>
      <c r="BN49" s="139">
        <f t="shared" si="54"/>
        <v>3.3333333333333335</v>
      </c>
      <c r="BO49" s="139">
        <f t="shared" si="54"/>
        <v>3.3333333333333335</v>
      </c>
      <c r="BP49" s="139">
        <f t="shared" si="54"/>
        <v>3.3333333333333335</v>
      </c>
      <c r="BQ49" s="139">
        <f t="shared" si="54"/>
        <v>3.3333333333333335</v>
      </c>
      <c r="BR49" s="139">
        <f t="shared" si="54"/>
        <v>3.3333333333333335</v>
      </c>
      <c r="BS49" s="139">
        <f t="shared" si="54"/>
        <v>3.3333333333333335</v>
      </c>
      <c r="BU49" s="139">
        <f t="shared" si="11"/>
        <v>40</v>
      </c>
      <c r="BV49" s="139">
        <f t="shared" si="12"/>
        <v>40</v>
      </c>
      <c r="BW49" s="139">
        <f t="shared" si="13"/>
        <v>40</v>
      </c>
      <c r="BX49" s="139">
        <f t="shared" si="14"/>
        <v>40</v>
      </c>
      <c r="BY49" s="139">
        <f t="shared" si="15"/>
        <v>40</v>
      </c>
    </row>
    <row r="50" spans="3:77" outlineLevel="1">
      <c r="C50" s="155"/>
      <c r="E50" s="139" t="s">
        <v>518</v>
      </c>
      <c r="H50" s="311">
        <f>기타비용분석!H38/12</f>
        <v>3.1666666666666665</v>
      </c>
      <c r="L50" s="139">
        <f t="shared" ref="L50:BS50" si="55">$H50*L180</f>
        <v>0</v>
      </c>
      <c r="M50" s="139">
        <f t="shared" si="55"/>
        <v>0</v>
      </c>
      <c r="N50" s="139">
        <f t="shared" si="55"/>
        <v>0</v>
      </c>
      <c r="O50" s="139">
        <f t="shared" si="55"/>
        <v>0</v>
      </c>
      <c r="P50" s="139">
        <f t="shared" si="55"/>
        <v>0</v>
      </c>
      <c r="Q50" s="139">
        <f t="shared" si="55"/>
        <v>0</v>
      </c>
      <c r="R50" s="139">
        <f t="shared" si="55"/>
        <v>0</v>
      </c>
      <c r="S50" s="139">
        <f t="shared" si="55"/>
        <v>0</v>
      </c>
      <c r="T50" s="139">
        <f t="shared" si="55"/>
        <v>0</v>
      </c>
      <c r="U50" s="139">
        <f t="shared" si="55"/>
        <v>0</v>
      </c>
      <c r="V50" s="139">
        <f t="shared" si="55"/>
        <v>0</v>
      </c>
      <c r="W50" s="139">
        <f t="shared" si="55"/>
        <v>0</v>
      </c>
      <c r="X50" s="139">
        <f t="shared" si="55"/>
        <v>0</v>
      </c>
      <c r="Y50" s="139">
        <f t="shared" si="55"/>
        <v>0</v>
      </c>
      <c r="Z50" s="139">
        <f t="shared" si="55"/>
        <v>0</v>
      </c>
      <c r="AA50" s="139">
        <f t="shared" si="55"/>
        <v>0</v>
      </c>
      <c r="AB50" s="139">
        <f t="shared" si="55"/>
        <v>0</v>
      </c>
      <c r="AC50" s="139">
        <f t="shared" si="55"/>
        <v>0</v>
      </c>
      <c r="AD50" s="139">
        <f t="shared" si="55"/>
        <v>0</v>
      </c>
      <c r="AE50" s="139">
        <f t="shared" si="55"/>
        <v>0</v>
      </c>
      <c r="AF50" s="139">
        <f t="shared" si="55"/>
        <v>0</v>
      </c>
      <c r="AG50" s="139">
        <f t="shared" si="55"/>
        <v>0</v>
      </c>
      <c r="AH50" s="139">
        <f t="shared" si="55"/>
        <v>0</v>
      </c>
      <c r="AI50" s="139">
        <f t="shared" si="55"/>
        <v>0</v>
      </c>
      <c r="AJ50" s="139">
        <f t="shared" si="55"/>
        <v>0</v>
      </c>
      <c r="AK50" s="139">
        <f t="shared" si="55"/>
        <v>0</v>
      </c>
      <c r="AL50" s="139">
        <f t="shared" si="55"/>
        <v>0</v>
      </c>
      <c r="AM50" s="139">
        <f t="shared" si="55"/>
        <v>0</v>
      </c>
      <c r="AN50" s="139">
        <f t="shared" si="55"/>
        <v>0</v>
      </c>
      <c r="AO50" s="139">
        <f t="shared" si="55"/>
        <v>0</v>
      </c>
      <c r="AP50" s="139">
        <f t="shared" si="55"/>
        <v>0</v>
      </c>
      <c r="AQ50" s="139">
        <f t="shared" si="55"/>
        <v>0</v>
      </c>
      <c r="AR50" s="139">
        <f t="shared" si="55"/>
        <v>0</v>
      </c>
      <c r="AS50" s="139">
        <f t="shared" si="55"/>
        <v>0</v>
      </c>
      <c r="AT50" s="139">
        <f t="shared" si="55"/>
        <v>0</v>
      </c>
      <c r="AU50" s="139">
        <f t="shared" si="55"/>
        <v>0</v>
      </c>
      <c r="AV50" s="139">
        <f t="shared" si="55"/>
        <v>0</v>
      </c>
      <c r="AW50" s="139">
        <f t="shared" si="55"/>
        <v>0</v>
      </c>
      <c r="AX50" s="139">
        <f t="shared" si="55"/>
        <v>0</v>
      </c>
      <c r="AY50" s="139">
        <f t="shared" si="55"/>
        <v>0</v>
      </c>
      <c r="AZ50" s="139">
        <f t="shared" si="55"/>
        <v>0</v>
      </c>
      <c r="BA50" s="139">
        <f t="shared" si="55"/>
        <v>0</v>
      </c>
      <c r="BB50" s="139">
        <f t="shared" si="55"/>
        <v>0</v>
      </c>
      <c r="BC50" s="139">
        <f t="shared" si="55"/>
        <v>0</v>
      </c>
      <c r="BD50" s="139">
        <f t="shared" si="55"/>
        <v>0</v>
      </c>
      <c r="BE50" s="139">
        <f t="shared" si="55"/>
        <v>0</v>
      </c>
      <c r="BF50" s="139">
        <f t="shared" si="55"/>
        <v>0</v>
      </c>
      <c r="BG50" s="139">
        <f t="shared" si="55"/>
        <v>0</v>
      </c>
      <c r="BH50" s="139">
        <f t="shared" si="55"/>
        <v>0</v>
      </c>
      <c r="BI50" s="139">
        <f t="shared" si="55"/>
        <v>0</v>
      </c>
      <c r="BJ50" s="139">
        <f t="shared" si="55"/>
        <v>0</v>
      </c>
      <c r="BK50" s="139">
        <f t="shared" si="55"/>
        <v>0</v>
      </c>
      <c r="BL50" s="139">
        <f t="shared" si="55"/>
        <v>0</v>
      </c>
      <c r="BM50" s="139">
        <f t="shared" si="55"/>
        <v>0</v>
      </c>
      <c r="BN50" s="139">
        <f t="shared" si="55"/>
        <v>0</v>
      </c>
      <c r="BO50" s="139">
        <f t="shared" si="55"/>
        <v>0</v>
      </c>
      <c r="BP50" s="139">
        <f t="shared" si="55"/>
        <v>0</v>
      </c>
      <c r="BQ50" s="139">
        <f t="shared" si="55"/>
        <v>0</v>
      </c>
      <c r="BR50" s="139">
        <f t="shared" si="55"/>
        <v>0</v>
      </c>
      <c r="BS50" s="139">
        <f t="shared" si="55"/>
        <v>0</v>
      </c>
      <c r="BU50" s="139">
        <f t="shared" si="11"/>
        <v>0</v>
      </c>
      <c r="BV50" s="139">
        <f t="shared" si="12"/>
        <v>0</v>
      </c>
      <c r="BW50" s="139">
        <f t="shared" si="13"/>
        <v>0</v>
      </c>
      <c r="BX50" s="139">
        <f t="shared" si="14"/>
        <v>0</v>
      </c>
      <c r="BY50" s="139">
        <f t="shared" si="15"/>
        <v>0</v>
      </c>
    </row>
    <row r="51" spans="3:77" outlineLevel="1">
      <c r="C51" s="155"/>
      <c r="E51" s="139" t="s">
        <v>519</v>
      </c>
      <c r="H51" s="311">
        <f>기타비용분석!H39/12</f>
        <v>3</v>
      </c>
      <c r="L51" s="139">
        <f t="shared" ref="L51:BS51" si="56">$H51*L181</f>
        <v>0</v>
      </c>
      <c r="M51" s="139">
        <f t="shared" si="56"/>
        <v>0</v>
      </c>
      <c r="N51" s="139">
        <f t="shared" si="56"/>
        <v>0</v>
      </c>
      <c r="O51" s="139">
        <f t="shared" si="56"/>
        <v>0</v>
      </c>
      <c r="P51" s="139">
        <f t="shared" si="56"/>
        <v>0</v>
      </c>
      <c r="Q51" s="139">
        <f t="shared" si="56"/>
        <v>0</v>
      </c>
      <c r="R51" s="139">
        <f t="shared" si="56"/>
        <v>6</v>
      </c>
      <c r="S51" s="139">
        <f t="shared" si="56"/>
        <v>6</v>
      </c>
      <c r="T51" s="139">
        <f t="shared" si="56"/>
        <v>6</v>
      </c>
      <c r="U51" s="139">
        <f t="shared" si="56"/>
        <v>6</v>
      </c>
      <c r="V51" s="139">
        <f t="shared" si="56"/>
        <v>6</v>
      </c>
      <c r="W51" s="139">
        <f t="shared" si="56"/>
        <v>6</v>
      </c>
      <c r="X51" s="139">
        <f t="shared" si="56"/>
        <v>7.5</v>
      </c>
      <c r="Y51" s="139">
        <f t="shared" si="56"/>
        <v>7.5</v>
      </c>
      <c r="Z51" s="139">
        <f t="shared" si="56"/>
        <v>7.5</v>
      </c>
      <c r="AA51" s="139">
        <f t="shared" si="56"/>
        <v>7.5</v>
      </c>
      <c r="AB51" s="139">
        <f t="shared" si="56"/>
        <v>7.5</v>
      </c>
      <c r="AC51" s="139">
        <f t="shared" si="56"/>
        <v>7.5</v>
      </c>
      <c r="AD51" s="139">
        <f t="shared" si="56"/>
        <v>9</v>
      </c>
      <c r="AE51" s="139">
        <f t="shared" si="56"/>
        <v>9</v>
      </c>
      <c r="AF51" s="139">
        <f t="shared" si="56"/>
        <v>9</v>
      </c>
      <c r="AG51" s="139">
        <f t="shared" si="56"/>
        <v>9</v>
      </c>
      <c r="AH51" s="139">
        <f t="shared" si="56"/>
        <v>9</v>
      </c>
      <c r="AI51" s="139">
        <f t="shared" si="56"/>
        <v>9</v>
      </c>
      <c r="AJ51" s="139">
        <f t="shared" si="56"/>
        <v>10.5</v>
      </c>
      <c r="AK51" s="139">
        <f t="shared" si="56"/>
        <v>10.5</v>
      </c>
      <c r="AL51" s="139">
        <f t="shared" si="56"/>
        <v>10.5</v>
      </c>
      <c r="AM51" s="139">
        <f t="shared" si="56"/>
        <v>10.5</v>
      </c>
      <c r="AN51" s="139">
        <f t="shared" si="56"/>
        <v>10.5</v>
      </c>
      <c r="AO51" s="139">
        <f t="shared" si="56"/>
        <v>10.5</v>
      </c>
      <c r="AP51" s="139">
        <f t="shared" si="56"/>
        <v>12</v>
      </c>
      <c r="AQ51" s="139">
        <f t="shared" si="56"/>
        <v>12</v>
      </c>
      <c r="AR51" s="139">
        <f t="shared" si="56"/>
        <v>12</v>
      </c>
      <c r="AS51" s="139">
        <f t="shared" si="56"/>
        <v>12</v>
      </c>
      <c r="AT51" s="139">
        <f t="shared" si="56"/>
        <v>12</v>
      </c>
      <c r="AU51" s="139">
        <f t="shared" si="56"/>
        <v>12</v>
      </c>
      <c r="AV51" s="139">
        <f t="shared" si="56"/>
        <v>13.5</v>
      </c>
      <c r="AW51" s="139">
        <f t="shared" si="56"/>
        <v>13.5</v>
      </c>
      <c r="AX51" s="139">
        <f t="shared" si="56"/>
        <v>13.5</v>
      </c>
      <c r="AY51" s="139">
        <f t="shared" si="56"/>
        <v>13.5</v>
      </c>
      <c r="AZ51" s="139">
        <f t="shared" si="56"/>
        <v>13.5</v>
      </c>
      <c r="BA51" s="139">
        <f t="shared" si="56"/>
        <v>13.5</v>
      </c>
      <c r="BB51" s="139">
        <f t="shared" si="56"/>
        <v>15</v>
      </c>
      <c r="BC51" s="139">
        <f t="shared" si="56"/>
        <v>15</v>
      </c>
      <c r="BD51" s="139">
        <f t="shared" si="56"/>
        <v>15</v>
      </c>
      <c r="BE51" s="139">
        <f t="shared" si="56"/>
        <v>15</v>
      </c>
      <c r="BF51" s="139">
        <f t="shared" si="56"/>
        <v>15</v>
      </c>
      <c r="BG51" s="139">
        <f t="shared" si="56"/>
        <v>15</v>
      </c>
      <c r="BH51" s="139">
        <f t="shared" si="56"/>
        <v>15</v>
      </c>
      <c r="BI51" s="139">
        <f t="shared" si="56"/>
        <v>15</v>
      </c>
      <c r="BJ51" s="139">
        <f t="shared" si="56"/>
        <v>15</v>
      </c>
      <c r="BK51" s="139">
        <f t="shared" si="56"/>
        <v>15</v>
      </c>
      <c r="BL51" s="139">
        <f t="shared" si="56"/>
        <v>15</v>
      </c>
      <c r="BM51" s="139">
        <f t="shared" si="56"/>
        <v>15</v>
      </c>
      <c r="BN51" s="139">
        <f t="shared" si="56"/>
        <v>15</v>
      </c>
      <c r="BO51" s="139">
        <f t="shared" si="56"/>
        <v>15</v>
      </c>
      <c r="BP51" s="139">
        <f t="shared" si="56"/>
        <v>15</v>
      </c>
      <c r="BQ51" s="139">
        <f t="shared" si="56"/>
        <v>15</v>
      </c>
      <c r="BR51" s="139">
        <f t="shared" si="56"/>
        <v>15</v>
      </c>
      <c r="BS51" s="139">
        <f t="shared" si="56"/>
        <v>15</v>
      </c>
      <c r="BU51" s="139">
        <f t="shared" si="11"/>
        <v>36</v>
      </c>
      <c r="BV51" s="139">
        <f t="shared" si="12"/>
        <v>99</v>
      </c>
      <c r="BW51" s="139">
        <f t="shared" si="13"/>
        <v>135</v>
      </c>
      <c r="BX51" s="139">
        <f t="shared" si="14"/>
        <v>171</v>
      </c>
      <c r="BY51" s="139">
        <f t="shared" si="15"/>
        <v>180</v>
      </c>
    </row>
    <row r="52" spans="3:77" outlineLevel="1">
      <c r="C52" s="155"/>
      <c r="E52" s="139" t="s">
        <v>520</v>
      </c>
      <c r="H52" s="311">
        <f>기타비용분석!H40/12</f>
        <v>2.8333333333333335</v>
      </c>
      <c r="L52" s="139">
        <f t="shared" ref="L52:BS52" si="57">$H52*L182</f>
        <v>0</v>
      </c>
      <c r="M52" s="139">
        <f t="shared" si="57"/>
        <v>0</v>
      </c>
      <c r="N52" s="139">
        <f t="shared" si="57"/>
        <v>0</v>
      </c>
      <c r="O52" s="139">
        <f t="shared" si="57"/>
        <v>0</v>
      </c>
      <c r="P52" s="139">
        <f t="shared" si="57"/>
        <v>0</v>
      </c>
      <c r="Q52" s="139">
        <f t="shared" si="57"/>
        <v>0</v>
      </c>
      <c r="R52" s="139">
        <f t="shared" si="57"/>
        <v>5.666666666666667</v>
      </c>
      <c r="S52" s="139">
        <f t="shared" si="57"/>
        <v>5.666666666666667</v>
      </c>
      <c r="T52" s="139">
        <f t="shared" si="57"/>
        <v>5.666666666666667</v>
      </c>
      <c r="U52" s="139">
        <f t="shared" si="57"/>
        <v>5.666666666666667</v>
      </c>
      <c r="V52" s="139">
        <f t="shared" si="57"/>
        <v>5.666666666666667</v>
      </c>
      <c r="W52" s="139">
        <f t="shared" si="57"/>
        <v>5.666666666666667</v>
      </c>
      <c r="X52" s="139">
        <f t="shared" si="57"/>
        <v>7.0833333333333339</v>
      </c>
      <c r="Y52" s="139">
        <f t="shared" si="57"/>
        <v>7.0833333333333339</v>
      </c>
      <c r="Z52" s="139">
        <f t="shared" si="57"/>
        <v>7.0833333333333339</v>
      </c>
      <c r="AA52" s="139">
        <f t="shared" si="57"/>
        <v>7.0833333333333339</v>
      </c>
      <c r="AB52" s="139">
        <f t="shared" si="57"/>
        <v>7.0833333333333339</v>
      </c>
      <c r="AC52" s="139">
        <f t="shared" si="57"/>
        <v>7.0833333333333339</v>
      </c>
      <c r="AD52" s="139">
        <f t="shared" si="57"/>
        <v>8.5</v>
      </c>
      <c r="AE52" s="139">
        <f t="shared" si="57"/>
        <v>8.5</v>
      </c>
      <c r="AF52" s="139">
        <f t="shared" si="57"/>
        <v>8.5</v>
      </c>
      <c r="AG52" s="139">
        <f t="shared" si="57"/>
        <v>8.5</v>
      </c>
      <c r="AH52" s="139">
        <f t="shared" si="57"/>
        <v>8.5</v>
      </c>
      <c r="AI52" s="139">
        <f t="shared" si="57"/>
        <v>8.5</v>
      </c>
      <c r="AJ52" s="139">
        <f t="shared" si="57"/>
        <v>9.9166666666666679</v>
      </c>
      <c r="AK52" s="139">
        <f t="shared" si="57"/>
        <v>9.9166666666666679</v>
      </c>
      <c r="AL52" s="139">
        <f t="shared" si="57"/>
        <v>9.9166666666666679</v>
      </c>
      <c r="AM52" s="139">
        <f t="shared" si="57"/>
        <v>9.9166666666666679</v>
      </c>
      <c r="AN52" s="139">
        <f t="shared" si="57"/>
        <v>9.9166666666666679</v>
      </c>
      <c r="AO52" s="139">
        <f t="shared" si="57"/>
        <v>9.9166666666666679</v>
      </c>
      <c r="AP52" s="139">
        <f t="shared" si="57"/>
        <v>11.333333333333334</v>
      </c>
      <c r="AQ52" s="139">
        <f t="shared" si="57"/>
        <v>11.333333333333334</v>
      </c>
      <c r="AR52" s="139">
        <f t="shared" si="57"/>
        <v>11.333333333333334</v>
      </c>
      <c r="AS52" s="139">
        <f t="shared" si="57"/>
        <v>11.333333333333334</v>
      </c>
      <c r="AT52" s="139">
        <f t="shared" si="57"/>
        <v>11.333333333333334</v>
      </c>
      <c r="AU52" s="139">
        <f t="shared" si="57"/>
        <v>11.333333333333334</v>
      </c>
      <c r="AV52" s="139">
        <f t="shared" si="57"/>
        <v>12.75</v>
      </c>
      <c r="AW52" s="139">
        <f t="shared" si="57"/>
        <v>12.75</v>
      </c>
      <c r="AX52" s="139">
        <f t="shared" si="57"/>
        <v>12.75</v>
      </c>
      <c r="AY52" s="139">
        <f t="shared" si="57"/>
        <v>12.75</v>
      </c>
      <c r="AZ52" s="139">
        <f t="shared" si="57"/>
        <v>12.75</v>
      </c>
      <c r="BA52" s="139">
        <f t="shared" si="57"/>
        <v>12.75</v>
      </c>
      <c r="BB52" s="139">
        <f t="shared" si="57"/>
        <v>14.166666666666668</v>
      </c>
      <c r="BC52" s="139">
        <f t="shared" si="57"/>
        <v>14.166666666666668</v>
      </c>
      <c r="BD52" s="139">
        <f t="shared" si="57"/>
        <v>14.166666666666668</v>
      </c>
      <c r="BE52" s="139">
        <f t="shared" si="57"/>
        <v>14.166666666666668</v>
      </c>
      <c r="BF52" s="139">
        <f t="shared" si="57"/>
        <v>14.166666666666668</v>
      </c>
      <c r="BG52" s="139">
        <f t="shared" si="57"/>
        <v>14.166666666666668</v>
      </c>
      <c r="BH52" s="139">
        <f t="shared" si="57"/>
        <v>14.166666666666668</v>
      </c>
      <c r="BI52" s="139">
        <f t="shared" si="57"/>
        <v>14.166666666666668</v>
      </c>
      <c r="BJ52" s="139">
        <f t="shared" si="57"/>
        <v>14.166666666666668</v>
      </c>
      <c r="BK52" s="139">
        <f t="shared" si="57"/>
        <v>14.166666666666668</v>
      </c>
      <c r="BL52" s="139">
        <f t="shared" si="57"/>
        <v>14.166666666666668</v>
      </c>
      <c r="BM52" s="139">
        <f t="shared" si="57"/>
        <v>14.166666666666668</v>
      </c>
      <c r="BN52" s="139">
        <f t="shared" si="57"/>
        <v>14.166666666666668</v>
      </c>
      <c r="BO52" s="139">
        <f t="shared" si="57"/>
        <v>14.166666666666668</v>
      </c>
      <c r="BP52" s="139">
        <f t="shared" si="57"/>
        <v>14.166666666666668</v>
      </c>
      <c r="BQ52" s="139">
        <f t="shared" si="57"/>
        <v>14.166666666666668</v>
      </c>
      <c r="BR52" s="139">
        <f t="shared" si="57"/>
        <v>14.166666666666668</v>
      </c>
      <c r="BS52" s="139">
        <f t="shared" si="57"/>
        <v>14.166666666666668</v>
      </c>
      <c r="BU52" s="139">
        <f t="shared" si="11"/>
        <v>34</v>
      </c>
      <c r="BV52" s="139">
        <f t="shared" si="12"/>
        <v>93.5</v>
      </c>
      <c r="BW52" s="139">
        <f t="shared" si="13"/>
        <v>127.49999999999999</v>
      </c>
      <c r="BX52" s="139">
        <f t="shared" si="14"/>
        <v>161.5</v>
      </c>
      <c r="BY52" s="139">
        <f t="shared" si="15"/>
        <v>170</v>
      </c>
    </row>
    <row r="53" spans="3:77" outlineLevel="1">
      <c r="C53" s="155"/>
      <c r="E53" s="139" t="s">
        <v>521</v>
      </c>
      <c r="H53" s="311">
        <f>기타비용분석!H41/12</f>
        <v>2.1666666666666665</v>
      </c>
      <c r="L53" s="139">
        <f t="shared" ref="L53:BS53" si="58">$H53*L183</f>
        <v>0</v>
      </c>
      <c r="M53" s="139">
        <f t="shared" si="58"/>
        <v>0</v>
      </c>
      <c r="N53" s="139">
        <f t="shared" si="58"/>
        <v>0</v>
      </c>
      <c r="O53" s="139">
        <f t="shared" si="58"/>
        <v>0</v>
      </c>
      <c r="P53" s="139">
        <f t="shared" si="58"/>
        <v>0</v>
      </c>
      <c r="Q53" s="139">
        <f t="shared" si="58"/>
        <v>0</v>
      </c>
      <c r="R53" s="139">
        <f t="shared" si="58"/>
        <v>8.6666666666666661</v>
      </c>
      <c r="S53" s="139">
        <f t="shared" si="58"/>
        <v>8.6666666666666661</v>
      </c>
      <c r="T53" s="139">
        <f t="shared" si="58"/>
        <v>8.6666666666666661</v>
      </c>
      <c r="U53" s="139">
        <f t="shared" si="58"/>
        <v>8.6666666666666661</v>
      </c>
      <c r="V53" s="139">
        <f t="shared" si="58"/>
        <v>8.6666666666666661</v>
      </c>
      <c r="W53" s="139">
        <f t="shared" si="58"/>
        <v>8.6666666666666661</v>
      </c>
      <c r="X53" s="139">
        <f t="shared" si="58"/>
        <v>10.833333333333332</v>
      </c>
      <c r="Y53" s="139">
        <f t="shared" si="58"/>
        <v>10.833333333333332</v>
      </c>
      <c r="Z53" s="139">
        <f t="shared" si="58"/>
        <v>10.833333333333332</v>
      </c>
      <c r="AA53" s="139">
        <f t="shared" si="58"/>
        <v>10.833333333333332</v>
      </c>
      <c r="AB53" s="139">
        <f t="shared" si="58"/>
        <v>10.833333333333332</v>
      </c>
      <c r="AC53" s="139">
        <f t="shared" si="58"/>
        <v>10.833333333333332</v>
      </c>
      <c r="AD53" s="139">
        <f t="shared" si="58"/>
        <v>13</v>
      </c>
      <c r="AE53" s="139">
        <f t="shared" si="58"/>
        <v>13</v>
      </c>
      <c r="AF53" s="139">
        <f t="shared" si="58"/>
        <v>13</v>
      </c>
      <c r="AG53" s="139">
        <f t="shared" si="58"/>
        <v>13</v>
      </c>
      <c r="AH53" s="139">
        <f t="shared" si="58"/>
        <v>13</v>
      </c>
      <c r="AI53" s="139">
        <f t="shared" si="58"/>
        <v>13</v>
      </c>
      <c r="AJ53" s="139">
        <f t="shared" si="58"/>
        <v>15.166666666666666</v>
      </c>
      <c r="AK53" s="139">
        <f t="shared" si="58"/>
        <v>15.166666666666666</v>
      </c>
      <c r="AL53" s="139">
        <f t="shared" si="58"/>
        <v>15.166666666666666</v>
      </c>
      <c r="AM53" s="139">
        <f t="shared" si="58"/>
        <v>15.166666666666666</v>
      </c>
      <c r="AN53" s="139">
        <f t="shared" si="58"/>
        <v>15.166666666666666</v>
      </c>
      <c r="AO53" s="139">
        <f t="shared" si="58"/>
        <v>15.166666666666666</v>
      </c>
      <c r="AP53" s="139">
        <f t="shared" si="58"/>
        <v>17.333333333333332</v>
      </c>
      <c r="AQ53" s="139">
        <f t="shared" si="58"/>
        <v>17.333333333333332</v>
      </c>
      <c r="AR53" s="139">
        <f t="shared" si="58"/>
        <v>17.333333333333332</v>
      </c>
      <c r="AS53" s="139">
        <f t="shared" si="58"/>
        <v>17.333333333333332</v>
      </c>
      <c r="AT53" s="139">
        <f t="shared" si="58"/>
        <v>17.333333333333332</v>
      </c>
      <c r="AU53" s="139">
        <f t="shared" si="58"/>
        <v>17.333333333333332</v>
      </c>
      <c r="AV53" s="139">
        <f t="shared" si="58"/>
        <v>19.5</v>
      </c>
      <c r="AW53" s="139">
        <f t="shared" si="58"/>
        <v>19.5</v>
      </c>
      <c r="AX53" s="139">
        <f t="shared" si="58"/>
        <v>19.5</v>
      </c>
      <c r="AY53" s="139">
        <f t="shared" si="58"/>
        <v>19.5</v>
      </c>
      <c r="AZ53" s="139">
        <f t="shared" si="58"/>
        <v>19.5</v>
      </c>
      <c r="BA53" s="139">
        <f t="shared" si="58"/>
        <v>19.5</v>
      </c>
      <c r="BB53" s="139">
        <f t="shared" si="58"/>
        <v>21.666666666666664</v>
      </c>
      <c r="BC53" s="139">
        <f t="shared" si="58"/>
        <v>21.666666666666664</v>
      </c>
      <c r="BD53" s="139">
        <f t="shared" si="58"/>
        <v>21.666666666666664</v>
      </c>
      <c r="BE53" s="139">
        <f t="shared" si="58"/>
        <v>21.666666666666664</v>
      </c>
      <c r="BF53" s="139">
        <f t="shared" si="58"/>
        <v>21.666666666666664</v>
      </c>
      <c r="BG53" s="139">
        <f t="shared" si="58"/>
        <v>21.666666666666664</v>
      </c>
      <c r="BH53" s="139">
        <f t="shared" si="58"/>
        <v>21.666666666666664</v>
      </c>
      <c r="BI53" s="139">
        <f t="shared" si="58"/>
        <v>21.666666666666664</v>
      </c>
      <c r="BJ53" s="139">
        <f t="shared" si="58"/>
        <v>21.666666666666664</v>
      </c>
      <c r="BK53" s="139">
        <f t="shared" si="58"/>
        <v>21.666666666666664</v>
      </c>
      <c r="BL53" s="139">
        <f t="shared" si="58"/>
        <v>21.666666666666664</v>
      </c>
      <c r="BM53" s="139">
        <f t="shared" si="58"/>
        <v>21.666666666666664</v>
      </c>
      <c r="BN53" s="139">
        <f t="shared" si="58"/>
        <v>21.666666666666664</v>
      </c>
      <c r="BO53" s="139">
        <f t="shared" si="58"/>
        <v>21.666666666666664</v>
      </c>
      <c r="BP53" s="139">
        <f t="shared" si="58"/>
        <v>21.666666666666664</v>
      </c>
      <c r="BQ53" s="139">
        <f t="shared" si="58"/>
        <v>21.666666666666664</v>
      </c>
      <c r="BR53" s="139">
        <f t="shared" si="58"/>
        <v>21.666666666666664</v>
      </c>
      <c r="BS53" s="139">
        <f t="shared" si="58"/>
        <v>21.666666666666664</v>
      </c>
      <c r="BU53" s="139">
        <f t="shared" si="11"/>
        <v>51.999999999999993</v>
      </c>
      <c r="BV53" s="139">
        <f t="shared" si="12"/>
        <v>143</v>
      </c>
      <c r="BW53" s="139">
        <f t="shared" si="13"/>
        <v>195.00000000000003</v>
      </c>
      <c r="BX53" s="139">
        <f t="shared" si="14"/>
        <v>246.99999999999994</v>
      </c>
      <c r="BY53" s="139">
        <f t="shared" si="15"/>
        <v>259.99999999999994</v>
      </c>
    </row>
    <row r="54" spans="3:77" outlineLevel="1">
      <c r="C54" s="155"/>
      <c r="E54" s="139" t="s">
        <v>522</v>
      </c>
      <c r="H54" s="311">
        <f>기타비용분석!H42/12</f>
        <v>1.5</v>
      </c>
      <c r="L54" s="139">
        <f t="shared" ref="L54:BS54" si="59">$H54*L184</f>
        <v>0</v>
      </c>
      <c r="M54" s="139">
        <f t="shared" si="59"/>
        <v>0</v>
      </c>
      <c r="N54" s="139">
        <f t="shared" si="59"/>
        <v>0</v>
      </c>
      <c r="O54" s="139">
        <f t="shared" si="59"/>
        <v>0</v>
      </c>
      <c r="P54" s="139">
        <f t="shared" si="59"/>
        <v>0</v>
      </c>
      <c r="Q54" s="139">
        <f t="shared" si="59"/>
        <v>0</v>
      </c>
      <c r="R54" s="139">
        <f t="shared" si="59"/>
        <v>12</v>
      </c>
      <c r="S54" s="139">
        <f t="shared" si="59"/>
        <v>12</v>
      </c>
      <c r="T54" s="139">
        <f t="shared" si="59"/>
        <v>12</v>
      </c>
      <c r="U54" s="139">
        <f t="shared" si="59"/>
        <v>12</v>
      </c>
      <c r="V54" s="139">
        <f t="shared" si="59"/>
        <v>12</v>
      </c>
      <c r="W54" s="139">
        <f t="shared" si="59"/>
        <v>12</v>
      </c>
      <c r="X54" s="139">
        <f t="shared" si="59"/>
        <v>15</v>
      </c>
      <c r="Y54" s="139">
        <f t="shared" si="59"/>
        <v>15</v>
      </c>
      <c r="Z54" s="139">
        <f t="shared" si="59"/>
        <v>15</v>
      </c>
      <c r="AA54" s="139">
        <f t="shared" si="59"/>
        <v>15</v>
      </c>
      <c r="AB54" s="139">
        <f t="shared" si="59"/>
        <v>15</v>
      </c>
      <c r="AC54" s="139">
        <f t="shared" si="59"/>
        <v>15</v>
      </c>
      <c r="AD54" s="139">
        <f t="shared" si="59"/>
        <v>18</v>
      </c>
      <c r="AE54" s="139">
        <f t="shared" si="59"/>
        <v>18</v>
      </c>
      <c r="AF54" s="139">
        <f t="shared" si="59"/>
        <v>18</v>
      </c>
      <c r="AG54" s="139">
        <f t="shared" si="59"/>
        <v>18</v>
      </c>
      <c r="AH54" s="139">
        <f t="shared" si="59"/>
        <v>18</v>
      </c>
      <c r="AI54" s="139">
        <f t="shared" si="59"/>
        <v>18</v>
      </c>
      <c r="AJ54" s="139">
        <f t="shared" si="59"/>
        <v>21</v>
      </c>
      <c r="AK54" s="139">
        <f t="shared" si="59"/>
        <v>21</v>
      </c>
      <c r="AL54" s="139">
        <f t="shared" si="59"/>
        <v>21</v>
      </c>
      <c r="AM54" s="139">
        <f t="shared" si="59"/>
        <v>21</v>
      </c>
      <c r="AN54" s="139">
        <f t="shared" si="59"/>
        <v>21</v>
      </c>
      <c r="AO54" s="139">
        <f t="shared" si="59"/>
        <v>21</v>
      </c>
      <c r="AP54" s="139">
        <f t="shared" si="59"/>
        <v>24</v>
      </c>
      <c r="AQ54" s="139">
        <f t="shared" si="59"/>
        <v>24</v>
      </c>
      <c r="AR54" s="139">
        <f t="shared" si="59"/>
        <v>24</v>
      </c>
      <c r="AS54" s="139">
        <f t="shared" si="59"/>
        <v>24</v>
      </c>
      <c r="AT54" s="139">
        <f t="shared" si="59"/>
        <v>24</v>
      </c>
      <c r="AU54" s="139">
        <f t="shared" si="59"/>
        <v>24</v>
      </c>
      <c r="AV54" s="139">
        <f t="shared" si="59"/>
        <v>27</v>
      </c>
      <c r="AW54" s="139">
        <f t="shared" si="59"/>
        <v>27</v>
      </c>
      <c r="AX54" s="139">
        <f t="shared" si="59"/>
        <v>27</v>
      </c>
      <c r="AY54" s="139">
        <f t="shared" si="59"/>
        <v>27</v>
      </c>
      <c r="AZ54" s="139">
        <f t="shared" si="59"/>
        <v>27</v>
      </c>
      <c r="BA54" s="139">
        <f t="shared" si="59"/>
        <v>27</v>
      </c>
      <c r="BB54" s="139">
        <f t="shared" si="59"/>
        <v>30</v>
      </c>
      <c r="BC54" s="139">
        <f t="shared" si="59"/>
        <v>30</v>
      </c>
      <c r="BD54" s="139">
        <f t="shared" si="59"/>
        <v>30</v>
      </c>
      <c r="BE54" s="139">
        <f t="shared" si="59"/>
        <v>30</v>
      </c>
      <c r="BF54" s="139">
        <f t="shared" si="59"/>
        <v>30</v>
      </c>
      <c r="BG54" s="139">
        <f t="shared" si="59"/>
        <v>30</v>
      </c>
      <c r="BH54" s="139">
        <f t="shared" si="59"/>
        <v>30</v>
      </c>
      <c r="BI54" s="139">
        <f t="shared" si="59"/>
        <v>30</v>
      </c>
      <c r="BJ54" s="139">
        <f t="shared" si="59"/>
        <v>30</v>
      </c>
      <c r="BK54" s="139">
        <f t="shared" si="59"/>
        <v>30</v>
      </c>
      <c r="BL54" s="139">
        <f t="shared" si="59"/>
        <v>30</v>
      </c>
      <c r="BM54" s="139">
        <f t="shared" si="59"/>
        <v>30</v>
      </c>
      <c r="BN54" s="139">
        <f t="shared" si="59"/>
        <v>30</v>
      </c>
      <c r="BO54" s="139">
        <f t="shared" si="59"/>
        <v>30</v>
      </c>
      <c r="BP54" s="139">
        <f t="shared" si="59"/>
        <v>30</v>
      </c>
      <c r="BQ54" s="139">
        <f t="shared" si="59"/>
        <v>30</v>
      </c>
      <c r="BR54" s="139">
        <f t="shared" si="59"/>
        <v>30</v>
      </c>
      <c r="BS54" s="139">
        <f t="shared" si="59"/>
        <v>30</v>
      </c>
      <c r="BU54" s="139">
        <f t="shared" si="11"/>
        <v>72</v>
      </c>
      <c r="BV54" s="139">
        <f t="shared" si="12"/>
        <v>198</v>
      </c>
      <c r="BW54" s="139">
        <f t="shared" si="13"/>
        <v>270</v>
      </c>
      <c r="BX54" s="139">
        <f t="shared" si="14"/>
        <v>342</v>
      </c>
      <c r="BY54" s="139">
        <f t="shared" si="15"/>
        <v>360</v>
      </c>
    </row>
    <row r="55" spans="3:77" outlineLevel="1">
      <c r="C55" s="155"/>
      <c r="E55" s="139" t="s">
        <v>523</v>
      </c>
      <c r="H55" s="311">
        <f>기타비용분석!H43/12</f>
        <v>1</v>
      </c>
      <c r="L55" s="139">
        <f t="shared" ref="L55:AQ55" si="60">$H55*L185</f>
        <v>0</v>
      </c>
      <c r="M55" s="139">
        <f t="shared" si="60"/>
        <v>0</v>
      </c>
      <c r="N55" s="139">
        <f t="shared" si="60"/>
        <v>0</v>
      </c>
      <c r="O55" s="139">
        <f t="shared" si="60"/>
        <v>0</v>
      </c>
      <c r="P55" s="139">
        <f t="shared" si="60"/>
        <v>0</v>
      </c>
      <c r="Q55" s="139">
        <f t="shared" si="60"/>
        <v>0</v>
      </c>
      <c r="R55" s="139">
        <f t="shared" si="60"/>
        <v>0</v>
      </c>
      <c r="S55" s="139">
        <f t="shared" si="60"/>
        <v>0</v>
      </c>
      <c r="T55" s="139">
        <f t="shared" si="60"/>
        <v>0</v>
      </c>
      <c r="U55" s="139">
        <f t="shared" si="60"/>
        <v>0</v>
      </c>
      <c r="V55" s="139">
        <f t="shared" si="60"/>
        <v>0</v>
      </c>
      <c r="W55" s="139">
        <f t="shared" si="60"/>
        <v>0</v>
      </c>
      <c r="X55" s="139">
        <f t="shared" si="60"/>
        <v>0</v>
      </c>
      <c r="Y55" s="139">
        <f t="shared" si="60"/>
        <v>0</v>
      </c>
      <c r="Z55" s="139">
        <f t="shared" si="60"/>
        <v>0</v>
      </c>
      <c r="AA55" s="139">
        <f t="shared" si="60"/>
        <v>0</v>
      </c>
      <c r="AB55" s="139">
        <f t="shared" si="60"/>
        <v>0</v>
      </c>
      <c r="AC55" s="139">
        <f t="shared" si="60"/>
        <v>0</v>
      </c>
      <c r="AD55" s="139">
        <f t="shared" si="60"/>
        <v>0</v>
      </c>
      <c r="AE55" s="139">
        <f t="shared" si="60"/>
        <v>0</v>
      </c>
      <c r="AF55" s="139">
        <f t="shared" si="60"/>
        <v>0</v>
      </c>
      <c r="AG55" s="139">
        <f t="shared" si="60"/>
        <v>0</v>
      </c>
      <c r="AH55" s="139">
        <f t="shared" si="60"/>
        <v>0</v>
      </c>
      <c r="AI55" s="139">
        <f t="shared" si="60"/>
        <v>0</v>
      </c>
      <c r="AJ55" s="139">
        <f t="shared" si="60"/>
        <v>0</v>
      </c>
      <c r="AK55" s="139">
        <f t="shared" si="60"/>
        <v>0</v>
      </c>
      <c r="AL55" s="139">
        <f t="shared" si="60"/>
        <v>0</v>
      </c>
      <c r="AM55" s="139">
        <f t="shared" si="60"/>
        <v>0</v>
      </c>
      <c r="AN55" s="139">
        <f t="shared" si="60"/>
        <v>0</v>
      </c>
      <c r="AO55" s="139">
        <f t="shared" si="60"/>
        <v>0</v>
      </c>
      <c r="AP55" s="139">
        <f t="shared" si="60"/>
        <v>0</v>
      </c>
      <c r="AQ55" s="139">
        <f t="shared" si="60"/>
        <v>0</v>
      </c>
      <c r="AR55" s="139">
        <f t="shared" ref="AR55:BS55" si="61">$H55*AR185</f>
        <v>0</v>
      </c>
      <c r="AS55" s="139">
        <f t="shared" si="61"/>
        <v>0</v>
      </c>
      <c r="AT55" s="139">
        <f t="shared" si="61"/>
        <v>0</v>
      </c>
      <c r="AU55" s="139">
        <f t="shared" si="61"/>
        <v>0</v>
      </c>
      <c r="AV55" s="139">
        <f t="shared" si="61"/>
        <v>0</v>
      </c>
      <c r="AW55" s="139">
        <f t="shared" si="61"/>
        <v>0</v>
      </c>
      <c r="AX55" s="139">
        <f t="shared" si="61"/>
        <v>0</v>
      </c>
      <c r="AY55" s="139">
        <f t="shared" si="61"/>
        <v>0</v>
      </c>
      <c r="AZ55" s="139">
        <f t="shared" si="61"/>
        <v>0</v>
      </c>
      <c r="BA55" s="139">
        <f t="shared" si="61"/>
        <v>0</v>
      </c>
      <c r="BB55" s="139">
        <f t="shared" si="61"/>
        <v>0</v>
      </c>
      <c r="BC55" s="139">
        <f t="shared" si="61"/>
        <v>0</v>
      </c>
      <c r="BD55" s="139">
        <f t="shared" si="61"/>
        <v>0</v>
      </c>
      <c r="BE55" s="139">
        <f t="shared" si="61"/>
        <v>0</v>
      </c>
      <c r="BF55" s="139">
        <f t="shared" si="61"/>
        <v>0</v>
      </c>
      <c r="BG55" s="139">
        <f t="shared" si="61"/>
        <v>0</v>
      </c>
      <c r="BH55" s="139">
        <f t="shared" si="61"/>
        <v>0</v>
      </c>
      <c r="BI55" s="139">
        <f t="shared" si="61"/>
        <v>0</v>
      </c>
      <c r="BJ55" s="139">
        <f t="shared" si="61"/>
        <v>0</v>
      </c>
      <c r="BK55" s="139">
        <f t="shared" si="61"/>
        <v>0</v>
      </c>
      <c r="BL55" s="139">
        <f t="shared" si="61"/>
        <v>0</v>
      </c>
      <c r="BM55" s="139">
        <f t="shared" si="61"/>
        <v>0</v>
      </c>
      <c r="BN55" s="139">
        <f t="shared" si="61"/>
        <v>0</v>
      </c>
      <c r="BO55" s="139">
        <f t="shared" si="61"/>
        <v>0</v>
      </c>
      <c r="BP55" s="139">
        <f t="shared" si="61"/>
        <v>0</v>
      </c>
      <c r="BQ55" s="139">
        <f t="shared" si="61"/>
        <v>0</v>
      </c>
      <c r="BR55" s="139">
        <f t="shared" si="61"/>
        <v>0</v>
      </c>
      <c r="BS55" s="139">
        <f t="shared" si="61"/>
        <v>0</v>
      </c>
      <c r="BU55" s="139">
        <f t="shared" si="11"/>
        <v>0</v>
      </c>
      <c r="BV55" s="139">
        <f t="shared" si="12"/>
        <v>0</v>
      </c>
      <c r="BW55" s="139">
        <f t="shared" si="13"/>
        <v>0</v>
      </c>
      <c r="BX55" s="139">
        <f t="shared" si="14"/>
        <v>0</v>
      </c>
      <c r="BY55" s="139">
        <f t="shared" si="15"/>
        <v>0</v>
      </c>
    </row>
    <row r="56" spans="3:77" s="155" customFormat="1">
      <c r="D56" s="155" t="s">
        <v>158</v>
      </c>
      <c r="F56" s="155" t="s">
        <v>561</v>
      </c>
      <c r="L56" s="155">
        <f>SUBTOTAL(9,L57:L64)</f>
        <v>0</v>
      </c>
      <c r="M56" s="155">
        <f t="shared" ref="M56:BS56" si="62">SUBTOTAL(9,M57:M64)</f>
        <v>0</v>
      </c>
      <c r="N56" s="155">
        <f t="shared" si="62"/>
        <v>0</v>
      </c>
      <c r="O56" s="155">
        <f t="shared" si="62"/>
        <v>0</v>
      </c>
      <c r="P56" s="155">
        <f t="shared" si="62"/>
        <v>0</v>
      </c>
      <c r="Q56" s="155">
        <f t="shared" si="62"/>
        <v>0</v>
      </c>
      <c r="R56" s="155">
        <f t="shared" si="62"/>
        <v>41.666666666666671</v>
      </c>
      <c r="S56" s="155">
        <f t="shared" si="62"/>
        <v>41.666666666666671</v>
      </c>
      <c r="T56" s="155">
        <f t="shared" si="62"/>
        <v>41.666666666666671</v>
      </c>
      <c r="U56" s="155">
        <f t="shared" si="62"/>
        <v>41.666666666666671</v>
      </c>
      <c r="V56" s="155">
        <f t="shared" si="62"/>
        <v>41.666666666666671</v>
      </c>
      <c r="W56" s="155">
        <f t="shared" si="62"/>
        <v>41.666666666666671</v>
      </c>
      <c r="X56" s="155">
        <f t="shared" si="62"/>
        <v>52.083333333333336</v>
      </c>
      <c r="Y56" s="155">
        <f t="shared" si="62"/>
        <v>52.083333333333336</v>
      </c>
      <c r="Z56" s="155">
        <f t="shared" si="62"/>
        <v>52.083333333333336</v>
      </c>
      <c r="AA56" s="155">
        <f t="shared" si="62"/>
        <v>52.083333333333336</v>
      </c>
      <c r="AB56" s="155">
        <f t="shared" si="62"/>
        <v>52.083333333333336</v>
      </c>
      <c r="AC56" s="155">
        <f t="shared" si="62"/>
        <v>52.083333333333336</v>
      </c>
      <c r="AD56" s="155">
        <f t="shared" si="62"/>
        <v>62.5</v>
      </c>
      <c r="AE56" s="155">
        <f t="shared" si="62"/>
        <v>62.5</v>
      </c>
      <c r="AF56" s="155">
        <f t="shared" si="62"/>
        <v>62.5</v>
      </c>
      <c r="AG56" s="155">
        <f t="shared" si="62"/>
        <v>62.5</v>
      </c>
      <c r="AH56" s="155">
        <f t="shared" si="62"/>
        <v>62.5</v>
      </c>
      <c r="AI56" s="155">
        <f t="shared" si="62"/>
        <v>62.5</v>
      </c>
      <c r="AJ56" s="155">
        <f t="shared" si="62"/>
        <v>78.75</v>
      </c>
      <c r="AK56" s="155">
        <f t="shared" si="62"/>
        <v>78.75</v>
      </c>
      <c r="AL56" s="155">
        <f t="shared" si="62"/>
        <v>78.75</v>
      </c>
      <c r="AM56" s="155">
        <f t="shared" si="62"/>
        <v>78.75</v>
      </c>
      <c r="AN56" s="155">
        <f t="shared" si="62"/>
        <v>78.75</v>
      </c>
      <c r="AO56" s="155">
        <f t="shared" si="62"/>
        <v>78.75</v>
      </c>
      <c r="AP56" s="155">
        <f t="shared" si="62"/>
        <v>89.166666666666657</v>
      </c>
      <c r="AQ56" s="155">
        <f t="shared" si="62"/>
        <v>89.166666666666657</v>
      </c>
      <c r="AR56" s="155">
        <f t="shared" si="62"/>
        <v>89.166666666666657</v>
      </c>
      <c r="AS56" s="155">
        <f t="shared" si="62"/>
        <v>89.166666666666657</v>
      </c>
      <c r="AT56" s="155">
        <f t="shared" si="62"/>
        <v>89.166666666666657</v>
      </c>
      <c r="AU56" s="155">
        <f t="shared" si="62"/>
        <v>89.166666666666657</v>
      </c>
      <c r="AV56" s="155">
        <f t="shared" si="62"/>
        <v>99.583333333333329</v>
      </c>
      <c r="AW56" s="155">
        <f t="shared" si="62"/>
        <v>99.583333333333329</v>
      </c>
      <c r="AX56" s="155">
        <f t="shared" si="62"/>
        <v>99.583333333333329</v>
      </c>
      <c r="AY56" s="155">
        <f t="shared" si="62"/>
        <v>99.583333333333329</v>
      </c>
      <c r="AZ56" s="155">
        <f t="shared" si="62"/>
        <v>99.583333333333329</v>
      </c>
      <c r="BA56" s="155">
        <f t="shared" si="62"/>
        <v>99.583333333333329</v>
      </c>
      <c r="BB56" s="155">
        <f t="shared" si="62"/>
        <v>110</v>
      </c>
      <c r="BC56" s="155">
        <f t="shared" si="62"/>
        <v>110</v>
      </c>
      <c r="BD56" s="155">
        <f t="shared" si="62"/>
        <v>110</v>
      </c>
      <c r="BE56" s="155">
        <f t="shared" si="62"/>
        <v>110</v>
      </c>
      <c r="BF56" s="155">
        <f t="shared" si="62"/>
        <v>110</v>
      </c>
      <c r="BG56" s="155">
        <f t="shared" si="62"/>
        <v>110</v>
      </c>
      <c r="BH56" s="155">
        <f t="shared" si="62"/>
        <v>110</v>
      </c>
      <c r="BI56" s="155">
        <f t="shared" si="62"/>
        <v>110</v>
      </c>
      <c r="BJ56" s="155">
        <f t="shared" si="62"/>
        <v>110</v>
      </c>
      <c r="BK56" s="155">
        <f t="shared" si="62"/>
        <v>110</v>
      </c>
      <c r="BL56" s="155">
        <f t="shared" si="62"/>
        <v>110</v>
      </c>
      <c r="BM56" s="155">
        <f t="shared" si="62"/>
        <v>110</v>
      </c>
      <c r="BN56" s="155">
        <f t="shared" si="62"/>
        <v>110</v>
      </c>
      <c r="BO56" s="155">
        <f t="shared" si="62"/>
        <v>110</v>
      </c>
      <c r="BP56" s="155">
        <f t="shared" si="62"/>
        <v>110</v>
      </c>
      <c r="BQ56" s="155">
        <f t="shared" si="62"/>
        <v>110</v>
      </c>
      <c r="BR56" s="155">
        <f t="shared" si="62"/>
        <v>110</v>
      </c>
      <c r="BS56" s="155">
        <f t="shared" si="62"/>
        <v>110</v>
      </c>
      <c r="BU56" s="155">
        <f t="shared" si="11"/>
        <v>250.00000000000006</v>
      </c>
      <c r="BV56" s="155">
        <f t="shared" si="12"/>
        <v>687.5</v>
      </c>
      <c r="BW56" s="155">
        <f t="shared" si="13"/>
        <v>1007.4999999999998</v>
      </c>
      <c r="BX56" s="155">
        <f t="shared" si="14"/>
        <v>1257.5</v>
      </c>
      <c r="BY56" s="155">
        <f t="shared" si="15"/>
        <v>1320</v>
      </c>
    </row>
    <row r="57" spans="3:77" outlineLevel="1">
      <c r="C57" s="155"/>
      <c r="E57" s="139" t="s">
        <v>498</v>
      </c>
      <c r="H57" s="139">
        <f>기타비용분석!H45/12</f>
        <v>5.833333333333333</v>
      </c>
      <c r="L57" s="139">
        <f t="shared" ref="L57:AQ57" si="63">$H57*L187</f>
        <v>0</v>
      </c>
      <c r="M57" s="139">
        <f t="shared" si="63"/>
        <v>0</v>
      </c>
      <c r="N57" s="139">
        <f t="shared" si="63"/>
        <v>0</v>
      </c>
      <c r="O57" s="139">
        <f t="shared" si="63"/>
        <v>0</v>
      </c>
      <c r="P57" s="139">
        <f t="shared" si="63"/>
        <v>0</v>
      </c>
      <c r="Q57" s="139">
        <f t="shared" si="63"/>
        <v>0</v>
      </c>
      <c r="R57" s="139">
        <f t="shared" si="63"/>
        <v>0</v>
      </c>
      <c r="S57" s="139">
        <f t="shared" si="63"/>
        <v>0</v>
      </c>
      <c r="T57" s="139">
        <f t="shared" si="63"/>
        <v>0</v>
      </c>
      <c r="U57" s="139">
        <f t="shared" si="63"/>
        <v>0</v>
      </c>
      <c r="V57" s="139">
        <f t="shared" si="63"/>
        <v>0</v>
      </c>
      <c r="W57" s="139">
        <f t="shared" si="63"/>
        <v>0</v>
      </c>
      <c r="X57" s="139">
        <f t="shared" si="63"/>
        <v>0</v>
      </c>
      <c r="Y57" s="139">
        <f t="shared" si="63"/>
        <v>0</v>
      </c>
      <c r="Z57" s="139">
        <f t="shared" si="63"/>
        <v>0</v>
      </c>
      <c r="AA57" s="139">
        <f t="shared" si="63"/>
        <v>0</v>
      </c>
      <c r="AB57" s="139">
        <f t="shared" si="63"/>
        <v>0</v>
      </c>
      <c r="AC57" s="139">
        <f t="shared" si="63"/>
        <v>0</v>
      </c>
      <c r="AD57" s="139">
        <f t="shared" si="63"/>
        <v>0</v>
      </c>
      <c r="AE57" s="139">
        <f t="shared" si="63"/>
        <v>0</v>
      </c>
      <c r="AF57" s="139">
        <f t="shared" si="63"/>
        <v>0</v>
      </c>
      <c r="AG57" s="139">
        <f t="shared" si="63"/>
        <v>0</v>
      </c>
      <c r="AH57" s="139">
        <f t="shared" si="63"/>
        <v>0</v>
      </c>
      <c r="AI57" s="139">
        <f t="shared" si="63"/>
        <v>0</v>
      </c>
      <c r="AJ57" s="139">
        <f t="shared" si="63"/>
        <v>5.833333333333333</v>
      </c>
      <c r="AK57" s="139">
        <f t="shared" si="63"/>
        <v>5.833333333333333</v>
      </c>
      <c r="AL57" s="139">
        <f t="shared" si="63"/>
        <v>5.833333333333333</v>
      </c>
      <c r="AM57" s="139">
        <f t="shared" si="63"/>
        <v>5.833333333333333</v>
      </c>
      <c r="AN57" s="139">
        <f t="shared" si="63"/>
        <v>5.833333333333333</v>
      </c>
      <c r="AO57" s="139">
        <f t="shared" si="63"/>
        <v>5.833333333333333</v>
      </c>
      <c r="AP57" s="139">
        <f t="shared" si="63"/>
        <v>5.833333333333333</v>
      </c>
      <c r="AQ57" s="139">
        <f t="shared" si="63"/>
        <v>5.833333333333333</v>
      </c>
      <c r="AR57" s="139">
        <f t="shared" ref="AR57:BS57" si="64">$H57*AR187</f>
        <v>5.833333333333333</v>
      </c>
      <c r="AS57" s="139">
        <f t="shared" si="64"/>
        <v>5.833333333333333</v>
      </c>
      <c r="AT57" s="139">
        <f t="shared" si="64"/>
        <v>5.833333333333333</v>
      </c>
      <c r="AU57" s="139">
        <f t="shared" si="64"/>
        <v>5.833333333333333</v>
      </c>
      <c r="AV57" s="139">
        <f t="shared" si="64"/>
        <v>5.833333333333333</v>
      </c>
      <c r="AW57" s="139">
        <f t="shared" si="64"/>
        <v>5.833333333333333</v>
      </c>
      <c r="AX57" s="139">
        <f t="shared" si="64"/>
        <v>5.833333333333333</v>
      </c>
      <c r="AY57" s="139">
        <f t="shared" si="64"/>
        <v>5.833333333333333</v>
      </c>
      <c r="AZ57" s="139">
        <f t="shared" si="64"/>
        <v>5.833333333333333</v>
      </c>
      <c r="BA57" s="139">
        <f t="shared" si="64"/>
        <v>5.833333333333333</v>
      </c>
      <c r="BB57" s="139">
        <f t="shared" si="64"/>
        <v>5.833333333333333</v>
      </c>
      <c r="BC57" s="139">
        <f t="shared" si="64"/>
        <v>5.833333333333333</v>
      </c>
      <c r="BD57" s="139">
        <f t="shared" si="64"/>
        <v>5.833333333333333</v>
      </c>
      <c r="BE57" s="139">
        <f t="shared" si="64"/>
        <v>5.833333333333333</v>
      </c>
      <c r="BF57" s="139">
        <f t="shared" si="64"/>
        <v>5.833333333333333</v>
      </c>
      <c r="BG57" s="139">
        <f t="shared" si="64"/>
        <v>5.833333333333333</v>
      </c>
      <c r="BH57" s="139">
        <f t="shared" si="64"/>
        <v>5.833333333333333</v>
      </c>
      <c r="BI57" s="139">
        <f t="shared" si="64"/>
        <v>5.833333333333333</v>
      </c>
      <c r="BJ57" s="139">
        <f t="shared" si="64"/>
        <v>5.833333333333333</v>
      </c>
      <c r="BK57" s="139">
        <f t="shared" si="64"/>
        <v>5.833333333333333</v>
      </c>
      <c r="BL57" s="139">
        <f t="shared" si="64"/>
        <v>5.833333333333333</v>
      </c>
      <c r="BM57" s="139">
        <f t="shared" si="64"/>
        <v>5.833333333333333</v>
      </c>
      <c r="BN57" s="139">
        <f t="shared" si="64"/>
        <v>5.833333333333333</v>
      </c>
      <c r="BO57" s="139">
        <f t="shared" si="64"/>
        <v>5.833333333333333</v>
      </c>
      <c r="BP57" s="139">
        <f t="shared" si="64"/>
        <v>5.833333333333333</v>
      </c>
      <c r="BQ57" s="139">
        <f t="shared" si="64"/>
        <v>5.833333333333333</v>
      </c>
      <c r="BR57" s="139">
        <f t="shared" si="64"/>
        <v>5.833333333333333</v>
      </c>
      <c r="BS57" s="139">
        <f t="shared" si="64"/>
        <v>5.833333333333333</v>
      </c>
      <c r="BU57" s="139">
        <f t="shared" si="11"/>
        <v>0</v>
      </c>
      <c r="BV57" s="139">
        <f t="shared" si="12"/>
        <v>0</v>
      </c>
      <c r="BW57" s="139">
        <f t="shared" si="13"/>
        <v>70</v>
      </c>
      <c r="BX57" s="139">
        <f t="shared" si="14"/>
        <v>70</v>
      </c>
      <c r="BY57" s="139">
        <f t="shared" si="15"/>
        <v>70</v>
      </c>
    </row>
    <row r="58" spans="3:77" outlineLevel="1">
      <c r="C58" s="155"/>
      <c r="E58" s="139" t="s">
        <v>517</v>
      </c>
      <c r="H58" s="139">
        <f>기타비용분석!H46/12</f>
        <v>0</v>
      </c>
      <c r="L58" s="139">
        <f t="shared" ref="L58:BS58" si="65">$H58*L188</f>
        <v>0</v>
      </c>
      <c r="M58" s="139">
        <f t="shared" si="65"/>
        <v>0</v>
      </c>
      <c r="N58" s="139">
        <f t="shared" si="65"/>
        <v>0</v>
      </c>
      <c r="O58" s="139">
        <f t="shared" si="65"/>
        <v>0</v>
      </c>
      <c r="P58" s="139">
        <f t="shared" si="65"/>
        <v>0</v>
      </c>
      <c r="Q58" s="139">
        <f t="shared" si="65"/>
        <v>0</v>
      </c>
      <c r="R58" s="139">
        <f t="shared" si="65"/>
        <v>0</v>
      </c>
      <c r="S58" s="139">
        <f t="shared" si="65"/>
        <v>0</v>
      </c>
      <c r="T58" s="139">
        <f t="shared" si="65"/>
        <v>0</v>
      </c>
      <c r="U58" s="139">
        <f t="shared" si="65"/>
        <v>0</v>
      </c>
      <c r="V58" s="139">
        <f t="shared" si="65"/>
        <v>0</v>
      </c>
      <c r="W58" s="139">
        <f t="shared" si="65"/>
        <v>0</v>
      </c>
      <c r="X58" s="139">
        <f t="shared" si="65"/>
        <v>0</v>
      </c>
      <c r="Y58" s="139">
        <f t="shared" si="65"/>
        <v>0</v>
      </c>
      <c r="Z58" s="139">
        <f t="shared" si="65"/>
        <v>0</v>
      </c>
      <c r="AA58" s="139">
        <f t="shared" si="65"/>
        <v>0</v>
      </c>
      <c r="AB58" s="139">
        <f t="shared" si="65"/>
        <v>0</v>
      </c>
      <c r="AC58" s="139">
        <f t="shared" si="65"/>
        <v>0</v>
      </c>
      <c r="AD58" s="139">
        <f t="shared" si="65"/>
        <v>0</v>
      </c>
      <c r="AE58" s="139">
        <f t="shared" si="65"/>
        <v>0</v>
      </c>
      <c r="AF58" s="139">
        <f t="shared" si="65"/>
        <v>0</v>
      </c>
      <c r="AG58" s="139">
        <f t="shared" si="65"/>
        <v>0</v>
      </c>
      <c r="AH58" s="139">
        <f t="shared" si="65"/>
        <v>0</v>
      </c>
      <c r="AI58" s="139">
        <f t="shared" si="65"/>
        <v>0</v>
      </c>
      <c r="AJ58" s="139">
        <f t="shared" si="65"/>
        <v>0</v>
      </c>
      <c r="AK58" s="139">
        <f t="shared" si="65"/>
        <v>0</v>
      </c>
      <c r="AL58" s="139">
        <f t="shared" si="65"/>
        <v>0</v>
      </c>
      <c r="AM58" s="139">
        <f t="shared" si="65"/>
        <v>0</v>
      </c>
      <c r="AN58" s="139">
        <f t="shared" si="65"/>
        <v>0</v>
      </c>
      <c r="AO58" s="139">
        <f t="shared" si="65"/>
        <v>0</v>
      </c>
      <c r="AP58" s="139">
        <f t="shared" si="65"/>
        <v>0</v>
      </c>
      <c r="AQ58" s="139">
        <f t="shared" si="65"/>
        <v>0</v>
      </c>
      <c r="AR58" s="139">
        <f t="shared" si="65"/>
        <v>0</v>
      </c>
      <c r="AS58" s="139">
        <f t="shared" si="65"/>
        <v>0</v>
      </c>
      <c r="AT58" s="139">
        <f t="shared" si="65"/>
        <v>0</v>
      </c>
      <c r="AU58" s="139">
        <f t="shared" si="65"/>
        <v>0</v>
      </c>
      <c r="AV58" s="139">
        <f t="shared" si="65"/>
        <v>0</v>
      </c>
      <c r="AW58" s="139">
        <f t="shared" si="65"/>
        <v>0</v>
      </c>
      <c r="AX58" s="139">
        <f t="shared" si="65"/>
        <v>0</v>
      </c>
      <c r="AY58" s="139">
        <f t="shared" si="65"/>
        <v>0</v>
      </c>
      <c r="AZ58" s="139">
        <f t="shared" si="65"/>
        <v>0</v>
      </c>
      <c r="BA58" s="139">
        <f t="shared" si="65"/>
        <v>0</v>
      </c>
      <c r="BB58" s="139">
        <f t="shared" si="65"/>
        <v>0</v>
      </c>
      <c r="BC58" s="139">
        <f t="shared" si="65"/>
        <v>0</v>
      </c>
      <c r="BD58" s="139">
        <f t="shared" si="65"/>
        <v>0</v>
      </c>
      <c r="BE58" s="139">
        <f t="shared" si="65"/>
        <v>0</v>
      </c>
      <c r="BF58" s="139">
        <f t="shared" si="65"/>
        <v>0</v>
      </c>
      <c r="BG58" s="139">
        <f t="shared" si="65"/>
        <v>0</v>
      </c>
      <c r="BH58" s="139">
        <f t="shared" si="65"/>
        <v>0</v>
      </c>
      <c r="BI58" s="139">
        <f t="shared" si="65"/>
        <v>0</v>
      </c>
      <c r="BJ58" s="139">
        <f t="shared" si="65"/>
        <v>0</v>
      </c>
      <c r="BK58" s="139">
        <f t="shared" si="65"/>
        <v>0</v>
      </c>
      <c r="BL58" s="139">
        <f t="shared" si="65"/>
        <v>0</v>
      </c>
      <c r="BM58" s="139">
        <f t="shared" si="65"/>
        <v>0</v>
      </c>
      <c r="BN58" s="139">
        <f t="shared" si="65"/>
        <v>0</v>
      </c>
      <c r="BO58" s="139">
        <f t="shared" si="65"/>
        <v>0</v>
      </c>
      <c r="BP58" s="139">
        <f t="shared" si="65"/>
        <v>0</v>
      </c>
      <c r="BQ58" s="139">
        <f t="shared" si="65"/>
        <v>0</v>
      </c>
      <c r="BR58" s="139">
        <f t="shared" si="65"/>
        <v>0</v>
      </c>
      <c r="BS58" s="139">
        <f t="shared" si="65"/>
        <v>0</v>
      </c>
      <c r="BU58" s="139">
        <f t="shared" si="11"/>
        <v>0</v>
      </c>
      <c r="BV58" s="139">
        <f t="shared" si="12"/>
        <v>0</v>
      </c>
      <c r="BW58" s="139">
        <f t="shared" si="13"/>
        <v>0</v>
      </c>
      <c r="BX58" s="139">
        <f t="shared" si="14"/>
        <v>0</v>
      </c>
      <c r="BY58" s="139">
        <f t="shared" si="15"/>
        <v>0</v>
      </c>
    </row>
    <row r="59" spans="3:77" outlineLevel="1">
      <c r="C59" s="155"/>
      <c r="E59" s="139" t="s">
        <v>518</v>
      </c>
      <c r="H59" s="139">
        <f>기타비용분석!H47/12</f>
        <v>4.166666666666667</v>
      </c>
      <c r="L59" s="139">
        <f t="shared" ref="L59:BS59" si="66">$H59*L189</f>
        <v>0</v>
      </c>
      <c r="M59" s="139">
        <f t="shared" si="66"/>
        <v>0</v>
      </c>
      <c r="N59" s="139">
        <f t="shared" si="66"/>
        <v>0</v>
      </c>
      <c r="O59" s="139">
        <f t="shared" si="66"/>
        <v>0</v>
      </c>
      <c r="P59" s="139">
        <f t="shared" si="66"/>
        <v>0</v>
      </c>
      <c r="Q59" s="139">
        <f t="shared" si="66"/>
        <v>0</v>
      </c>
      <c r="R59" s="139">
        <f t="shared" si="66"/>
        <v>8.3333333333333339</v>
      </c>
      <c r="S59" s="139">
        <f t="shared" si="66"/>
        <v>8.3333333333333339</v>
      </c>
      <c r="T59" s="139">
        <f t="shared" si="66"/>
        <v>8.3333333333333339</v>
      </c>
      <c r="U59" s="139">
        <f t="shared" si="66"/>
        <v>8.3333333333333339</v>
      </c>
      <c r="V59" s="139">
        <f t="shared" si="66"/>
        <v>8.3333333333333339</v>
      </c>
      <c r="W59" s="139">
        <f t="shared" si="66"/>
        <v>8.3333333333333339</v>
      </c>
      <c r="X59" s="139">
        <f t="shared" si="66"/>
        <v>10.416666666666668</v>
      </c>
      <c r="Y59" s="139">
        <f t="shared" si="66"/>
        <v>10.416666666666668</v>
      </c>
      <c r="Z59" s="139">
        <f t="shared" si="66"/>
        <v>10.416666666666668</v>
      </c>
      <c r="AA59" s="139">
        <f t="shared" si="66"/>
        <v>10.416666666666668</v>
      </c>
      <c r="AB59" s="139">
        <f t="shared" si="66"/>
        <v>10.416666666666668</v>
      </c>
      <c r="AC59" s="139">
        <f t="shared" si="66"/>
        <v>10.416666666666668</v>
      </c>
      <c r="AD59" s="139">
        <f t="shared" si="66"/>
        <v>12.5</v>
      </c>
      <c r="AE59" s="139">
        <f t="shared" si="66"/>
        <v>12.5</v>
      </c>
      <c r="AF59" s="139">
        <f t="shared" si="66"/>
        <v>12.5</v>
      </c>
      <c r="AG59" s="139">
        <f t="shared" si="66"/>
        <v>12.5</v>
      </c>
      <c r="AH59" s="139">
        <f t="shared" si="66"/>
        <v>12.5</v>
      </c>
      <c r="AI59" s="139">
        <f t="shared" si="66"/>
        <v>12.5</v>
      </c>
      <c r="AJ59" s="139">
        <f t="shared" si="66"/>
        <v>14.583333333333334</v>
      </c>
      <c r="AK59" s="139">
        <f t="shared" si="66"/>
        <v>14.583333333333334</v>
      </c>
      <c r="AL59" s="139">
        <f t="shared" si="66"/>
        <v>14.583333333333334</v>
      </c>
      <c r="AM59" s="139">
        <f t="shared" si="66"/>
        <v>14.583333333333334</v>
      </c>
      <c r="AN59" s="139">
        <f t="shared" si="66"/>
        <v>14.583333333333334</v>
      </c>
      <c r="AO59" s="139">
        <f t="shared" si="66"/>
        <v>14.583333333333334</v>
      </c>
      <c r="AP59" s="139">
        <f t="shared" si="66"/>
        <v>16.666666666666668</v>
      </c>
      <c r="AQ59" s="139">
        <f t="shared" si="66"/>
        <v>16.666666666666668</v>
      </c>
      <c r="AR59" s="139">
        <f t="shared" si="66"/>
        <v>16.666666666666668</v>
      </c>
      <c r="AS59" s="139">
        <f t="shared" si="66"/>
        <v>16.666666666666668</v>
      </c>
      <c r="AT59" s="139">
        <f t="shared" si="66"/>
        <v>16.666666666666668</v>
      </c>
      <c r="AU59" s="139">
        <f t="shared" si="66"/>
        <v>16.666666666666668</v>
      </c>
      <c r="AV59" s="139">
        <f t="shared" si="66"/>
        <v>18.75</v>
      </c>
      <c r="AW59" s="139">
        <f t="shared" si="66"/>
        <v>18.75</v>
      </c>
      <c r="AX59" s="139">
        <f t="shared" si="66"/>
        <v>18.75</v>
      </c>
      <c r="AY59" s="139">
        <f t="shared" si="66"/>
        <v>18.75</v>
      </c>
      <c r="AZ59" s="139">
        <f t="shared" si="66"/>
        <v>18.75</v>
      </c>
      <c r="BA59" s="139">
        <f t="shared" si="66"/>
        <v>18.75</v>
      </c>
      <c r="BB59" s="139">
        <f t="shared" si="66"/>
        <v>20.833333333333336</v>
      </c>
      <c r="BC59" s="139">
        <f t="shared" si="66"/>
        <v>20.833333333333336</v>
      </c>
      <c r="BD59" s="139">
        <f t="shared" si="66"/>
        <v>20.833333333333336</v>
      </c>
      <c r="BE59" s="139">
        <f t="shared" si="66"/>
        <v>20.833333333333336</v>
      </c>
      <c r="BF59" s="139">
        <f t="shared" si="66"/>
        <v>20.833333333333336</v>
      </c>
      <c r="BG59" s="139">
        <f t="shared" si="66"/>
        <v>20.833333333333336</v>
      </c>
      <c r="BH59" s="139">
        <f t="shared" si="66"/>
        <v>20.833333333333336</v>
      </c>
      <c r="BI59" s="139">
        <f t="shared" si="66"/>
        <v>20.833333333333336</v>
      </c>
      <c r="BJ59" s="139">
        <f t="shared" si="66"/>
        <v>20.833333333333336</v>
      </c>
      <c r="BK59" s="139">
        <f t="shared" si="66"/>
        <v>20.833333333333336</v>
      </c>
      <c r="BL59" s="139">
        <f t="shared" si="66"/>
        <v>20.833333333333336</v>
      </c>
      <c r="BM59" s="139">
        <f t="shared" si="66"/>
        <v>20.833333333333336</v>
      </c>
      <c r="BN59" s="139">
        <f t="shared" si="66"/>
        <v>20.833333333333336</v>
      </c>
      <c r="BO59" s="139">
        <f t="shared" si="66"/>
        <v>20.833333333333336</v>
      </c>
      <c r="BP59" s="139">
        <f t="shared" si="66"/>
        <v>20.833333333333336</v>
      </c>
      <c r="BQ59" s="139">
        <f t="shared" si="66"/>
        <v>20.833333333333336</v>
      </c>
      <c r="BR59" s="139">
        <f t="shared" si="66"/>
        <v>20.833333333333336</v>
      </c>
      <c r="BS59" s="139">
        <f t="shared" si="66"/>
        <v>20.833333333333336</v>
      </c>
      <c r="BU59" s="139">
        <f t="shared" si="11"/>
        <v>50.000000000000007</v>
      </c>
      <c r="BV59" s="139">
        <f t="shared" si="12"/>
        <v>137.5</v>
      </c>
      <c r="BW59" s="139">
        <f t="shared" si="13"/>
        <v>187.49999999999997</v>
      </c>
      <c r="BX59" s="139">
        <f t="shared" si="14"/>
        <v>237.50000000000006</v>
      </c>
      <c r="BY59" s="139">
        <f t="shared" si="15"/>
        <v>250.00000000000009</v>
      </c>
    </row>
    <row r="60" spans="3:77" outlineLevel="1">
      <c r="C60" s="155"/>
      <c r="E60" s="139" t="s">
        <v>519</v>
      </c>
      <c r="H60" s="139">
        <f>기타비용분석!H48/12</f>
        <v>3.75</v>
      </c>
      <c r="L60" s="139">
        <f t="shared" ref="L60:BS60" si="67">$H60*L190</f>
        <v>0</v>
      </c>
      <c r="M60" s="139">
        <f t="shared" si="67"/>
        <v>0</v>
      </c>
      <c r="N60" s="139">
        <f t="shared" si="67"/>
        <v>0</v>
      </c>
      <c r="O60" s="139">
        <f t="shared" si="67"/>
        <v>0</v>
      </c>
      <c r="P60" s="139">
        <f t="shared" si="67"/>
        <v>0</v>
      </c>
      <c r="Q60" s="139">
        <f t="shared" si="67"/>
        <v>0</v>
      </c>
      <c r="R60" s="139">
        <f t="shared" si="67"/>
        <v>7.5</v>
      </c>
      <c r="S60" s="139">
        <f t="shared" si="67"/>
        <v>7.5</v>
      </c>
      <c r="T60" s="139">
        <f t="shared" si="67"/>
        <v>7.5</v>
      </c>
      <c r="U60" s="139">
        <f t="shared" si="67"/>
        <v>7.5</v>
      </c>
      <c r="V60" s="139">
        <f t="shared" si="67"/>
        <v>7.5</v>
      </c>
      <c r="W60" s="139">
        <f t="shared" si="67"/>
        <v>7.5</v>
      </c>
      <c r="X60" s="139">
        <f t="shared" si="67"/>
        <v>9.375</v>
      </c>
      <c r="Y60" s="139">
        <f t="shared" si="67"/>
        <v>9.375</v>
      </c>
      <c r="Z60" s="139">
        <f t="shared" si="67"/>
        <v>9.375</v>
      </c>
      <c r="AA60" s="139">
        <f t="shared" si="67"/>
        <v>9.375</v>
      </c>
      <c r="AB60" s="139">
        <f t="shared" si="67"/>
        <v>9.375</v>
      </c>
      <c r="AC60" s="139">
        <f t="shared" si="67"/>
        <v>9.375</v>
      </c>
      <c r="AD60" s="139">
        <f t="shared" si="67"/>
        <v>11.25</v>
      </c>
      <c r="AE60" s="139">
        <f t="shared" si="67"/>
        <v>11.25</v>
      </c>
      <c r="AF60" s="139">
        <f t="shared" si="67"/>
        <v>11.25</v>
      </c>
      <c r="AG60" s="139">
        <f t="shared" si="67"/>
        <v>11.25</v>
      </c>
      <c r="AH60" s="139">
        <f t="shared" si="67"/>
        <v>11.25</v>
      </c>
      <c r="AI60" s="139">
        <f t="shared" si="67"/>
        <v>11.25</v>
      </c>
      <c r="AJ60" s="139">
        <f t="shared" si="67"/>
        <v>13.125</v>
      </c>
      <c r="AK60" s="139">
        <f t="shared" si="67"/>
        <v>13.125</v>
      </c>
      <c r="AL60" s="139">
        <f t="shared" si="67"/>
        <v>13.125</v>
      </c>
      <c r="AM60" s="139">
        <f t="shared" si="67"/>
        <v>13.125</v>
      </c>
      <c r="AN60" s="139">
        <f t="shared" si="67"/>
        <v>13.125</v>
      </c>
      <c r="AO60" s="139">
        <f t="shared" si="67"/>
        <v>13.125</v>
      </c>
      <c r="AP60" s="139">
        <f t="shared" si="67"/>
        <v>15</v>
      </c>
      <c r="AQ60" s="139">
        <f t="shared" si="67"/>
        <v>15</v>
      </c>
      <c r="AR60" s="139">
        <f t="shared" si="67"/>
        <v>15</v>
      </c>
      <c r="AS60" s="139">
        <f t="shared" si="67"/>
        <v>15</v>
      </c>
      <c r="AT60" s="139">
        <f t="shared" si="67"/>
        <v>15</v>
      </c>
      <c r="AU60" s="139">
        <f t="shared" si="67"/>
        <v>15</v>
      </c>
      <c r="AV60" s="139">
        <f t="shared" si="67"/>
        <v>16.875</v>
      </c>
      <c r="AW60" s="139">
        <f t="shared" si="67"/>
        <v>16.875</v>
      </c>
      <c r="AX60" s="139">
        <f t="shared" si="67"/>
        <v>16.875</v>
      </c>
      <c r="AY60" s="139">
        <f t="shared" si="67"/>
        <v>16.875</v>
      </c>
      <c r="AZ60" s="139">
        <f t="shared" si="67"/>
        <v>16.875</v>
      </c>
      <c r="BA60" s="139">
        <f t="shared" si="67"/>
        <v>16.875</v>
      </c>
      <c r="BB60" s="139">
        <f t="shared" si="67"/>
        <v>18.75</v>
      </c>
      <c r="BC60" s="139">
        <f t="shared" si="67"/>
        <v>18.75</v>
      </c>
      <c r="BD60" s="139">
        <f t="shared" si="67"/>
        <v>18.75</v>
      </c>
      <c r="BE60" s="139">
        <f t="shared" si="67"/>
        <v>18.75</v>
      </c>
      <c r="BF60" s="139">
        <f t="shared" si="67"/>
        <v>18.75</v>
      </c>
      <c r="BG60" s="139">
        <f t="shared" si="67"/>
        <v>18.75</v>
      </c>
      <c r="BH60" s="139">
        <f t="shared" si="67"/>
        <v>18.75</v>
      </c>
      <c r="BI60" s="139">
        <f t="shared" si="67"/>
        <v>18.75</v>
      </c>
      <c r="BJ60" s="139">
        <f t="shared" si="67"/>
        <v>18.75</v>
      </c>
      <c r="BK60" s="139">
        <f t="shared" si="67"/>
        <v>18.75</v>
      </c>
      <c r="BL60" s="139">
        <f t="shared" si="67"/>
        <v>18.75</v>
      </c>
      <c r="BM60" s="139">
        <f t="shared" si="67"/>
        <v>18.75</v>
      </c>
      <c r="BN60" s="139">
        <f t="shared" si="67"/>
        <v>18.75</v>
      </c>
      <c r="BO60" s="139">
        <f t="shared" si="67"/>
        <v>18.75</v>
      </c>
      <c r="BP60" s="139">
        <f t="shared" si="67"/>
        <v>18.75</v>
      </c>
      <c r="BQ60" s="139">
        <f t="shared" si="67"/>
        <v>18.75</v>
      </c>
      <c r="BR60" s="139">
        <f t="shared" si="67"/>
        <v>18.75</v>
      </c>
      <c r="BS60" s="139">
        <f t="shared" si="67"/>
        <v>18.75</v>
      </c>
      <c r="BU60" s="139">
        <f t="shared" si="11"/>
        <v>45</v>
      </c>
      <c r="BV60" s="139">
        <f t="shared" si="12"/>
        <v>123.75</v>
      </c>
      <c r="BW60" s="139">
        <f t="shared" si="13"/>
        <v>168.75</v>
      </c>
      <c r="BX60" s="139">
        <f t="shared" si="14"/>
        <v>213.75</v>
      </c>
      <c r="BY60" s="139">
        <f t="shared" si="15"/>
        <v>225</v>
      </c>
    </row>
    <row r="61" spans="3:77" outlineLevel="1">
      <c r="C61" s="155"/>
      <c r="E61" s="139" t="s">
        <v>520</v>
      </c>
      <c r="H61" s="139">
        <f>기타비용분석!H49/12</f>
        <v>2.9166666666666665</v>
      </c>
      <c r="L61" s="139">
        <f t="shared" ref="L61:BS61" si="68">$H61*L191</f>
        <v>0</v>
      </c>
      <c r="M61" s="139">
        <f t="shared" si="68"/>
        <v>0</v>
      </c>
      <c r="N61" s="139">
        <f t="shared" si="68"/>
        <v>0</v>
      </c>
      <c r="O61" s="139">
        <f t="shared" si="68"/>
        <v>0</v>
      </c>
      <c r="P61" s="139">
        <f t="shared" si="68"/>
        <v>0</v>
      </c>
      <c r="Q61" s="139">
        <f t="shared" si="68"/>
        <v>0</v>
      </c>
      <c r="R61" s="139">
        <f t="shared" si="68"/>
        <v>5.833333333333333</v>
      </c>
      <c r="S61" s="139">
        <f t="shared" si="68"/>
        <v>5.833333333333333</v>
      </c>
      <c r="T61" s="139">
        <f t="shared" si="68"/>
        <v>5.833333333333333</v>
      </c>
      <c r="U61" s="139">
        <f t="shared" si="68"/>
        <v>5.833333333333333</v>
      </c>
      <c r="V61" s="139">
        <f t="shared" si="68"/>
        <v>5.833333333333333</v>
      </c>
      <c r="W61" s="139">
        <f t="shared" si="68"/>
        <v>5.833333333333333</v>
      </c>
      <c r="X61" s="139">
        <f t="shared" si="68"/>
        <v>7.2916666666666661</v>
      </c>
      <c r="Y61" s="139">
        <f t="shared" si="68"/>
        <v>7.2916666666666661</v>
      </c>
      <c r="Z61" s="139">
        <f t="shared" si="68"/>
        <v>7.2916666666666661</v>
      </c>
      <c r="AA61" s="139">
        <f t="shared" si="68"/>
        <v>7.2916666666666661</v>
      </c>
      <c r="AB61" s="139">
        <f t="shared" si="68"/>
        <v>7.2916666666666661</v>
      </c>
      <c r="AC61" s="139">
        <f t="shared" si="68"/>
        <v>7.2916666666666661</v>
      </c>
      <c r="AD61" s="139">
        <f t="shared" si="68"/>
        <v>8.75</v>
      </c>
      <c r="AE61" s="139">
        <f t="shared" si="68"/>
        <v>8.75</v>
      </c>
      <c r="AF61" s="139">
        <f t="shared" si="68"/>
        <v>8.75</v>
      </c>
      <c r="AG61" s="139">
        <f t="shared" si="68"/>
        <v>8.75</v>
      </c>
      <c r="AH61" s="139">
        <f t="shared" si="68"/>
        <v>8.75</v>
      </c>
      <c r="AI61" s="139">
        <f t="shared" si="68"/>
        <v>8.75</v>
      </c>
      <c r="AJ61" s="139">
        <f t="shared" si="68"/>
        <v>10.208333333333332</v>
      </c>
      <c r="AK61" s="139">
        <f t="shared" si="68"/>
        <v>10.208333333333332</v>
      </c>
      <c r="AL61" s="139">
        <f t="shared" si="68"/>
        <v>10.208333333333332</v>
      </c>
      <c r="AM61" s="139">
        <f t="shared" si="68"/>
        <v>10.208333333333332</v>
      </c>
      <c r="AN61" s="139">
        <f t="shared" si="68"/>
        <v>10.208333333333332</v>
      </c>
      <c r="AO61" s="139">
        <f t="shared" si="68"/>
        <v>10.208333333333332</v>
      </c>
      <c r="AP61" s="139">
        <f t="shared" si="68"/>
        <v>11.666666666666666</v>
      </c>
      <c r="AQ61" s="139">
        <f t="shared" si="68"/>
        <v>11.666666666666666</v>
      </c>
      <c r="AR61" s="139">
        <f t="shared" si="68"/>
        <v>11.666666666666666</v>
      </c>
      <c r="AS61" s="139">
        <f t="shared" si="68"/>
        <v>11.666666666666666</v>
      </c>
      <c r="AT61" s="139">
        <f t="shared" si="68"/>
        <v>11.666666666666666</v>
      </c>
      <c r="AU61" s="139">
        <f t="shared" si="68"/>
        <v>11.666666666666666</v>
      </c>
      <c r="AV61" s="139">
        <f t="shared" si="68"/>
        <v>13.125</v>
      </c>
      <c r="AW61" s="139">
        <f t="shared" si="68"/>
        <v>13.125</v>
      </c>
      <c r="AX61" s="139">
        <f t="shared" si="68"/>
        <v>13.125</v>
      </c>
      <c r="AY61" s="139">
        <f t="shared" si="68"/>
        <v>13.125</v>
      </c>
      <c r="AZ61" s="139">
        <f t="shared" si="68"/>
        <v>13.125</v>
      </c>
      <c r="BA61" s="139">
        <f t="shared" si="68"/>
        <v>13.125</v>
      </c>
      <c r="BB61" s="139">
        <f t="shared" si="68"/>
        <v>14.583333333333332</v>
      </c>
      <c r="BC61" s="139">
        <f t="shared" si="68"/>
        <v>14.583333333333332</v>
      </c>
      <c r="BD61" s="139">
        <f t="shared" si="68"/>
        <v>14.583333333333332</v>
      </c>
      <c r="BE61" s="139">
        <f t="shared" si="68"/>
        <v>14.583333333333332</v>
      </c>
      <c r="BF61" s="139">
        <f t="shared" si="68"/>
        <v>14.583333333333332</v>
      </c>
      <c r="BG61" s="139">
        <f t="shared" si="68"/>
        <v>14.583333333333332</v>
      </c>
      <c r="BH61" s="139">
        <f t="shared" si="68"/>
        <v>14.583333333333332</v>
      </c>
      <c r="BI61" s="139">
        <f t="shared" si="68"/>
        <v>14.583333333333332</v>
      </c>
      <c r="BJ61" s="139">
        <f t="shared" si="68"/>
        <v>14.583333333333332</v>
      </c>
      <c r="BK61" s="139">
        <f t="shared" si="68"/>
        <v>14.583333333333332</v>
      </c>
      <c r="BL61" s="139">
        <f t="shared" si="68"/>
        <v>14.583333333333332</v>
      </c>
      <c r="BM61" s="139">
        <f t="shared" si="68"/>
        <v>14.583333333333332</v>
      </c>
      <c r="BN61" s="139">
        <f t="shared" si="68"/>
        <v>14.583333333333332</v>
      </c>
      <c r="BO61" s="139">
        <f t="shared" si="68"/>
        <v>14.583333333333332</v>
      </c>
      <c r="BP61" s="139">
        <f t="shared" si="68"/>
        <v>14.583333333333332</v>
      </c>
      <c r="BQ61" s="139">
        <f t="shared" si="68"/>
        <v>14.583333333333332</v>
      </c>
      <c r="BR61" s="139">
        <f t="shared" si="68"/>
        <v>14.583333333333332</v>
      </c>
      <c r="BS61" s="139">
        <f t="shared" si="68"/>
        <v>14.583333333333332</v>
      </c>
      <c r="BU61" s="139">
        <f t="shared" si="11"/>
        <v>35</v>
      </c>
      <c r="BV61" s="139">
        <f t="shared" si="12"/>
        <v>96.25</v>
      </c>
      <c r="BW61" s="139">
        <f t="shared" si="13"/>
        <v>131.25</v>
      </c>
      <c r="BX61" s="139">
        <f t="shared" si="14"/>
        <v>166.25</v>
      </c>
      <c r="BY61" s="139">
        <f t="shared" si="15"/>
        <v>175</v>
      </c>
    </row>
    <row r="62" spans="3:77" outlineLevel="1">
      <c r="C62" s="155"/>
      <c r="E62" s="139" t="s">
        <v>521</v>
      </c>
      <c r="H62" s="139">
        <f>기타비용분석!H50/12</f>
        <v>2</v>
      </c>
      <c r="L62" s="139">
        <f t="shared" ref="L62:BS62" si="69">$H62*L192</f>
        <v>0</v>
      </c>
      <c r="M62" s="139">
        <f t="shared" si="69"/>
        <v>0</v>
      </c>
      <c r="N62" s="139">
        <f t="shared" si="69"/>
        <v>0</v>
      </c>
      <c r="O62" s="139">
        <f t="shared" si="69"/>
        <v>0</v>
      </c>
      <c r="P62" s="139">
        <f t="shared" si="69"/>
        <v>0</v>
      </c>
      <c r="Q62" s="139">
        <f t="shared" si="69"/>
        <v>0</v>
      </c>
      <c r="R62" s="139">
        <f t="shared" si="69"/>
        <v>8</v>
      </c>
      <c r="S62" s="139">
        <f t="shared" si="69"/>
        <v>8</v>
      </c>
      <c r="T62" s="139">
        <f t="shared" si="69"/>
        <v>8</v>
      </c>
      <c r="U62" s="139">
        <f t="shared" si="69"/>
        <v>8</v>
      </c>
      <c r="V62" s="139">
        <f t="shared" si="69"/>
        <v>8</v>
      </c>
      <c r="W62" s="139">
        <f t="shared" si="69"/>
        <v>8</v>
      </c>
      <c r="X62" s="139">
        <f t="shared" si="69"/>
        <v>10</v>
      </c>
      <c r="Y62" s="139">
        <f t="shared" si="69"/>
        <v>10</v>
      </c>
      <c r="Z62" s="139">
        <f t="shared" si="69"/>
        <v>10</v>
      </c>
      <c r="AA62" s="139">
        <f t="shared" si="69"/>
        <v>10</v>
      </c>
      <c r="AB62" s="139">
        <f t="shared" si="69"/>
        <v>10</v>
      </c>
      <c r="AC62" s="139">
        <f t="shared" si="69"/>
        <v>10</v>
      </c>
      <c r="AD62" s="139">
        <f t="shared" si="69"/>
        <v>12</v>
      </c>
      <c r="AE62" s="139">
        <f t="shared" si="69"/>
        <v>12</v>
      </c>
      <c r="AF62" s="139">
        <f t="shared" si="69"/>
        <v>12</v>
      </c>
      <c r="AG62" s="139">
        <f t="shared" si="69"/>
        <v>12</v>
      </c>
      <c r="AH62" s="139">
        <f t="shared" si="69"/>
        <v>12</v>
      </c>
      <c r="AI62" s="139">
        <f t="shared" si="69"/>
        <v>12</v>
      </c>
      <c r="AJ62" s="139">
        <f t="shared" si="69"/>
        <v>14</v>
      </c>
      <c r="AK62" s="139">
        <f t="shared" si="69"/>
        <v>14</v>
      </c>
      <c r="AL62" s="139">
        <f t="shared" si="69"/>
        <v>14</v>
      </c>
      <c r="AM62" s="139">
        <f t="shared" si="69"/>
        <v>14</v>
      </c>
      <c r="AN62" s="139">
        <f t="shared" si="69"/>
        <v>14</v>
      </c>
      <c r="AO62" s="139">
        <f t="shared" si="69"/>
        <v>14</v>
      </c>
      <c r="AP62" s="139">
        <f t="shared" si="69"/>
        <v>16</v>
      </c>
      <c r="AQ62" s="139">
        <f t="shared" si="69"/>
        <v>16</v>
      </c>
      <c r="AR62" s="139">
        <f t="shared" si="69"/>
        <v>16</v>
      </c>
      <c r="AS62" s="139">
        <f t="shared" si="69"/>
        <v>16</v>
      </c>
      <c r="AT62" s="139">
        <f t="shared" si="69"/>
        <v>16</v>
      </c>
      <c r="AU62" s="139">
        <f t="shared" si="69"/>
        <v>16</v>
      </c>
      <c r="AV62" s="139">
        <f t="shared" si="69"/>
        <v>18</v>
      </c>
      <c r="AW62" s="139">
        <f t="shared" si="69"/>
        <v>18</v>
      </c>
      <c r="AX62" s="139">
        <f t="shared" si="69"/>
        <v>18</v>
      </c>
      <c r="AY62" s="139">
        <f t="shared" si="69"/>
        <v>18</v>
      </c>
      <c r="AZ62" s="139">
        <f t="shared" si="69"/>
        <v>18</v>
      </c>
      <c r="BA62" s="139">
        <f t="shared" si="69"/>
        <v>18</v>
      </c>
      <c r="BB62" s="139">
        <f t="shared" si="69"/>
        <v>20</v>
      </c>
      <c r="BC62" s="139">
        <f t="shared" si="69"/>
        <v>20</v>
      </c>
      <c r="BD62" s="139">
        <f t="shared" si="69"/>
        <v>20</v>
      </c>
      <c r="BE62" s="139">
        <f t="shared" si="69"/>
        <v>20</v>
      </c>
      <c r="BF62" s="139">
        <f t="shared" si="69"/>
        <v>20</v>
      </c>
      <c r="BG62" s="139">
        <f t="shared" si="69"/>
        <v>20</v>
      </c>
      <c r="BH62" s="139">
        <f t="shared" si="69"/>
        <v>20</v>
      </c>
      <c r="BI62" s="139">
        <f t="shared" si="69"/>
        <v>20</v>
      </c>
      <c r="BJ62" s="139">
        <f t="shared" si="69"/>
        <v>20</v>
      </c>
      <c r="BK62" s="139">
        <f t="shared" si="69"/>
        <v>20</v>
      </c>
      <c r="BL62" s="139">
        <f t="shared" si="69"/>
        <v>20</v>
      </c>
      <c r="BM62" s="139">
        <f t="shared" si="69"/>
        <v>20</v>
      </c>
      <c r="BN62" s="139">
        <f t="shared" si="69"/>
        <v>20</v>
      </c>
      <c r="BO62" s="139">
        <f t="shared" si="69"/>
        <v>20</v>
      </c>
      <c r="BP62" s="139">
        <f t="shared" si="69"/>
        <v>20</v>
      </c>
      <c r="BQ62" s="139">
        <f t="shared" si="69"/>
        <v>20</v>
      </c>
      <c r="BR62" s="139">
        <f t="shared" si="69"/>
        <v>20</v>
      </c>
      <c r="BS62" s="139">
        <f t="shared" si="69"/>
        <v>20</v>
      </c>
      <c r="BU62" s="139">
        <f t="shared" si="11"/>
        <v>48</v>
      </c>
      <c r="BV62" s="139">
        <f t="shared" si="12"/>
        <v>132</v>
      </c>
      <c r="BW62" s="139">
        <f t="shared" si="13"/>
        <v>180</v>
      </c>
      <c r="BX62" s="139">
        <f t="shared" si="14"/>
        <v>228</v>
      </c>
      <c r="BY62" s="139">
        <f t="shared" si="15"/>
        <v>240</v>
      </c>
    </row>
    <row r="63" spans="3:77" outlineLevel="1">
      <c r="C63" s="155"/>
      <c r="E63" s="139" t="s">
        <v>522</v>
      </c>
      <c r="H63" s="139">
        <f>기타비용분석!H51/12</f>
        <v>1.5</v>
      </c>
      <c r="L63" s="139">
        <f t="shared" ref="L63:BS63" si="70">$H63*L193</f>
        <v>0</v>
      </c>
      <c r="M63" s="139">
        <f t="shared" si="70"/>
        <v>0</v>
      </c>
      <c r="N63" s="139">
        <f t="shared" si="70"/>
        <v>0</v>
      </c>
      <c r="O63" s="139">
        <f t="shared" si="70"/>
        <v>0</v>
      </c>
      <c r="P63" s="139">
        <f t="shared" si="70"/>
        <v>0</v>
      </c>
      <c r="Q63" s="139">
        <f t="shared" si="70"/>
        <v>0</v>
      </c>
      <c r="R63" s="139">
        <f t="shared" si="70"/>
        <v>12</v>
      </c>
      <c r="S63" s="139">
        <f t="shared" si="70"/>
        <v>12</v>
      </c>
      <c r="T63" s="139">
        <f t="shared" si="70"/>
        <v>12</v>
      </c>
      <c r="U63" s="139">
        <f t="shared" si="70"/>
        <v>12</v>
      </c>
      <c r="V63" s="139">
        <f t="shared" si="70"/>
        <v>12</v>
      </c>
      <c r="W63" s="139">
        <f t="shared" si="70"/>
        <v>12</v>
      </c>
      <c r="X63" s="139">
        <f t="shared" si="70"/>
        <v>15</v>
      </c>
      <c r="Y63" s="139">
        <f t="shared" si="70"/>
        <v>15</v>
      </c>
      <c r="Z63" s="139">
        <f t="shared" si="70"/>
        <v>15</v>
      </c>
      <c r="AA63" s="139">
        <f t="shared" si="70"/>
        <v>15</v>
      </c>
      <c r="AB63" s="139">
        <f t="shared" si="70"/>
        <v>15</v>
      </c>
      <c r="AC63" s="139">
        <f t="shared" si="70"/>
        <v>15</v>
      </c>
      <c r="AD63" s="139">
        <f t="shared" si="70"/>
        <v>18</v>
      </c>
      <c r="AE63" s="139">
        <f t="shared" si="70"/>
        <v>18</v>
      </c>
      <c r="AF63" s="139">
        <f t="shared" si="70"/>
        <v>18</v>
      </c>
      <c r="AG63" s="139">
        <f t="shared" si="70"/>
        <v>18</v>
      </c>
      <c r="AH63" s="139">
        <f t="shared" si="70"/>
        <v>18</v>
      </c>
      <c r="AI63" s="139">
        <f t="shared" si="70"/>
        <v>18</v>
      </c>
      <c r="AJ63" s="139">
        <f t="shared" si="70"/>
        <v>21</v>
      </c>
      <c r="AK63" s="139">
        <f t="shared" si="70"/>
        <v>21</v>
      </c>
      <c r="AL63" s="139">
        <f t="shared" si="70"/>
        <v>21</v>
      </c>
      <c r="AM63" s="139">
        <f t="shared" si="70"/>
        <v>21</v>
      </c>
      <c r="AN63" s="139">
        <f t="shared" si="70"/>
        <v>21</v>
      </c>
      <c r="AO63" s="139">
        <f t="shared" si="70"/>
        <v>21</v>
      </c>
      <c r="AP63" s="139">
        <f t="shared" si="70"/>
        <v>24</v>
      </c>
      <c r="AQ63" s="139">
        <f t="shared" si="70"/>
        <v>24</v>
      </c>
      <c r="AR63" s="139">
        <f t="shared" si="70"/>
        <v>24</v>
      </c>
      <c r="AS63" s="139">
        <f t="shared" si="70"/>
        <v>24</v>
      </c>
      <c r="AT63" s="139">
        <f t="shared" si="70"/>
        <v>24</v>
      </c>
      <c r="AU63" s="139">
        <f t="shared" si="70"/>
        <v>24</v>
      </c>
      <c r="AV63" s="139">
        <f t="shared" si="70"/>
        <v>27</v>
      </c>
      <c r="AW63" s="139">
        <f t="shared" si="70"/>
        <v>27</v>
      </c>
      <c r="AX63" s="139">
        <f t="shared" si="70"/>
        <v>27</v>
      </c>
      <c r="AY63" s="139">
        <f t="shared" si="70"/>
        <v>27</v>
      </c>
      <c r="AZ63" s="139">
        <f t="shared" si="70"/>
        <v>27</v>
      </c>
      <c r="BA63" s="139">
        <f t="shared" si="70"/>
        <v>27</v>
      </c>
      <c r="BB63" s="139">
        <f t="shared" si="70"/>
        <v>30</v>
      </c>
      <c r="BC63" s="139">
        <f t="shared" si="70"/>
        <v>30</v>
      </c>
      <c r="BD63" s="139">
        <f t="shared" si="70"/>
        <v>30</v>
      </c>
      <c r="BE63" s="139">
        <f t="shared" si="70"/>
        <v>30</v>
      </c>
      <c r="BF63" s="139">
        <f t="shared" si="70"/>
        <v>30</v>
      </c>
      <c r="BG63" s="139">
        <f t="shared" si="70"/>
        <v>30</v>
      </c>
      <c r="BH63" s="139">
        <f t="shared" si="70"/>
        <v>30</v>
      </c>
      <c r="BI63" s="139">
        <f t="shared" si="70"/>
        <v>30</v>
      </c>
      <c r="BJ63" s="139">
        <f t="shared" si="70"/>
        <v>30</v>
      </c>
      <c r="BK63" s="139">
        <f t="shared" si="70"/>
        <v>30</v>
      </c>
      <c r="BL63" s="139">
        <f t="shared" si="70"/>
        <v>30</v>
      </c>
      <c r="BM63" s="139">
        <f t="shared" si="70"/>
        <v>30</v>
      </c>
      <c r="BN63" s="139">
        <f t="shared" si="70"/>
        <v>30</v>
      </c>
      <c r="BO63" s="139">
        <f t="shared" si="70"/>
        <v>30</v>
      </c>
      <c r="BP63" s="139">
        <f t="shared" si="70"/>
        <v>30</v>
      </c>
      <c r="BQ63" s="139">
        <f t="shared" si="70"/>
        <v>30</v>
      </c>
      <c r="BR63" s="139">
        <f t="shared" si="70"/>
        <v>30</v>
      </c>
      <c r="BS63" s="139">
        <f t="shared" si="70"/>
        <v>30</v>
      </c>
      <c r="BU63" s="139">
        <f t="shared" si="11"/>
        <v>72</v>
      </c>
      <c r="BV63" s="139">
        <f t="shared" si="12"/>
        <v>198</v>
      </c>
      <c r="BW63" s="139">
        <f t="shared" si="13"/>
        <v>270</v>
      </c>
      <c r="BX63" s="139">
        <f t="shared" si="14"/>
        <v>342</v>
      </c>
      <c r="BY63" s="139">
        <f t="shared" si="15"/>
        <v>360</v>
      </c>
    </row>
    <row r="64" spans="3:77" outlineLevel="1">
      <c r="C64" s="155"/>
      <c r="E64" s="139" t="s">
        <v>524</v>
      </c>
      <c r="G64" s="139" t="s">
        <v>568</v>
      </c>
      <c r="H64" s="139">
        <f>기타비용분석!H52/12</f>
        <v>1.5</v>
      </c>
      <c r="L64" s="139">
        <f t="shared" ref="L64:BS64" si="71">$H64*L194</f>
        <v>0</v>
      </c>
      <c r="M64" s="139">
        <f t="shared" si="71"/>
        <v>0</v>
      </c>
      <c r="N64" s="139">
        <f t="shared" si="71"/>
        <v>0</v>
      </c>
      <c r="O64" s="139">
        <f t="shared" si="71"/>
        <v>0</v>
      </c>
      <c r="P64" s="139">
        <f t="shared" si="71"/>
        <v>0</v>
      </c>
      <c r="Q64" s="139">
        <f t="shared" si="71"/>
        <v>0</v>
      </c>
      <c r="R64" s="139">
        <f t="shared" si="71"/>
        <v>0</v>
      </c>
      <c r="S64" s="139">
        <f t="shared" si="71"/>
        <v>0</v>
      </c>
      <c r="T64" s="139">
        <f t="shared" si="71"/>
        <v>0</v>
      </c>
      <c r="U64" s="139">
        <f t="shared" si="71"/>
        <v>0</v>
      </c>
      <c r="V64" s="139">
        <f t="shared" si="71"/>
        <v>0</v>
      </c>
      <c r="W64" s="139">
        <f t="shared" si="71"/>
        <v>0</v>
      </c>
      <c r="X64" s="139">
        <f t="shared" si="71"/>
        <v>0</v>
      </c>
      <c r="Y64" s="139">
        <f t="shared" si="71"/>
        <v>0</v>
      </c>
      <c r="Z64" s="139">
        <f t="shared" si="71"/>
        <v>0</v>
      </c>
      <c r="AA64" s="139">
        <f t="shared" si="71"/>
        <v>0</v>
      </c>
      <c r="AB64" s="139">
        <f t="shared" si="71"/>
        <v>0</v>
      </c>
      <c r="AC64" s="139">
        <f t="shared" si="71"/>
        <v>0</v>
      </c>
      <c r="AD64" s="139">
        <f t="shared" si="71"/>
        <v>0</v>
      </c>
      <c r="AE64" s="139">
        <f t="shared" si="71"/>
        <v>0</v>
      </c>
      <c r="AF64" s="139">
        <f t="shared" si="71"/>
        <v>0</v>
      </c>
      <c r="AG64" s="139">
        <f t="shared" si="71"/>
        <v>0</v>
      </c>
      <c r="AH64" s="139">
        <f t="shared" si="71"/>
        <v>0</v>
      </c>
      <c r="AI64" s="139">
        <f t="shared" si="71"/>
        <v>0</v>
      </c>
      <c r="AJ64" s="139">
        <f t="shared" si="71"/>
        <v>0</v>
      </c>
      <c r="AK64" s="139">
        <f t="shared" si="71"/>
        <v>0</v>
      </c>
      <c r="AL64" s="139">
        <f t="shared" si="71"/>
        <v>0</v>
      </c>
      <c r="AM64" s="139">
        <f t="shared" si="71"/>
        <v>0</v>
      </c>
      <c r="AN64" s="139">
        <f t="shared" si="71"/>
        <v>0</v>
      </c>
      <c r="AO64" s="139">
        <f t="shared" si="71"/>
        <v>0</v>
      </c>
      <c r="AP64" s="139">
        <f t="shared" si="71"/>
        <v>0</v>
      </c>
      <c r="AQ64" s="139">
        <f t="shared" si="71"/>
        <v>0</v>
      </c>
      <c r="AR64" s="139">
        <f t="shared" si="71"/>
        <v>0</v>
      </c>
      <c r="AS64" s="139">
        <f t="shared" si="71"/>
        <v>0</v>
      </c>
      <c r="AT64" s="139">
        <f t="shared" si="71"/>
        <v>0</v>
      </c>
      <c r="AU64" s="139">
        <f t="shared" si="71"/>
        <v>0</v>
      </c>
      <c r="AV64" s="139">
        <f t="shared" si="71"/>
        <v>0</v>
      </c>
      <c r="AW64" s="139">
        <f t="shared" si="71"/>
        <v>0</v>
      </c>
      <c r="AX64" s="139">
        <f t="shared" si="71"/>
        <v>0</v>
      </c>
      <c r="AY64" s="139">
        <f t="shared" si="71"/>
        <v>0</v>
      </c>
      <c r="AZ64" s="139">
        <f t="shared" si="71"/>
        <v>0</v>
      </c>
      <c r="BA64" s="139">
        <f t="shared" si="71"/>
        <v>0</v>
      </c>
      <c r="BB64" s="139">
        <f t="shared" si="71"/>
        <v>0</v>
      </c>
      <c r="BC64" s="139">
        <f t="shared" si="71"/>
        <v>0</v>
      </c>
      <c r="BD64" s="139">
        <f t="shared" si="71"/>
        <v>0</v>
      </c>
      <c r="BE64" s="139">
        <f t="shared" si="71"/>
        <v>0</v>
      </c>
      <c r="BF64" s="139">
        <f t="shared" si="71"/>
        <v>0</v>
      </c>
      <c r="BG64" s="139">
        <f t="shared" si="71"/>
        <v>0</v>
      </c>
      <c r="BH64" s="139">
        <f t="shared" si="71"/>
        <v>0</v>
      </c>
      <c r="BI64" s="139">
        <f t="shared" si="71"/>
        <v>0</v>
      </c>
      <c r="BJ64" s="139">
        <f t="shared" si="71"/>
        <v>0</v>
      </c>
      <c r="BK64" s="139">
        <f t="shared" si="71"/>
        <v>0</v>
      </c>
      <c r="BL64" s="139">
        <f t="shared" si="71"/>
        <v>0</v>
      </c>
      <c r="BM64" s="139">
        <f t="shared" si="71"/>
        <v>0</v>
      </c>
      <c r="BN64" s="139">
        <f t="shared" si="71"/>
        <v>0</v>
      </c>
      <c r="BO64" s="139">
        <f t="shared" si="71"/>
        <v>0</v>
      </c>
      <c r="BP64" s="139">
        <f t="shared" si="71"/>
        <v>0</v>
      </c>
      <c r="BQ64" s="139">
        <f t="shared" si="71"/>
        <v>0</v>
      </c>
      <c r="BR64" s="139">
        <f t="shared" si="71"/>
        <v>0</v>
      </c>
      <c r="BS64" s="139">
        <f t="shared" si="71"/>
        <v>0</v>
      </c>
      <c r="BU64" s="139">
        <f t="shared" si="11"/>
        <v>0</v>
      </c>
      <c r="BV64" s="139">
        <f t="shared" si="12"/>
        <v>0</v>
      </c>
      <c r="BW64" s="139">
        <f t="shared" si="13"/>
        <v>0</v>
      </c>
      <c r="BX64" s="139">
        <f t="shared" si="14"/>
        <v>0</v>
      </c>
      <c r="BY64" s="139">
        <f t="shared" si="15"/>
        <v>0</v>
      </c>
    </row>
    <row r="65" spans="3:77" s="155" customFormat="1">
      <c r="D65" s="155" t="s">
        <v>161</v>
      </c>
      <c r="F65" s="155" t="s">
        <v>569</v>
      </c>
      <c r="L65" s="155">
        <f>(L23+L27+L41+L47+L56)*0.1</f>
        <v>2.8750000000000004</v>
      </c>
      <c r="M65" s="155">
        <f t="shared" ref="M65:BR65" si="72">(M23+M27+M41+M47+M56)*0.1</f>
        <v>2.8750000000000004</v>
      </c>
      <c r="N65" s="155">
        <f t="shared" si="72"/>
        <v>2.8750000000000004</v>
      </c>
      <c r="O65" s="155">
        <f t="shared" si="72"/>
        <v>2.8750000000000004</v>
      </c>
      <c r="P65" s="155">
        <f t="shared" si="72"/>
        <v>2.8750000000000004</v>
      </c>
      <c r="Q65" s="155">
        <f t="shared" si="72"/>
        <v>2.8750000000000004</v>
      </c>
      <c r="R65" s="155">
        <f t="shared" si="72"/>
        <v>74.941666666666649</v>
      </c>
      <c r="S65" s="155">
        <f t="shared" si="72"/>
        <v>74.941666666666649</v>
      </c>
      <c r="T65" s="155">
        <f t="shared" si="72"/>
        <v>74.941666666666649</v>
      </c>
      <c r="U65" s="155">
        <f t="shared" si="72"/>
        <v>74.941666666666649</v>
      </c>
      <c r="V65" s="155">
        <f t="shared" si="72"/>
        <v>74.941666666666649</v>
      </c>
      <c r="W65" s="155">
        <f t="shared" si="72"/>
        <v>74.941666666666649</v>
      </c>
      <c r="X65" s="155">
        <f t="shared" si="72"/>
        <v>93.791666666666671</v>
      </c>
      <c r="Y65" s="155">
        <f t="shared" si="72"/>
        <v>93.791666666666671</v>
      </c>
      <c r="Z65" s="155">
        <f t="shared" si="72"/>
        <v>93.791666666666671</v>
      </c>
      <c r="AA65" s="155">
        <f t="shared" si="72"/>
        <v>93.791666666666671</v>
      </c>
      <c r="AB65" s="155">
        <f t="shared" si="72"/>
        <v>93.791666666666671</v>
      </c>
      <c r="AC65" s="155">
        <f t="shared" si="72"/>
        <v>93.791666666666671</v>
      </c>
      <c r="AD65" s="155">
        <f t="shared" si="72"/>
        <v>111.39166666666665</v>
      </c>
      <c r="AE65" s="155">
        <f t="shared" si="72"/>
        <v>111.39166666666665</v>
      </c>
      <c r="AF65" s="155">
        <f t="shared" si="72"/>
        <v>111.39166666666665</v>
      </c>
      <c r="AG65" s="155">
        <f t="shared" si="72"/>
        <v>111.39166666666665</v>
      </c>
      <c r="AH65" s="155">
        <f t="shared" si="72"/>
        <v>111.39166666666665</v>
      </c>
      <c r="AI65" s="155">
        <f t="shared" si="72"/>
        <v>111.39166666666665</v>
      </c>
      <c r="AJ65" s="155">
        <f t="shared" si="72"/>
        <v>130.32500000000002</v>
      </c>
      <c r="AK65" s="155">
        <f t="shared" si="72"/>
        <v>130.32500000000002</v>
      </c>
      <c r="AL65" s="155">
        <f t="shared" si="72"/>
        <v>130.32500000000002</v>
      </c>
      <c r="AM65" s="155">
        <f t="shared" si="72"/>
        <v>130.32500000000002</v>
      </c>
      <c r="AN65" s="155">
        <f t="shared" si="72"/>
        <v>130.32500000000002</v>
      </c>
      <c r="AO65" s="155">
        <f t="shared" si="72"/>
        <v>130.32500000000002</v>
      </c>
      <c r="AP65" s="155">
        <f t="shared" si="72"/>
        <v>148.34166666666667</v>
      </c>
      <c r="AQ65" s="155">
        <f t="shared" si="72"/>
        <v>148.34166666666667</v>
      </c>
      <c r="AR65" s="155">
        <f t="shared" si="72"/>
        <v>148.34166666666667</v>
      </c>
      <c r="AS65" s="155">
        <f t="shared" si="72"/>
        <v>148.34166666666667</v>
      </c>
      <c r="AT65" s="155">
        <f t="shared" si="72"/>
        <v>148.34166666666667</v>
      </c>
      <c r="AU65" s="155">
        <f t="shared" si="72"/>
        <v>148.34166666666667</v>
      </c>
      <c r="AV65" s="155">
        <f t="shared" si="72"/>
        <v>166.35833333333335</v>
      </c>
      <c r="AW65" s="155">
        <f t="shared" si="72"/>
        <v>166.35833333333335</v>
      </c>
      <c r="AX65" s="155">
        <f t="shared" si="72"/>
        <v>166.35833333333335</v>
      </c>
      <c r="AY65" s="155">
        <f t="shared" si="72"/>
        <v>166.35833333333335</v>
      </c>
      <c r="AZ65" s="155">
        <f t="shared" si="72"/>
        <v>166.35833333333335</v>
      </c>
      <c r="BA65" s="155">
        <f t="shared" si="72"/>
        <v>166.35833333333335</v>
      </c>
      <c r="BB65" s="155">
        <f t="shared" si="72"/>
        <v>184.375</v>
      </c>
      <c r="BC65" s="155">
        <f t="shared" si="72"/>
        <v>184.375</v>
      </c>
      <c r="BD65" s="155">
        <f t="shared" si="72"/>
        <v>184.375</v>
      </c>
      <c r="BE65" s="155">
        <f t="shared" si="72"/>
        <v>184.375</v>
      </c>
      <c r="BF65" s="155">
        <f t="shared" si="72"/>
        <v>184.375</v>
      </c>
      <c r="BG65" s="155">
        <f t="shared" si="72"/>
        <v>184.375</v>
      </c>
      <c r="BH65" s="155">
        <f t="shared" si="72"/>
        <v>184.375</v>
      </c>
      <c r="BI65" s="155">
        <f t="shared" si="72"/>
        <v>184.375</v>
      </c>
      <c r="BJ65" s="155">
        <f t="shared" si="72"/>
        <v>184.375</v>
      </c>
      <c r="BK65" s="155">
        <f t="shared" si="72"/>
        <v>184.375</v>
      </c>
      <c r="BL65" s="155">
        <f t="shared" si="72"/>
        <v>184.375</v>
      </c>
      <c r="BM65" s="155">
        <f t="shared" si="72"/>
        <v>184.375</v>
      </c>
      <c r="BN65" s="155">
        <f t="shared" si="72"/>
        <v>184.375</v>
      </c>
      <c r="BO65" s="155">
        <f t="shared" si="72"/>
        <v>184.375</v>
      </c>
      <c r="BP65" s="155">
        <f t="shared" si="72"/>
        <v>184.375</v>
      </c>
      <c r="BQ65" s="155">
        <f t="shared" si="72"/>
        <v>184.375</v>
      </c>
      <c r="BR65" s="155">
        <f t="shared" si="72"/>
        <v>184.375</v>
      </c>
      <c r="BS65" s="155">
        <f>(BS23+BS27+BS41+BS47+BS56)*0.1</f>
        <v>184.375</v>
      </c>
      <c r="BU65" s="155">
        <f t="shared" si="11"/>
        <v>466.89999999999992</v>
      </c>
      <c r="BV65" s="155">
        <f t="shared" si="12"/>
        <v>1231.0999999999999</v>
      </c>
      <c r="BW65" s="155">
        <f t="shared" si="13"/>
        <v>1672.0000000000002</v>
      </c>
      <c r="BX65" s="155">
        <f t="shared" si="14"/>
        <v>2104.4</v>
      </c>
      <c r="BY65" s="155">
        <f t="shared" si="15"/>
        <v>2212.5</v>
      </c>
    </row>
    <row r="66" spans="3:77">
      <c r="C66" s="155" t="s">
        <v>162</v>
      </c>
      <c r="L66" s="155">
        <f t="shared" ref="L66:BR66" si="73">SUBTOTAL(9,L67:L71)</f>
        <v>2.7517291666666668</v>
      </c>
      <c r="M66" s="155">
        <f t="shared" si="73"/>
        <v>2.7517291666666668</v>
      </c>
      <c r="N66" s="155">
        <f t="shared" si="73"/>
        <v>2.7517291666666668</v>
      </c>
      <c r="O66" s="155">
        <f t="shared" si="73"/>
        <v>2.7517291666666668</v>
      </c>
      <c r="P66" s="155">
        <f t="shared" si="73"/>
        <v>2.7517291666666668</v>
      </c>
      <c r="Q66" s="155">
        <f t="shared" si="73"/>
        <v>2.7517291666666668</v>
      </c>
      <c r="R66" s="155">
        <f t="shared" si="73"/>
        <v>70.446629166666654</v>
      </c>
      <c r="S66" s="155">
        <f t="shared" si="73"/>
        <v>70.446629166666654</v>
      </c>
      <c r="T66" s="155">
        <f t="shared" si="73"/>
        <v>70.446629166666654</v>
      </c>
      <c r="U66" s="155">
        <f t="shared" si="73"/>
        <v>70.446629166666654</v>
      </c>
      <c r="V66" s="155">
        <f t="shared" si="73"/>
        <v>70.446629166666654</v>
      </c>
      <c r="W66" s="155">
        <f t="shared" si="73"/>
        <v>70.446629166666654</v>
      </c>
      <c r="X66" s="155">
        <f t="shared" si="73"/>
        <v>88.166604166666659</v>
      </c>
      <c r="Y66" s="155">
        <f t="shared" si="73"/>
        <v>88.166604166666659</v>
      </c>
      <c r="Z66" s="155">
        <f t="shared" si="73"/>
        <v>88.166604166666659</v>
      </c>
      <c r="AA66" s="155">
        <f t="shared" si="73"/>
        <v>88.166604166666659</v>
      </c>
      <c r="AB66" s="155">
        <f t="shared" si="73"/>
        <v>88.166604166666659</v>
      </c>
      <c r="AC66" s="155">
        <f t="shared" si="73"/>
        <v>88.166604166666659</v>
      </c>
      <c r="AD66" s="155">
        <f t="shared" si="73"/>
        <v>104.73887083333329</v>
      </c>
      <c r="AE66" s="155">
        <f t="shared" si="73"/>
        <v>104.73887083333329</v>
      </c>
      <c r="AF66" s="155">
        <f t="shared" si="73"/>
        <v>104.73887083333329</v>
      </c>
      <c r="AG66" s="155">
        <f t="shared" si="73"/>
        <v>104.73887083333329</v>
      </c>
      <c r="AH66" s="155">
        <f t="shared" si="73"/>
        <v>104.73887083333329</v>
      </c>
      <c r="AI66" s="155">
        <f t="shared" si="73"/>
        <v>104.73887083333329</v>
      </c>
      <c r="AJ66" s="155">
        <f t="shared" si="73"/>
        <v>122.57580416666666</v>
      </c>
      <c r="AK66" s="155">
        <f t="shared" si="73"/>
        <v>122.57580416666666</v>
      </c>
      <c r="AL66" s="155">
        <f t="shared" si="73"/>
        <v>122.57580416666666</v>
      </c>
      <c r="AM66" s="155">
        <f t="shared" si="73"/>
        <v>122.57580416666666</v>
      </c>
      <c r="AN66" s="155">
        <f t="shared" si="73"/>
        <v>122.57580416666666</v>
      </c>
      <c r="AO66" s="155">
        <f t="shared" si="73"/>
        <v>122.57580416666666</v>
      </c>
      <c r="AP66" s="155">
        <f t="shared" si="73"/>
        <v>139.49952916666666</v>
      </c>
      <c r="AQ66" s="155">
        <f t="shared" si="73"/>
        <v>139.49952916666666</v>
      </c>
      <c r="AR66" s="155">
        <f t="shared" si="73"/>
        <v>139.49952916666666</v>
      </c>
      <c r="AS66" s="155">
        <f t="shared" si="73"/>
        <v>139.49952916666666</v>
      </c>
      <c r="AT66" s="155">
        <f t="shared" si="73"/>
        <v>139.49952916666666</v>
      </c>
      <c r="AU66" s="155">
        <f t="shared" si="73"/>
        <v>139.49952916666666</v>
      </c>
      <c r="AV66" s="155">
        <f t="shared" si="73"/>
        <v>156.42325416666665</v>
      </c>
      <c r="AW66" s="155">
        <f t="shared" si="73"/>
        <v>156.42325416666665</v>
      </c>
      <c r="AX66" s="155">
        <f t="shared" si="73"/>
        <v>156.42325416666665</v>
      </c>
      <c r="AY66" s="155">
        <f t="shared" si="73"/>
        <v>156.42325416666665</v>
      </c>
      <c r="AZ66" s="155">
        <f t="shared" si="73"/>
        <v>156.42325416666665</v>
      </c>
      <c r="BA66" s="155">
        <f t="shared" si="73"/>
        <v>156.42325416666665</v>
      </c>
      <c r="BB66" s="155">
        <f t="shared" si="73"/>
        <v>173.34697916666667</v>
      </c>
      <c r="BC66" s="155">
        <f t="shared" si="73"/>
        <v>173.34697916666667</v>
      </c>
      <c r="BD66" s="155">
        <f t="shared" si="73"/>
        <v>173.34697916666667</v>
      </c>
      <c r="BE66" s="155">
        <f t="shared" si="73"/>
        <v>173.34697916666667</v>
      </c>
      <c r="BF66" s="155">
        <f t="shared" si="73"/>
        <v>173.34697916666667</v>
      </c>
      <c r="BG66" s="155">
        <f t="shared" si="73"/>
        <v>173.34697916666667</v>
      </c>
      <c r="BH66" s="155">
        <f t="shared" si="73"/>
        <v>173.34697916666667</v>
      </c>
      <c r="BI66" s="155">
        <f t="shared" si="73"/>
        <v>173.34697916666667</v>
      </c>
      <c r="BJ66" s="155">
        <f t="shared" si="73"/>
        <v>173.34697916666667</v>
      </c>
      <c r="BK66" s="155">
        <f t="shared" si="73"/>
        <v>173.34697916666667</v>
      </c>
      <c r="BL66" s="155">
        <f t="shared" si="73"/>
        <v>173.34697916666667</v>
      </c>
      <c r="BM66" s="155">
        <f t="shared" si="73"/>
        <v>173.34697916666667</v>
      </c>
      <c r="BN66" s="155">
        <f t="shared" si="73"/>
        <v>173.34697916666667</v>
      </c>
      <c r="BO66" s="155">
        <f t="shared" si="73"/>
        <v>173.34697916666667</v>
      </c>
      <c r="BP66" s="155">
        <f t="shared" si="73"/>
        <v>173.34697916666667</v>
      </c>
      <c r="BQ66" s="155">
        <f t="shared" si="73"/>
        <v>173.34697916666667</v>
      </c>
      <c r="BR66" s="155">
        <f t="shared" si="73"/>
        <v>173.34697916666667</v>
      </c>
      <c r="BS66" s="155">
        <f>SUBTOTAL(9,BS67:BS71)</f>
        <v>173.34697916666667</v>
      </c>
      <c r="BU66" s="139">
        <f t="shared" si="11"/>
        <v>439.19014999999985</v>
      </c>
      <c r="BV66" s="139">
        <f t="shared" si="12"/>
        <v>1157.4328499999997</v>
      </c>
      <c r="BW66" s="139">
        <f t="shared" si="13"/>
        <v>1572.452</v>
      </c>
      <c r="BX66" s="139">
        <f t="shared" si="14"/>
        <v>1978.6213999999998</v>
      </c>
      <c r="BY66" s="139">
        <f t="shared" si="15"/>
        <v>2080.1637500000002</v>
      </c>
    </row>
    <row r="67" spans="3:77" outlineLevel="1">
      <c r="C67" s="155"/>
      <c r="D67" s="139" t="s">
        <v>163</v>
      </c>
      <c r="F67" s="139" t="s">
        <v>570</v>
      </c>
      <c r="L67" s="139">
        <f t="shared" ref="L67:BR67" si="74">(L23+L27+L41+L47+L56)*0.08435</f>
        <v>2.4250625000000001</v>
      </c>
      <c r="M67" s="139">
        <f t="shared" si="74"/>
        <v>2.4250625000000001</v>
      </c>
      <c r="N67" s="139">
        <f t="shared" si="74"/>
        <v>2.4250625000000001</v>
      </c>
      <c r="O67" s="139">
        <f t="shared" si="74"/>
        <v>2.4250625000000001</v>
      </c>
      <c r="P67" s="139">
        <f t="shared" si="74"/>
        <v>2.4250625000000001</v>
      </c>
      <c r="Q67" s="139">
        <f t="shared" si="74"/>
        <v>2.4250625000000001</v>
      </c>
      <c r="R67" s="139">
        <f t="shared" si="74"/>
        <v>63.213295833333319</v>
      </c>
      <c r="S67" s="139">
        <f t="shared" si="74"/>
        <v>63.213295833333319</v>
      </c>
      <c r="T67" s="139">
        <f t="shared" si="74"/>
        <v>63.213295833333319</v>
      </c>
      <c r="U67" s="139">
        <f t="shared" si="74"/>
        <v>63.213295833333319</v>
      </c>
      <c r="V67" s="139">
        <f t="shared" si="74"/>
        <v>63.213295833333319</v>
      </c>
      <c r="W67" s="139">
        <f t="shared" si="74"/>
        <v>63.213295833333319</v>
      </c>
      <c r="X67" s="139">
        <f t="shared" si="74"/>
        <v>79.113270833333331</v>
      </c>
      <c r="Y67" s="139">
        <f t="shared" si="74"/>
        <v>79.113270833333331</v>
      </c>
      <c r="Z67" s="139">
        <f t="shared" si="74"/>
        <v>79.113270833333331</v>
      </c>
      <c r="AA67" s="139">
        <f t="shared" si="74"/>
        <v>79.113270833333331</v>
      </c>
      <c r="AB67" s="139">
        <f t="shared" si="74"/>
        <v>79.113270833333331</v>
      </c>
      <c r="AC67" s="139">
        <f t="shared" si="74"/>
        <v>79.113270833333331</v>
      </c>
      <c r="AD67" s="139">
        <f t="shared" si="74"/>
        <v>93.958870833333307</v>
      </c>
      <c r="AE67" s="139">
        <f t="shared" si="74"/>
        <v>93.958870833333307</v>
      </c>
      <c r="AF67" s="139">
        <f t="shared" si="74"/>
        <v>93.958870833333307</v>
      </c>
      <c r="AG67" s="139">
        <f t="shared" si="74"/>
        <v>93.958870833333307</v>
      </c>
      <c r="AH67" s="139">
        <f t="shared" si="74"/>
        <v>93.958870833333307</v>
      </c>
      <c r="AI67" s="139">
        <f t="shared" si="74"/>
        <v>93.958870833333307</v>
      </c>
      <c r="AJ67" s="139">
        <f t="shared" si="74"/>
        <v>109.9291375</v>
      </c>
      <c r="AK67" s="139">
        <f t="shared" si="74"/>
        <v>109.9291375</v>
      </c>
      <c r="AL67" s="139">
        <f t="shared" si="74"/>
        <v>109.9291375</v>
      </c>
      <c r="AM67" s="139">
        <f t="shared" si="74"/>
        <v>109.9291375</v>
      </c>
      <c r="AN67" s="139">
        <f t="shared" si="74"/>
        <v>109.9291375</v>
      </c>
      <c r="AO67" s="139">
        <f t="shared" si="74"/>
        <v>109.9291375</v>
      </c>
      <c r="AP67" s="139">
        <f t="shared" si="74"/>
        <v>125.12619583333333</v>
      </c>
      <c r="AQ67" s="139">
        <f t="shared" si="74"/>
        <v>125.12619583333333</v>
      </c>
      <c r="AR67" s="139">
        <f t="shared" si="74"/>
        <v>125.12619583333333</v>
      </c>
      <c r="AS67" s="139">
        <f t="shared" si="74"/>
        <v>125.12619583333333</v>
      </c>
      <c r="AT67" s="139">
        <f t="shared" si="74"/>
        <v>125.12619583333333</v>
      </c>
      <c r="AU67" s="139">
        <f t="shared" si="74"/>
        <v>125.12619583333333</v>
      </c>
      <c r="AV67" s="139">
        <f t="shared" si="74"/>
        <v>140.32325416666666</v>
      </c>
      <c r="AW67" s="139">
        <f t="shared" si="74"/>
        <v>140.32325416666666</v>
      </c>
      <c r="AX67" s="139">
        <f t="shared" si="74"/>
        <v>140.32325416666666</v>
      </c>
      <c r="AY67" s="139">
        <f t="shared" si="74"/>
        <v>140.32325416666666</v>
      </c>
      <c r="AZ67" s="139">
        <f t="shared" si="74"/>
        <v>140.32325416666666</v>
      </c>
      <c r="BA67" s="139">
        <f t="shared" si="74"/>
        <v>140.32325416666666</v>
      </c>
      <c r="BB67" s="139">
        <f t="shared" si="74"/>
        <v>155.52031249999999</v>
      </c>
      <c r="BC67" s="139">
        <f t="shared" si="74"/>
        <v>155.52031249999999</v>
      </c>
      <c r="BD67" s="139">
        <f t="shared" si="74"/>
        <v>155.52031249999999</v>
      </c>
      <c r="BE67" s="139">
        <f t="shared" si="74"/>
        <v>155.52031249999999</v>
      </c>
      <c r="BF67" s="139">
        <f t="shared" si="74"/>
        <v>155.52031249999999</v>
      </c>
      <c r="BG67" s="139">
        <f t="shared" si="74"/>
        <v>155.52031249999999</v>
      </c>
      <c r="BH67" s="139">
        <f t="shared" si="74"/>
        <v>155.52031249999999</v>
      </c>
      <c r="BI67" s="139">
        <f t="shared" si="74"/>
        <v>155.52031249999999</v>
      </c>
      <c r="BJ67" s="139">
        <f t="shared" si="74"/>
        <v>155.52031249999999</v>
      </c>
      <c r="BK67" s="139">
        <f t="shared" si="74"/>
        <v>155.52031249999999</v>
      </c>
      <c r="BL67" s="139">
        <f t="shared" si="74"/>
        <v>155.52031249999999</v>
      </c>
      <c r="BM67" s="139">
        <f t="shared" si="74"/>
        <v>155.52031249999999</v>
      </c>
      <c r="BN67" s="139">
        <f t="shared" si="74"/>
        <v>155.52031249999999</v>
      </c>
      <c r="BO67" s="139">
        <f t="shared" si="74"/>
        <v>155.52031249999999</v>
      </c>
      <c r="BP67" s="139">
        <f t="shared" si="74"/>
        <v>155.52031249999999</v>
      </c>
      <c r="BQ67" s="139">
        <f t="shared" si="74"/>
        <v>155.52031249999999</v>
      </c>
      <c r="BR67" s="139">
        <f t="shared" si="74"/>
        <v>155.52031249999999</v>
      </c>
      <c r="BS67" s="139">
        <f>(BS23+BS27+BS41+BS47+BS56)*0.08435</f>
        <v>155.52031249999999</v>
      </c>
      <c r="BU67" s="139">
        <f t="shared" si="11"/>
        <v>393.83014999999989</v>
      </c>
      <c r="BV67" s="139">
        <f t="shared" si="12"/>
        <v>1038.4328499999999</v>
      </c>
      <c r="BW67" s="139">
        <f t="shared" si="13"/>
        <v>1410.3320000000003</v>
      </c>
      <c r="BX67" s="139">
        <f t="shared" si="14"/>
        <v>1775.0614</v>
      </c>
      <c r="BY67" s="139">
        <f t="shared" si="15"/>
        <v>1866.2437500000003</v>
      </c>
    </row>
    <row r="68" spans="3:77" outlineLevel="1">
      <c r="C68" s="155"/>
      <c r="D68" s="139" t="s">
        <v>164</v>
      </c>
      <c r="F68" s="139" t="s">
        <v>562</v>
      </c>
      <c r="BU68" s="139">
        <f t="shared" si="11"/>
        <v>0</v>
      </c>
      <c r="BV68" s="139">
        <f t="shared" si="12"/>
        <v>0</v>
      </c>
      <c r="BW68" s="139">
        <f t="shared" si="13"/>
        <v>0</v>
      </c>
      <c r="BX68" s="139">
        <f t="shared" si="14"/>
        <v>0</v>
      </c>
      <c r="BY68" s="139">
        <f t="shared" si="15"/>
        <v>0</v>
      </c>
    </row>
    <row r="69" spans="3:77" outlineLevel="1">
      <c r="C69" s="155"/>
      <c r="D69" s="139" t="s">
        <v>165</v>
      </c>
      <c r="F69" s="139" t="s">
        <v>526</v>
      </c>
      <c r="L69" s="139">
        <f t="shared" ref="L69:BR69" si="75">L152*0.03</f>
        <v>0.21</v>
      </c>
      <c r="M69" s="139">
        <f t="shared" si="75"/>
        <v>0.21</v>
      </c>
      <c r="N69" s="139">
        <f t="shared" si="75"/>
        <v>0.21</v>
      </c>
      <c r="O69" s="139">
        <f t="shared" si="75"/>
        <v>0.21</v>
      </c>
      <c r="P69" s="139">
        <f t="shared" si="75"/>
        <v>0.21</v>
      </c>
      <c r="Q69" s="139">
        <f t="shared" si="75"/>
        <v>0.21</v>
      </c>
      <c r="R69" s="139">
        <f t="shared" si="75"/>
        <v>4.6499999999999995</v>
      </c>
      <c r="S69" s="139">
        <f t="shared" si="75"/>
        <v>4.6499999999999995</v>
      </c>
      <c r="T69" s="139">
        <f t="shared" si="75"/>
        <v>4.6499999999999995</v>
      </c>
      <c r="U69" s="139">
        <f t="shared" si="75"/>
        <v>4.6499999999999995</v>
      </c>
      <c r="V69" s="139">
        <f t="shared" si="75"/>
        <v>4.6499999999999995</v>
      </c>
      <c r="W69" s="139">
        <f t="shared" si="75"/>
        <v>4.6499999999999995</v>
      </c>
      <c r="X69" s="139">
        <f t="shared" si="75"/>
        <v>5.8199999999999994</v>
      </c>
      <c r="Y69" s="139">
        <f t="shared" si="75"/>
        <v>5.8199999999999994</v>
      </c>
      <c r="Z69" s="139">
        <f t="shared" si="75"/>
        <v>5.8199999999999994</v>
      </c>
      <c r="AA69" s="139">
        <f t="shared" si="75"/>
        <v>5.8199999999999994</v>
      </c>
      <c r="AB69" s="139">
        <f t="shared" si="75"/>
        <v>5.8199999999999994</v>
      </c>
      <c r="AC69" s="139">
        <f t="shared" si="75"/>
        <v>5.8199999999999994</v>
      </c>
      <c r="AD69" s="139">
        <f t="shared" si="75"/>
        <v>6.93</v>
      </c>
      <c r="AE69" s="139">
        <f t="shared" si="75"/>
        <v>6.93</v>
      </c>
      <c r="AF69" s="139">
        <f t="shared" si="75"/>
        <v>6.93</v>
      </c>
      <c r="AG69" s="139">
        <f t="shared" si="75"/>
        <v>6.93</v>
      </c>
      <c r="AH69" s="139">
        <f t="shared" si="75"/>
        <v>6.93</v>
      </c>
      <c r="AI69" s="139">
        <f t="shared" si="75"/>
        <v>6.93</v>
      </c>
      <c r="AJ69" s="139">
        <f t="shared" si="75"/>
        <v>8.129999999999999</v>
      </c>
      <c r="AK69" s="139">
        <f t="shared" si="75"/>
        <v>8.129999999999999</v>
      </c>
      <c r="AL69" s="139">
        <f t="shared" si="75"/>
        <v>8.129999999999999</v>
      </c>
      <c r="AM69" s="139">
        <f t="shared" si="75"/>
        <v>8.129999999999999</v>
      </c>
      <c r="AN69" s="139">
        <f t="shared" si="75"/>
        <v>8.129999999999999</v>
      </c>
      <c r="AO69" s="139">
        <f t="shared" si="75"/>
        <v>8.129999999999999</v>
      </c>
      <c r="AP69" s="139">
        <f t="shared" si="75"/>
        <v>9.24</v>
      </c>
      <c r="AQ69" s="139">
        <f t="shared" si="75"/>
        <v>9.24</v>
      </c>
      <c r="AR69" s="139">
        <f t="shared" si="75"/>
        <v>9.24</v>
      </c>
      <c r="AS69" s="139">
        <f t="shared" si="75"/>
        <v>9.24</v>
      </c>
      <c r="AT69" s="139">
        <f t="shared" si="75"/>
        <v>9.24</v>
      </c>
      <c r="AU69" s="139">
        <f t="shared" si="75"/>
        <v>9.24</v>
      </c>
      <c r="AV69" s="139">
        <f t="shared" si="75"/>
        <v>10.35</v>
      </c>
      <c r="AW69" s="139">
        <f t="shared" si="75"/>
        <v>10.35</v>
      </c>
      <c r="AX69" s="139">
        <f t="shared" si="75"/>
        <v>10.35</v>
      </c>
      <c r="AY69" s="139">
        <f t="shared" si="75"/>
        <v>10.35</v>
      </c>
      <c r="AZ69" s="139">
        <f t="shared" si="75"/>
        <v>10.35</v>
      </c>
      <c r="BA69" s="139">
        <f t="shared" si="75"/>
        <v>10.35</v>
      </c>
      <c r="BB69" s="139">
        <f t="shared" si="75"/>
        <v>11.459999999999999</v>
      </c>
      <c r="BC69" s="139">
        <f t="shared" si="75"/>
        <v>11.459999999999999</v>
      </c>
      <c r="BD69" s="139">
        <f t="shared" si="75"/>
        <v>11.459999999999999</v>
      </c>
      <c r="BE69" s="139">
        <f t="shared" si="75"/>
        <v>11.459999999999999</v>
      </c>
      <c r="BF69" s="139">
        <f t="shared" si="75"/>
        <v>11.459999999999999</v>
      </c>
      <c r="BG69" s="139">
        <f t="shared" si="75"/>
        <v>11.459999999999999</v>
      </c>
      <c r="BH69" s="139">
        <f t="shared" si="75"/>
        <v>11.459999999999999</v>
      </c>
      <c r="BI69" s="139">
        <f t="shared" si="75"/>
        <v>11.459999999999999</v>
      </c>
      <c r="BJ69" s="139">
        <f t="shared" si="75"/>
        <v>11.459999999999999</v>
      </c>
      <c r="BK69" s="139">
        <f t="shared" si="75"/>
        <v>11.459999999999999</v>
      </c>
      <c r="BL69" s="139">
        <f t="shared" si="75"/>
        <v>11.459999999999999</v>
      </c>
      <c r="BM69" s="139">
        <f t="shared" si="75"/>
        <v>11.459999999999999</v>
      </c>
      <c r="BN69" s="139">
        <f t="shared" si="75"/>
        <v>11.459999999999999</v>
      </c>
      <c r="BO69" s="139">
        <f t="shared" si="75"/>
        <v>11.459999999999999</v>
      </c>
      <c r="BP69" s="139">
        <f t="shared" si="75"/>
        <v>11.459999999999999</v>
      </c>
      <c r="BQ69" s="139">
        <f t="shared" si="75"/>
        <v>11.459999999999999</v>
      </c>
      <c r="BR69" s="139">
        <f t="shared" si="75"/>
        <v>11.459999999999999</v>
      </c>
      <c r="BS69" s="139">
        <f>BS152*0.03</f>
        <v>11.459999999999999</v>
      </c>
      <c r="BU69" s="139">
        <f t="shared" ref="BU69:BU128" si="76">SUM(L69:W69)</f>
        <v>29.159999999999993</v>
      </c>
      <c r="BV69" s="139">
        <f t="shared" ref="BV69:BV128" si="77">SUM(X69:AI69)</f>
        <v>76.5</v>
      </c>
      <c r="BW69" s="139">
        <f t="shared" ref="BW69:BW128" si="78">SUM(AJ69:AU69)</f>
        <v>104.21999999999997</v>
      </c>
      <c r="BX69" s="139">
        <f t="shared" ref="BX69:BX128" si="79">SUM(AV69:BG69)</f>
        <v>130.85999999999999</v>
      </c>
      <c r="BY69" s="139">
        <f t="shared" ref="BY69:BY128" si="80">SUM(BH69:BS69)</f>
        <v>137.51999999999995</v>
      </c>
    </row>
    <row r="70" spans="3:77" outlineLevel="1">
      <c r="C70" s="155"/>
      <c r="D70" s="139" t="s">
        <v>166</v>
      </c>
      <c r="F70" s="139" t="s">
        <v>527</v>
      </c>
      <c r="L70" s="139">
        <f t="shared" ref="L70:BR70" si="81">L152*0.2/12</f>
        <v>0.11666666666666668</v>
      </c>
      <c r="M70" s="139">
        <f t="shared" si="81"/>
        <v>0.11666666666666668</v>
      </c>
      <c r="N70" s="139">
        <f t="shared" si="81"/>
        <v>0.11666666666666668</v>
      </c>
      <c r="O70" s="139">
        <f t="shared" si="81"/>
        <v>0.11666666666666668</v>
      </c>
      <c r="P70" s="139">
        <f t="shared" si="81"/>
        <v>0.11666666666666668</v>
      </c>
      <c r="Q70" s="139">
        <f t="shared" si="81"/>
        <v>0.11666666666666668</v>
      </c>
      <c r="R70" s="139">
        <f t="shared" si="81"/>
        <v>2.5833333333333335</v>
      </c>
      <c r="S70" s="139">
        <f t="shared" si="81"/>
        <v>2.5833333333333335</v>
      </c>
      <c r="T70" s="139">
        <f t="shared" si="81"/>
        <v>2.5833333333333335</v>
      </c>
      <c r="U70" s="139">
        <f t="shared" si="81"/>
        <v>2.5833333333333335</v>
      </c>
      <c r="V70" s="139">
        <f t="shared" si="81"/>
        <v>2.5833333333333335</v>
      </c>
      <c r="W70" s="139">
        <f t="shared" si="81"/>
        <v>2.5833333333333335</v>
      </c>
      <c r="X70" s="139">
        <f t="shared" si="81"/>
        <v>3.2333333333333338</v>
      </c>
      <c r="Y70" s="139">
        <f t="shared" si="81"/>
        <v>3.2333333333333338</v>
      </c>
      <c r="Z70" s="139">
        <f t="shared" si="81"/>
        <v>3.2333333333333338</v>
      </c>
      <c r="AA70" s="139">
        <f t="shared" si="81"/>
        <v>3.2333333333333338</v>
      </c>
      <c r="AB70" s="139">
        <f t="shared" si="81"/>
        <v>3.2333333333333338</v>
      </c>
      <c r="AC70" s="139">
        <f t="shared" si="81"/>
        <v>3.2333333333333338</v>
      </c>
      <c r="AD70" s="139">
        <f t="shared" si="81"/>
        <v>3.85</v>
      </c>
      <c r="AE70" s="139">
        <f t="shared" si="81"/>
        <v>3.85</v>
      </c>
      <c r="AF70" s="139">
        <f t="shared" si="81"/>
        <v>3.85</v>
      </c>
      <c r="AG70" s="139">
        <f t="shared" si="81"/>
        <v>3.85</v>
      </c>
      <c r="AH70" s="139">
        <f t="shared" si="81"/>
        <v>3.85</v>
      </c>
      <c r="AI70" s="139">
        <f t="shared" si="81"/>
        <v>3.85</v>
      </c>
      <c r="AJ70" s="139">
        <f t="shared" si="81"/>
        <v>4.5166666666666666</v>
      </c>
      <c r="AK70" s="139">
        <f t="shared" si="81"/>
        <v>4.5166666666666666</v>
      </c>
      <c r="AL70" s="139">
        <f t="shared" si="81"/>
        <v>4.5166666666666666</v>
      </c>
      <c r="AM70" s="139">
        <f t="shared" si="81"/>
        <v>4.5166666666666666</v>
      </c>
      <c r="AN70" s="139">
        <f t="shared" si="81"/>
        <v>4.5166666666666666</v>
      </c>
      <c r="AO70" s="139">
        <f t="shared" si="81"/>
        <v>4.5166666666666666</v>
      </c>
      <c r="AP70" s="139">
        <f t="shared" si="81"/>
        <v>5.1333333333333337</v>
      </c>
      <c r="AQ70" s="139">
        <f t="shared" si="81"/>
        <v>5.1333333333333337</v>
      </c>
      <c r="AR70" s="139">
        <f t="shared" si="81"/>
        <v>5.1333333333333337</v>
      </c>
      <c r="AS70" s="139">
        <f t="shared" si="81"/>
        <v>5.1333333333333337</v>
      </c>
      <c r="AT70" s="139">
        <f t="shared" si="81"/>
        <v>5.1333333333333337</v>
      </c>
      <c r="AU70" s="139">
        <f t="shared" si="81"/>
        <v>5.1333333333333337</v>
      </c>
      <c r="AV70" s="139">
        <f t="shared" si="81"/>
        <v>5.75</v>
      </c>
      <c r="AW70" s="139">
        <f t="shared" si="81"/>
        <v>5.75</v>
      </c>
      <c r="AX70" s="139">
        <f t="shared" si="81"/>
        <v>5.75</v>
      </c>
      <c r="AY70" s="139">
        <f t="shared" si="81"/>
        <v>5.75</v>
      </c>
      <c r="AZ70" s="139">
        <f t="shared" si="81"/>
        <v>5.75</v>
      </c>
      <c r="BA70" s="139">
        <f t="shared" si="81"/>
        <v>5.75</v>
      </c>
      <c r="BB70" s="139">
        <f t="shared" si="81"/>
        <v>6.3666666666666671</v>
      </c>
      <c r="BC70" s="139">
        <f t="shared" si="81"/>
        <v>6.3666666666666671</v>
      </c>
      <c r="BD70" s="139">
        <f t="shared" si="81"/>
        <v>6.3666666666666671</v>
      </c>
      <c r="BE70" s="139">
        <f t="shared" si="81"/>
        <v>6.3666666666666671</v>
      </c>
      <c r="BF70" s="139">
        <f t="shared" si="81"/>
        <v>6.3666666666666671</v>
      </c>
      <c r="BG70" s="139">
        <f t="shared" si="81"/>
        <v>6.3666666666666671</v>
      </c>
      <c r="BH70" s="139">
        <f t="shared" si="81"/>
        <v>6.3666666666666671</v>
      </c>
      <c r="BI70" s="139">
        <f t="shared" si="81"/>
        <v>6.3666666666666671</v>
      </c>
      <c r="BJ70" s="139">
        <f t="shared" si="81"/>
        <v>6.3666666666666671</v>
      </c>
      <c r="BK70" s="139">
        <f t="shared" si="81"/>
        <v>6.3666666666666671</v>
      </c>
      <c r="BL70" s="139">
        <f t="shared" si="81"/>
        <v>6.3666666666666671</v>
      </c>
      <c r="BM70" s="139">
        <f t="shared" si="81"/>
        <v>6.3666666666666671</v>
      </c>
      <c r="BN70" s="139">
        <f t="shared" si="81"/>
        <v>6.3666666666666671</v>
      </c>
      <c r="BO70" s="139">
        <f t="shared" si="81"/>
        <v>6.3666666666666671</v>
      </c>
      <c r="BP70" s="139">
        <f t="shared" si="81"/>
        <v>6.3666666666666671</v>
      </c>
      <c r="BQ70" s="139">
        <f t="shared" si="81"/>
        <v>6.3666666666666671</v>
      </c>
      <c r="BR70" s="139">
        <f t="shared" si="81"/>
        <v>6.3666666666666671</v>
      </c>
      <c r="BS70" s="139">
        <f>BS152*0.2/12</f>
        <v>6.3666666666666671</v>
      </c>
      <c r="BU70" s="139">
        <f t="shared" si="76"/>
        <v>16.200000000000003</v>
      </c>
      <c r="BV70" s="139">
        <f t="shared" si="77"/>
        <v>42.500000000000007</v>
      </c>
      <c r="BW70" s="139">
        <f t="shared" si="78"/>
        <v>57.9</v>
      </c>
      <c r="BX70" s="139">
        <f t="shared" si="79"/>
        <v>72.700000000000017</v>
      </c>
      <c r="BY70" s="139">
        <f t="shared" si="80"/>
        <v>76.400000000000006</v>
      </c>
    </row>
    <row r="71" spans="3:77" outlineLevel="1">
      <c r="C71" s="155"/>
      <c r="D71" s="139" t="s">
        <v>167</v>
      </c>
      <c r="F71" s="139" t="s">
        <v>562</v>
      </c>
      <c r="BU71" s="139">
        <f t="shared" si="76"/>
        <v>0</v>
      </c>
      <c r="BV71" s="139">
        <f t="shared" si="77"/>
        <v>0</v>
      </c>
      <c r="BW71" s="139">
        <f t="shared" si="78"/>
        <v>0</v>
      </c>
      <c r="BX71" s="139">
        <f t="shared" si="79"/>
        <v>0</v>
      </c>
      <c r="BY71" s="139">
        <f t="shared" si="80"/>
        <v>0</v>
      </c>
    </row>
    <row r="72" spans="3:77" s="155" customFormat="1">
      <c r="C72" s="155" t="s">
        <v>168</v>
      </c>
      <c r="L72" s="155">
        <f>SUBTOTAL(9,L73:L81)</f>
        <v>9.5338448000000007</v>
      </c>
      <c r="M72" s="155">
        <f t="shared" ref="M72:BS72" si="82">SUBTOTAL(9,M73:M81)</f>
        <v>9.5338448000000007</v>
      </c>
      <c r="N72" s="155">
        <f t="shared" si="82"/>
        <v>9.5338448000000007</v>
      </c>
      <c r="O72" s="155">
        <f t="shared" si="82"/>
        <v>9.5338448000000007</v>
      </c>
      <c r="P72" s="155">
        <f t="shared" si="82"/>
        <v>9.5338448000000007</v>
      </c>
      <c r="Q72" s="155">
        <f t="shared" si="82"/>
        <v>9.5338448000000007</v>
      </c>
      <c r="R72" s="155">
        <f t="shared" si="82"/>
        <v>24.979844799999999</v>
      </c>
      <c r="S72" s="155">
        <f t="shared" si="82"/>
        <v>24.979844799999999</v>
      </c>
      <c r="T72" s="155">
        <f t="shared" si="82"/>
        <v>24.979844799999999</v>
      </c>
      <c r="U72" s="155">
        <f t="shared" si="82"/>
        <v>24.979844799999999</v>
      </c>
      <c r="V72" s="155">
        <f t="shared" si="82"/>
        <v>24.979844799999999</v>
      </c>
      <c r="W72" s="155">
        <f t="shared" si="82"/>
        <v>24.979844799999999</v>
      </c>
      <c r="X72" s="155">
        <f t="shared" si="82"/>
        <v>35.741442599999999</v>
      </c>
      <c r="Y72" s="155">
        <f t="shared" si="82"/>
        <v>35.741442599999999</v>
      </c>
      <c r="Z72" s="155">
        <f t="shared" si="82"/>
        <v>35.741442599999999</v>
      </c>
      <c r="AA72" s="155">
        <f t="shared" si="82"/>
        <v>35.741442599999999</v>
      </c>
      <c r="AB72" s="155">
        <f t="shared" si="82"/>
        <v>35.741442599999999</v>
      </c>
      <c r="AC72" s="155">
        <f t="shared" si="82"/>
        <v>35.741442599999999</v>
      </c>
      <c r="AD72" s="155">
        <f t="shared" si="82"/>
        <v>39.602942599999999</v>
      </c>
      <c r="AE72" s="155">
        <f t="shared" si="82"/>
        <v>39.602942599999999</v>
      </c>
      <c r="AF72" s="155">
        <f t="shared" si="82"/>
        <v>39.602942599999999</v>
      </c>
      <c r="AG72" s="155">
        <f t="shared" si="82"/>
        <v>39.602942599999999</v>
      </c>
      <c r="AH72" s="155">
        <f t="shared" si="82"/>
        <v>39.602942599999999</v>
      </c>
      <c r="AI72" s="155">
        <f t="shared" si="82"/>
        <v>39.602942599999999</v>
      </c>
      <c r="AJ72" s="155">
        <f t="shared" si="82"/>
        <v>44.998287399999995</v>
      </c>
      <c r="AK72" s="155">
        <f t="shared" si="82"/>
        <v>44.998287399999995</v>
      </c>
      <c r="AL72" s="155">
        <f t="shared" si="82"/>
        <v>44.998287399999995</v>
      </c>
      <c r="AM72" s="155">
        <f t="shared" si="82"/>
        <v>44.998287399999995</v>
      </c>
      <c r="AN72" s="155">
        <f t="shared" si="82"/>
        <v>44.998287399999995</v>
      </c>
      <c r="AO72" s="155">
        <f t="shared" si="82"/>
        <v>44.998287399999995</v>
      </c>
      <c r="AP72" s="155">
        <f t="shared" si="82"/>
        <v>48.859787400000002</v>
      </c>
      <c r="AQ72" s="155">
        <f t="shared" si="82"/>
        <v>48.859787400000002</v>
      </c>
      <c r="AR72" s="155">
        <f t="shared" si="82"/>
        <v>48.859787400000002</v>
      </c>
      <c r="AS72" s="155">
        <f t="shared" si="82"/>
        <v>48.859787400000002</v>
      </c>
      <c r="AT72" s="155">
        <f t="shared" si="82"/>
        <v>48.859787400000002</v>
      </c>
      <c r="AU72" s="155">
        <f t="shared" si="82"/>
        <v>48.859787400000002</v>
      </c>
      <c r="AV72" s="155">
        <f t="shared" si="82"/>
        <v>52.848005900000004</v>
      </c>
      <c r="AW72" s="155">
        <f t="shared" si="82"/>
        <v>52.848005900000004</v>
      </c>
      <c r="AX72" s="155">
        <f t="shared" si="82"/>
        <v>52.848005900000004</v>
      </c>
      <c r="AY72" s="155">
        <f t="shared" si="82"/>
        <v>52.848005900000004</v>
      </c>
      <c r="AZ72" s="155">
        <f t="shared" si="82"/>
        <v>52.848005900000004</v>
      </c>
      <c r="BA72" s="155">
        <f t="shared" si="82"/>
        <v>52.848005900000004</v>
      </c>
      <c r="BB72" s="155">
        <f t="shared" si="82"/>
        <v>56.709505900000003</v>
      </c>
      <c r="BC72" s="155">
        <f t="shared" si="82"/>
        <v>56.709505900000003</v>
      </c>
      <c r="BD72" s="155">
        <f t="shared" si="82"/>
        <v>56.709505900000003</v>
      </c>
      <c r="BE72" s="155">
        <f t="shared" si="82"/>
        <v>56.709505900000003</v>
      </c>
      <c r="BF72" s="155">
        <f t="shared" si="82"/>
        <v>56.709505900000003</v>
      </c>
      <c r="BG72" s="155">
        <f t="shared" si="82"/>
        <v>56.709505900000003</v>
      </c>
      <c r="BH72" s="155">
        <f t="shared" si="82"/>
        <v>56.709505900000003</v>
      </c>
      <c r="BI72" s="155">
        <f t="shared" si="82"/>
        <v>56.709505900000003</v>
      </c>
      <c r="BJ72" s="155">
        <f t="shared" si="82"/>
        <v>56.709505900000003</v>
      </c>
      <c r="BK72" s="155">
        <f t="shared" si="82"/>
        <v>56.709505900000003</v>
      </c>
      <c r="BL72" s="155">
        <f t="shared" si="82"/>
        <v>56.709505900000003</v>
      </c>
      <c r="BM72" s="155">
        <f t="shared" si="82"/>
        <v>56.709505900000003</v>
      </c>
      <c r="BN72" s="155">
        <f t="shared" si="82"/>
        <v>56.709505900000003</v>
      </c>
      <c r="BO72" s="155">
        <f t="shared" si="82"/>
        <v>56.709505900000003</v>
      </c>
      <c r="BP72" s="155">
        <f t="shared" si="82"/>
        <v>56.709505900000003</v>
      </c>
      <c r="BQ72" s="155">
        <f t="shared" si="82"/>
        <v>56.709505900000003</v>
      </c>
      <c r="BR72" s="155">
        <f t="shared" si="82"/>
        <v>56.709505900000003</v>
      </c>
      <c r="BS72" s="155">
        <f t="shared" si="82"/>
        <v>56.709505900000003</v>
      </c>
      <c r="BU72" s="155">
        <f t="shared" si="76"/>
        <v>207.08213759999998</v>
      </c>
      <c r="BV72" s="155">
        <f t="shared" si="77"/>
        <v>452.06631120000003</v>
      </c>
      <c r="BW72" s="155">
        <f t="shared" si="78"/>
        <v>563.14844879999998</v>
      </c>
      <c r="BX72" s="155">
        <f t="shared" si="79"/>
        <v>657.34507079999992</v>
      </c>
      <c r="BY72" s="155">
        <f t="shared" si="80"/>
        <v>680.5140707999999</v>
      </c>
    </row>
    <row r="73" spans="3:77" outlineLevel="1">
      <c r="C73" s="155"/>
      <c r="D73" s="139" t="s">
        <v>169</v>
      </c>
      <c r="F73" s="139" t="s">
        <v>1294</v>
      </c>
      <c r="I73" s="139" t="s">
        <v>580</v>
      </c>
      <c r="L73" s="139">
        <v>8</v>
      </c>
      <c r="M73" s="139">
        <f t="shared" ref="M73:BR73" si="83">L73</f>
        <v>8</v>
      </c>
      <c r="N73" s="139">
        <f t="shared" si="83"/>
        <v>8</v>
      </c>
      <c r="O73" s="139">
        <f t="shared" si="83"/>
        <v>8</v>
      </c>
      <c r="P73" s="139">
        <f t="shared" si="83"/>
        <v>8</v>
      </c>
      <c r="Q73" s="139">
        <f t="shared" si="83"/>
        <v>8</v>
      </c>
      <c r="R73" s="139">
        <f t="shared" si="83"/>
        <v>8</v>
      </c>
      <c r="S73" s="139">
        <f t="shared" si="83"/>
        <v>8</v>
      </c>
      <c r="T73" s="139">
        <f t="shared" si="83"/>
        <v>8</v>
      </c>
      <c r="U73" s="139">
        <f t="shared" si="83"/>
        <v>8</v>
      </c>
      <c r="V73" s="139">
        <f t="shared" si="83"/>
        <v>8</v>
      </c>
      <c r="W73" s="139">
        <f t="shared" si="83"/>
        <v>8</v>
      </c>
      <c r="X73" s="139">
        <f t="shared" si="83"/>
        <v>8</v>
      </c>
      <c r="Y73" s="139">
        <f t="shared" si="83"/>
        <v>8</v>
      </c>
      <c r="Z73" s="139">
        <f t="shared" si="83"/>
        <v>8</v>
      </c>
      <c r="AA73" s="139">
        <f t="shared" si="83"/>
        <v>8</v>
      </c>
      <c r="AB73" s="139">
        <f t="shared" si="83"/>
        <v>8</v>
      </c>
      <c r="AC73" s="139">
        <f t="shared" si="83"/>
        <v>8</v>
      </c>
      <c r="AD73" s="139">
        <f t="shared" si="83"/>
        <v>8</v>
      </c>
      <c r="AE73" s="139">
        <f t="shared" si="83"/>
        <v>8</v>
      </c>
      <c r="AF73" s="139">
        <f t="shared" si="83"/>
        <v>8</v>
      </c>
      <c r="AG73" s="139">
        <f t="shared" si="83"/>
        <v>8</v>
      </c>
      <c r="AH73" s="139">
        <f t="shared" si="83"/>
        <v>8</v>
      </c>
      <c r="AI73" s="139">
        <f t="shared" si="83"/>
        <v>8</v>
      </c>
      <c r="AJ73" s="139">
        <f t="shared" si="83"/>
        <v>8</v>
      </c>
      <c r="AK73" s="139">
        <f t="shared" si="83"/>
        <v>8</v>
      </c>
      <c r="AL73" s="139">
        <f t="shared" si="83"/>
        <v>8</v>
      </c>
      <c r="AM73" s="139">
        <f t="shared" si="83"/>
        <v>8</v>
      </c>
      <c r="AN73" s="139">
        <f t="shared" si="83"/>
        <v>8</v>
      </c>
      <c r="AO73" s="139">
        <f t="shared" si="83"/>
        <v>8</v>
      </c>
      <c r="AP73" s="139">
        <f t="shared" si="83"/>
        <v>8</v>
      </c>
      <c r="AQ73" s="139">
        <f t="shared" si="83"/>
        <v>8</v>
      </c>
      <c r="AR73" s="139">
        <f t="shared" si="83"/>
        <v>8</v>
      </c>
      <c r="AS73" s="139">
        <f t="shared" si="83"/>
        <v>8</v>
      </c>
      <c r="AT73" s="139">
        <f t="shared" si="83"/>
        <v>8</v>
      </c>
      <c r="AU73" s="139">
        <f t="shared" si="83"/>
        <v>8</v>
      </c>
      <c r="AV73" s="139">
        <f t="shared" si="83"/>
        <v>8</v>
      </c>
      <c r="AW73" s="139">
        <f t="shared" si="83"/>
        <v>8</v>
      </c>
      <c r="AX73" s="139">
        <f t="shared" si="83"/>
        <v>8</v>
      </c>
      <c r="AY73" s="139">
        <f t="shared" si="83"/>
        <v>8</v>
      </c>
      <c r="AZ73" s="139">
        <f t="shared" si="83"/>
        <v>8</v>
      </c>
      <c r="BA73" s="139">
        <f t="shared" si="83"/>
        <v>8</v>
      </c>
      <c r="BB73" s="139">
        <f t="shared" si="83"/>
        <v>8</v>
      </c>
      <c r="BC73" s="139">
        <f t="shared" si="83"/>
        <v>8</v>
      </c>
      <c r="BD73" s="139">
        <f t="shared" si="83"/>
        <v>8</v>
      </c>
      <c r="BE73" s="139">
        <f t="shared" si="83"/>
        <v>8</v>
      </c>
      <c r="BF73" s="139">
        <f t="shared" si="83"/>
        <v>8</v>
      </c>
      <c r="BG73" s="139">
        <f t="shared" si="83"/>
        <v>8</v>
      </c>
      <c r="BH73" s="139">
        <f t="shared" si="83"/>
        <v>8</v>
      </c>
      <c r="BI73" s="139">
        <f t="shared" si="83"/>
        <v>8</v>
      </c>
      <c r="BJ73" s="139">
        <f t="shared" si="83"/>
        <v>8</v>
      </c>
      <c r="BK73" s="139">
        <f t="shared" si="83"/>
        <v>8</v>
      </c>
      <c r="BL73" s="139">
        <f t="shared" si="83"/>
        <v>8</v>
      </c>
      <c r="BM73" s="139">
        <f t="shared" si="83"/>
        <v>8</v>
      </c>
      <c r="BN73" s="139">
        <f t="shared" si="83"/>
        <v>8</v>
      </c>
      <c r="BO73" s="139">
        <f t="shared" si="83"/>
        <v>8</v>
      </c>
      <c r="BP73" s="139">
        <f t="shared" si="83"/>
        <v>8</v>
      </c>
      <c r="BQ73" s="139">
        <f t="shared" si="83"/>
        <v>8</v>
      </c>
      <c r="BR73" s="139">
        <f t="shared" si="83"/>
        <v>8</v>
      </c>
      <c r="BS73" s="139">
        <f>BR73</f>
        <v>8</v>
      </c>
      <c r="BU73" s="139">
        <f t="shared" si="76"/>
        <v>96</v>
      </c>
      <c r="BV73" s="139">
        <f t="shared" si="77"/>
        <v>96</v>
      </c>
      <c r="BW73" s="139">
        <f t="shared" si="78"/>
        <v>96</v>
      </c>
      <c r="BX73" s="139">
        <f t="shared" si="79"/>
        <v>96</v>
      </c>
      <c r="BY73" s="139">
        <f t="shared" si="80"/>
        <v>96</v>
      </c>
    </row>
    <row r="74" spans="3:77" outlineLevel="1">
      <c r="C74" s="155"/>
      <c r="D74" s="139" t="s">
        <v>170</v>
      </c>
      <c r="F74" s="139" t="s">
        <v>582</v>
      </c>
      <c r="H74" s="139">
        <f>938818.8/12</f>
        <v>78234.900000000009</v>
      </c>
      <c r="I74" s="139" t="s">
        <v>581</v>
      </c>
      <c r="L74" s="139">
        <f>$H74*노선구성!$F19/1000000*L$5</f>
        <v>0</v>
      </c>
      <c r="M74" s="139">
        <f>$H74*노선구성!$F19/1000000</f>
        <v>0</v>
      </c>
      <c r="N74" s="139">
        <f>$H74*노선구성!$F19/1000000</f>
        <v>0</v>
      </c>
      <c r="O74" s="139">
        <f>$H74*노선구성!$F19/1000000</f>
        <v>0</v>
      </c>
      <c r="P74" s="139">
        <f>$H74*노선구성!$F19/1000000</f>
        <v>0</v>
      </c>
      <c r="Q74" s="139">
        <f>$H74*노선구성!$F19/1000000</f>
        <v>0</v>
      </c>
      <c r="R74" s="139">
        <f>$H74*노선구성!$F19/1000000</f>
        <v>0</v>
      </c>
      <c r="S74" s="139">
        <f>$H74*노선구성!$F19/1000000</f>
        <v>0</v>
      </c>
      <c r="T74" s="139">
        <f>$H74*노선구성!$F19/1000000</f>
        <v>0</v>
      </c>
      <c r="U74" s="139">
        <f>$H74*노선구성!$F19/1000000</f>
        <v>0</v>
      </c>
      <c r="V74" s="139">
        <f>$H74*노선구성!$F19/1000000</f>
        <v>0</v>
      </c>
      <c r="W74" s="139">
        <f>$H74*노선구성!F19/1000000</f>
        <v>0</v>
      </c>
      <c r="X74" s="238">
        <f>$H74*노선구성!$G19/1000000</f>
        <v>1.5646980000000001</v>
      </c>
      <c r="Y74" s="238">
        <f>$H74*노선구성!$G19/1000000</f>
        <v>1.5646980000000001</v>
      </c>
      <c r="Z74" s="238">
        <f>$H74*노선구성!$G19/1000000</f>
        <v>1.5646980000000001</v>
      </c>
      <c r="AA74" s="238">
        <f>$H74*노선구성!$G19/1000000</f>
        <v>1.5646980000000001</v>
      </c>
      <c r="AB74" s="238">
        <f>$H74*노선구성!$G19/1000000</f>
        <v>1.5646980000000001</v>
      </c>
      <c r="AC74" s="238">
        <f>$H74*노선구성!$G19/1000000</f>
        <v>1.5646980000000001</v>
      </c>
      <c r="AD74" s="238">
        <f>$H74*노선구성!$G19/1000000</f>
        <v>1.5646980000000001</v>
      </c>
      <c r="AE74" s="238">
        <f>$H74*노선구성!$G19/1000000</f>
        <v>1.5646980000000001</v>
      </c>
      <c r="AF74" s="238">
        <f>$H74*노선구성!$G19/1000000</f>
        <v>1.5646980000000001</v>
      </c>
      <c r="AG74" s="238">
        <f>$H74*노선구성!$G19/1000000</f>
        <v>1.5646980000000001</v>
      </c>
      <c r="AH74" s="238">
        <f>$H74*노선구성!$G19/1000000</f>
        <v>1.5646980000000001</v>
      </c>
      <c r="AI74" s="238">
        <f>$H74*노선구성!$G19/1000000</f>
        <v>1.5646980000000001</v>
      </c>
      <c r="AJ74" s="238">
        <f>$H74*노선구성!$H19/1000000</f>
        <v>1.5646980000000001</v>
      </c>
      <c r="AK74" s="238">
        <f>$H74*노선구성!$H19/1000000</f>
        <v>1.5646980000000001</v>
      </c>
      <c r="AL74" s="238">
        <f>$H74*노선구성!$H19/1000000</f>
        <v>1.5646980000000001</v>
      </c>
      <c r="AM74" s="238">
        <f>$H74*노선구성!$H19/1000000</f>
        <v>1.5646980000000001</v>
      </c>
      <c r="AN74" s="238">
        <f>$H74*노선구성!$H19/1000000</f>
        <v>1.5646980000000001</v>
      </c>
      <c r="AO74" s="238">
        <f>$H74*노선구성!$H19/1000000</f>
        <v>1.5646980000000001</v>
      </c>
      <c r="AP74" s="238">
        <f>$H74*노선구성!$H19/1000000</f>
        <v>1.5646980000000001</v>
      </c>
      <c r="AQ74" s="238">
        <f>$H74*노선구성!$H19/1000000</f>
        <v>1.5646980000000001</v>
      </c>
      <c r="AR74" s="238">
        <f>$H74*노선구성!$H19/1000000</f>
        <v>1.5646980000000001</v>
      </c>
      <c r="AS74" s="238">
        <f>$H74*노선구성!$H19/1000000</f>
        <v>1.5646980000000001</v>
      </c>
      <c r="AT74" s="238">
        <f>$H74*노선구성!$H19/1000000</f>
        <v>1.5646980000000001</v>
      </c>
      <c r="AU74" s="238">
        <f>$H74*노선구성!$H19/1000000</f>
        <v>1.5646980000000001</v>
      </c>
      <c r="AV74" s="238">
        <f>$H74*노선구성!$I19/1000000</f>
        <v>1.5646980000000001</v>
      </c>
      <c r="AW74" s="238">
        <f>$H74*노선구성!$I19/1000000</f>
        <v>1.5646980000000001</v>
      </c>
      <c r="AX74" s="238">
        <f>$H74*노선구성!$I19/1000000</f>
        <v>1.5646980000000001</v>
      </c>
      <c r="AY74" s="238">
        <f>$H74*노선구성!$I19/1000000</f>
        <v>1.5646980000000001</v>
      </c>
      <c r="AZ74" s="238">
        <f>$H74*노선구성!$I19/1000000</f>
        <v>1.5646980000000001</v>
      </c>
      <c r="BA74" s="238">
        <f>$H74*노선구성!$I19/1000000</f>
        <v>1.5646980000000001</v>
      </c>
      <c r="BB74" s="238">
        <f>$H74*노선구성!$I19/1000000</f>
        <v>1.5646980000000001</v>
      </c>
      <c r="BC74" s="238">
        <f>$H74*노선구성!$I19/1000000</f>
        <v>1.5646980000000001</v>
      </c>
      <c r="BD74" s="238">
        <f>$H74*노선구성!$I19/1000000</f>
        <v>1.5646980000000001</v>
      </c>
      <c r="BE74" s="238">
        <f>$H74*노선구성!$I19/1000000</f>
        <v>1.5646980000000001</v>
      </c>
      <c r="BF74" s="238">
        <f>$H74*노선구성!$I19/1000000</f>
        <v>1.5646980000000001</v>
      </c>
      <c r="BG74" s="238">
        <f>$H74*노선구성!$I19/1000000</f>
        <v>1.5646980000000001</v>
      </c>
      <c r="BH74" s="238">
        <f>$H74*노선구성!$J19/1000000</f>
        <v>1.5646980000000001</v>
      </c>
      <c r="BI74" s="238">
        <f>$H74*노선구성!$J19/1000000</f>
        <v>1.5646980000000001</v>
      </c>
      <c r="BJ74" s="238">
        <f>$H74*노선구성!$J19/1000000</f>
        <v>1.5646980000000001</v>
      </c>
      <c r="BK74" s="238">
        <f>$H74*노선구성!$J19/1000000</f>
        <v>1.5646980000000001</v>
      </c>
      <c r="BL74" s="238">
        <f>$H74*노선구성!$J19/1000000</f>
        <v>1.5646980000000001</v>
      </c>
      <c r="BM74" s="238">
        <f>$H74*노선구성!$J19/1000000</f>
        <v>1.5646980000000001</v>
      </c>
      <c r="BN74" s="238">
        <f>$H74*노선구성!$J19/1000000</f>
        <v>1.5646980000000001</v>
      </c>
      <c r="BO74" s="238">
        <f>$H74*노선구성!$J19/1000000</f>
        <v>1.5646980000000001</v>
      </c>
      <c r="BP74" s="238">
        <f>$H74*노선구성!$J19/1000000</f>
        <v>1.5646980000000001</v>
      </c>
      <c r="BQ74" s="238">
        <f>$H74*노선구성!$J19/1000000</f>
        <v>1.5646980000000001</v>
      </c>
      <c r="BR74" s="238">
        <f>$H74*노선구성!$J19/1000000</f>
        <v>1.5646980000000001</v>
      </c>
      <c r="BS74" s="238">
        <f>$H74*노선구성!$J19/1000000</f>
        <v>1.5646980000000001</v>
      </c>
      <c r="BU74" s="139">
        <f t="shared" si="76"/>
        <v>0</v>
      </c>
      <c r="BV74" s="139">
        <f t="shared" si="77"/>
        <v>18.776376000000003</v>
      </c>
      <c r="BW74" s="139">
        <f t="shared" si="78"/>
        <v>18.776376000000003</v>
      </c>
      <c r="BX74" s="139">
        <f t="shared" si="79"/>
        <v>18.776376000000003</v>
      </c>
      <c r="BY74" s="139">
        <f t="shared" si="80"/>
        <v>18.776376000000003</v>
      </c>
    </row>
    <row r="75" spans="3:77" outlineLevel="1">
      <c r="C75" s="155"/>
      <c r="D75" s="139" t="s">
        <v>171</v>
      </c>
      <c r="F75" s="139" t="s">
        <v>582</v>
      </c>
      <c r="H75" s="139">
        <f>760311/12</f>
        <v>63359.25</v>
      </c>
      <c r="I75" s="139" t="s">
        <v>581</v>
      </c>
      <c r="L75" s="139">
        <f>$H75*노선구성!$F20/1000000</f>
        <v>0</v>
      </c>
      <c r="M75" s="139">
        <f>$H75*노선구성!$F20/1000000</f>
        <v>0</v>
      </c>
      <c r="N75" s="139">
        <f>$H75*노선구성!$F20/1000000</f>
        <v>0</v>
      </c>
      <c r="O75" s="139">
        <f>$H75*노선구성!$F20/1000000</f>
        <v>0</v>
      </c>
      <c r="P75" s="139">
        <f>$H75*노선구성!$F20/1000000</f>
        <v>0</v>
      </c>
      <c r="Q75" s="139">
        <f>$H75*노선구성!$F20/1000000</f>
        <v>0</v>
      </c>
      <c r="R75" s="139">
        <f>$H75*노선구성!$F20/1000000</f>
        <v>0</v>
      </c>
      <c r="S75" s="139">
        <f>$H75*노선구성!$F20/1000000</f>
        <v>0</v>
      </c>
      <c r="T75" s="139">
        <f>$H75*노선구성!$F20/1000000</f>
        <v>0</v>
      </c>
      <c r="U75" s="139">
        <f>$H75*노선구성!$F20/1000000</f>
        <v>0</v>
      </c>
      <c r="V75" s="139">
        <f>$H75*노선구성!$F20/1000000</f>
        <v>0</v>
      </c>
      <c r="W75" s="139">
        <f>$H75*노선구성!$F20/1000000</f>
        <v>0</v>
      </c>
      <c r="X75" s="238">
        <f>$H75*노선구성!$G20/1000000</f>
        <v>1.267185</v>
      </c>
      <c r="Y75" s="238">
        <f>$H75*노선구성!$G20/1000000</f>
        <v>1.267185</v>
      </c>
      <c r="Z75" s="238">
        <f>$H75*노선구성!$G20/1000000</f>
        <v>1.267185</v>
      </c>
      <c r="AA75" s="238">
        <f>$H75*노선구성!$G20/1000000</f>
        <v>1.267185</v>
      </c>
      <c r="AB75" s="238">
        <f>$H75*노선구성!$G20/1000000</f>
        <v>1.267185</v>
      </c>
      <c r="AC75" s="238">
        <f>$H75*노선구성!$G20/1000000</f>
        <v>1.267185</v>
      </c>
      <c r="AD75" s="238">
        <f>$H75*노선구성!$G20/1000000</f>
        <v>1.267185</v>
      </c>
      <c r="AE75" s="238">
        <f>$H75*노선구성!$G20/1000000</f>
        <v>1.267185</v>
      </c>
      <c r="AF75" s="238">
        <f>$H75*노선구성!$G20/1000000</f>
        <v>1.267185</v>
      </c>
      <c r="AG75" s="238">
        <f>$H75*노선구성!$G20/1000000</f>
        <v>1.267185</v>
      </c>
      <c r="AH75" s="238">
        <f>$H75*노선구성!$G20/1000000</f>
        <v>1.267185</v>
      </c>
      <c r="AI75" s="238">
        <f>$H75*노선구성!$G20/1000000</f>
        <v>1.267185</v>
      </c>
      <c r="AJ75" s="238">
        <f>$H75*노선구성!$H20/1000000</f>
        <v>1.267185</v>
      </c>
      <c r="AK75" s="238">
        <f>$H75*노선구성!$H20/1000000</f>
        <v>1.267185</v>
      </c>
      <c r="AL75" s="238">
        <f>$H75*노선구성!$H20/1000000</f>
        <v>1.267185</v>
      </c>
      <c r="AM75" s="238">
        <f>$H75*노선구성!$H20/1000000</f>
        <v>1.267185</v>
      </c>
      <c r="AN75" s="238">
        <f>$H75*노선구성!$H20/1000000</f>
        <v>1.267185</v>
      </c>
      <c r="AO75" s="238">
        <f>$H75*노선구성!$H20/1000000</f>
        <v>1.267185</v>
      </c>
      <c r="AP75" s="238">
        <f>$H75*노선구성!$H20/1000000</f>
        <v>1.267185</v>
      </c>
      <c r="AQ75" s="238">
        <f>$H75*노선구성!$H20/1000000</f>
        <v>1.267185</v>
      </c>
      <c r="AR75" s="238">
        <f>$H75*노선구성!$H20/1000000</f>
        <v>1.267185</v>
      </c>
      <c r="AS75" s="238">
        <f>$H75*노선구성!$H20/1000000</f>
        <v>1.267185</v>
      </c>
      <c r="AT75" s="238">
        <f>$H75*노선구성!$H20/1000000</f>
        <v>1.267185</v>
      </c>
      <c r="AU75" s="238">
        <f>$H75*노선구성!$H20/1000000</f>
        <v>1.267185</v>
      </c>
      <c r="AV75" s="238">
        <f>$H75*노선구성!$I20/1000000</f>
        <v>1.267185</v>
      </c>
      <c r="AW75" s="238">
        <f>$H75*노선구성!$I20/1000000</f>
        <v>1.267185</v>
      </c>
      <c r="AX75" s="238">
        <f>$H75*노선구성!$I20/1000000</f>
        <v>1.267185</v>
      </c>
      <c r="AY75" s="238">
        <f>$H75*노선구성!$I20/1000000</f>
        <v>1.267185</v>
      </c>
      <c r="AZ75" s="238">
        <f>$H75*노선구성!$I20/1000000</f>
        <v>1.267185</v>
      </c>
      <c r="BA75" s="238">
        <f>$H75*노선구성!$I20/1000000</f>
        <v>1.267185</v>
      </c>
      <c r="BB75" s="238">
        <f>$H75*노선구성!$I20/1000000</f>
        <v>1.267185</v>
      </c>
      <c r="BC75" s="238">
        <f>$H75*노선구성!$I20/1000000</f>
        <v>1.267185</v>
      </c>
      <c r="BD75" s="238">
        <f>$H75*노선구성!$I20/1000000</f>
        <v>1.267185</v>
      </c>
      <c r="BE75" s="238">
        <f>$H75*노선구성!$I20/1000000</f>
        <v>1.267185</v>
      </c>
      <c r="BF75" s="238">
        <f>$H75*노선구성!$I20/1000000</f>
        <v>1.267185</v>
      </c>
      <c r="BG75" s="238">
        <f>$H75*노선구성!$I20/1000000</f>
        <v>1.267185</v>
      </c>
      <c r="BH75" s="238">
        <f>$H75*노선구성!$J20/1000000</f>
        <v>1.267185</v>
      </c>
      <c r="BI75" s="238">
        <f>$H75*노선구성!$J20/1000000</f>
        <v>1.267185</v>
      </c>
      <c r="BJ75" s="238">
        <f>$H75*노선구성!$J20/1000000</f>
        <v>1.267185</v>
      </c>
      <c r="BK75" s="238">
        <f>$H75*노선구성!$J20/1000000</f>
        <v>1.267185</v>
      </c>
      <c r="BL75" s="238">
        <f>$H75*노선구성!$J20/1000000</f>
        <v>1.267185</v>
      </c>
      <c r="BM75" s="238">
        <f>$H75*노선구성!$J20/1000000</f>
        <v>1.267185</v>
      </c>
      <c r="BN75" s="238">
        <f>$H75*노선구성!$J20/1000000</f>
        <v>1.267185</v>
      </c>
      <c r="BO75" s="238">
        <f>$H75*노선구성!$J20/1000000</f>
        <v>1.267185</v>
      </c>
      <c r="BP75" s="238">
        <f>$H75*노선구성!$J20/1000000</f>
        <v>1.267185</v>
      </c>
      <c r="BQ75" s="238">
        <f>$H75*노선구성!$J20/1000000</f>
        <v>1.267185</v>
      </c>
      <c r="BR75" s="238">
        <f>$H75*노선구성!$J20/1000000</f>
        <v>1.267185</v>
      </c>
      <c r="BS75" s="238">
        <f>$H75*노선구성!$J20/1000000</f>
        <v>1.267185</v>
      </c>
      <c r="BU75" s="139">
        <f t="shared" si="76"/>
        <v>0</v>
      </c>
      <c r="BV75" s="139">
        <f t="shared" si="77"/>
        <v>15.206219999999997</v>
      </c>
      <c r="BW75" s="139">
        <f t="shared" si="78"/>
        <v>15.206219999999997</v>
      </c>
      <c r="BX75" s="139">
        <f t="shared" si="79"/>
        <v>15.206219999999997</v>
      </c>
      <c r="BY75" s="139">
        <f t="shared" si="80"/>
        <v>15.206219999999997</v>
      </c>
    </row>
    <row r="76" spans="3:77" outlineLevel="1">
      <c r="C76" s="155"/>
      <c r="D76" s="139" t="s">
        <v>172</v>
      </c>
      <c r="F76" s="139" t="s">
        <v>582</v>
      </c>
      <c r="H76" s="139">
        <f>760311/12</f>
        <v>63359.25</v>
      </c>
      <c r="I76" s="139" t="s">
        <v>581</v>
      </c>
      <c r="L76" s="139">
        <f>$H76*노선구성!$F21/1000000</f>
        <v>0</v>
      </c>
      <c r="M76" s="139">
        <f>$H76*노선구성!$F21/1000000</f>
        <v>0</v>
      </c>
      <c r="N76" s="139">
        <f>$H76*노선구성!$F21/1000000</f>
        <v>0</v>
      </c>
      <c r="O76" s="139">
        <f>$H76*노선구성!$F21/1000000</f>
        <v>0</v>
      </c>
      <c r="P76" s="139">
        <f>$H76*노선구성!$F21/1000000</f>
        <v>0</v>
      </c>
      <c r="Q76" s="139">
        <f>$H76*노선구성!$F21/1000000</f>
        <v>0</v>
      </c>
      <c r="R76" s="139">
        <f>$H76*노선구성!$F21/1000000</f>
        <v>0</v>
      </c>
      <c r="S76" s="139">
        <f>$H76*노선구성!$F21/1000000</f>
        <v>0</v>
      </c>
      <c r="T76" s="139">
        <f>$H76*노선구성!$F21/1000000</f>
        <v>0</v>
      </c>
      <c r="U76" s="139">
        <f>$H76*노선구성!$F21/1000000</f>
        <v>0</v>
      </c>
      <c r="V76" s="139">
        <f>$H76*노선구성!$F21/1000000</f>
        <v>0</v>
      </c>
      <c r="W76" s="139">
        <f>$H76*노선구성!$F21/1000000</f>
        <v>0</v>
      </c>
      <c r="X76" s="238">
        <f>$H76*노선구성!$G21/1000000</f>
        <v>1.267185</v>
      </c>
      <c r="Y76" s="238">
        <f>$H76*노선구성!$G21/1000000</f>
        <v>1.267185</v>
      </c>
      <c r="Z76" s="238">
        <f>$H76*노선구성!$G21/1000000</f>
        <v>1.267185</v>
      </c>
      <c r="AA76" s="238">
        <f>$H76*노선구성!$G21/1000000</f>
        <v>1.267185</v>
      </c>
      <c r="AB76" s="238">
        <f>$H76*노선구성!$G21/1000000</f>
        <v>1.267185</v>
      </c>
      <c r="AC76" s="238">
        <f>$H76*노선구성!$G21/1000000</f>
        <v>1.267185</v>
      </c>
      <c r="AD76" s="238">
        <f>$H76*노선구성!$G21/1000000</f>
        <v>1.267185</v>
      </c>
      <c r="AE76" s="238">
        <f>$H76*노선구성!$G21/1000000</f>
        <v>1.267185</v>
      </c>
      <c r="AF76" s="238">
        <f>$H76*노선구성!$G21/1000000</f>
        <v>1.267185</v>
      </c>
      <c r="AG76" s="238">
        <f>$H76*노선구성!$G21/1000000</f>
        <v>1.267185</v>
      </c>
      <c r="AH76" s="238">
        <f>$H76*노선구성!$G21/1000000</f>
        <v>1.267185</v>
      </c>
      <c r="AI76" s="238">
        <f>$H76*노선구성!$G21/1000000</f>
        <v>1.267185</v>
      </c>
      <c r="AJ76" s="238">
        <f>$H76*노선구성!$H21/1000000</f>
        <v>1.267185</v>
      </c>
      <c r="AK76" s="238">
        <f>$H76*노선구성!$H21/1000000</f>
        <v>1.267185</v>
      </c>
      <c r="AL76" s="238">
        <f>$H76*노선구성!$H21/1000000</f>
        <v>1.267185</v>
      </c>
      <c r="AM76" s="238">
        <f>$H76*노선구성!$H21/1000000</f>
        <v>1.267185</v>
      </c>
      <c r="AN76" s="238">
        <f>$H76*노선구성!$H21/1000000</f>
        <v>1.267185</v>
      </c>
      <c r="AO76" s="238">
        <f>$H76*노선구성!$H21/1000000</f>
        <v>1.267185</v>
      </c>
      <c r="AP76" s="238">
        <f>$H76*노선구성!$H21/1000000</f>
        <v>1.267185</v>
      </c>
      <c r="AQ76" s="238">
        <f>$H76*노선구성!$H21/1000000</f>
        <v>1.267185</v>
      </c>
      <c r="AR76" s="238">
        <f>$H76*노선구성!$H21/1000000</f>
        <v>1.267185</v>
      </c>
      <c r="AS76" s="238">
        <f>$H76*노선구성!$H21/1000000</f>
        <v>1.267185</v>
      </c>
      <c r="AT76" s="238">
        <f>$H76*노선구성!$H21/1000000</f>
        <v>1.267185</v>
      </c>
      <c r="AU76" s="238">
        <f>$H76*노선구성!$H21/1000000</f>
        <v>1.267185</v>
      </c>
      <c r="AV76" s="238">
        <f>$H76*노선구성!$I21/1000000</f>
        <v>1.267185</v>
      </c>
      <c r="AW76" s="238">
        <f>$H76*노선구성!$I21/1000000</f>
        <v>1.267185</v>
      </c>
      <c r="AX76" s="238">
        <f>$H76*노선구성!$I21/1000000</f>
        <v>1.267185</v>
      </c>
      <c r="AY76" s="238">
        <f>$H76*노선구성!$I21/1000000</f>
        <v>1.267185</v>
      </c>
      <c r="AZ76" s="238">
        <f>$H76*노선구성!$I21/1000000</f>
        <v>1.267185</v>
      </c>
      <c r="BA76" s="238">
        <f>$H76*노선구성!$I21/1000000</f>
        <v>1.267185</v>
      </c>
      <c r="BB76" s="238">
        <f>$H76*노선구성!$I21/1000000</f>
        <v>1.267185</v>
      </c>
      <c r="BC76" s="238">
        <f>$H76*노선구성!$I21/1000000</f>
        <v>1.267185</v>
      </c>
      <c r="BD76" s="238">
        <f>$H76*노선구성!$I21/1000000</f>
        <v>1.267185</v>
      </c>
      <c r="BE76" s="238">
        <f>$H76*노선구성!$I21/1000000</f>
        <v>1.267185</v>
      </c>
      <c r="BF76" s="238">
        <f>$H76*노선구성!$I21/1000000</f>
        <v>1.267185</v>
      </c>
      <c r="BG76" s="238">
        <f>$H76*노선구성!$I21/1000000</f>
        <v>1.267185</v>
      </c>
      <c r="BH76" s="238">
        <f>$H76*노선구성!$J21/1000000</f>
        <v>1.267185</v>
      </c>
      <c r="BI76" s="238">
        <f>$H76*노선구성!$J21/1000000</f>
        <v>1.267185</v>
      </c>
      <c r="BJ76" s="238">
        <f>$H76*노선구성!$J21/1000000</f>
        <v>1.267185</v>
      </c>
      <c r="BK76" s="238">
        <f>$H76*노선구성!$J21/1000000</f>
        <v>1.267185</v>
      </c>
      <c r="BL76" s="238">
        <f>$H76*노선구성!$J21/1000000</f>
        <v>1.267185</v>
      </c>
      <c r="BM76" s="238">
        <f>$H76*노선구성!$J21/1000000</f>
        <v>1.267185</v>
      </c>
      <c r="BN76" s="238">
        <f>$H76*노선구성!$J21/1000000</f>
        <v>1.267185</v>
      </c>
      <c r="BO76" s="238">
        <f>$H76*노선구성!$J21/1000000</f>
        <v>1.267185</v>
      </c>
      <c r="BP76" s="238">
        <f>$H76*노선구성!$J21/1000000</f>
        <v>1.267185</v>
      </c>
      <c r="BQ76" s="238">
        <f>$H76*노선구성!$J21/1000000</f>
        <v>1.267185</v>
      </c>
      <c r="BR76" s="238">
        <f>$H76*노선구성!$J21/1000000</f>
        <v>1.267185</v>
      </c>
      <c r="BS76" s="238">
        <f>$H76*노선구성!$J21/1000000</f>
        <v>1.267185</v>
      </c>
      <c r="BU76" s="139">
        <f t="shared" si="76"/>
        <v>0</v>
      </c>
      <c r="BV76" s="139">
        <f t="shared" si="77"/>
        <v>15.206219999999997</v>
      </c>
      <c r="BW76" s="139">
        <f t="shared" si="78"/>
        <v>15.206219999999997</v>
      </c>
      <c r="BX76" s="139">
        <f t="shared" si="79"/>
        <v>15.206219999999997</v>
      </c>
      <c r="BY76" s="139">
        <f t="shared" si="80"/>
        <v>15.206219999999997</v>
      </c>
    </row>
    <row r="77" spans="3:77" outlineLevel="1">
      <c r="C77" s="155"/>
      <c r="D77" s="139" t="s">
        <v>173</v>
      </c>
      <c r="F77" s="139" t="s">
        <v>582</v>
      </c>
      <c r="H77" s="139">
        <f>760311/12</f>
        <v>63359.25</v>
      </c>
      <c r="I77" s="139" t="s">
        <v>581</v>
      </c>
      <c r="L77" s="139">
        <f>$H77*노선구성!$F22/1000000</f>
        <v>0</v>
      </c>
      <c r="M77" s="139">
        <f>$H77*노선구성!$F22/1000000</f>
        <v>0</v>
      </c>
      <c r="N77" s="139">
        <f>$H77*노선구성!$F22/1000000</f>
        <v>0</v>
      </c>
      <c r="O77" s="139">
        <f>$H77*노선구성!$F22/1000000</f>
        <v>0</v>
      </c>
      <c r="P77" s="139">
        <f>$H77*노선구성!$F22/1000000</f>
        <v>0</v>
      </c>
      <c r="Q77" s="139">
        <f>$H77*노선구성!$F22/1000000</f>
        <v>0</v>
      </c>
      <c r="R77" s="139">
        <f>$H77*노선구성!$F22/1000000</f>
        <v>0</v>
      </c>
      <c r="S77" s="139">
        <f>$H77*노선구성!$F22/1000000</f>
        <v>0</v>
      </c>
      <c r="T77" s="139">
        <f>$H77*노선구성!$F22/1000000</f>
        <v>0</v>
      </c>
      <c r="U77" s="139">
        <f>$H77*노선구성!$F22/1000000</f>
        <v>0</v>
      </c>
      <c r="V77" s="139">
        <f>$H77*노선구성!$F22/1000000</f>
        <v>0</v>
      </c>
      <c r="W77" s="139">
        <f>$H77*노선구성!$F22/1000000</f>
        <v>0</v>
      </c>
      <c r="X77" s="238">
        <f>$H77*노선구성!$G22/1000000</f>
        <v>1.267185</v>
      </c>
      <c r="Y77" s="238">
        <f>$H77*노선구성!$G22/1000000</f>
        <v>1.267185</v>
      </c>
      <c r="Z77" s="238">
        <f>$H77*노선구성!$G22/1000000</f>
        <v>1.267185</v>
      </c>
      <c r="AA77" s="238">
        <f>$H77*노선구성!$G22/1000000</f>
        <v>1.267185</v>
      </c>
      <c r="AB77" s="238">
        <f>$H77*노선구성!$G22/1000000</f>
        <v>1.267185</v>
      </c>
      <c r="AC77" s="238">
        <f>$H77*노선구성!$G22/1000000</f>
        <v>1.267185</v>
      </c>
      <c r="AD77" s="238">
        <f>$H77*노선구성!$G22/1000000</f>
        <v>1.267185</v>
      </c>
      <c r="AE77" s="238">
        <f>$H77*노선구성!$G22/1000000</f>
        <v>1.267185</v>
      </c>
      <c r="AF77" s="238">
        <f>$H77*노선구성!$G22/1000000</f>
        <v>1.267185</v>
      </c>
      <c r="AG77" s="238">
        <f>$H77*노선구성!$G22/1000000</f>
        <v>1.267185</v>
      </c>
      <c r="AH77" s="238">
        <f>$H77*노선구성!$G22/1000000</f>
        <v>1.267185</v>
      </c>
      <c r="AI77" s="238">
        <f>$H77*노선구성!$G22/1000000</f>
        <v>1.267185</v>
      </c>
      <c r="AJ77" s="238">
        <f>$H77*노선구성!$H22/1000000</f>
        <v>1.267185</v>
      </c>
      <c r="AK77" s="238">
        <f>$H77*노선구성!$H22/1000000</f>
        <v>1.267185</v>
      </c>
      <c r="AL77" s="238">
        <f>$H77*노선구성!$H22/1000000</f>
        <v>1.267185</v>
      </c>
      <c r="AM77" s="238">
        <f>$H77*노선구성!$H22/1000000</f>
        <v>1.267185</v>
      </c>
      <c r="AN77" s="238">
        <f>$H77*노선구성!$H22/1000000</f>
        <v>1.267185</v>
      </c>
      <c r="AO77" s="238">
        <f>$H77*노선구성!$H22/1000000</f>
        <v>1.267185</v>
      </c>
      <c r="AP77" s="238">
        <f>$H77*노선구성!$H22/1000000</f>
        <v>1.267185</v>
      </c>
      <c r="AQ77" s="238">
        <f>$H77*노선구성!$H22/1000000</f>
        <v>1.267185</v>
      </c>
      <c r="AR77" s="238">
        <f>$H77*노선구성!$H22/1000000</f>
        <v>1.267185</v>
      </c>
      <c r="AS77" s="238">
        <f>$H77*노선구성!$H22/1000000</f>
        <v>1.267185</v>
      </c>
      <c r="AT77" s="238">
        <f>$H77*노선구성!$H22/1000000</f>
        <v>1.267185</v>
      </c>
      <c r="AU77" s="238">
        <f>$H77*노선구성!$H22/1000000</f>
        <v>1.267185</v>
      </c>
      <c r="AV77" s="238">
        <f>$H77*노선구성!$I22/1000000</f>
        <v>1.267185</v>
      </c>
      <c r="AW77" s="238">
        <f>$H77*노선구성!$I22/1000000</f>
        <v>1.267185</v>
      </c>
      <c r="AX77" s="238">
        <f>$H77*노선구성!$I22/1000000</f>
        <v>1.267185</v>
      </c>
      <c r="AY77" s="238">
        <f>$H77*노선구성!$I22/1000000</f>
        <v>1.267185</v>
      </c>
      <c r="AZ77" s="238">
        <f>$H77*노선구성!$I22/1000000</f>
        <v>1.267185</v>
      </c>
      <c r="BA77" s="238">
        <f>$H77*노선구성!$I22/1000000</f>
        <v>1.267185</v>
      </c>
      <c r="BB77" s="238">
        <f>$H77*노선구성!$I22/1000000</f>
        <v>1.267185</v>
      </c>
      <c r="BC77" s="238">
        <f>$H77*노선구성!$I22/1000000</f>
        <v>1.267185</v>
      </c>
      <c r="BD77" s="238">
        <f>$H77*노선구성!$I22/1000000</f>
        <v>1.267185</v>
      </c>
      <c r="BE77" s="238">
        <f>$H77*노선구성!$I22/1000000</f>
        <v>1.267185</v>
      </c>
      <c r="BF77" s="238">
        <f>$H77*노선구성!$I22/1000000</f>
        <v>1.267185</v>
      </c>
      <c r="BG77" s="238">
        <f>$H77*노선구성!$I22/1000000</f>
        <v>1.267185</v>
      </c>
      <c r="BH77" s="238">
        <f>$H77*노선구성!$J22/1000000</f>
        <v>1.267185</v>
      </c>
      <c r="BI77" s="238">
        <f>$H77*노선구성!$J22/1000000</f>
        <v>1.267185</v>
      </c>
      <c r="BJ77" s="238">
        <f>$H77*노선구성!$J22/1000000</f>
        <v>1.267185</v>
      </c>
      <c r="BK77" s="238">
        <f>$H77*노선구성!$J22/1000000</f>
        <v>1.267185</v>
      </c>
      <c r="BL77" s="238">
        <f>$H77*노선구성!$J22/1000000</f>
        <v>1.267185</v>
      </c>
      <c r="BM77" s="238">
        <f>$H77*노선구성!$J22/1000000</f>
        <v>1.267185</v>
      </c>
      <c r="BN77" s="238">
        <f>$H77*노선구성!$J22/1000000</f>
        <v>1.267185</v>
      </c>
      <c r="BO77" s="238">
        <f>$H77*노선구성!$J22/1000000</f>
        <v>1.267185</v>
      </c>
      <c r="BP77" s="238">
        <f>$H77*노선구성!$J22/1000000</f>
        <v>1.267185</v>
      </c>
      <c r="BQ77" s="238">
        <f>$H77*노선구성!$J22/1000000</f>
        <v>1.267185</v>
      </c>
      <c r="BR77" s="238">
        <f>$H77*노선구성!$J22/1000000</f>
        <v>1.267185</v>
      </c>
      <c r="BS77" s="238">
        <f>$H77*노선구성!$J22/1000000</f>
        <v>1.267185</v>
      </c>
      <c r="BU77" s="139">
        <f t="shared" si="76"/>
        <v>0</v>
      </c>
      <c r="BV77" s="139">
        <f t="shared" si="77"/>
        <v>15.206219999999997</v>
      </c>
      <c r="BW77" s="139">
        <f t="shared" si="78"/>
        <v>15.206219999999997</v>
      </c>
      <c r="BX77" s="139">
        <f t="shared" si="79"/>
        <v>15.206219999999997</v>
      </c>
      <c r="BY77" s="139">
        <f t="shared" si="80"/>
        <v>15.206219999999997</v>
      </c>
    </row>
    <row r="78" spans="3:77" outlineLevel="1">
      <c r="C78" s="155"/>
      <c r="D78" s="139" t="s">
        <v>174</v>
      </c>
      <c r="F78" s="139" t="s">
        <v>582</v>
      </c>
      <c r="H78" s="139">
        <f>844275.78/12</f>
        <v>70356.315000000002</v>
      </c>
      <c r="I78" s="139" t="s">
        <v>581</v>
      </c>
      <c r="L78" s="139">
        <f>$H78*노선구성!$F23/1000000</f>
        <v>1.4071263000000001</v>
      </c>
      <c r="M78" s="139">
        <f>$H78*노선구성!$F23/1000000</f>
        <v>1.4071263000000001</v>
      </c>
      <c r="N78" s="139">
        <f>$H78*노선구성!$F23/1000000</f>
        <v>1.4071263000000001</v>
      </c>
      <c r="O78" s="139">
        <f>$H78*노선구성!$F23/1000000</f>
        <v>1.4071263000000001</v>
      </c>
      <c r="P78" s="139">
        <f>$H78*노선구성!$F23/1000000</f>
        <v>1.4071263000000001</v>
      </c>
      <c r="Q78" s="139">
        <f>$H78*노선구성!$F23/1000000</f>
        <v>1.4071263000000001</v>
      </c>
      <c r="R78" s="139">
        <f>$H78*노선구성!$F23/1000000</f>
        <v>1.4071263000000001</v>
      </c>
      <c r="S78" s="139">
        <f>$H78*노선구성!$F23/1000000</f>
        <v>1.4071263000000001</v>
      </c>
      <c r="T78" s="139">
        <f>$H78*노선구성!$F23/1000000</f>
        <v>1.4071263000000001</v>
      </c>
      <c r="U78" s="139">
        <f>$H78*노선구성!$F23/1000000</f>
        <v>1.4071263000000001</v>
      </c>
      <c r="V78" s="139">
        <f>$H78*노선구성!$F23/1000000</f>
        <v>1.4071263000000001</v>
      </c>
      <c r="W78" s="139">
        <f>$H78*노선구성!$F23/1000000</f>
        <v>1.4071263000000001</v>
      </c>
      <c r="X78" s="238">
        <f>$H78*노선구성!$G23/1000000</f>
        <v>2.8142526000000001</v>
      </c>
      <c r="Y78" s="238">
        <f>$H78*노선구성!$G23/1000000</f>
        <v>2.8142526000000001</v>
      </c>
      <c r="Z78" s="238">
        <f>$H78*노선구성!$G23/1000000</f>
        <v>2.8142526000000001</v>
      </c>
      <c r="AA78" s="238">
        <f>$H78*노선구성!$G23/1000000</f>
        <v>2.8142526000000001</v>
      </c>
      <c r="AB78" s="238">
        <f>$H78*노선구성!$G23/1000000</f>
        <v>2.8142526000000001</v>
      </c>
      <c r="AC78" s="238">
        <f>$H78*노선구성!$G23/1000000</f>
        <v>2.8142526000000001</v>
      </c>
      <c r="AD78" s="238">
        <f>$H78*노선구성!$G23/1000000</f>
        <v>2.8142526000000001</v>
      </c>
      <c r="AE78" s="238">
        <f>$H78*노선구성!$G23/1000000</f>
        <v>2.8142526000000001</v>
      </c>
      <c r="AF78" s="238">
        <f>$H78*노선구성!$G23/1000000</f>
        <v>2.8142526000000001</v>
      </c>
      <c r="AG78" s="238">
        <f>$H78*노선구성!$G23/1000000</f>
        <v>2.8142526000000001</v>
      </c>
      <c r="AH78" s="238">
        <f>$H78*노선구성!$G23/1000000</f>
        <v>2.8142526000000001</v>
      </c>
      <c r="AI78" s="238">
        <f>$H78*노선구성!$G23/1000000</f>
        <v>2.8142526000000001</v>
      </c>
      <c r="AJ78" s="238">
        <f>$H78*노선구성!$H23/1000000</f>
        <v>4.2213789000000004</v>
      </c>
      <c r="AK78" s="238">
        <f>$H78*노선구성!$H23/1000000</f>
        <v>4.2213789000000004</v>
      </c>
      <c r="AL78" s="238">
        <f>$H78*노선구성!$H23/1000000</f>
        <v>4.2213789000000004</v>
      </c>
      <c r="AM78" s="238">
        <f>$H78*노선구성!$H23/1000000</f>
        <v>4.2213789000000004</v>
      </c>
      <c r="AN78" s="238">
        <f>$H78*노선구성!$H23/1000000</f>
        <v>4.2213789000000004</v>
      </c>
      <c r="AO78" s="238">
        <f>$H78*노선구성!$H23/1000000</f>
        <v>4.2213789000000004</v>
      </c>
      <c r="AP78" s="238">
        <f>$H78*노선구성!$H23/1000000</f>
        <v>4.2213789000000004</v>
      </c>
      <c r="AQ78" s="238">
        <f>$H78*노선구성!$H23/1000000</f>
        <v>4.2213789000000004</v>
      </c>
      <c r="AR78" s="238">
        <f>$H78*노선구성!$H23/1000000</f>
        <v>4.2213789000000004</v>
      </c>
      <c r="AS78" s="238">
        <f>$H78*노선구성!$H23/1000000</f>
        <v>4.2213789000000004</v>
      </c>
      <c r="AT78" s="238">
        <f>$H78*노선구성!$H23/1000000</f>
        <v>4.2213789000000004</v>
      </c>
      <c r="AU78" s="238">
        <f>$H78*노선구성!$H23/1000000</f>
        <v>4.2213789000000004</v>
      </c>
      <c r="AV78" s="238">
        <f>$H78*노선구성!$I23/1000000</f>
        <v>4.2213789000000004</v>
      </c>
      <c r="AW78" s="238">
        <f>$H78*노선구성!$I23/1000000</f>
        <v>4.2213789000000004</v>
      </c>
      <c r="AX78" s="238">
        <f>$H78*노선구성!$I23/1000000</f>
        <v>4.2213789000000004</v>
      </c>
      <c r="AY78" s="238">
        <f>$H78*노선구성!$I23/1000000</f>
        <v>4.2213789000000004</v>
      </c>
      <c r="AZ78" s="238">
        <f>$H78*노선구성!$I23/1000000</f>
        <v>4.2213789000000004</v>
      </c>
      <c r="BA78" s="238">
        <f>$H78*노선구성!$I23/1000000</f>
        <v>4.2213789000000004</v>
      </c>
      <c r="BB78" s="238">
        <f>$H78*노선구성!$I23/1000000</f>
        <v>4.2213789000000004</v>
      </c>
      <c r="BC78" s="238">
        <f>$H78*노선구성!$I23/1000000</f>
        <v>4.2213789000000004</v>
      </c>
      <c r="BD78" s="238">
        <f>$H78*노선구성!$I23/1000000</f>
        <v>4.2213789000000004</v>
      </c>
      <c r="BE78" s="238">
        <f>$H78*노선구성!$I23/1000000</f>
        <v>4.2213789000000004</v>
      </c>
      <c r="BF78" s="238">
        <f>$H78*노선구성!$I23/1000000</f>
        <v>4.2213789000000004</v>
      </c>
      <c r="BG78" s="238">
        <f>$H78*노선구성!$I23/1000000</f>
        <v>4.2213789000000004</v>
      </c>
      <c r="BH78" s="238">
        <f>$H78*노선구성!$J23/1000000</f>
        <v>4.2213789000000004</v>
      </c>
      <c r="BI78" s="238">
        <f>$H78*노선구성!$J23/1000000</f>
        <v>4.2213789000000004</v>
      </c>
      <c r="BJ78" s="238">
        <f>$H78*노선구성!$J23/1000000</f>
        <v>4.2213789000000004</v>
      </c>
      <c r="BK78" s="238">
        <f>$H78*노선구성!$J23/1000000</f>
        <v>4.2213789000000004</v>
      </c>
      <c r="BL78" s="238">
        <f>$H78*노선구성!$J23/1000000</f>
        <v>4.2213789000000004</v>
      </c>
      <c r="BM78" s="238">
        <f>$H78*노선구성!$J23/1000000</f>
        <v>4.2213789000000004</v>
      </c>
      <c r="BN78" s="238">
        <f>$H78*노선구성!$J23/1000000</f>
        <v>4.2213789000000004</v>
      </c>
      <c r="BO78" s="238">
        <f>$H78*노선구성!$J23/1000000</f>
        <v>4.2213789000000004</v>
      </c>
      <c r="BP78" s="238">
        <f>$H78*노선구성!$J23/1000000</f>
        <v>4.2213789000000004</v>
      </c>
      <c r="BQ78" s="238">
        <f>$H78*노선구성!$J23/1000000</f>
        <v>4.2213789000000004</v>
      </c>
      <c r="BR78" s="238">
        <f>$H78*노선구성!$J23/1000000</f>
        <v>4.2213789000000004</v>
      </c>
      <c r="BS78" s="238">
        <f>$H78*노선구성!$J23/1000000</f>
        <v>4.2213789000000004</v>
      </c>
      <c r="BU78" s="139">
        <f t="shared" si="76"/>
        <v>16.885515600000002</v>
      </c>
      <c r="BV78" s="139">
        <f t="shared" si="77"/>
        <v>33.771031200000003</v>
      </c>
      <c r="BW78" s="139">
        <f t="shared" si="78"/>
        <v>50.656546799999994</v>
      </c>
      <c r="BX78" s="139">
        <f t="shared" si="79"/>
        <v>50.656546799999994</v>
      </c>
      <c r="BY78" s="139">
        <f t="shared" si="80"/>
        <v>50.656546799999994</v>
      </c>
    </row>
    <row r="79" spans="3:77" outlineLevel="1">
      <c r="C79" s="155"/>
      <c r="D79" s="139" t="s">
        <v>175</v>
      </c>
      <c r="F79" s="139" t="s">
        <v>582</v>
      </c>
      <c r="H79" s="362">
        <f>152062.2/12</f>
        <v>12671.85</v>
      </c>
      <c r="I79" s="139" t="s">
        <v>581</v>
      </c>
      <c r="J79" s="311">
        <v>3.6114999999999999</v>
      </c>
      <c r="L79" s="139">
        <f>$J79*L$5</f>
        <v>0</v>
      </c>
      <c r="M79" s="139">
        <f t="shared" ref="M79:BS80" si="84">$J79*M$5</f>
        <v>0</v>
      </c>
      <c r="N79" s="139">
        <f t="shared" si="84"/>
        <v>0</v>
      </c>
      <c r="O79" s="139">
        <f t="shared" si="84"/>
        <v>0</v>
      </c>
      <c r="P79" s="139">
        <f t="shared" si="84"/>
        <v>0</v>
      </c>
      <c r="Q79" s="139">
        <f t="shared" si="84"/>
        <v>0</v>
      </c>
      <c r="R79" s="139">
        <f t="shared" si="84"/>
        <v>14.446</v>
      </c>
      <c r="S79" s="139">
        <f t="shared" si="84"/>
        <v>14.446</v>
      </c>
      <c r="T79" s="139">
        <f t="shared" si="84"/>
        <v>14.446</v>
      </c>
      <c r="U79" s="139">
        <f t="shared" si="84"/>
        <v>14.446</v>
      </c>
      <c r="V79" s="139">
        <f t="shared" si="84"/>
        <v>14.446</v>
      </c>
      <c r="W79" s="139">
        <f t="shared" si="84"/>
        <v>14.446</v>
      </c>
      <c r="X79" s="139">
        <f t="shared" si="84"/>
        <v>18.057500000000001</v>
      </c>
      <c r="Y79" s="139">
        <f t="shared" si="84"/>
        <v>18.057500000000001</v>
      </c>
      <c r="Z79" s="139">
        <f t="shared" si="84"/>
        <v>18.057500000000001</v>
      </c>
      <c r="AA79" s="139">
        <f t="shared" si="84"/>
        <v>18.057500000000001</v>
      </c>
      <c r="AB79" s="139">
        <f t="shared" si="84"/>
        <v>18.057500000000001</v>
      </c>
      <c r="AC79" s="139">
        <f t="shared" si="84"/>
        <v>18.057500000000001</v>
      </c>
      <c r="AD79" s="139">
        <f t="shared" si="84"/>
        <v>21.669</v>
      </c>
      <c r="AE79" s="139">
        <f t="shared" si="84"/>
        <v>21.669</v>
      </c>
      <c r="AF79" s="139">
        <f t="shared" si="84"/>
        <v>21.669</v>
      </c>
      <c r="AG79" s="139">
        <f t="shared" si="84"/>
        <v>21.669</v>
      </c>
      <c r="AH79" s="139">
        <f t="shared" si="84"/>
        <v>21.669</v>
      </c>
      <c r="AI79" s="139">
        <f t="shared" si="84"/>
        <v>21.669</v>
      </c>
      <c r="AJ79" s="139">
        <f t="shared" si="84"/>
        <v>25.2805</v>
      </c>
      <c r="AK79" s="139">
        <f t="shared" si="84"/>
        <v>25.2805</v>
      </c>
      <c r="AL79" s="139">
        <f t="shared" si="84"/>
        <v>25.2805</v>
      </c>
      <c r="AM79" s="139">
        <f t="shared" si="84"/>
        <v>25.2805</v>
      </c>
      <c r="AN79" s="139">
        <f t="shared" si="84"/>
        <v>25.2805</v>
      </c>
      <c r="AO79" s="139">
        <f t="shared" si="84"/>
        <v>25.2805</v>
      </c>
      <c r="AP79" s="139">
        <f t="shared" si="84"/>
        <v>28.891999999999999</v>
      </c>
      <c r="AQ79" s="139">
        <f t="shared" si="84"/>
        <v>28.891999999999999</v>
      </c>
      <c r="AR79" s="139">
        <f t="shared" si="84"/>
        <v>28.891999999999999</v>
      </c>
      <c r="AS79" s="139">
        <f t="shared" si="84"/>
        <v>28.891999999999999</v>
      </c>
      <c r="AT79" s="139">
        <f t="shared" si="84"/>
        <v>28.891999999999999</v>
      </c>
      <c r="AU79" s="139">
        <f t="shared" si="84"/>
        <v>28.891999999999999</v>
      </c>
      <c r="AV79" s="139">
        <f t="shared" si="84"/>
        <v>32.503500000000003</v>
      </c>
      <c r="AW79" s="139">
        <f t="shared" si="84"/>
        <v>32.503500000000003</v>
      </c>
      <c r="AX79" s="139">
        <f t="shared" si="84"/>
        <v>32.503500000000003</v>
      </c>
      <c r="AY79" s="139">
        <f t="shared" si="84"/>
        <v>32.503500000000003</v>
      </c>
      <c r="AZ79" s="139">
        <f t="shared" si="84"/>
        <v>32.503500000000003</v>
      </c>
      <c r="BA79" s="139">
        <f t="shared" si="84"/>
        <v>32.503500000000003</v>
      </c>
      <c r="BB79" s="139">
        <f t="shared" si="84"/>
        <v>36.115000000000002</v>
      </c>
      <c r="BC79" s="139">
        <f t="shared" si="84"/>
        <v>36.115000000000002</v>
      </c>
      <c r="BD79" s="139">
        <f t="shared" si="84"/>
        <v>36.115000000000002</v>
      </c>
      <c r="BE79" s="139">
        <f t="shared" si="84"/>
        <v>36.115000000000002</v>
      </c>
      <c r="BF79" s="139">
        <f t="shared" si="84"/>
        <v>36.115000000000002</v>
      </c>
      <c r="BG79" s="139">
        <f t="shared" si="84"/>
        <v>36.115000000000002</v>
      </c>
      <c r="BH79" s="139">
        <f t="shared" si="84"/>
        <v>36.115000000000002</v>
      </c>
      <c r="BI79" s="139">
        <f t="shared" si="84"/>
        <v>36.115000000000002</v>
      </c>
      <c r="BJ79" s="139">
        <f t="shared" si="84"/>
        <v>36.115000000000002</v>
      </c>
      <c r="BK79" s="139">
        <f t="shared" si="84"/>
        <v>36.115000000000002</v>
      </c>
      <c r="BL79" s="139">
        <f t="shared" si="84"/>
        <v>36.115000000000002</v>
      </c>
      <c r="BM79" s="139">
        <f t="shared" si="84"/>
        <v>36.115000000000002</v>
      </c>
      <c r="BN79" s="139">
        <f t="shared" si="84"/>
        <v>36.115000000000002</v>
      </c>
      <c r="BO79" s="139">
        <f t="shared" si="84"/>
        <v>36.115000000000002</v>
      </c>
      <c r="BP79" s="139">
        <f t="shared" si="84"/>
        <v>36.115000000000002</v>
      </c>
      <c r="BQ79" s="139">
        <f t="shared" si="84"/>
        <v>36.115000000000002</v>
      </c>
      <c r="BR79" s="139">
        <f t="shared" si="84"/>
        <v>36.115000000000002</v>
      </c>
      <c r="BS79" s="139">
        <f t="shared" si="84"/>
        <v>36.115000000000002</v>
      </c>
      <c r="BU79" s="139">
        <f t="shared" si="76"/>
        <v>86.676000000000002</v>
      </c>
      <c r="BV79" s="139">
        <f t="shared" si="77"/>
        <v>238.35900000000007</v>
      </c>
      <c r="BW79" s="139">
        <f t="shared" si="78"/>
        <v>325.03499999999997</v>
      </c>
      <c r="BX79" s="139">
        <f t="shared" si="79"/>
        <v>411.71100000000007</v>
      </c>
      <c r="BY79" s="139">
        <f t="shared" si="80"/>
        <v>433.38000000000005</v>
      </c>
    </row>
    <row r="80" spans="3:77" outlineLevel="1">
      <c r="C80" s="155"/>
      <c r="D80" s="139" t="s">
        <v>176</v>
      </c>
      <c r="F80" s="139" t="s">
        <v>582</v>
      </c>
      <c r="H80" s="362">
        <f>152062.2/12</f>
        <v>12671.85</v>
      </c>
      <c r="I80" s="139" t="s">
        <v>581</v>
      </c>
      <c r="J80" s="363">
        <v>0.25</v>
      </c>
      <c r="L80" s="139">
        <f>$J80*L$5</f>
        <v>0</v>
      </c>
      <c r="M80" s="139">
        <f t="shared" si="84"/>
        <v>0</v>
      </c>
      <c r="N80" s="139">
        <f t="shared" si="84"/>
        <v>0</v>
      </c>
      <c r="O80" s="139">
        <f t="shared" si="84"/>
        <v>0</v>
      </c>
      <c r="P80" s="139">
        <f t="shared" si="84"/>
        <v>0</v>
      </c>
      <c r="Q80" s="139">
        <f t="shared" si="84"/>
        <v>0</v>
      </c>
      <c r="R80" s="139">
        <f t="shared" si="84"/>
        <v>1</v>
      </c>
      <c r="S80" s="139">
        <f t="shared" si="84"/>
        <v>1</v>
      </c>
      <c r="T80" s="139">
        <f t="shared" si="84"/>
        <v>1</v>
      </c>
      <c r="U80" s="139">
        <f t="shared" si="84"/>
        <v>1</v>
      </c>
      <c r="V80" s="139">
        <f t="shared" si="84"/>
        <v>1</v>
      </c>
      <c r="W80" s="139">
        <f t="shared" si="84"/>
        <v>1</v>
      </c>
      <c r="X80" s="139">
        <f t="shared" si="84"/>
        <v>1.25</v>
      </c>
      <c r="Y80" s="139">
        <f t="shared" si="84"/>
        <v>1.25</v>
      </c>
      <c r="Z80" s="139">
        <f t="shared" si="84"/>
        <v>1.25</v>
      </c>
      <c r="AA80" s="139">
        <f t="shared" si="84"/>
        <v>1.25</v>
      </c>
      <c r="AB80" s="139">
        <f t="shared" si="84"/>
        <v>1.25</v>
      </c>
      <c r="AC80" s="139">
        <f t="shared" si="84"/>
        <v>1.25</v>
      </c>
      <c r="AD80" s="139">
        <f t="shared" si="84"/>
        <v>1.5</v>
      </c>
      <c r="AE80" s="139">
        <f t="shared" si="84"/>
        <v>1.5</v>
      </c>
      <c r="AF80" s="139">
        <f t="shared" si="84"/>
        <v>1.5</v>
      </c>
      <c r="AG80" s="139">
        <f t="shared" si="84"/>
        <v>1.5</v>
      </c>
      <c r="AH80" s="139">
        <f t="shared" si="84"/>
        <v>1.5</v>
      </c>
      <c r="AI80" s="139">
        <f t="shared" si="84"/>
        <v>1.5</v>
      </c>
      <c r="AJ80" s="139">
        <f t="shared" si="84"/>
        <v>1.75</v>
      </c>
      <c r="AK80" s="139">
        <f t="shared" si="84"/>
        <v>1.75</v>
      </c>
      <c r="AL80" s="139">
        <f t="shared" si="84"/>
        <v>1.75</v>
      </c>
      <c r="AM80" s="139">
        <f t="shared" si="84"/>
        <v>1.75</v>
      </c>
      <c r="AN80" s="139">
        <f t="shared" si="84"/>
        <v>1.75</v>
      </c>
      <c r="AO80" s="139">
        <f t="shared" si="84"/>
        <v>1.75</v>
      </c>
      <c r="AP80" s="139">
        <f t="shared" si="84"/>
        <v>2</v>
      </c>
      <c r="AQ80" s="139">
        <f t="shared" si="84"/>
        <v>2</v>
      </c>
      <c r="AR80" s="139">
        <f t="shared" si="84"/>
        <v>2</v>
      </c>
      <c r="AS80" s="139">
        <f t="shared" si="84"/>
        <v>2</v>
      </c>
      <c r="AT80" s="139">
        <f t="shared" si="84"/>
        <v>2</v>
      </c>
      <c r="AU80" s="139">
        <f t="shared" si="84"/>
        <v>2</v>
      </c>
      <c r="AV80" s="139">
        <f t="shared" si="84"/>
        <v>2.25</v>
      </c>
      <c r="AW80" s="139">
        <f t="shared" si="84"/>
        <v>2.25</v>
      </c>
      <c r="AX80" s="139">
        <f t="shared" si="84"/>
        <v>2.25</v>
      </c>
      <c r="AY80" s="139">
        <f t="shared" si="84"/>
        <v>2.25</v>
      </c>
      <c r="AZ80" s="139">
        <f t="shared" si="84"/>
        <v>2.25</v>
      </c>
      <c r="BA80" s="139">
        <f t="shared" si="84"/>
        <v>2.25</v>
      </c>
      <c r="BB80" s="139">
        <f t="shared" si="84"/>
        <v>2.5</v>
      </c>
      <c r="BC80" s="139">
        <f t="shared" si="84"/>
        <v>2.5</v>
      </c>
      <c r="BD80" s="139">
        <f t="shared" si="84"/>
        <v>2.5</v>
      </c>
      <c r="BE80" s="139">
        <f t="shared" si="84"/>
        <v>2.5</v>
      </c>
      <c r="BF80" s="139">
        <f t="shared" si="84"/>
        <v>2.5</v>
      </c>
      <c r="BG80" s="139">
        <f t="shared" si="84"/>
        <v>2.5</v>
      </c>
      <c r="BH80" s="139">
        <f t="shared" si="84"/>
        <v>2.5</v>
      </c>
      <c r="BI80" s="139">
        <f t="shared" si="84"/>
        <v>2.5</v>
      </c>
      <c r="BJ80" s="139">
        <f t="shared" si="84"/>
        <v>2.5</v>
      </c>
      <c r="BK80" s="139">
        <f t="shared" si="84"/>
        <v>2.5</v>
      </c>
      <c r="BL80" s="139">
        <f t="shared" si="84"/>
        <v>2.5</v>
      </c>
      <c r="BM80" s="139">
        <f t="shared" si="84"/>
        <v>2.5</v>
      </c>
      <c r="BN80" s="139">
        <f t="shared" si="84"/>
        <v>2.5</v>
      </c>
      <c r="BO80" s="139">
        <f t="shared" si="84"/>
        <v>2.5</v>
      </c>
      <c r="BP80" s="139">
        <f t="shared" si="84"/>
        <v>2.5</v>
      </c>
      <c r="BQ80" s="139">
        <f t="shared" si="84"/>
        <v>2.5</v>
      </c>
      <c r="BR80" s="139">
        <f t="shared" si="84"/>
        <v>2.5</v>
      </c>
      <c r="BS80" s="139">
        <f t="shared" si="84"/>
        <v>2.5</v>
      </c>
      <c r="BU80" s="139">
        <f t="shared" si="76"/>
        <v>6</v>
      </c>
      <c r="BV80" s="139">
        <f t="shared" si="77"/>
        <v>16.5</v>
      </c>
      <c r="BW80" s="139">
        <f t="shared" si="78"/>
        <v>22.5</v>
      </c>
      <c r="BX80" s="139">
        <f t="shared" si="79"/>
        <v>28.5</v>
      </c>
      <c r="BY80" s="139">
        <f t="shared" si="80"/>
        <v>30</v>
      </c>
    </row>
    <row r="81" spans="3:77" outlineLevel="1">
      <c r="C81" s="155"/>
      <c r="D81" s="139" t="s">
        <v>177</v>
      </c>
      <c r="F81" s="139" t="s">
        <v>582</v>
      </c>
      <c r="H81" s="139">
        <f>152062.2/12</f>
        <v>12671.85</v>
      </c>
      <c r="I81" s="139" t="s">
        <v>581</v>
      </c>
      <c r="L81" s="139">
        <f>$H81*노선구성!$F26/1000000</f>
        <v>0.12671850000000001</v>
      </c>
      <c r="M81" s="139">
        <f>$H81*노선구성!$F26/1000000</f>
        <v>0.12671850000000001</v>
      </c>
      <c r="N81" s="139">
        <f>$H81*노선구성!$F26/1000000</f>
        <v>0.12671850000000001</v>
      </c>
      <c r="O81" s="139">
        <f>$H81*노선구성!$F26/1000000</f>
        <v>0.12671850000000001</v>
      </c>
      <c r="P81" s="139">
        <f>$H81*노선구성!$F26/1000000</f>
        <v>0.12671850000000001</v>
      </c>
      <c r="Q81" s="139">
        <f>$H81*노선구성!$F26/1000000</f>
        <v>0.12671850000000001</v>
      </c>
      <c r="R81" s="139">
        <f>$H81*노선구성!$F26/1000000</f>
        <v>0.12671850000000001</v>
      </c>
      <c r="S81" s="139">
        <f>$H81*노선구성!$F26/1000000</f>
        <v>0.12671850000000001</v>
      </c>
      <c r="T81" s="139">
        <f>$H81*노선구성!$F26/1000000</f>
        <v>0.12671850000000001</v>
      </c>
      <c r="U81" s="139">
        <f>$H81*노선구성!$F26/1000000</f>
        <v>0.12671850000000001</v>
      </c>
      <c r="V81" s="139">
        <f>$H81*노선구성!$F26/1000000</f>
        <v>0.12671850000000001</v>
      </c>
      <c r="W81" s="139">
        <f>$H81*노선구성!$F26/1000000</f>
        <v>0.12671850000000001</v>
      </c>
      <c r="X81" s="238">
        <f>$H81*노선구성!$G26/1000000</f>
        <v>0.25343700000000002</v>
      </c>
      <c r="Y81" s="238">
        <f>$H81*노선구성!$G26/1000000</f>
        <v>0.25343700000000002</v>
      </c>
      <c r="Z81" s="238">
        <f>$H81*노선구성!$G26/1000000</f>
        <v>0.25343700000000002</v>
      </c>
      <c r="AA81" s="238">
        <f>$H81*노선구성!$G26/1000000</f>
        <v>0.25343700000000002</v>
      </c>
      <c r="AB81" s="238">
        <f>$H81*노선구성!$G26/1000000</f>
        <v>0.25343700000000002</v>
      </c>
      <c r="AC81" s="238">
        <f>$H81*노선구성!$G26/1000000</f>
        <v>0.25343700000000002</v>
      </c>
      <c r="AD81" s="238">
        <f>$H81*노선구성!$G26/1000000</f>
        <v>0.25343700000000002</v>
      </c>
      <c r="AE81" s="238">
        <f>$H81*노선구성!$G26/1000000</f>
        <v>0.25343700000000002</v>
      </c>
      <c r="AF81" s="238">
        <f>$H81*노선구성!$G26/1000000</f>
        <v>0.25343700000000002</v>
      </c>
      <c r="AG81" s="238">
        <f>$H81*노선구성!$G26/1000000</f>
        <v>0.25343700000000002</v>
      </c>
      <c r="AH81" s="238">
        <f>$H81*노선구성!$G26/1000000</f>
        <v>0.25343700000000002</v>
      </c>
      <c r="AI81" s="238">
        <f>$H81*노선구성!$G26/1000000</f>
        <v>0.25343700000000002</v>
      </c>
      <c r="AJ81" s="238">
        <f>$H81*노선구성!$H26/1000000</f>
        <v>0.38015549999999998</v>
      </c>
      <c r="AK81" s="238">
        <f>$H81*노선구성!$H26/1000000</f>
        <v>0.38015549999999998</v>
      </c>
      <c r="AL81" s="238">
        <f>$H81*노선구성!$H26/1000000</f>
        <v>0.38015549999999998</v>
      </c>
      <c r="AM81" s="238">
        <f>$H81*노선구성!$H26/1000000</f>
        <v>0.38015549999999998</v>
      </c>
      <c r="AN81" s="238">
        <f>$H81*노선구성!$H26/1000000</f>
        <v>0.38015549999999998</v>
      </c>
      <c r="AO81" s="238">
        <f>$H81*노선구성!$H26/1000000</f>
        <v>0.38015549999999998</v>
      </c>
      <c r="AP81" s="238">
        <f>$H81*노선구성!$H26/1000000</f>
        <v>0.38015549999999998</v>
      </c>
      <c r="AQ81" s="238">
        <f>$H81*노선구성!$H26/1000000</f>
        <v>0.38015549999999998</v>
      </c>
      <c r="AR81" s="238">
        <f>$H81*노선구성!$H26/1000000</f>
        <v>0.38015549999999998</v>
      </c>
      <c r="AS81" s="238">
        <f>$H81*노선구성!$H26/1000000</f>
        <v>0.38015549999999998</v>
      </c>
      <c r="AT81" s="238">
        <f>$H81*노선구성!$H26/1000000</f>
        <v>0.38015549999999998</v>
      </c>
      <c r="AU81" s="238">
        <f>$H81*노선구성!$H26/1000000</f>
        <v>0.38015549999999998</v>
      </c>
      <c r="AV81" s="238">
        <f>$H81*노선구성!$I26/1000000</f>
        <v>0.50687400000000005</v>
      </c>
      <c r="AW81" s="238">
        <f>$H81*노선구성!$I26/1000000</f>
        <v>0.50687400000000005</v>
      </c>
      <c r="AX81" s="238">
        <f>$H81*노선구성!$I26/1000000</f>
        <v>0.50687400000000005</v>
      </c>
      <c r="AY81" s="238">
        <f>$H81*노선구성!$I26/1000000</f>
        <v>0.50687400000000005</v>
      </c>
      <c r="AZ81" s="238">
        <f>$H81*노선구성!$I26/1000000</f>
        <v>0.50687400000000005</v>
      </c>
      <c r="BA81" s="238">
        <f>$H81*노선구성!$I26/1000000</f>
        <v>0.50687400000000005</v>
      </c>
      <c r="BB81" s="238">
        <f>$H81*노선구성!$I26/1000000</f>
        <v>0.50687400000000005</v>
      </c>
      <c r="BC81" s="238">
        <f>$H81*노선구성!$I26/1000000</f>
        <v>0.50687400000000005</v>
      </c>
      <c r="BD81" s="238">
        <f>$H81*노선구성!$I26/1000000</f>
        <v>0.50687400000000005</v>
      </c>
      <c r="BE81" s="238">
        <f>$H81*노선구성!$I26/1000000</f>
        <v>0.50687400000000005</v>
      </c>
      <c r="BF81" s="238">
        <f>$H81*노선구성!$I26/1000000</f>
        <v>0.50687400000000005</v>
      </c>
      <c r="BG81" s="238">
        <f>$H81*노선구성!$I26/1000000</f>
        <v>0.50687400000000005</v>
      </c>
      <c r="BH81" s="238">
        <f>$H81*노선구성!$J26/1000000</f>
        <v>0.50687400000000005</v>
      </c>
      <c r="BI81" s="238">
        <f>$H81*노선구성!$J26/1000000</f>
        <v>0.50687400000000005</v>
      </c>
      <c r="BJ81" s="238">
        <f>$H81*노선구성!$J26/1000000</f>
        <v>0.50687400000000005</v>
      </c>
      <c r="BK81" s="238">
        <f>$H81*노선구성!$J26/1000000</f>
        <v>0.50687400000000005</v>
      </c>
      <c r="BL81" s="238">
        <f>$H81*노선구성!$J26/1000000</f>
        <v>0.50687400000000005</v>
      </c>
      <c r="BM81" s="238">
        <f>$H81*노선구성!$J26/1000000</f>
        <v>0.50687400000000005</v>
      </c>
      <c r="BN81" s="238">
        <f>$H81*노선구성!$J26/1000000</f>
        <v>0.50687400000000005</v>
      </c>
      <c r="BO81" s="238">
        <f>$H81*노선구성!$J26/1000000</f>
        <v>0.50687400000000005</v>
      </c>
      <c r="BP81" s="238">
        <f>$H81*노선구성!$J26/1000000</f>
        <v>0.50687400000000005</v>
      </c>
      <c r="BQ81" s="238">
        <f>$H81*노선구성!$J26/1000000</f>
        <v>0.50687400000000005</v>
      </c>
      <c r="BR81" s="238">
        <f>$H81*노선구성!$J26/1000000</f>
        <v>0.50687400000000005</v>
      </c>
      <c r="BS81" s="238">
        <f>$H81*노선구성!$J26/1000000</f>
        <v>0.50687400000000005</v>
      </c>
      <c r="BU81" s="139">
        <f t="shared" si="76"/>
        <v>1.5206219999999997</v>
      </c>
      <c r="BV81" s="139">
        <f t="shared" si="77"/>
        <v>3.0412439999999994</v>
      </c>
      <c r="BW81" s="139">
        <f t="shared" si="78"/>
        <v>4.5618659999999993</v>
      </c>
      <c r="BX81" s="139">
        <f t="shared" si="79"/>
        <v>6.0824879999999988</v>
      </c>
      <c r="BY81" s="139">
        <f t="shared" si="80"/>
        <v>6.0824879999999988</v>
      </c>
    </row>
    <row r="82" spans="3:77" s="155" customFormat="1">
      <c r="C82" s="155" t="s">
        <v>108</v>
      </c>
      <c r="L82" s="155">
        <f t="shared" ref="L82:BR82" si="85">SUBTOTAL(9,L83:L85)</f>
        <v>3.3332999999999999</v>
      </c>
      <c r="M82" s="155">
        <f t="shared" si="85"/>
        <v>3.3332999999999999</v>
      </c>
      <c r="N82" s="155">
        <f t="shared" si="85"/>
        <v>3.3332999999999999</v>
      </c>
      <c r="O82" s="155">
        <f t="shared" si="85"/>
        <v>3.3332999999999999</v>
      </c>
      <c r="P82" s="155">
        <f t="shared" si="85"/>
        <v>3.3332999999999999</v>
      </c>
      <c r="Q82" s="155">
        <f t="shared" si="85"/>
        <v>3.3332999999999999</v>
      </c>
      <c r="R82" s="155">
        <f t="shared" si="85"/>
        <v>68.333299999999994</v>
      </c>
      <c r="S82" s="155">
        <f t="shared" si="85"/>
        <v>68.333299999999994</v>
      </c>
      <c r="T82" s="155">
        <f t="shared" si="85"/>
        <v>68.333299999999994</v>
      </c>
      <c r="U82" s="155">
        <f t="shared" si="85"/>
        <v>68.333299999999994</v>
      </c>
      <c r="V82" s="155">
        <f t="shared" si="85"/>
        <v>68.333299999999994</v>
      </c>
      <c r="W82" s="155">
        <f t="shared" si="85"/>
        <v>68.333299999999994</v>
      </c>
      <c r="X82" s="155">
        <f t="shared" si="85"/>
        <v>81.666633333333337</v>
      </c>
      <c r="Y82" s="155">
        <f t="shared" si="85"/>
        <v>81.666633333333337</v>
      </c>
      <c r="Z82" s="155">
        <f t="shared" si="85"/>
        <v>81.666633333333337</v>
      </c>
      <c r="AA82" s="155">
        <f t="shared" si="85"/>
        <v>81.666633333333337</v>
      </c>
      <c r="AB82" s="155">
        <f t="shared" si="85"/>
        <v>81.666633333333337</v>
      </c>
      <c r="AC82" s="155">
        <f t="shared" si="85"/>
        <v>81.666633333333337</v>
      </c>
      <c r="AD82" s="155">
        <f t="shared" si="85"/>
        <v>106.66663333333334</v>
      </c>
      <c r="AE82" s="155">
        <f t="shared" si="85"/>
        <v>106.66663333333334</v>
      </c>
      <c r="AF82" s="155">
        <f t="shared" si="85"/>
        <v>106.66663333333334</v>
      </c>
      <c r="AG82" s="155">
        <f t="shared" si="85"/>
        <v>106.66663333333334</v>
      </c>
      <c r="AH82" s="155">
        <f t="shared" si="85"/>
        <v>106.66663333333334</v>
      </c>
      <c r="AI82" s="155">
        <f t="shared" si="85"/>
        <v>106.66663333333334</v>
      </c>
      <c r="AJ82" s="155">
        <f t="shared" si="85"/>
        <v>119.99996666666667</v>
      </c>
      <c r="AK82" s="155">
        <f t="shared" si="85"/>
        <v>119.99996666666667</v>
      </c>
      <c r="AL82" s="155">
        <f t="shared" si="85"/>
        <v>119.99996666666667</v>
      </c>
      <c r="AM82" s="155">
        <f t="shared" si="85"/>
        <v>119.99996666666667</v>
      </c>
      <c r="AN82" s="155">
        <f t="shared" si="85"/>
        <v>119.99996666666667</v>
      </c>
      <c r="AO82" s="155">
        <f t="shared" si="85"/>
        <v>119.99996666666667</v>
      </c>
      <c r="AP82" s="155">
        <f t="shared" si="85"/>
        <v>144.99996666666669</v>
      </c>
      <c r="AQ82" s="155">
        <f t="shared" si="85"/>
        <v>144.99996666666669</v>
      </c>
      <c r="AR82" s="155">
        <f t="shared" si="85"/>
        <v>144.99996666666669</v>
      </c>
      <c r="AS82" s="155">
        <f t="shared" si="85"/>
        <v>144.99996666666669</v>
      </c>
      <c r="AT82" s="155">
        <f t="shared" si="85"/>
        <v>144.99996666666669</v>
      </c>
      <c r="AU82" s="155">
        <f t="shared" si="85"/>
        <v>144.99996666666669</v>
      </c>
      <c r="AV82" s="155">
        <f t="shared" si="85"/>
        <v>169.99996666666669</v>
      </c>
      <c r="AW82" s="155">
        <f t="shared" si="85"/>
        <v>169.99996666666669</v>
      </c>
      <c r="AX82" s="155">
        <f t="shared" si="85"/>
        <v>169.99996666666669</v>
      </c>
      <c r="AY82" s="155">
        <f t="shared" si="85"/>
        <v>169.99996666666669</v>
      </c>
      <c r="AZ82" s="155">
        <f t="shared" si="85"/>
        <v>169.99996666666669</v>
      </c>
      <c r="BA82" s="155">
        <f t="shared" si="85"/>
        <v>169.99996666666669</v>
      </c>
      <c r="BB82" s="155">
        <f t="shared" si="85"/>
        <v>194.99996666666669</v>
      </c>
      <c r="BC82" s="155">
        <f t="shared" si="85"/>
        <v>194.99996666666669</v>
      </c>
      <c r="BD82" s="155">
        <f t="shared" si="85"/>
        <v>194.99996666666669</v>
      </c>
      <c r="BE82" s="155">
        <f t="shared" si="85"/>
        <v>194.99996666666669</v>
      </c>
      <c r="BF82" s="155">
        <f t="shared" si="85"/>
        <v>194.99996666666669</v>
      </c>
      <c r="BG82" s="155">
        <f t="shared" si="85"/>
        <v>194.99996666666669</v>
      </c>
      <c r="BH82" s="155">
        <f t="shared" si="85"/>
        <v>194.99996666666669</v>
      </c>
      <c r="BI82" s="155">
        <f t="shared" si="85"/>
        <v>194.99996666666669</v>
      </c>
      <c r="BJ82" s="155">
        <f t="shared" si="85"/>
        <v>194.99996666666669</v>
      </c>
      <c r="BK82" s="155">
        <f t="shared" si="85"/>
        <v>194.99996666666669</v>
      </c>
      <c r="BL82" s="155">
        <f t="shared" si="85"/>
        <v>194.99996666666669</v>
      </c>
      <c r="BM82" s="155">
        <f t="shared" si="85"/>
        <v>194.99996666666669</v>
      </c>
      <c r="BN82" s="155">
        <f t="shared" si="85"/>
        <v>194.99996666666669</v>
      </c>
      <c r="BO82" s="155">
        <f t="shared" si="85"/>
        <v>194.99996666666669</v>
      </c>
      <c r="BP82" s="155">
        <f t="shared" si="85"/>
        <v>194.99996666666669</v>
      </c>
      <c r="BQ82" s="155">
        <f t="shared" si="85"/>
        <v>194.99996666666669</v>
      </c>
      <c r="BR82" s="155">
        <f t="shared" si="85"/>
        <v>194.99996666666669</v>
      </c>
      <c r="BS82" s="155">
        <f>SUBTOTAL(9,BS83:BS85)</f>
        <v>194.99996666666669</v>
      </c>
      <c r="BU82" s="155">
        <f t="shared" si="76"/>
        <v>429.99960000000004</v>
      </c>
      <c r="BV82" s="155">
        <f t="shared" si="77"/>
        <v>1129.9996000000001</v>
      </c>
      <c r="BW82" s="155">
        <f t="shared" si="78"/>
        <v>1589.9996000000003</v>
      </c>
      <c r="BX82" s="155">
        <f t="shared" si="79"/>
        <v>2189.9996000000006</v>
      </c>
      <c r="BY82" s="155">
        <f t="shared" si="80"/>
        <v>2339.9996000000006</v>
      </c>
    </row>
    <row r="83" spans="3:77" outlineLevel="1">
      <c r="C83" s="155"/>
      <c r="D83" s="139" t="s">
        <v>178</v>
      </c>
      <c r="F83" s="139" t="s">
        <v>571</v>
      </c>
      <c r="H83" s="311">
        <f>1.3333</f>
        <v>1.3332999999999999</v>
      </c>
      <c r="L83" s="139">
        <f>$H$83*노선구성!$F$29</f>
        <v>1.3332999999999999</v>
      </c>
      <c r="M83" s="139">
        <f>$H$83*노선구성!$F$29</f>
        <v>1.3332999999999999</v>
      </c>
      <c r="N83" s="139">
        <f>$H$83*노선구성!$F$29</f>
        <v>1.3332999999999999</v>
      </c>
      <c r="O83" s="139">
        <f>$H$83*노선구성!$F$29</f>
        <v>1.3332999999999999</v>
      </c>
      <c r="P83" s="139">
        <f>$H$83*노선구성!$F$29</f>
        <v>1.3332999999999999</v>
      </c>
      <c r="Q83" s="139">
        <f>$H$83*노선구성!$F$29</f>
        <v>1.3332999999999999</v>
      </c>
      <c r="R83" s="139">
        <f>$H$83*노선구성!$F$29</f>
        <v>1.3332999999999999</v>
      </c>
      <c r="S83" s="139">
        <f>$H$83*노선구성!$F$29</f>
        <v>1.3332999999999999</v>
      </c>
      <c r="T83" s="139">
        <f>$H$83*노선구성!$F$29</f>
        <v>1.3332999999999999</v>
      </c>
      <c r="U83" s="139">
        <f>$H$83*노선구성!$F$29</f>
        <v>1.3332999999999999</v>
      </c>
      <c r="V83" s="139">
        <f>$H$83*노선구성!$F$29</f>
        <v>1.3332999999999999</v>
      </c>
      <c r="W83" s="139">
        <f>$H$83*노선구성!$F$29</f>
        <v>1.3332999999999999</v>
      </c>
      <c r="X83" s="139">
        <f>$H$83*노선구성!$G$29</f>
        <v>1.3332999999999999</v>
      </c>
      <c r="Y83" s="139">
        <f>$H$83*노선구성!$G$29</f>
        <v>1.3332999999999999</v>
      </c>
      <c r="Z83" s="139">
        <f>$H$83*노선구성!$G$29</f>
        <v>1.3332999999999999</v>
      </c>
      <c r="AA83" s="139">
        <f>$H$83*노선구성!$G$29</f>
        <v>1.3332999999999999</v>
      </c>
      <c r="AB83" s="139">
        <f>$H$83*노선구성!$G$29</f>
        <v>1.3332999999999999</v>
      </c>
      <c r="AC83" s="139">
        <f>$H$83*노선구성!$G$29</f>
        <v>1.3332999999999999</v>
      </c>
      <c r="AD83" s="139">
        <f>$H$83*노선구성!$G$29</f>
        <v>1.3332999999999999</v>
      </c>
      <c r="AE83" s="139">
        <f>$H$83*노선구성!$G$29</f>
        <v>1.3332999999999999</v>
      </c>
      <c r="AF83" s="139">
        <f>$H$83*노선구성!$G$29</f>
        <v>1.3332999999999999</v>
      </c>
      <c r="AG83" s="139">
        <f>$H$83*노선구성!$G$29</f>
        <v>1.3332999999999999</v>
      </c>
      <c r="AH83" s="139">
        <f>$H$83*노선구성!$G$29</f>
        <v>1.3332999999999999</v>
      </c>
      <c r="AI83" s="139">
        <f>$H$83*노선구성!$G$29</f>
        <v>1.3332999999999999</v>
      </c>
      <c r="AJ83" s="139">
        <f>$H$83*노선구성!$H$29</f>
        <v>1.3332999999999999</v>
      </c>
      <c r="AK83" s="139">
        <f>$H$83*노선구성!$H$29</f>
        <v>1.3332999999999999</v>
      </c>
      <c r="AL83" s="139">
        <f>$H$83*노선구성!$H$29</f>
        <v>1.3332999999999999</v>
      </c>
      <c r="AM83" s="139">
        <f>$H$83*노선구성!$H$29</f>
        <v>1.3332999999999999</v>
      </c>
      <c r="AN83" s="139">
        <f>$H$83*노선구성!$H$29</f>
        <v>1.3332999999999999</v>
      </c>
      <c r="AO83" s="139">
        <f>$H$83*노선구성!$H$29</f>
        <v>1.3332999999999999</v>
      </c>
      <c r="AP83" s="139">
        <f>$H$83*노선구성!$H$29</f>
        <v>1.3332999999999999</v>
      </c>
      <c r="AQ83" s="139">
        <f>$H$83*노선구성!$H$29</f>
        <v>1.3332999999999999</v>
      </c>
      <c r="AR83" s="139">
        <f>$H$83*노선구성!$H$29</f>
        <v>1.3332999999999999</v>
      </c>
      <c r="AS83" s="139">
        <f>$H$83*노선구성!$H$29</f>
        <v>1.3332999999999999</v>
      </c>
      <c r="AT83" s="139">
        <f>$H$83*노선구성!$H$29</f>
        <v>1.3332999999999999</v>
      </c>
      <c r="AU83" s="139">
        <f>$H$83*노선구성!$H$29</f>
        <v>1.3332999999999999</v>
      </c>
      <c r="AV83" s="139">
        <f>$H$83*노선구성!$I$29</f>
        <v>1.3332999999999999</v>
      </c>
      <c r="AW83" s="139">
        <f>$H$83*노선구성!$I$29</f>
        <v>1.3332999999999999</v>
      </c>
      <c r="AX83" s="139">
        <f>$H$83*노선구성!$I$29</f>
        <v>1.3332999999999999</v>
      </c>
      <c r="AY83" s="139">
        <f>$H$83*노선구성!$I$29</f>
        <v>1.3332999999999999</v>
      </c>
      <c r="AZ83" s="139">
        <f>$H$83*노선구성!$I$29</f>
        <v>1.3332999999999999</v>
      </c>
      <c r="BA83" s="139">
        <f>$H$83*노선구성!$I$29</f>
        <v>1.3332999999999999</v>
      </c>
      <c r="BB83" s="139">
        <f>$H$83*노선구성!$I$29</f>
        <v>1.3332999999999999</v>
      </c>
      <c r="BC83" s="139">
        <f>$H$83*노선구성!$I$29</f>
        <v>1.3332999999999999</v>
      </c>
      <c r="BD83" s="139">
        <f>$H$83*노선구성!$I$29</f>
        <v>1.3332999999999999</v>
      </c>
      <c r="BE83" s="139">
        <f>$H$83*노선구성!$I$29</f>
        <v>1.3332999999999999</v>
      </c>
      <c r="BF83" s="139">
        <f>$H$83*노선구성!$I$29</f>
        <v>1.3332999999999999</v>
      </c>
      <c r="BG83" s="139">
        <f>$H$83*노선구성!$I$29</f>
        <v>1.3332999999999999</v>
      </c>
      <c r="BH83" s="139">
        <f>$H$83*노선구성!$J$29</f>
        <v>1.3332999999999999</v>
      </c>
      <c r="BI83" s="139">
        <f>$H$83*노선구성!$J$29</f>
        <v>1.3332999999999999</v>
      </c>
      <c r="BJ83" s="139">
        <f>$H$83*노선구성!$J$29</f>
        <v>1.3332999999999999</v>
      </c>
      <c r="BK83" s="139">
        <f>$H$83*노선구성!$J$29</f>
        <v>1.3332999999999999</v>
      </c>
      <c r="BL83" s="139">
        <f>$H$83*노선구성!$J$29</f>
        <v>1.3332999999999999</v>
      </c>
      <c r="BM83" s="139">
        <f>$H$83*노선구성!$J$29</f>
        <v>1.3332999999999999</v>
      </c>
      <c r="BN83" s="139">
        <f>$H$83*노선구성!$J$29</f>
        <v>1.3332999999999999</v>
      </c>
      <c r="BO83" s="139">
        <f>$H$83*노선구성!$J$29</f>
        <v>1.3332999999999999</v>
      </c>
      <c r="BP83" s="139">
        <f>$H$83*노선구성!$J$29</f>
        <v>1.3332999999999999</v>
      </c>
      <c r="BQ83" s="139">
        <f>$H$83*노선구성!$J$29</f>
        <v>1.3332999999999999</v>
      </c>
      <c r="BR83" s="139">
        <f>$H$83*노선구성!$J$29</f>
        <v>1.3332999999999999</v>
      </c>
      <c r="BS83" s="139">
        <f>$H$83*노선구성!$J$29</f>
        <v>1.3332999999999999</v>
      </c>
      <c r="BU83" s="139">
        <f t="shared" si="76"/>
        <v>15.999599999999996</v>
      </c>
      <c r="BV83" s="139">
        <f t="shared" si="77"/>
        <v>15.999599999999996</v>
      </c>
      <c r="BW83" s="139">
        <f t="shared" si="78"/>
        <v>15.999599999999996</v>
      </c>
      <c r="BX83" s="139">
        <f t="shared" si="79"/>
        <v>15.999599999999996</v>
      </c>
      <c r="BY83" s="139">
        <f t="shared" si="80"/>
        <v>15.999599999999996</v>
      </c>
    </row>
    <row r="84" spans="3:77" outlineLevel="1">
      <c r="C84" s="155"/>
      <c r="D84" s="139" t="s">
        <v>63</v>
      </c>
      <c r="F84" s="139" t="s">
        <v>614</v>
      </c>
      <c r="L84" s="139">
        <f t="shared" ref="L84:BR84" si="86">L6*160/12+L7*300/12</f>
        <v>0</v>
      </c>
      <c r="M84" s="139">
        <f t="shared" si="86"/>
        <v>0</v>
      </c>
      <c r="N84" s="139">
        <f t="shared" si="86"/>
        <v>0</v>
      </c>
      <c r="O84" s="139">
        <f t="shared" si="86"/>
        <v>0</v>
      </c>
      <c r="P84" s="139">
        <f t="shared" si="86"/>
        <v>0</v>
      </c>
      <c r="Q84" s="139">
        <f t="shared" si="86"/>
        <v>0</v>
      </c>
      <c r="R84" s="139">
        <f t="shared" si="86"/>
        <v>65</v>
      </c>
      <c r="S84" s="139">
        <f t="shared" si="86"/>
        <v>65</v>
      </c>
      <c r="T84" s="139">
        <f t="shared" si="86"/>
        <v>65</v>
      </c>
      <c r="U84" s="139">
        <f t="shared" si="86"/>
        <v>65</v>
      </c>
      <c r="V84" s="139">
        <f t="shared" si="86"/>
        <v>65</v>
      </c>
      <c r="W84" s="139">
        <f t="shared" si="86"/>
        <v>65</v>
      </c>
      <c r="X84" s="139">
        <f t="shared" si="86"/>
        <v>78.333333333333343</v>
      </c>
      <c r="Y84" s="139">
        <f t="shared" si="86"/>
        <v>78.333333333333343</v>
      </c>
      <c r="Z84" s="139">
        <f t="shared" si="86"/>
        <v>78.333333333333343</v>
      </c>
      <c r="AA84" s="139">
        <f t="shared" si="86"/>
        <v>78.333333333333343</v>
      </c>
      <c r="AB84" s="139">
        <f t="shared" si="86"/>
        <v>78.333333333333343</v>
      </c>
      <c r="AC84" s="139">
        <f t="shared" si="86"/>
        <v>78.333333333333343</v>
      </c>
      <c r="AD84" s="139">
        <f t="shared" si="86"/>
        <v>103.33333333333334</v>
      </c>
      <c r="AE84" s="139">
        <f t="shared" si="86"/>
        <v>103.33333333333334</v>
      </c>
      <c r="AF84" s="139">
        <f t="shared" si="86"/>
        <v>103.33333333333334</v>
      </c>
      <c r="AG84" s="139">
        <f t="shared" si="86"/>
        <v>103.33333333333334</v>
      </c>
      <c r="AH84" s="139">
        <f t="shared" si="86"/>
        <v>103.33333333333334</v>
      </c>
      <c r="AI84" s="139">
        <f t="shared" si="86"/>
        <v>103.33333333333334</v>
      </c>
      <c r="AJ84" s="139">
        <f t="shared" si="86"/>
        <v>116.66666666666667</v>
      </c>
      <c r="AK84" s="139">
        <f t="shared" si="86"/>
        <v>116.66666666666667</v>
      </c>
      <c r="AL84" s="139">
        <f t="shared" si="86"/>
        <v>116.66666666666667</v>
      </c>
      <c r="AM84" s="139">
        <f t="shared" si="86"/>
        <v>116.66666666666667</v>
      </c>
      <c r="AN84" s="139">
        <f t="shared" si="86"/>
        <v>116.66666666666667</v>
      </c>
      <c r="AO84" s="139">
        <f t="shared" si="86"/>
        <v>116.66666666666667</v>
      </c>
      <c r="AP84" s="139">
        <f t="shared" si="86"/>
        <v>141.66666666666669</v>
      </c>
      <c r="AQ84" s="139">
        <f t="shared" si="86"/>
        <v>141.66666666666669</v>
      </c>
      <c r="AR84" s="139">
        <f t="shared" si="86"/>
        <v>141.66666666666669</v>
      </c>
      <c r="AS84" s="139">
        <f t="shared" si="86"/>
        <v>141.66666666666669</v>
      </c>
      <c r="AT84" s="139">
        <f t="shared" si="86"/>
        <v>141.66666666666669</v>
      </c>
      <c r="AU84" s="139">
        <f t="shared" si="86"/>
        <v>141.66666666666669</v>
      </c>
      <c r="AV84" s="139">
        <f t="shared" si="86"/>
        <v>166.66666666666669</v>
      </c>
      <c r="AW84" s="139">
        <f t="shared" si="86"/>
        <v>166.66666666666669</v>
      </c>
      <c r="AX84" s="139">
        <f t="shared" si="86"/>
        <v>166.66666666666669</v>
      </c>
      <c r="AY84" s="139">
        <f t="shared" si="86"/>
        <v>166.66666666666669</v>
      </c>
      <c r="AZ84" s="139">
        <f t="shared" si="86"/>
        <v>166.66666666666669</v>
      </c>
      <c r="BA84" s="139">
        <f t="shared" si="86"/>
        <v>166.66666666666669</v>
      </c>
      <c r="BB84" s="139">
        <f t="shared" si="86"/>
        <v>191.66666666666669</v>
      </c>
      <c r="BC84" s="139">
        <f t="shared" si="86"/>
        <v>191.66666666666669</v>
      </c>
      <c r="BD84" s="139">
        <f t="shared" si="86"/>
        <v>191.66666666666669</v>
      </c>
      <c r="BE84" s="139">
        <f t="shared" si="86"/>
        <v>191.66666666666669</v>
      </c>
      <c r="BF84" s="139">
        <f t="shared" si="86"/>
        <v>191.66666666666669</v>
      </c>
      <c r="BG84" s="139">
        <f t="shared" si="86"/>
        <v>191.66666666666669</v>
      </c>
      <c r="BH84" s="139">
        <f t="shared" si="86"/>
        <v>191.66666666666669</v>
      </c>
      <c r="BI84" s="139">
        <f t="shared" si="86"/>
        <v>191.66666666666669</v>
      </c>
      <c r="BJ84" s="139">
        <f t="shared" si="86"/>
        <v>191.66666666666669</v>
      </c>
      <c r="BK84" s="139">
        <f t="shared" si="86"/>
        <v>191.66666666666669</v>
      </c>
      <c r="BL84" s="139">
        <f t="shared" si="86"/>
        <v>191.66666666666669</v>
      </c>
      <c r="BM84" s="139">
        <f t="shared" si="86"/>
        <v>191.66666666666669</v>
      </c>
      <c r="BN84" s="139">
        <f t="shared" si="86"/>
        <v>191.66666666666669</v>
      </c>
      <c r="BO84" s="139">
        <f t="shared" si="86"/>
        <v>191.66666666666669</v>
      </c>
      <c r="BP84" s="139">
        <f t="shared" si="86"/>
        <v>191.66666666666669</v>
      </c>
      <c r="BQ84" s="139">
        <f t="shared" si="86"/>
        <v>191.66666666666669</v>
      </c>
      <c r="BR84" s="139">
        <f t="shared" si="86"/>
        <v>191.66666666666669</v>
      </c>
      <c r="BS84" s="139">
        <f>BS6*160/12+BS7*300/12</f>
        <v>191.66666666666669</v>
      </c>
      <c r="BU84" s="139">
        <f t="shared" si="76"/>
        <v>390</v>
      </c>
      <c r="BV84" s="139">
        <f t="shared" si="77"/>
        <v>1090.0000000000002</v>
      </c>
      <c r="BW84" s="139">
        <f t="shared" si="78"/>
        <v>1550.0000000000005</v>
      </c>
      <c r="BX84" s="139">
        <f t="shared" si="79"/>
        <v>2150.0000000000005</v>
      </c>
      <c r="BY84" s="139">
        <f t="shared" si="80"/>
        <v>2300.0000000000005</v>
      </c>
    </row>
    <row r="85" spans="3:77" outlineLevel="1">
      <c r="C85" s="155"/>
      <c r="D85" s="139" t="s">
        <v>179</v>
      </c>
      <c r="J85" s="139" t="s">
        <v>597</v>
      </c>
      <c r="L85" s="139">
        <v>2</v>
      </c>
      <c r="M85" s="139">
        <f t="shared" ref="M85:BR85" si="87">L85</f>
        <v>2</v>
      </c>
      <c r="N85" s="139">
        <f t="shared" si="87"/>
        <v>2</v>
      </c>
      <c r="O85" s="139">
        <f t="shared" si="87"/>
        <v>2</v>
      </c>
      <c r="P85" s="139">
        <f t="shared" si="87"/>
        <v>2</v>
      </c>
      <c r="Q85" s="139">
        <f t="shared" si="87"/>
        <v>2</v>
      </c>
      <c r="R85" s="139">
        <f t="shared" si="87"/>
        <v>2</v>
      </c>
      <c r="S85" s="139">
        <f t="shared" si="87"/>
        <v>2</v>
      </c>
      <c r="T85" s="139">
        <f t="shared" si="87"/>
        <v>2</v>
      </c>
      <c r="U85" s="139">
        <f t="shared" si="87"/>
        <v>2</v>
      </c>
      <c r="V85" s="139">
        <f t="shared" si="87"/>
        <v>2</v>
      </c>
      <c r="W85" s="139">
        <f t="shared" si="87"/>
        <v>2</v>
      </c>
      <c r="X85" s="139">
        <f t="shared" si="87"/>
        <v>2</v>
      </c>
      <c r="Y85" s="139">
        <f t="shared" si="87"/>
        <v>2</v>
      </c>
      <c r="Z85" s="139">
        <f t="shared" si="87"/>
        <v>2</v>
      </c>
      <c r="AA85" s="139">
        <f t="shared" si="87"/>
        <v>2</v>
      </c>
      <c r="AB85" s="139">
        <f t="shared" si="87"/>
        <v>2</v>
      </c>
      <c r="AC85" s="139">
        <f t="shared" si="87"/>
        <v>2</v>
      </c>
      <c r="AD85" s="139">
        <f t="shared" si="87"/>
        <v>2</v>
      </c>
      <c r="AE85" s="139">
        <f t="shared" si="87"/>
        <v>2</v>
      </c>
      <c r="AF85" s="139">
        <f t="shared" si="87"/>
        <v>2</v>
      </c>
      <c r="AG85" s="139">
        <f t="shared" si="87"/>
        <v>2</v>
      </c>
      <c r="AH85" s="139">
        <f t="shared" si="87"/>
        <v>2</v>
      </c>
      <c r="AI85" s="139">
        <f t="shared" si="87"/>
        <v>2</v>
      </c>
      <c r="AJ85" s="139">
        <f t="shared" si="87"/>
        <v>2</v>
      </c>
      <c r="AK85" s="139">
        <f t="shared" si="87"/>
        <v>2</v>
      </c>
      <c r="AL85" s="139">
        <f t="shared" si="87"/>
        <v>2</v>
      </c>
      <c r="AM85" s="139">
        <f t="shared" si="87"/>
        <v>2</v>
      </c>
      <c r="AN85" s="139">
        <f t="shared" si="87"/>
        <v>2</v>
      </c>
      <c r="AO85" s="139">
        <f t="shared" si="87"/>
        <v>2</v>
      </c>
      <c r="AP85" s="139">
        <f t="shared" si="87"/>
        <v>2</v>
      </c>
      <c r="AQ85" s="139">
        <f t="shared" si="87"/>
        <v>2</v>
      </c>
      <c r="AR85" s="139">
        <f t="shared" si="87"/>
        <v>2</v>
      </c>
      <c r="AS85" s="139">
        <f t="shared" si="87"/>
        <v>2</v>
      </c>
      <c r="AT85" s="139">
        <f t="shared" si="87"/>
        <v>2</v>
      </c>
      <c r="AU85" s="139">
        <f t="shared" si="87"/>
        <v>2</v>
      </c>
      <c r="AV85" s="139">
        <f t="shared" si="87"/>
        <v>2</v>
      </c>
      <c r="AW85" s="139">
        <f t="shared" si="87"/>
        <v>2</v>
      </c>
      <c r="AX85" s="139">
        <f t="shared" si="87"/>
        <v>2</v>
      </c>
      <c r="AY85" s="139">
        <f t="shared" si="87"/>
        <v>2</v>
      </c>
      <c r="AZ85" s="139">
        <f t="shared" si="87"/>
        <v>2</v>
      </c>
      <c r="BA85" s="139">
        <f t="shared" si="87"/>
        <v>2</v>
      </c>
      <c r="BB85" s="139">
        <f t="shared" si="87"/>
        <v>2</v>
      </c>
      <c r="BC85" s="139">
        <f t="shared" si="87"/>
        <v>2</v>
      </c>
      <c r="BD85" s="139">
        <f t="shared" si="87"/>
        <v>2</v>
      </c>
      <c r="BE85" s="139">
        <f t="shared" si="87"/>
        <v>2</v>
      </c>
      <c r="BF85" s="139">
        <f t="shared" si="87"/>
        <v>2</v>
      </c>
      <c r="BG85" s="139">
        <f t="shared" si="87"/>
        <v>2</v>
      </c>
      <c r="BH85" s="139">
        <f t="shared" si="87"/>
        <v>2</v>
      </c>
      <c r="BI85" s="139">
        <f t="shared" si="87"/>
        <v>2</v>
      </c>
      <c r="BJ85" s="139">
        <f t="shared" si="87"/>
        <v>2</v>
      </c>
      <c r="BK85" s="139">
        <f t="shared" si="87"/>
        <v>2</v>
      </c>
      <c r="BL85" s="139">
        <f t="shared" si="87"/>
        <v>2</v>
      </c>
      <c r="BM85" s="139">
        <f t="shared" si="87"/>
        <v>2</v>
      </c>
      <c r="BN85" s="139">
        <f t="shared" si="87"/>
        <v>2</v>
      </c>
      <c r="BO85" s="139">
        <f t="shared" si="87"/>
        <v>2</v>
      </c>
      <c r="BP85" s="139">
        <f t="shared" si="87"/>
        <v>2</v>
      </c>
      <c r="BQ85" s="139">
        <f t="shared" si="87"/>
        <v>2</v>
      </c>
      <c r="BR85" s="139">
        <f t="shared" si="87"/>
        <v>2</v>
      </c>
      <c r="BS85" s="139">
        <f>BR85</f>
        <v>2</v>
      </c>
      <c r="BU85" s="139">
        <f t="shared" si="76"/>
        <v>24</v>
      </c>
      <c r="BV85" s="139">
        <f t="shared" si="77"/>
        <v>24</v>
      </c>
      <c r="BW85" s="139">
        <f t="shared" si="78"/>
        <v>24</v>
      </c>
      <c r="BX85" s="139">
        <f t="shared" si="79"/>
        <v>24</v>
      </c>
      <c r="BY85" s="139">
        <f t="shared" si="80"/>
        <v>24</v>
      </c>
    </row>
    <row r="86" spans="3:77" s="155" customFormat="1">
      <c r="C86" s="155" t="s">
        <v>106</v>
      </c>
      <c r="L86" s="155">
        <f t="shared" ref="L86:BR86" si="88">SUBTOTAL(9,L87:L89)</f>
        <v>0</v>
      </c>
      <c r="M86" s="155">
        <f t="shared" si="88"/>
        <v>0</v>
      </c>
      <c r="N86" s="155">
        <f t="shared" si="88"/>
        <v>0</v>
      </c>
      <c r="O86" s="155">
        <f t="shared" si="88"/>
        <v>0</v>
      </c>
      <c r="P86" s="155">
        <f t="shared" si="88"/>
        <v>0</v>
      </c>
      <c r="Q86" s="155">
        <f t="shared" si="88"/>
        <v>0</v>
      </c>
      <c r="R86" s="155">
        <f t="shared" si="88"/>
        <v>971.45</v>
      </c>
      <c r="S86" s="155">
        <f t="shared" si="88"/>
        <v>971.45</v>
      </c>
      <c r="T86" s="155">
        <f t="shared" si="88"/>
        <v>971.45</v>
      </c>
      <c r="U86" s="155">
        <f t="shared" si="88"/>
        <v>971.45</v>
      </c>
      <c r="V86" s="155">
        <f t="shared" si="88"/>
        <v>971.45</v>
      </c>
      <c r="W86" s="155">
        <f t="shared" si="88"/>
        <v>971.45</v>
      </c>
      <c r="X86" s="155">
        <f t="shared" si="88"/>
        <v>1200.1500000000001</v>
      </c>
      <c r="Y86" s="155">
        <f t="shared" si="88"/>
        <v>1200.1500000000001</v>
      </c>
      <c r="Z86" s="155">
        <f t="shared" si="88"/>
        <v>1200.1500000000001</v>
      </c>
      <c r="AA86" s="155">
        <f t="shared" si="88"/>
        <v>1200.1500000000001</v>
      </c>
      <c r="AB86" s="155">
        <f t="shared" si="88"/>
        <v>1200.1500000000001</v>
      </c>
      <c r="AC86" s="155">
        <f t="shared" si="88"/>
        <v>1200.1500000000001</v>
      </c>
      <c r="AD86" s="155">
        <f t="shared" si="88"/>
        <v>1485.5000000000002</v>
      </c>
      <c r="AE86" s="155">
        <f t="shared" si="88"/>
        <v>1485.5000000000002</v>
      </c>
      <c r="AF86" s="155">
        <f t="shared" si="88"/>
        <v>1485.5000000000002</v>
      </c>
      <c r="AG86" s="155">
        <f t="shared" si="88"/>
        <v>1485.5000000000002</v>
      </c>
      <c r="AH86" s="155">
        <f t="shared" si="88"/>
        <v>1485.5000000000002</v>
      </c>
      <c r="AI86" s="155">
        <f t="shared" si="88"/>
        <v>1485.5000000000002</v>
      </c>
      <c r="AJ86" s="155">
        <f t="shared" si="88"/>
        <v>1714.2</v>
      </c>
      <c r="AK86" s="155">
        <f t="shared" si="88"/>
        <v>1714.2</v>
      </c>
      <c r="AL86" s="155">
        <f t="shared" si="88"/>
        <v>1714.2</v>
      </c>
      <c r="AM86" s="155">
        <f t="shared" si="88"/>
        <v>1714.2</v>
      </c>
      <c r="AN86" s="155">
        <f t="shared" si="88"/>
        <v>1714.2</v>
      </c>
      <c r="AO86" s="155">
        <f t="shared" si="88"/>
        <v>1714.2</v>
      </c>
      <c r="AP86" s="155">
        <f t="shared" si="88"/>
        <v>1999.55</v>
      </c>
      <c r="AQ86" s="155">
        <f t="shared" si="88"/>
        <v>1999.55</v>
      </c>
      <c r="AR86" s="155">
        <f t="shared" si="88"/>
        <v>1999.55</v>
      </c>
      <c r="AS86" s="155">
        <f t="shared" si="88"/>
        <v>1999.55</v>
      </c>
      <c r="AT86" s="155">
        <f t="shared" si="88"/>
        <v>1999.55</v>
      </c>
      <c r="AU86" s="155">
        <f t="shared" si="88"/>
        <v>1999.55</v>
      </c>
      <c r="AV86" s="155">
        <f t="shared" si="88"/>
        <v>2284.9</v>
      </c>
      <c r="AW86" s="155">
        <f t="shared" si="88"/>
        <v>2284.9</v>
      </c>
      <c r="AX86" s="155">
        <f t="shared" si="88"/>
        <v>2284.9</v>
      </c>
      <c r="AY86" s="155">
        <f t="shared" si="88"/>
        <v>2284.9</v>
      </c>
      <c r="AZ86" s="155">
        <f t="shared" si="88"/>
        <v>2284.9</v>
      </c>
      <c r="BA86" s="155">
        <f t="shared" si="88"/>
        <v>2284.9</v>
      </c>
      <c r="BB86" s="155">
        <f t="shared" si="88"/>
        <v>2570.25</v>
      </c>
      <c r="BC86" s="155">
        <f t="shared" si="88"/>
        <v>2570.25</v>
      </c>
      <c r="BD86" s="155">
        <f t="shared" si="88"/>
        <v>2570.25</v>
      </c>
      <c r="BE86" s="155">
        <f t="shared" si="88"/>
        <v>2570.25</v>
      </c>
      <c r="BF86" s="155">
        <f t="shared" si="88"/>
        <v>2570.25</v>
      </c>
      <c r="BG86" s="155">
        <f t="shared" si="88"/>
        <v>2570.25</v>
      </c>
      <c r="BH86" s="155">
        <f t="shared" si="88"/>
        <v>2570.25</v>
      </c>
      <c r="BI86" s="155">
        <f t="shared" si="88"/>
        <v>2570.25</v>
      </c>
      <c r="BJ86" s="155">
        <f t="shared" si="88"/>
        <v>2570.25</v>
      </c>
      <c r="BK86" s="155">
        <f t="shared" si="88"/>
        <v>2570.25</v>
      </c>
      <c r="BL86" s="155">
        <f t="shared" si="88"/>
        <v>2570.25</v>
      </c>
      <c r="BM86" s="155">
        <f t="shared" si="88"/>
        <v>2570.25</v>
      </c>
      <c r="BN86" s="155">
        <f t="shared" si="88"/>
        <v>2570.25</v>
      </c>
      <c r="BO86" s="155">
        <f t="shared" si="88"/>
        <v>2570.25</v>
      </c>
      <c r="BP86" s="155">
        <f t="shared" si="88"/>
        <v>2570.25</v>
      </c>
      <c r="BQ86" s="155">
        <f t="shared" si="88"/>
        <v>2570.25</v>
      </c>
      <c r="BR86" s="155">
        <f t="shared" si="88"/>
        <v>2570.25</v>
      </c>
      <c r="BS86" s="155">
        <f>SUBTOTAL(9,BS87:BS89)</f>
        <v>2570.25</v>
      </c>
      <c r="BU86" s="155">
        <f t="shared" si="76"/>
        <v>5828.7</v>
      </c>
      <c r="BV86" s="155">
        <f t="shared" si="77"/>
        <v>16113.9</v>
      </c>
      <c r="BW86" s="155">
        <f t="shared" si="78"/>
        <v>22282.499999999996</v>
      </c>
      <c r="BX86" s="155">
        <f t="shared" si="79"/>
        <v>29130.9</v>
      </c>
      <c r="BY86" s="155">
        <f t="shared" si="80"/>
        <v>30843</v>
      </c>
    </row>
    <row r="87" spans="3:77" outlineLevel="1">
      <c r="C87" s="155"/>
      <c r="D87" s="139" t="s">
        <v>180</v>
      </c>
      <c r="F87" s="139" t="s">
        <v>1295</v>
      </c>
      <c r="L87" s="139">
        <f>0.2*노선구성!$E$15*L6+0.25*노선구성!$E$15*IS_Others!L7</f>
        <v>0</v>
      </c>
      <c r="M87" s="139">
        <f>0.2*노선구성!$E$15*M6+0.25*노선구성!$E$15*IS_Others!M7</f>
        <v>0</v>
      </c>
      <c r="N87" s="139">
        <f>0.2*노선구성!$E$15*N6+0.25*노선구성!$E$15*IS_Others!N7</f>
        <v>0</v>
      </c>
      <c r="O87" s="139">
        <f>0.2*노선구성!$E$15*O6+0.25*노선구성!$E$15*IS_Others!O7</f>
        <v>0</v>
      </c>
      <c r="P87" s="139">
        <f>0.2*노선구성!$E$15*P6+0.25*노선구성!$E$15*IS_Others!P7</f>
        <v>0</v>
      </c>
      <c r="Q87" s="139">
        <f>0.2*노선구성!$E$15*Q6+0.25*노선구성!$E$15*IS_Others!Q7</f>
        <v>0</v>
      </c>
      <c r="R87" s="139">
        <f>0.2*노선구성!$E$15*R6+0.25*노선구성!$E$15*IS_Others!R7</f>
        <v>963.05000000000007</v>
      </c>
      <c r="S87" s="139">
        <f>0.2*노선구성!$E$15*S6+0.25*노선구성!$E$15*IS_Others!S7</f>
        <v>963.05000000000007</v>
      </c>
      <c r="T87" s="139">
        <f>0.2*노선구성!$E$15*T6+0.25*노선구성!$E$15*IS_Others!T7</f>
        <v>963.05000000000007</v>
      </c>
      <c r="U87" s="139">
        <f>0.2*노선구성!$E$15*U6+0.25*노선구성!$E$15*IS_Others!U7</f>
        <v>963.05000000000007</v>
      </c>
      <c r="V87" s="139">
        <f>0.2*노선구성!$E$15*V6+0.25*노선구성!$E$15*IS_Others!V7</f>
        <v>963.05000000000007</v>
      </c>
      <c r="W87" s="139">
        <f>0.2*노선구성!$E$15*W6+0.25*노선구성!$E$15*IS_Others!W7</f>
        <v>963.05000000000007</v>
      </c>
      <c r="X87" s="139">
        <f>0.2*노선구성!$E$15*X6+0.25*노선구성!$E$15*IS_Others!X7</f>
        <v>1189.6500000000001</v>
      </c>
      <c r="Y87" s="139">
        <f>0.2*노선구성!$E$15*Y6+0.25*노선구성!$E$15*IS_Others!Y7</f>
        <v>1189.6500000000001</v>
      </c>
      <c r="Z87" s="139">
        <f>0.2*노선구성!$E$15*Z6+0.25*노선구성!$E$15*IS_Others!Z7</f>
        <v>1189.6500000000001</v>
      </c>
      <c r="AA87" s="139">
        <f>0.2*노선구성!$E$15*AA6+0.25*노선구성!$E$15*IS_Others!AA7</f>
        <v>1189.6500000000001</v>
      </c>
      <c r="AB87" s="139">
        <f>0.2*노선구성!$E$15*AB6+0.25*노선구성!$E$15*IS_Others!AB7</f>
        <v>1189.6500000000001</v>
      </c>
      <c r="AC87" s="139">
        <f>0.2*노선구성!$E$15*AC6+0.25*노선구성!$E$15*IS_Others!AC7</f>
        <v>1189.6500000000001</v>
      </c>
      <c r="AD87" s="139">
        <f>0.2*노선구성!$E$15*AD6+0.25*노선구성!$E$15*IS_Others!AD7</f>
        <v>1472.9</v>
      </c>
      <c r="AE87" s="139">
        <f>0.2*노선구성!$E$15*AE6+0.25*노선구성!$E$15*IS_Others!AE7</f>
        <v>1472.9</v>
      </c>
      <c r="AF87" s="139">
        <f>0.2*노선구성!$E$15*AF6+0.25*노선구성!$E$15*IS_Others!AF7</f>
        <v>1472.9</v>
      </c>
      <c r="AG87" s="139">
        <f>0.2*노선구성!$E$15*AG6+0.25*노선구성!$E$15*IS_Others!AG7</f>
        <v>1472.9</v>
      </c>
      <c r="AH87" s="139">
        <f>0.2*노선구성!$E$15*AH6+0.25*노선구성!$E$15*IS_Others!AH7</f>
        <v>1472.9</v>
      </c>
      <c r="AI87" s="139">
        <f>0.2*노선구성!$E$15*AI6+0.25*노선구성!$E$15*IS_Others!AI7</f>
        <v>1472.9</v>
      </c>
      <c r="AJ87" s="139">
        <f>0.2*노선구성!$E$15*AJ6+0.25*노선구성!$E$15*IS_Others!AJ7</f>
        <v>1699.5</v>
      </c>
      <c r="AK87" s="139">
        <f>0.2*노선구성!$E$15*AK6+0.25*노선구성!$E$15*IS_Others!AK7</f>
        <v>1699.5</v>
      </c>
      <c r="AL87" s="139">
        <f>0.2*노선구성!$E$15*AL6+0.25*노선구성!$E$15*IS_Others!AL7</f>
        <v>1699.5</v>
      </c>
      <c r="AM87" s="139">
        <f>0.2*노선구성!$E$15*AM6+0.25*노선구성!$E$15*IS_Others!AM7</f>
        <v>1699.5</v>
      </c>
      <c r="AN87" s="139">
        <f>0.2*노선구성!$E$15*AN6+0.25*노선구성!$E$15*IS_Others!AN7</f>
        <v>1699.5</v>
      </c>
      <c r="AO87" s="139">
        <f>0.2*노선구성!$E$15*AO6+0.25*노선구성!$E$15*IS_Others!AO7</f>
        <v>1699.5</v>
      </c>
      <c r="AP87" s="139">
        <f>0.2*노선구성!$E$15*AP6+0.25*노선구성!$E$15*IS_Others!AP7</f>
        <v>1982.75</v>
      </c>
      <c r="AQ87" s="139">
        <f>0.2*노선구성!$E$15*AQ6+0.25*노선구성!$E$15*IS_Others!AQ7</f>
        <v>1982.75</v>
      </c>
      <c r="AR87" s="139">
        <f>0.2*노선구성!$E$15*AR6+0.25*노선구성!$E$15*IS_Others!AR7</f>
        <v>1982.75</v>
      </c>
      <c r="AS87" s="139">
        <f>0.2*노선구성!$E$15*AS6+0.25*노선구성!$E$15*IS_Others!AS7</f>
        <v>1982.75</v>
      </c>
      <c r="AT87" s="139">
        <f>0.2*노선구성!$E$15*AT6+0.25*노선구성!$E$15*IS_Others!AT7</f>
        <v>1982.75</v>
      </c>
      <c r="AU87" s="139">
        <f>0.2*노선구성!$E$15*AU6+0.25*노선구성!$E$15*IS_Others!AU7</f>
        <v>1982.75</v>
      </c>
      <c r="AV87" s="139">
        <f>0.2*노선구성!$E$15*AV6+0.25*노선구성!$E$15*IS_Others!AV7</f>
        <v>2266</v>
      </c>
      <c r="AW87" s="139">
        <f>0.2*노선구성!$E$15*AW6+0.25*노선구성!$E$15*IS_Others!AW7</f>
        <v>2266</v>
      </c>
      <c r="AX87" s="139">
        <f>0.2*노선구성!$E$15*AX6+0.25*노선구성!$E$15*IS_Others!AX7</f>
        <v>2266</v>
      </c>
      <c r="AY87" s="139">
        <f>0.2*노선구성!$E$15*AY6+0.25*노선구성!$E$15*IS_Others!AY7</f>
        <v>2266</v>
      </c>
      <c r="AZ87" s="139">
        <f>0.2*노선구성!$E$15*AZ6+0.25*노선구성!$E$15*IS_Others!AZ7</f>
        <v>2266</v>
      </c>
      <c r="BA87" s="139">
        <f>0.2*노선구성!$E$15*BA6+0.25*노선구성!$E$15*IS_Others!BA7</f>
        <v>2266</v>
      </c>
      <c r="BB87" s="139">
        <f>0.2*노선구성!$E$15*BB6+0.25*노선구성!$E$15*IS_Others!BB7</f>
        <v>2549.25</v>
      </c>
      <c r="BC87" s="139">
        <f>0.2*노선구성!$E$15*BC6+0.25*노선구성!$E$15*IS_Others!BC7</f>
        <v>2549.25</v>
      </c>
      <c r="BD87" s="139">
        <f>0.2*노선구성!$E$15*BD6+0.25*노선구성!$E$15*IS_Others!BD7</f>
        <v>2549.25</v>
      </c>
      <c r="BE87" s="139">
        <f>0.2*노선구성!$E$15*BE6+0.25*노선구성!$E$15*IS_Others!BE7</f>
        <v>2549.25</v>
      </c>
      <c r="BF87" s="139">
        <f>0.2*노선구성!$E$15*BF6+0.25*노선구성!$E$15*IS_Others!BF7</f>
        <v>2549.25</v>
      </c>
      <c r="BG87" s="139">
        <f>0.2*노선구성!$E$15*BG6+0.25*노선구성!$E$15*IS_Others!BG7</f>
        <v>2549.25</v>
      </c>
      <c r="BH87" s="139">
        <f>0.2*노선구성!$E$15*BH6+0.25*노선구성!$E$15*IS_Others!BH7</f>
        <v>2549.25</v>
      </c>
      <c r="BI87" s="139">
        <f>0.2*노선구성!$E$15*BI6+0.25*노선구성!$E$15*IS_Others!BI7</f>
        <v>2549.25</v>
      </c>
      <c r="BJ87" s="139">
        <f>0.2*노선구성!$E$15*BJ6+0.25*노선구성!$E$15*IS_Others!BJ7</f>
        <v>2549.25</v>
      </c>
      <c r="BK87" s="139">
        <f>0.2*노선구성!$E$15*BK6+0.25*노선구성!$E$15*IS_Others!BK7</f>
        <v>2549.25</v>
      </c>
      <c r="BL87" s="139">
        <f>0.2*노선구성!$E$15*BL6+0.25*노선구성!$E$15*IS_Others!BL7</f>
        <v>2549.25</v>
      </c>
      <c r="BM87" s="139">
        <f>0.2*노선구성!$E$15*BM6+0.25*노선구성!$E$15*IS_Others!BM7</f>
        <v>2549.25</v>
      </c>
      <c r="BN87" s="139">
        <f>0.2*노선구성!$E$15*BN6+0.25*노선구성!$E$15*IS_Others!BN7</f>
        <v>2549.25</v>
      </c>
      <c r="BO87" s="139">
        <f>0.2*노선구성!$E$15*BO6+0.25*노선구성!$E$15*IS_Others!BO7</f>
        <v>2549.25</v>
      </c>
      <c r="BP87" s="139">
        <f>0.2*노선구성!$E$15*BP6+0.25*노선구성!$E$15*IS_Others!BP7</f>
        <v>2549.25</v>
      </c>
      <c r="BQ87" s="139">
        <f>0.2*노선구성!$E$15*BQ6+0.25*노선구성!$E$15*IS_Others!BQ7</f>
        <v>2549.25</v>
      </c>
      <c r="BR87" s="139">
        <f>0.2*노선구성!$E$15*BR6+0.25*노선구성!$E$15*IS_Others!BR7</f>
        <v>2549.25</v>
      </c>
      <c r="BS87" s="139">
        <f>0.2*노선구성!$E$15*BS6+0.25*노선구성!$E$15*IS_Others!BS7</f>
        <v>2549.25</v>
      </c>
      <c r="BU87" s="139">
        <f t="shared" si="76"/>
        <v>5778.3</v>
      </c>
      <c r="BV87" s="139">
        <f t="shared" si="77"/>
        <v>15975.299999999997</v>
      </c>
      <c r="BW87" s="139">
        <f t="shared" si="78"/>
        <v>22093.5</v>
      </c>
      <c r="BX87" s="139">
        <f t="shared" si="79"/>
        <v>28891.5</v>
      </c>
      <c r="BY87" s="139">
        <f t="shared" si="80"/>
        <v>30591</v>
      </c>
    </row>
    <row r="88" spans="3:77" s="221" customFormat="1" outlineLevel="1">
      <c r="C88" s="310"/>
      <c r="D88" s="221" t="s">
        <v>181</v>
      </c>
      <c r="F88" s="221" t="s">
        <v>571</v>
      </c>
      <c r="H88" s="361">
        <f>0.7</f>
        <v>0.7</v>
      </c>
      <c r="I88" s="221">
        <v>1</v>
      </c>
      <c r="J88" s="221" t="s">
        <v>1362</v>
      </c>
      <c r="L88" s="221">
        <f>$H88*L$5*$I88</f>
        <v>0</v>
      </c>
      <c r="M88" s="221">
        <f t="shared" ref="M88:BS89" si="89">$H88*M$5*$I88</f>
        <v>0</v>
      </c>
      <c r="N88" s="221">
        <f t="shared" si="89"/>
        <v>0</v>
      </c>
      <c r="O88" s="221">
        <f t="shared" si="89"/>
        <v>0</v>
      </c>
      <c r="P88" s="221">
        <f t="shared" si="89"/>
        <v>0</v>
      </c>
      <c r="Q88" s="221">
        <f t="shared" si="89"/>
        <v>0</v>
      </c>
      <c r="R88" s="221">
        <f t="shared" si="89"/>
        <v>2.8</v>
      </c>
      <c r="S88" s="221">
        <f t="shared" si="89"/>
        <v>2.8</v>
      </c>
      <c r="T88" s="221">
        <f t="shared" si="89"/>
        <v>2.8</v>
      </c>
      <c r="U88" s="221">
        <f t="shared" si="89"/>
        <v>2.8</v>
      </c>
      <c r="V88" s="221">
        <f t="shared" si="89"/>
        <v>2.8</v>
      </c>
      <c r="W88" s="221">
        <f t="shared" si="89"/>
        <v>2.8</v>
      </c>
      <c r="X88" s="221">
        <f t="shared" si="89"/>
        <v>3.5</v>
      </c>
      <c r="Y88" s="221">
        <f t="shared" si="89"/>
        <v>3.5</v>
      </c>
      <c r="Z88" s="221">
        <f t="shared" si="89"/>
        <v>3.5</v>
      </c>
      <c r="AA88" s="221">
        <f t="shared" si="89"/>
        <v>3.5</v>
      </c>
      <c r="AB88" s="221">
        <f t="shared" si="89"/>
        <v>3.5</v>
      </c>
      <c r="AC88" s="221">
        <f t="shared" si="89"/>
        <v>3.5</v>
      </c>
      <c r="AD88" s="221">
        <f t="shared" si="89"/>
        <v>4.1999999999999993</v>
      </c>
      <c r="AE88" s="221">
        <f t="shared" si="89"/>
        <v>4.1999999999999993</v>
      </c>
      <c r="AF88" s="221">
        <f t="shared" si="89"/>
        <v>4.1999999999999993</v>
      </c>
      <c r="AG88" s="221">
        <f t="shared" si="89"/>
        <v>4.1999999999999993</v>
      </c>
      <c r="AH88" s="221">
        <f t="shared" si="89"/>
        <v>4.1999999999999993</v>
      </c>
      <c r="AI88" s="221">
        <f t="shared" si="89"/>
        <v>4.1999999999999993</v>
      </c>
      <c r="AJ88" s="221">
        <f t="shared" si="89"/>
        <v>4.8999999999999995</v>
      </c>
      <c r="AK88" s="221">
        <f t="shared" si="89"/>
        <v>4.8999999999999995</v>
      </c>
      <c r="AL88" s="221">
        <f t="shared" si="89"/>
        <v>4.8999999999999995</v>
      </c>
      <c r="AM88" s="221">
        <f t="shared" si="89"/>
        <v>4.8999999999999995</v>
      </c>
      <c r="AN88" s="221">
        <f t="shared" si="89"/>
        <v>4.8999999999999995</v>
      </c>
      <c r="AO88" s="221">
        <f t="shared" si="89"/>
        <v>4.8999999999999995</v>
      </c>
      <c r="AP88" s="221">
        <f t="shared" si="89"/>
        <v>5.6</v>
      </c>
      <c r="AQ88" s="221">
        <f t="shared" si="89"/>
        <v>5.6</v>
      </c>
      <c r="AR88" s="221">
        <f t="shared" si="89"/>
        <v>5.6</v>
      </c>
      <c r="AS88" s="221">
        <f t="shared" si="89"/>
        <v>5.6</v>
      </c>
      <c r="AT88" s="221">
        <f t="shared" si="89"/>
        <v>5.6</v>
      </c>
      <c r="AU88" s="221">
        <f t="shared" si="89"/>
        <v>5.6</v>
      </c>
      <c r="AV88" s="221">
        <f t="shared" si="89"/>
        <v>6.3</v>
      </c>
      <c r="AW88" s="221">
        <f t="shared" si="89"/>
        <v>6.3</v>
      </c>
      <c r="AX88" s="221">
        <f t="shared" si="89"/>
        <v>6.3</v>
      </c>
      <c r="AY88" s="221">
        <f t="shared" si="89"/>
        <v>6.3</v>
      </c>
      <c r="AZ88" s="221">
        <f t="shared" si="89"/>
        <v>6.3</v>
      </c>
      <c r="BA88" s="221">
        <f t="shared" si="89"/>
        <v>6.3</v>
      </c>
      <c r="BB88" s="221">
        <f t="shared" si="89"/>
        <v>7</v>
      </c>
      <c r="BC88" s="221">
        <f t="shared" si="89"/>
        <v>7</v>
      </c>
      <c r="BD88" s="221">
        <f t="shared" si="89"/>
        <v>7</v>
      </c>
      <c r="BE88" s="221">
        <f t="shared" si="89"/>
        <v>7</v>
      </c>
      <c r="BF88" s="221">
        <f t="shared" si="89"/>
        <v>7</v>
      </c>
      <c r="BG88" s="221">
        <f t="shared" si="89"/>
        <v>7</v>
      </c>
      <c r="BH88" s="221">
        <f t="shared" si="89"/>
        <v>7</v>
      </c>
      <c r="BI88" s="221">
        <f t="shared" si="89"/>
        <v>7</v>
      </c>
      <c r="BJ88" s="221">
        <f t="shared" si="89"/>
        <v>7</v>
      </c>
      <c r="BK88" s="221">
        <f t="shared" si="89"/>
        <v>7</v>
      </c>
      <c r="BL88" s="221">
        <f t="shared" si="89"/>
        <v>7</v>
      </c>
      <c r="BM88" s="221">
        <f t="shared" si="89"/>
        <v>7</v>
      </c>
      <c r="BN88" s="221">
        <f t="shared" si="89"/>
        <v>7</v>
      </c>
      <c r="BO88" s="221">
        <f t="shared" si="89"/>
        <v>7</v>
      </c>
      <c r="BP88" s="221">
        <f t="shared" si="89"/>
        <v>7</v>
      </c>
      <c r="BQ88" s="221">
        <f t="shared" si="89"/>
        <v>7</v>
      </c>
      <c r="BR88" s="221">
        <f t="shared" si="89"/>
        <v>7</v>
      </c>
      <c r="BS88" s="221">
        <f t="shared" si="89"/>
        <v>7</v>
      </c>
      <c r="BU88" s="221">
        <f t="shared" ref="BU88" si="90">SUM(L88:W88)</f>
        <v>16.8</v>
      </c>
      <c r="BV88" s="221">
        <f t="shared" ref="BV88" si="91">SUM(X88:AI88)</f>
        <v>46.2</v>
      </c>
      <c r="BW88" s="221">
        <f t="shared" ref="BW88" si="92">SUM(AJ88:AU88)</f>
        <v>63</v>
      </c>
      <c r="BX88" s="221">
        <f t="shared" ref="BX88" si="93">SUM(AV88:BG88)</f>
        <v>79.8</v>
      </c>
      <c r="BY88" s="221">
        <f t="shared" ref="BY88" si="94">SUM(BH88:BS88)</f>
        <v>84</v>
      </c>
    </row>
    <row r="89" spans="3:77" s="221" customFormat="1" outlineLevel="1">
      <c r="C89" s="310"/>
      <c r="D89" s="221" t="s">
        <v>1361</v>
      </c>
      <c r="F89" s="221" t="s">
        <v>571</v>
      </c>
      <c r="H89" s="361">
        <f>0.7</f>
        <v>0.7</v>
      </c>
      <c r="I89" s="221">
        <v>2</v>
      </c>
      <c r="J89" s="221" t="s">
        <v>1362</v>
      </c>
      <c r="L89" s="221">
        <f>$H89*L$5*$I89</f>
        <v>0</v>
      </c>
      <c r="M89" s="221">
        <f t="shared" si="89"/>
        <v>0</v>
      </c>
      <c r="N89" s="221">
        <f t="shared" si="89"/>
        <v>0</v>
      </c>
      <c r="O89" s="221">
        <f t="shared" si="89"/>
        <v>0</v>
      </c>
      <c r="P89" s="221">
        <f t="shared" si="89"/>
        <v>0</v>
      </c>
      <c r="Q89" s="221">
        <f t="shared" si="89"/>
        <v>0</v>
      </c>
      <c r="R89" s="221">
        <f t="shared" si="89"/>
        <v>5.6</v>
      </c>
      <c r="S89" s="221">
        <f t="shared" si="89"/>
        <v>5.6</v>
      </c>
      <c r="T89" s="221">
        <f t="shared" si="89"/>
        <v>5.6</v>
      </c>
      <c r="U89" s="221">
        <f t="shared" si="89"/>
        <v>5.6</v>
      </c>
      <c r="V89" s="221">
        <f t="shared" si="89"/>
        <v>5.6</v>
      </c>
      <c r="W89" s="221">
        <f t="shared" si="89"/>
        <v>5.6</v>
      </c>
      <c r="X89" s="221">
        <f t="shared" si="89"/>
        <v>7</v>
      </c>
      <c r="Y89" s="221">
        <f t="shared" si="89"/>
        <v>7</v>
      </c>
      <c r="Z89" s="221">
        <f t="shared" si="89"/>
        <v>7</v>
      </c>
      <c r="AA89" s="221">
        <f t="shared" si="89"/>
        <v>7</v>
      </c>
      <c r="AB89" s="221">
        <f t="shared" si="89"/>
        <v>7</v>
      </c>
      <c r="AC89" s="221">
        <f t="shared" si="89"/>
        <v>7</v>
      </c>
      <c r="AD89" s="221">
        <f t="shared" si="89"/>
        <v>8.3999999999999986</v>
      </c>
      <c r="AE89" s="221">
        <f t="shared" si="89"/>
        <v>8.3999999999999986</v>
      </c>
      <c r="AF89" s="221">
        <f t="shared" si="89"/>
        <v>8.3999999999999986</v>
      </c>
      <c r="AG89" s="221">
        <f t="shared" si="89"/>
        <v>8.3999999999999986</v>
      </c>
      <c r="AH89" s="221">
        <f t="shared" si="89"/>
        <v>8.3999999999999986</v>
      </c>
      <c r="AI89" s="221">
        <f t="shared" si="89"/>
        <v>8.3999999999999986</v>
      </c>
      <c r="AJ89" s="221">
        <f t="shared" si="89"/>
        <v>9.7999999999999989</v>
      </c>
      <c r="AK89" s="221">
        <f t="shared" si="89"/>
        <v>9.7999999999999989</v>
      </c>
      <c r="AL89" s="221">
        <f t="shared" si="89"/>
        <v>9.7999999999999989</v>
      </c>
      <c r="AM89" s="221">
        <f t="shared" si="89"/>
        <v>9.7999999999999989</v>
      </c>
      <c r="AN89" s="221">
        <f t="shared" si="89"/>
        <v>9.7999999999999989</v>
      </c>
      <c r="AO89" s="221">
        <f t="shared" si="89"/>
        <v>9.7999999999999989</v>
      </c>
      <c r="AP89" s="221">
        <f t="shared" si="89"/>
        <v>11.2</v>
      </c>
      <c r="AQ89" s="221">
        <f t="shared" si="89"/>
        <v>11.2</v>
      </c>
      <c r="AR89" s="221">
        <f t="shared" si="89"/>
        <v>11.2</v>
      </c>
      <c r="AS89" s="221">
        <f t="shared" si="89"/>
        <v>11.2</v>
      </c>
      <c r="AT89" s="221">
        <f t="shared" si="89"/>
        <v>11.2</v>
      </c>
      <c r="AU89" s="221">
        <f t="shared" si="89"/>
        <v>11.2</v>
      </c>
      <c r="AV89" s="221">
        <f t="shared" si="89"/>
        <v>12.6</v>
      </c>
      <c r="AW89" s="221">
        <f t="shared" si="89"/>
        <v>12.6</v>
      </c>
      <c r="AX89" s="221">
        <f t="shared" si="89"/>
        <v>12.6</v>
      </c>
      <c r="AY89" s="221">
        <f t="shared" si="89"/>
        <v>12.6</v>
      </c>
      <c r="AZ89" s="221">
        <f t="shared" si="89"/>
        <v>12.6</v>
      </c>
      <c r="BA89" s="221">
        <f t="shared" si="89"/>
        <v>12.6</v>
      </c>
      <c r="BB89" s="221">
        <f t="shared" si="89"/>
        <v>14</v>
      </c>
      <c r="BC89" s="221">
        <f t="shared" si="89"/>
        <v>14</v>
      </c>
      <c r="BD89" s="221">
        <f t="shared" si="89"/>
        <v>14</v>
      </c>
      <c r="BE89" s="221">
        <f t="shared" si="89"/>
        <v>14</v>
      </c>
      <c r="BF89" s="221">
        <f t="shared" si="89"/>
        <v>14</v>
      </c>
      <c r="BG89" s="221">
        <f t="shared" si="89"/>
        <v>14</v>
      </c>
      <c r="BH89" s="221">
        <f t="shared" si="89"/>
        <v>14</v>
      </c>
      <c r="BI89" s="221">
        <f t="shared" si="89"/>
        <v>14</v>
      </c>
      <c r="BJ89" s="221">
        <f t="shared" si="89"/>
        <v>14</v>
      </c>
      <c r="BK89" s="221">
        <f t="shared" si="89"/>
        <v>14</v>
      </c>
      <c r="BL89" s="221">
        <f t="shared" si="89"/>
        <v>14</v>
      </c>
      <c r="BM89" s="221">
        <f t="shared" si="89"/>
        <v>14</v>
      </c>
      <c r="BN89" s="221">
        <f t="shared" si="89"/>
        <v>14</v>
      </c>
      <c r="BO89" s="221">
        <f t="shared" si="89"/>
        <v>14</v>
      </c>
      <c r="BP89" s="221">
        <f t="shared" si="89"/>
        <v>14</v>
      </c>
      <c r="BQ89" s="221">
        <f t="shared" si="89"/>
        <v>14</v>
      </c>
      <c r="BR89" s="221">
        <f t="shared" si="89"/>
        <v>14</v>
      </c>
      <c r="BS89" s="221">
        <f t="shared" si="89"/>
        <v>14</v>
      </c>
      <c r="BU89" s="221">
        <f t="shared" si="76"/>
        <v>33.6</v>
      </c>
      <c r="BV89" s="221">
        <f t="shared" si="77"/>
        <v>92.4</v>
      </c>
      <c r="BW89" s="221">
        <f t="shared" si="78"/>
        <v>126</v>
      </c>
      <c r="BX89" s="221">
        <f t="shared" si="79"/>
        <v>159.6</v>
      </c>
      <c r="BY89" s="221">
        <f t="shared" si="80"/>
        <v>168</v>
      </c>
    </row>
    <row r="90" spans="3:77">
      <c r="C90" s="155" t="s">
        <v>188</v>
      </c>
      <c r="L90" s="155">
        <f t="shared" ref="L90:BR90" si="95">SUBTOTAL(9,L91:L95)</f>
        <v>0</v>
      </c>
      <c r="M90" s="155">
        <f t="shared" si="95"/>
        <v>0</v>
      </c>
      <c r="N90" s="155">
        <f t="shared" si="95"/>
        <v>0</v>
      </c>
      <c r="O90" s="155">
        <f t="shared" si="95"/>
        <v>0</v>
      </c>
      <c r="P90" s="155">
        <f t="shared" si="95"/>
        <v>0</v>
      </c>
      <c r="Q90" s="155">
        <f t="shared" si="95"/>
        <v>0</v>
      </c>
      <c r="R90" s="155">
        <f t="shared" si="95"/>
        <v>0</v>
      </c>
      <c r="S90" s="155">
        <f t="shared" si="95"/>
        <v>0</v>
      </c>
      <c r="T90" s="155">
        <f t="shared" si="95"/>
        <v>0</v>
      </c>
      <c r="U90" s="155">
        <f t="shared" si="95"/>
        <v>0</v>
      </c>
      <c r="V90" s="155">
        <f t="shared" si="95"/>
        <v>0</v>
      </c>
      <c r="W90" s="155">
        <f t="shared" si="95"/>
        <v>0</v>
      </c>
      <c r="X90" s="155">
        <f t="shared" si="95"/>
        <v>0</v>
      </c>
      <c r="Y90" s="155">
        <f t="shared" si="95"/>
        <v>0</v>
      </c>
      <c r="Z90" s="155">
        <f t="shared" si="95"/>
        <v>0</v>
      </c>
      <c r="AA90" s="155">
        <f t="shared" si="95"/>
        <v>0</v>
      </c>
      <c r="AB90" s="155">
        <f t="shared" si="95"/>
        <v>0</v>
      </c>
      <c r="AC90" s="155">
        <f t="shared" si="95"/>
        <v>0</v>
      </c>
      <c r="AD90" s="155">
        <f t="shared" si="95"/>
        <v>0</v>
      </c>
      <c r="AE90" s="155">
        <f t="shared" si="95"/>
        <v>0</v>
      </c>
      <c r="AF90" s="155">
        <f t="shared" si="95"/>
        <v>0</v>
      </c>
      <c r="AG90" s="155">
        <f t="shared" si="95"/>
        <v>0</v>
      </c>
      <c r="AH90" s="155">
        <f t="shared" si="95"/>
        <v>0</v>
      </c>
      <c r="AI90" s="155">
        <f t="shared" si="95"/>
        <v>0</v>
      </c>
      <c r="AJ90" s="155">
        <f t="shared" si="95"/>
        <v>0</v>
      </c>
      <c r="AK90" s="155">
        <f t="shared" si="95"/>
        <v>0</v>
      </c>
      <c r="AL90" s="155">
        <f t="shared" si="95"/>
        <v>0</v>
      </c>
      <c r="AM90" s="155">
        <f t="shared" si="95"/>
        <v>0</v>
      </c>
      <c r="AN90" s="155">
        <f t="shared" si="95"/>
        <v>0</v>
      </c>
      <c r="AO90" s="155">
        <f t="shared" si="95"/>
        <v>0</v>
      </c>
      <c r="AP90" s="155">
        <f t="shared" si="95"/>
        <v>0</v>
      </c>
      <c r="AQ90" s="155">
        <f t="shared" si="95"/>
        <v>0</v>
      </c>
      <c r="AR90" s="155">
        <f t="shared" si="95"/>
        <v>0</v>
      </c>
      <c r="AS90" s="155">
        <f t="shared" si="95"/>
        <v>0</v>
      </c>
      <c r="AT90" s="155">
        <f t="shared" si="95"/>
        <v>0</v>
      </c>
      <c r="AU90" s="155">
        <f t="shared" si="95"/>
        <v>0</v>
      </c>
      <c r="AV90" s="155">
        <f t="shared" si="95"/>
        <v>0</v>
      </c>
      <c r="AW90" s="155">
        <f t="shared" si="95"/>
        <v>0</v>
      </c>
      <c r="AX90" s="155">
        <f t="shared" si="95"/>
        <v>0</v>
      </c>
      <c r="AY90" s="155">
        <f t="shared" si="95"/>
        <v>0</v>
      </c>
      <c r="AZ90" s="155">
        <f t="shared" si="95"/>
        <v>0</v>
      </c>
      <c r="BA90" s="155">
        <f t="shared" si="95"/>
        <v>0</v>
      </c>
      <c r="BB90" s="155">
        <f t="shared" si="95"/>
        <v>0</v>
      </c>
      <c r="BC90" s="155">
        <f t="shared" si="95"/>
        <v>0</v>
      </c>
      <c r="BD90" s="155">
        <f t="shared" si="95"/>
        <v>0</v>
      </c>
      <c r="BE90" s="155">
        <f t="shared" si="95"/>
        <v>0</v>
      </c>
      <c r="BF90" s="155">
        <f t="shared" si="95"/>
        <v>0</v>
      </c>
      <c r="BG90" s="155">
        <f t="shared" si="95"/>
        <v>0</v>
      </c>
      <c r="BH90" s="155">
        <f t="shared" si="95"/>
        <v>0</v>
      </c>
      <c r="BI90" s="155">
        <f t="shared" si="95"/>
        <v>0</v>
      </c>
      <c r="BJ90" s="155">
        <f t="shared" si="95"/>
        <v>0</v>
      </c>
      <c r="BK90" s="155">
        <f t="shared" si="95"/>
        <v>0</v>
      </c>
      <c r="BL90" s="155">
        <f t="shared" si="95"/>
        <v>0</v>
      </c>
      <c r="BM90" s="155">
        <f t="shared" si="95"/>
        <v>0</v>
      </c>
      <c r="BN90" s="155">
        <f t="shared" si="95"/>
        <v>0</v>
      </c>
      <c r="BO90" s="155">
        <f t="shared" si="95"/>
        <v>0</v>
      </c>
      <c r="BP90" s="155">
        <f t="shared" si="95"/>
        <v>0</v>
      </c>
      <c r="BQ90" s="155">
        <f t="shared" si="95"/>
        <v>0</v>
      </c>
      <c r="BR90" s="155">
        <f t="shared" si="95"/>
        <v>0</v>
      </c>
      <c r="BS90" s="155">
        <f>SUBTOTAL(9,BS91:BS95)</f>
        <v>0</v>
      </c>
      <c r="BU90" s="139">
        <f t="shared" si="76"/>
        <v>0</v>
      </c>
      <c r="BV90" s="139">
        <f t="shared" si="77"/>
        <v>0</v>
      </c>
      <c r="BW90" s="139">
        <f t="shared" si="78"/>
        <v>0</v>
      </c>
      <c r="BX90" s="139">
        <f t="shared" si="79"/>
        <v>0</v>
      </c>
      <c r="BY90" s="139">
        <f t="shared" si="80"/>
        <v>0</v>
      </c>
    </row>
    <row r="91" spans="3:77" outlineLevel="1">
      <c r="C91" s="155"/>
      <c r="D91" s="139" t="s">
        <v>189</v>
      </c>
      <c r="L91" s="139">
        <v>0</v>
      </c>
      <c r="M91" s="139">
        <v>0</v>
      </c>
      <c r="N91" s="139">
        <v>0</v>
      </c>
      <c r="O91" s="139">
        <v>0</v>
      </c>
      <c r="P91" s="139">
        <v>0</v>
      </c>
      <c r="Q91" s="139">
        <v>0</v>
      </c>
      <c r="R91" s="139">
        <v>0</v>
      </c>
      <c r="S91" s="139">
        <v>0</v>
      </c>
      <c r="T91" s="139">
        <v>0</v>
      </c>
      <c r="U91" s="139">
        <v>0</v>
      </c>
      <c r="V91" s="139">
        <v>0</v>
      </c>
      <c r="W91" s="139">
        <v>0</v>
      </c>
      <c r="X91" s="139">
        <v>0</v>
      </c>
      <c r="Y91" s="139">
        <v>0</v>
      </c>
      <c r="Z91" s="139">
        <v>0</v>
      </c>
      <c r="AA91" s="139">
        <v>0</v>
      </c>
      <c r="AB91" s="139">
        <v>0</v>
      </c>
      <c r="AC91" s="139">
        <v>0</v>
      </c>
      <c r="AD91" s="139">
        <v>0</v>
      </c>
      <c r="AE91" s="139">
        <v>0</v>
      </c>
      <c r="AF91" s="139">
        <v>0</v>
      </c>
      <c r="AG91" s="139">
        <v>0</v>
      </c>
      <c r="AH91" s="139">
        <v>0</v>
      </c>
      <c r="AI91" s="139">
        <v>0</v>
      </c>
      <c r="AJ91" s="139">
        <v>0</v>
      </c>
      <c r="AK91" s="139">
        <v>0</v>
      </c>
      <c r="AL91" s="139">
        <v>0</v>
      </c>
      <c r="AM91" s="139">
        <v>0</v>
      </c>
      <c r="AN91" s="139">
        <v>0</v>
      </c>
      <c r="AO91" s="139">
        <v>0</v>
      </c>
      <c r="AP91" s="139">
        <v>0</v>
      </c>
      <c r="AQ91" s="139">
        <v>0</v>
      </c>
      <c r="AR91" s="139">
        <v>0</v>
      </c>
      <c r="AS91" s="139">
        <v>0</v>
      </c>
      <c r="AT91" s="139">
        <v>0</v>
      </c>
      <c r="AU91" s="139">
        <v>0</v>
      </c>
      <c r="AV91" s="139">
        <v>0</v>
      </c>
      <c r="AW91" s="139">
        <v>0</v>
      </c>
      <c r="AX91" s="139">
        <v>0</v>
      </c>
      <c r="AY91" s="139">
        <v>0</v>
      </c>
      <c r="AZ91" s="139">
        <v>0</v>
      </c>
      <c r="BA91" s="139">
        <v>0</v>
      </c>
      <c r="BB91" s="139">
        <v>0</v>
      </c>
      <c r="BC91" s="139">
        <v>0</v>
      </c>
      <c r="BD91" s="139">
        <v>0</v>
      </c>
      <c r="BE91" s="139">
        <v>0</v>
      </c>
      <c r="BF91" s="139">
        <v>0</v>
      </c>
      <c r="BG91" s="139">
        <v>0</v>
      </c>
      <c r="BH91" s="139">
        <v>0</v>
      </c>
      <c r="BI91" s="139">
        <v>0</v>
      </c>
      <c r="BJ91" s="139">
        <v>0</v>
      </c>
      <c r="BK91" s="139">
        <v>0</v>
      </c>
      <c r="BL91" s="139">
        <v>0</v>
      </c>
      <c r="BM91" s="139">
        <v>0</v>
      </c>
      <c r="BN91" s="139">
        <v>0</v>
      </c>
      <c r="BO91" s="139">
        <v>0</v>
      </c>
      <c r="BP91" s="139">
        <v>0</v>
      </c>
      <c r="BQ91" s="139">
        <v>0</v>
      </c>
      <c r="BR91" s="139">
        <v>0</v>
      </c>
      <c r="BS91" s="139">
        <v>0</v>
      </c>
      <c r="BU91" s="139">
        <f t="shared" si="76"/>
        <v>0</v>
      </c>
      <c r="BV91" s="139">
        <f t="shared" si="77"/>
        <v>0</v>
      </c>
      <c r="BW91" s="139">
        <f t="shared" si="78"/>
        <v>0</v>
      </c>
      <c r="BX91" s="139">
        <f t="shared" si="79"/>
        <v>0</v>
      </c>
      <c r="BY91" s="139">
        <f t="shared" si="80"/>
        <v>0</v>
      </c>
    </row>
    <row r="92" spans="3:77" outlineLevel="1">
      <c r="C92" s="155"/>
      <c r="D92" s="139" t="s">
        <v>190</v>
      </c>
      <c r="L92" s="139">
        <v>0</v>
      </c>
      <c r="M92" s="139">
        <v>0</v>
      </c>
      <c r="N92" s="139">
        <v>0</v>
      </c>
      <c r="O92" s="139">
        <v>0</v>
      </c>
      <c r="P92" s="139">
        <v>0</v>
      </c>
      <c r="Q92" s="139">
        <v>0</v>
      </c>
      <c r="R92" s="139">
        <v>0</v>
      </c>
      <c r="S92" s="139">
        <v>0</v>
      </c>
      <c r="T92" s="139">
        <v>0</v>
      </c>
      <c r="U92" s="139">
        <v>0</v>
      </c>
      <c r="V92" s="139">
        <v>0</v>
      </c>
      <c r="W92" s="139">
        <v>0</v>
      </c>
      <c r="X92" s="139">
        <v>0</v>
      </c>
      <c r="Y92" s="139">
        <v>0</v>
      </c>
      <c r="Z92" s="139">
        <v>0</v>
      </c>
      <c r="AA92" s="139">
        <v>0</v>
      </c>
      <c r="AB92" s="139">
        <v>0</v>
      </c>
      <c r="AC92" s="139">
        <v>0</v>
      </c>
      <c r="AD92" s="139">
        <v>0</v>
      </c>
      <c r="AE92" s="139">
        <v>0</v>
      </c>
      <c r="AF92" s="139">
        <v>0</v>
      </c>
      <c r="AG92" s="139">
        <v>0</v>
      </c>
      <c r="AH92" s="139">
        <v>0</v>
      </c>
      <c r="AI92" s="139">
        <v>0</v>
      </c>
      <c r="AJ92" s="139">
        <v>0</v>
      </c>
      <c r="AK92" s="139">
        <v>0</v>
      </c>
      <c r="AL92" s="139">
        <v>0</v>
      </c>
      <c r="AM92" s="139">
        <v>0</v>
      </c>
      <c r="AN92" s="139">
        <v>0</v>
      </c>
      <c r="AO92" s="139">
        <v>0</v>
      </c>
      <c r="AP92" s="139">
        <v>0</v>
      </c>
      <c r="AQ92" s="139">
        <v>0</v>
      </c>
      <c r="AR92" s="139">
        <v>0</v>
      </c>
      <c r="AS92" s="139">
        <v>0</v>
      </c>
      <c r="AT92" s="139">
        <v>0</v>
      </c>
      <c r="AU92" s="139">
        <v>0</v>
      </c>
      <c r="AV92" s="139">
        <v>0</v>
      </c>
      <c r="AW92" s="139">
        <v>0</v>
      </c>
      <c r="AX92" s="139">
        <v>0</v>
      </c>
      <c r="AY92" s="139">
        <v>0</v>
      </c>
      <c r="AZ92" s="139">
        <v>0</v>
      </c>
      <c r="BA92" s="139">
        <v>0</v>
      </c>
      <c r="BB92" s="139">
        <v>0</v>
      </c>
      <c r="BC92" s="139">
        <v>0</v>
      </c>
      <c r="BD92" s="139">
        <v>0</v>
      </c>
      <c r="BE92" s="139">
        <v>0</v>
      </c>
      <c r="BF92" s="139">
        <v>0</v>
      </c>
      <c r="BG92" s="139">
        <v>0</v>
      </c>
      <c r="BH92" s="139">
        <v>0</v>
      </c>
      <c r="BI92" s="139">
        <v>0</v>
      </c>
      <c r="BJ92" s="139">
        <v>0</v>
      </c>
      <c r="BK92" s="139">
        <v>0</v>
      </c>
      <c r="BL92" s="139">
        <v>0</v>
      </c>
      <c r="BM92" s="139">
        <v>0</v>
      </c>
      <c r="BN92" s="139">
        <v>0</v>
      </c>
      <c r="BO92" s="139">
        <v>0</v>
      </c>
      <c r="BP92" s="139">
        <v>0</v>
      </c>
      <c r="BQ92" s="139">
        <v>0</v>
      </c>
      <c r="BR92" s="139">
        <v>0</v>
      </c>
      <c r="BS92" s="139">
        <v>0</v>
      </c>
      <c r="BU92" s="139">
        <f t="shared" si="76"/>
        <v>0</v>
      </c>
      <c r="BV92" s="139">
        <f t="shared" si="77"/>
        <v>0</v>
      </c>
      <c r="BW92" s="139">
        <f t="shared" si="78"/>
        <v>0</v>
      </c>
      <c r="BX92" s="139">
        <f t="shared" si="79"/>
        <v>0</v>
      </c>
      <c r="BY92" s="139">
        <f t="shared" si="80"/>
        <v>0</v>
      </c>
    </row>
    <row r="93" spans="3:77" outlineLevel="1">
      <c r="C93" s="155"/>
      <c r="D93" s="139" t="s">
        <v>191</v>
      </c>
      <c r="L93" s="139">
        <v>0</v>
      </c>
      <c r="M93" s="139">
        <v>0</v>
      </c>
      <c r="N93" s="139">
        <v>0</v>
      </c>
      <c r="O93" s="139">
        <v>0</v>
      </c>
      <c r="P93" s="139">
        <v>0</v>
      </c>
      <c r="Q93" s="139">
        <v>0</v>
      </c>
      <c r="R93" s="139">
        <v>0</v>
      </c>
      <c r="S93" s="139">
        <v>0</v>
      </c>
      <c r="T93" s="139">
        <v>0</v>
      </c>
      <c r="U93" s="139">
        <v>0</v>
      </c>
      <c r="V93" s="139">
        <v>0</v>
      </c>
      <c r="W93" s="139">
        <v>0</v>
      </c>
      <c r="X93" s="139">
        <v>0</v>
      </c>
      <c r="Y93" s="139">
        <v>0</v>
      </c>
      <c r="Z93" s="139">
        <v>0</v>
      </c>
      <c r="AA93" s="139">
        <v>0</v>
      </c>
      <c r="AB93" s="139">
        <v>0</v>
      </c>
      <c r="AC93" s="139">
        <v>0</v>
      </c>
      <c r="AD93" s="139">
        <v>0</v>
      </c>
      <c r="AE93" s="139">
        <v>0</v>
      </c>
      <c r="AF93" s="139">
        <v>0</v>
      </c>
      <c r="AG93" s="139">
        <v>0</v>
      </c>
      <c r="AH93" s="139">
        <v>0</v>
      </c>
      <c r="AI93" s="139">
        <v>0</v>
      </c>
      <c r="AJ93" s="139">
        <v>0</v>
      </c>
      <c r="AK93" s="139">
        <v>0</v>
      </c>
      <c r="AL93" s="139">
        <v>0</v>
      </c>
      <c r="AM93" s="139">
        <v>0</v>
      </c>
      <c r="AN93" s="139">
        <v>0</v>
      </c>
      <c r="AO93" s="139">
        <v>0</v>
      </c>
      <c r="AP93" s="139">
        <v>0</v>
      </c>
      <c r="AQ93" s="139">
        <v>0</v>
      </c>
      <c r="AR93" s="139">
        <v>0</v>
      </c>
      <c r="AS93" s="139">
        <v>0</v>
      </c>
      <c r="AT93" s="139">
        <v>0</v>
      </c>
      <c r="AU93" s="139">
        <v>0</v>
      </c>
      <c r="AV93" s="139">
        <v>0</v>
      </c>
      <c r="AW93" s="139">
        <v>0</v>
      </c>
      <c r="AX93" s="139">
        <v>0</v>
      </c>
      <c r="AY93" s="139">
        <v>0</v>
      </c>
      <c r="AZ93" s="139">
        <v>0</v>
      </c>
      <c r="BA93" s="139">
        <v>0</v>
      </c>
      <c r="BB93" s="139">
        <v>0</v>
      </c>
      <c r="BC93" s="139">
        <v>0</v>
      </c>
      <c r="BD93" s="139">
        <v>0</v>
      </c>
      <c r="BE93" s="139">
        <v>0</v>
      </c>
      <c r="BF93" s="139">
        <v>0</v>
      </c>
      <c r="BG93" s="139">
        <v>0</v>
      </c>
      <c r="BH93" s="139">
        <v>0</v>
      </c>
      <c r="BI93" s="139">
        <v>0</v>
      </c>
      <c r="BJ93" s="139">
        <v>0</v>
      </c>
      <c r="BK93" s="139">
        <v>0</v>
      </c>
      <c r="BL93" s="139">
        <v>0</v>
      </c>
      <c r="BM93" s="139">
        <v>0</v>
      </c>
      <c r="BN93" s="139">
        <v>0</v>
      </c>
      <c r="BO93" s="139">
        <v>0</v>
      </c>
      <c r="BP93" s="139">
        <v>0</v>
      </c>
      <c r="BQ93" s="139">
        <v>0</v>
      </c>
      <c r="BR93" s="139">
        <v>0</v>
      </c>
      <c r="BS93" s="139">
        <v>0</v>
      </c>
      <c r="BU93" s="139">
        <f t="shared" si="76"/>
        <v>0</v>
      </c>
      <c r="BV93" s="139">
        <f t="shared" si="77"/>
        <v>0</v>
      </c>
      <c r="BW93" s="139">
        <f t="shared" si="78"/>
        <v>0</v>
      </c>
      <c r="BX93" s="139">
        <f t="shared" si="79"/>
        <v>0</v>
      </c>
      <c r="BY93" s="139">
        <f t="shared" si="80"/>
        <v>0</v>
      </c>
    </row>
    <row r="94" spans="3:77" outlineLevel="1">
      <c r="C94" s="155"/>
      <c r="D94" s="139" t="s">
        <v>192</v>
      </c>
      <c r="L94" s="139">
        <v>0</v>
      </c>
      <c r="M94" s="139">
        <v>0</v>
      </c>
      <c r="N94" s="139">
        <v>0</v>
      </c>
      <c r="O94" s="139">
        <v>0</v>
      </c>
      <c r="P94" s="139">
        <v>0</v>
      </c>
      <c r="Q94" s="139">
        <v>0</v>
      </c>
      <c r="R94" s="139">
        <v>0</v>
      </c>
      <c r="S94" s="139">
        <v>0</v>
      </c>
      <c r="T94" s="139">
        <v>0</v>
      </c>
      <c r="U94" s="139">
        <v>0</v>
      </c>
      <c r="V94" s="139">
        <v>0</v>
      </c>
      <c r="W94" s="139">
        <v>0</v>
      </c>
      <c r="X94" s="139">
        <v>0</v>
      </c>
      <c r="Y94" s="139">
        <v>0</v>
      </c>
      <c r="Z94" s="139">
        <v>0</v>
      </c>
      <c r="AA94" s="139">
        <v>0</v>
      </c>
      <c r="AB94" s="139">
        <v>0</v>
      </c>
      <c r="AC94" s="139">
        <v>0</v>
      </c>
      <c r="AD94" s="139">
        <v>0</v>
      </c>
      <c r="AE94" s="139">
        <v>0</v>
      </c>
      <c r="AF94" s="139">
        <v>0</v>
      </c>
      <c r="AG94" s="139">
        <v>0</v>
      </c>
      <c r="AH94" s="139">
        <v>0</v>
      </c>
      <c r="AI94" s="139">
        <v>0</v>
      </c>
      <c r="AJ94" s="139">
        <v>0</v>
      </c>
      <c r="AK94" s="139">
        <v>0</v>
      </c>
      <c r="AL94" s="139">
        <v>0</v>
      </c>
      <c r="AM94" s="139">
        <v>0</v>
      </c>
      <c r="AN94" s="139">
        <v>0</v>
      </c>
      <c r="AO94" s="139">
        <v>0</v>
      </c>
      <c r="AP94" s="139">
        <v>0</v>
      </c>
      <c r="AQ94" s="139">
        <v>0</v>
      </c>
      <c r="AR94" s="139">
        <v>0</v>
      </c>
      <c r="AS94" s="139">
        <v>0</v>
      </c>
      <c r="AT94" s="139">
        <v>0</v>
      </c>
      <c r="AU94" s="139">
        <v>0</v>
      </c>
      <c r="AV94" s="139">
        <v>0</v>
      </c>
      <c r="AW94" s="139">
        <v>0</v>
      </c>
      <c r="AX94" s="139">
        <v>0</v>
      </c>
      <c r="AY94" s="139">
        <v>0</v>
      </c>
      <c r="AZ94" s="139">
        <v>0</v>
      </c>
      <c r="BA94" s="139">
        <v>0</v>
      </c>
      <c r="BB94" s="139">
        <v>0</v>
      </c>
      <c r="BC94" s="139">
        <v>0</v>
      </c>
      <c r="BD94" s="139">
        <v>0</v>
      </c>
      <c r="BE94" s="139">
        <v>0</v>
      </c>
      <c r="BF94" s="139">
        <v>0</v>
      </c>
      <c r="BG94" s="139">
        <v>0</v>
      </c>
      <c r="BH94" s="139">
        <v>0</v>
      </c>
      <c r="BI94" s="139">
        <v>0</v>
      </c>
      <c r="BJ94" s="139">
        <v>0</v>
      </c>
      <c r="BK94" s="139">
        <v>0</v>
      </c>
      <c r="BL94" s="139">
        <v>0</v>
      </c>
      <c r="BM94" s="139">
        <v>0</v>
      </c>
      <c r="BN94" s="139">
        <v>0</v>
      </c>
      <c r="BO94" s="139">
        <v>0</v>
      </c>
      <c r="BP94" s="139">
        <v>0</v>
      </c>
      <c r="BQ94" s="139">
        <v>0</v>
      </c>
      <c r="BR94" s="139">
        <v>0</v>
      </c>
      <c r="BS94" s="139">
        <v>0</v>
      </c>
      <c r="BU94" s="139">
        <f t="shared" si="76"/>
        <v>0</v>
      </c>
      <c r="BV94" s="139">
        <f t="shared" si="77"/>
        <v>0</v>
      </c>
      <c r="BW94" s="139">
        <f t="shared" si="78"/>
        <v>0</v>
      </c>
      <c r="BX94" s="139">
        <f t="shared" si="79"/>
        <v>0</v>
      </c>
      <c r="BY94" s="139">
        <f t="shared" si="80"/>
        <v>0</v>
      </c>
    </row>
    <row r="95" spans="3:77" outlineLevel="1">
      <c r="C95" s="155"/>
      <c r="D95" s="139" t="s">
        <v>167</v>
      </c>
      <c r="L95" s="139">
        <v>0</v>
      </c>
      <c r="M95" s="139">
        <v>0</v>
      </c>
      <c r="N95" s="139">
        <v>0</v>
      </c>
      <c r="O95" s="139">
        <v>0</v>
      </c>
      <c r="P95" s="139">
        <v>0</v>
      </c>
      <c r="Q95" s="139">
        <v>0</v>
      </c>
      <c r="R95" s="139">
        <v>0</v>
      </c>
      <c r="S95" s="139">
        <v>0</v>
      </c>
      <c r="T95" s="139">
        <v>0</v>
      </c>
      <c r="U95" s="139">
        <v>0</v>
      </c>
      <c r="V95" s="139">
        <v>0</v>
      </c>
      <c r="W95" s="139">
        <v>0</v>
      </c>
      <c r="X95" s="139">
        <v>0</v>
      </c>
      <c r="Y95" s="139">
        <v>0</v>
      </c>
      <c r="Z95" s="139">
        <v>0</v>
      </c>
      <c r="AA95" s="139">
        <v>0</v>
      </c>
      <c r="AB95" s="139">
        <v>0</v>
      </c>
      <c r="AC95" s="139">
        <v>0</v>
      </c>
      <c r="AD95" s="139">
        <v>0</v>
      </c>
      <c r="AE95" s="139">
        <v>0</v>
      </c>
      <c r="AF95" s="139">
        <v>0</v>
      </c>
      <c r="AG95" s="139">
        <v>0</v>
      </c>
      <c r="AH95" s="139">
        <v>0</v>
      </c>
      <c r="AI95" s="139">
        <v>0</v>
      </c>
      <c r="AJ95" s="139">
        <v>0</v>
      </c>
      <c r="AK95" s="139">
        <v>0</v>
      </c>
      <c r="AL95" s="139">
        <v>0</v>
      </c>
      <c r="AM95" s="139">
        <v>0</v>
      </c>
      <c r="AN95" s="139">
        <v>0</v>
      </c>
      <c r="AO95" s="139">
        <v>0</v>
      </c>
      <c r="AP95" s="139">
        <v>0</v>
      </c>
      <c r="AQ95" s="139">
        <v>0</v>
      </c>
      <c r="AR95" s="139">
        <v>0</v>
      </c>
      <c r="AS95" s="139">
        <v>0</v>
      </c>
      <c r="AT95" s="139">
        <v>0</v>
      </c>
      <c r="AU95" s="139">
        <v>0</v>
      </c>
      <c r="AV95" s="139">
        <v>0</v>
      </c>
      <c r="AW95" s="139">
        <v>0</v>
      </c>
      <c r="AX95" s="139">
        <v>0</v>
      </c>
      <c r="AY95" s="139">
        <v>0</v>
      </c>
      <c r="AZ95" s="139">
        <v>0</v>
      </c>
      <c r="BA95" s="139">
        <v>0</v>
      </c>
      <c r="BB95" s="139">
        <v>0</v>
      </c>
      <c r="BC95" s="139">
        <v>0</v>
      </c>
      <c r="BD95" s="139">
        <v>0</v>
      </c>
      <c r="BE95" s="139">
        <v>0</v>
      </c>
      <c r="BF95" s="139">
        <v>0</v>
      </c>
      <c r="BG95" s="139">
        <v>0</v>
      </c>
      <c r="BH95" s="139">
        <v>0</v>
      </c>
      <c r="BI95" s="139">
        <v>0</v>
      </c>
      <c r="BJ95" s="139">
        <v>0</v>
      </c>
      <c r="BK95" s="139">
        <v>0</v>
      </c>
      <c r="BL95" s="139">
        <v>0</v>
      </c>
      <c r="BM95" s="139">
        <v>0</v>
      </c>
      <c r="BN95" s="139">
        <v>0</v>
      </c>
      <c r="BO95" s="139">
        <v>0</v>
      </c>
      <c r="BP95" s="139">
        <v>0</v>
      </c>
      <c r="BQ95" s="139">
        <v>0</v>
      </c>
      <c r="BR95" s="139">
        <v>0</v>
      </c>
      <c r="BS95" s="139">
        <v>0</v>
      </c>
      <c r="BU95" s="139">
        <f t="shared" si="76"/>
        <v>0</v>
      </c>
      <c r="BV95" s="139">
        <f t="shared" si="77"/>
        <v>0</v>
      </c>
      <c r="BW95" s="139">
        <f t="shared" si="78"/>
        <v>0</v>
      </c>
      <c r="BX95" s="139">
        <f t="shared" si="79"/>
        <v>0</v>
      </c>
      <c r="BY95" s="139">
        <f t="shared" si="80"/>
        <v>0</v>
      </c>
    </row>
    <row r="96" spans="3:77">
      <c r="C96" s="155" t="s">
        <v>193</v>
      </c>
      <c r="L96" s="155">
        <f t="shared" ref="L96:BR96" si="96">SUBTOTAL(9,L97:L99)</f>
        <v>12</v>
      </c>
      <c r="M96" s="155">
        <f t="shared" si="96"/>
        <v>0</v>
      </c>
      <c r="N96" s="155">
        <f t="shared" si="96"/>
        <v>0</v>
      </c>
      <c r="O96" s="155">
        <f t="shared" si="96"/>
        <v>100</v>
      </c>
      <c r="P96" s="155">
        <f t="shared" si="96"/>
        <v>0</v>
      </c>
      <c r="Q96" s="155">
        <f t="shared" si="96"/>
        <v>0</v>
      </c>
      <c r="R96" s="155">
        <f t="shared" si="96"/>
        <v>0</v>
      </c>
      <c r="S96" s="155">
        <f t="shared" si="96"/>
        <v>0</v>
      </c>
      <c r="T96" s="155">
        <f t="shared" si="96"/>
        <v>0</v>
      </c>
      <c r="U96" s="155">
        <f t="shared" si="96"/>
        <v>0</v>
      </c>
      <c r="V96" s="155">
        <f t="shared" si="96"/>
        <v>0</v>
      </c>
      <c r="W96" s="155">
        <f t="shared" si="96"/>
        <v>0</v>
      </c>
      <c r="X96" s="155">
        <f t="shared" si="96"/>
        <v>0</v>
      </c>
      <c r="Y96" s="155">
        <f t="shared" si="96"/>
        <v>0</v>
      </c>
      <c r="Z96" s="155">
        <f t="shared" si="96"/>
        <v>0</v>
      </c>
      <c r="AA96" s="155">
        <f t="shared" si="96"/>
        <v>0</v>
      </c>
      <c r="AB96" s="155">
        <f t="shared" si="96"/>
        <v>0</v>
      </c>
      <c r="AC96" s="155">
        <f t="shared" si="96"/>
        <v>0</v>
      </c>
      <c r="AD96" s="155">
        <f t="shared" si="96"/>
        <v>0</v>
      </c>
      <c r="AE96" s="155">
        <f t="shared" si="96"/>
        <v>0</v>
      </c>
      <c r="AF96" s="155">
        <f t="shared" si="96"/>
        <v>0</v>
      </c>
      <c r="AG96" s="155">
        <f t="shared" si="96"/>
        <v>0</v>
      </c>
      <c r="AH96" s="155">
        <f t="shared" si="96"/>
        <v>0</v>
      </c>
      <c r="AI96" s="155">
        <f t="shared" si="96"/>
        <v>0</v>
      </c>
      <c r="AJ96" s="155">
        <f t="shared" si="96"/>
        <v>0</v>
      </c>
      <c r="AK96" s="155">
        <f t="shared" si="96"/>
        <v>0</v>
      </c>
      <c r="AL96" s="155">
        <f t="shared" si="96"/>
        <v>0</v>
      </c>
      <c r="AM96" s="155">
        <f t="shared" si="96"/>
        <v>0</v>
      </c>
      <c r="AN96" s="155">
        <f t="shared" si="96"/>
        <v>0</v>
      </c>
      <c r="AO96" s="155">
        <f t="shared" si="96"/>
        <v>0</v>
      </c>
      <c r="AP96" s="155">
        <f t="shared" si="96"/>
        <v>0</v>
      </c>
      <c r="AQ96" s="155">
        <f t="shared" si="96"/>
        <v>0</v>
      </c>
      <c r="AR96" s="155">
        <f t="shared" si="96"/>
        <v>0</v>
      </c>
      <c r="AS96" s="155">
        <f t="shared" si="96"/>
        <v>0</v>
      </c>
      <c r="AT96" s="155">
        <f t="shared" si="96"/>
        <v>0</v>
      </c>
      <c r="AU96" s="155">
        <f t="shared" si="96"/>
        <v>0</v>
      </c>
      <c r="AV96" s="155">
        <f t="shared" si="96"/>
        <v>0</v>
      </c>
      <c r="AW96" s="155">
        <f t="shared" si="96"/>
        <v>0</v>
      </c>
      <c r="AX96" s="155">
        <f t="shared" si="96"/>
        <v>0</v>
      </c>
      <c r="AY96" s="155">
        <f t="shared" si="96"/>
        <v>0</v>
      </c>
      <c r="AZ96" s="155">
        <f t="shared" si="96"/>
        <v>0</v>
      </c>
      <c r="BA96" s="155">
        <f t="shared" si="96"/>
        <v>0</v>
      </c>
      <c r="BB96" s="155">
        <f t="shared" si="96"/>
        <v>0</v>
      </c>
      <c r="BC96" s="155">
        <f t="shared" si="96"/>
        <v>0</v>
      </c>
      <c r="BD96" s="155">
        <f t="shared" si="96"/>
        <v>0</v>
      </c>
      <c r="BE96" s="155">
        <f t="shared" si="96"/>
        <v>0</v>
      </c>
      <c r="BF96" s="155">
        <f t="shared" si="96"/>
        <v>0</v>
      </c>
      <c r="BG96" s="155">
        <f t="shared" si="96"/>
        <v>0</v>
      </c>
      <c r="BH96" s="155">
        <f t="shared" si="96"/>
        <v>0</v>
      </c>
      <c r="BI96" s="155">
        <f t="shared" si="96"/>
        <v>0</v>
      </c>
      <c r="BJ96" s="155">
        <f t="shared" si="96"/>
        <v>0</v>
      </c>
      <c r="BK96" s="155">
        <f t="shared" si="96"/>
        <v>0</v>
      </c>
      <c r="BL96" s="155">
        <f t="shared" si="96"/>
        <v>0</v>
      </c>
      <c r="BM96" s="155">
        <f t="shared" si="96"/>
        <v>0</v>
      </c>
      <c r="BN96" s="155">
        <f t="shared" si="96"/>
        <v>0</v>
      </c>
      <c r="BO96" s="155">
        <f t="shared" si="96"/>
        <v>0</v>
      </c>
      <c r="BP96" s="155">
        <f t="shared" si="96"/>
        <v>0</v>
      </c>
      <c r="BQ96" s="155">
        <f t="shared" si="96"/>
        <v>0</v>
      </c>
      <c r="BR96" s="155">
        <f t="shared" si="96"/>
        <v>0</v>
      </c>
      <c r="BS96" s="155">
        <f>SUBTOTAL(9,BS97:BS99)</f>
        <v>0</v>
      </c>
      <c r="BU96" s="139">
        <f t="shared" si="76"/>
        <v>112</v>
      </c>
      <c r="BV96" s="139">
        <f t="shared" si="77"/>
        <v>0</v>
      </c>
      <c r="BW96" s="139">
        <f t="shared" si="78"/>
        <v>0</v>
      </c>
      <c r="BX96" s="139">
        <f t="shared" si="79"/>
        <v>0</v>
      </c>
      <c r="BY96" s="139">
        <f t="shared" si="80"/>
        <v>0</v>
      </c>
    </row>
    <row r="97" spans="3:77" outlineLevel="1">
      <c r="C97" s="155"/>
      <c r="D97" s="139" t="s">
        <v>194</v>
      </c>
      <c r="J97" s="139" t="s">
        <v>597</v>
      </c>
      <c r="L97" s="139">
        <v>0</v>
      </c>
      <c r="M97" s="139">
        <v>0</v>
      </c>
      <c r="N97" s="139">
        <v>0</v>
      </c>
      <c r="O97" s="139">
        <v>100</v>
      </c>
      <c r="P97" s="139">
        <v>0</v>
      </c>
      <c r="Q97" s="139">
        <v>0</v>
      </c>
      <c r="R97" s="139">
        <v>0</v>
      </c>
      <c r="S97" s="139">
        <v>0</v>
      </c>
      <c r="T97" s="139">
        <v>0</v>
      </c>
      <c r="U97" s="139">
        <v>0</v>
      </c>
      <c r="V97" s="139">
        <v>0</v>
      </c>
      <c r="W97" s="139">
        <v>0</v>
      </c>
      <c r="X97" s="139">
        <v>0</v>
      </c>
      <c r="Y97" s="139">
        <v>0</v>
      </c>
      <c r="Z97" s="139">
        <v>0</v>
      </c>
      <c r="AA97" s="139">
        <v>0</v>
      </c>
      <c r="AB97" s="139">
        <v>0</v>
      </c>
      <c r="AC97" s="139">
        <v>0</v>
      </c>
      <c r="AD97" s="139">
        <v>0</v>
      </c>
      <c r="AE97" s="139">
        <v>0</v>
      </c>
      <c r="AF97" s="139">
        <v>0</v>
      </c>
      <c r="AG97" s="139">
        <v>0</v>
      </c>
      <c r="AH97" s="139">
        <v>0</v>
      </c>
      <c r="AI97" s="139">
        <v>0</v>
      </c>
      <c r="AJ97" s="139">
        <v>0</v>
      </c>
      <c r="AK97" s="139">
        <v>0</v>
      </c>
      <c r="AL97" s="139">
        <v>0</v>
      </c>
      <c r="AM97" s="139">
        <v>0</v>
      </c>
      <c r="AN97" s="139">
        <v>0</v>
      </c>
      <c r="AO97" s="139">
        <v>0</v>
      </c>
      <c r="AP97" s="139">
        <v>0</v>
      </c>
      <c r="AQ97" s="139">
        <v>0</v>
      </c>
      <c r="AR97" s="139">
        <v>0</v>
      </c>
      <c r="AS97" s="139">
        <v>0</v>
      </c>
      <c r="AT97" s="139">
        <v>0</v>
      </c>
      <c r="AU97" s="139">
        <v>0</v>
      </c>
      <c r="AV97" s="139">
        <v>0</v>
      </c>
      <c r="AW97" s="139">
        <v>0</v>
      </c>
      <c r="AX97" s="139">
        <v>0</v>
      </c>
      <c r="AY97" s="139">
        <v>0</v>
      </c>
      <c r="AZ97" s="139">
        <v>0</v>
      </c>
      <c r="BA97" s="139">
        <v>0</v>
      </c>
      <c r="BB97" s="139">
        <v>0</v>
      </c>
      <c r="BC97" s="139">
        <v>0</v>
      </c>
      <c r="BD97" s="139">
        <v>0</v>
      </c>
      <c r="BE97" s="139">
        <v>0</v>
      </c>
      <c r="BF97" s="139">
        <v>0</v>
      </c>
      <c r="BG97" s="139">
        <v>0</v>
      </c>
      <c r="BH97" s="139">
        <v>0</v>
      </c>
      <c r="BI97" s="139">
        <v>0</v>
      </c>
      <c r="BJ97" s="139">
        <v>0</v>
      </c>
      <c r="BK97" s="139">
        <v>0</v>
      </c>
      <c r="BL97" s="139">
        <v>0</v>
      </c>
      <c r="BM97" s="139">
        <v>0</v>
      </c>
      <c r="BN97" s="139">
        <v>0</v>
      </c>
      <c r="BO97" s="139">
        <v>0</v>
      </c>
      <c r="BP97" s="139">
        <v>0</v>
      </c>
      <c r="BQ97" s="139">
        <v>0</v>
      </c>
      <c r="BR97" s="139">
        <v>0</v>
      </c>
      <c r="BS97" s="139">
        <v>0</v>
      </c>
      <c r="BU97" s="139">
        <f t="shared" si="76"/>
        <v>100</v>
      </c>
      <c r="BV97" s="139">
        <f t="shared" si="77"/>
        <v>0</v>
      </c>
      <c r="BW97" s="139">
        <f t="shared" si="78"/>
        <v>0</v>
      </c>
      <c r="BX97" s="139">
        <f t="shared" si="79"/>
        <v>0</v>
      </c>
      <c r="BY97" s="139">
        <f t="shared" si="80"/>
        <v>0</v>
      </c>
    </row>
    <row r="98" spans="3:77" outlineLevel="1">
      <c r="C98" s="155"/>
      <c r="D98" s="139" t="s">
        <v>195</v>
      </c>
      <c r="J98" s="139" t="s">
        <v>597</v>
      </c>
      <c r="L98" s="139">
        <v>12</v>
      </c>
      <c r="M98" s="139">
        <v>0</v>
      </c>
      <c r="N98" s="139">
        <v>0</v>
      </c>
      <c r="O98" s="139">
        <v>0</v>
      </c>
      <c r="P98" s="139">
        <v>0</v>
      </c>
      <c r="Q98" s="139">
        <v>0</v>
      </c>
      <c r="R98" s="139">
        <v>0</v>
      </c>
      <c r="S98" s="139">
        <v>0</v>
      </c>
      <c r="T98" s="139">
        <v>0</v>
      </c>
      <c r="U98" s="139">
        <v>0</v>
      </c>
      <c r="V98" s="139">
        <v>0</v>
      </c>
      <c r="W98" s="139">
        <v>0</v>
      </c>
      <c r="X98" s="139">
        <v>0</v>
      </c>
      <c r="Y98" s="139">
        <v>0</v>
      </c>
      <c r="Z98" s="139">
        <v>0</v>
      </c>
      <c r="AA98" s="139">
        <v>0</v>
      </c>
      <c r="AB98" s="139">
        <v>0</v>
      </c>
      <c r="AC98" s="139">
        <v>0</v>
      </c>
      <c r="AD98" s="139">
        <v>0</v>
      </c>
      <c r="AE98" s="139">
        <v>0</v>
      </c>
      <c r="AF98" s="139">
        <v>0</v>
      </c>
      <c r="AG98" s="139">
        <v>0</v>
      </c>
      <c r="AH98" s="139">
        <v>0</v>
      </c>
      <c r="AI98" s="139">
        <v>0</v>
      </c>
      <c r="AJ98" s="139">
        <v>0</v>
      </c>
      <c r="AK98" s="139">
        <v>0</v>
      </c>
      <c r="AL98" s="139">
        <v>0</v>
      </c>
      <c r="AM98" s="139">
        <v>0</v>
      </c>
      <c r="AN98" s="139">
        <v>0</v>
      </c>
      <c r="AO98" s="139">
        <v>0</v>
      </c>
      <c r="AP98" s="139">
        <v>0</v>
      </c>
      <c r="AQ98" s="139">
        <v>0</v>
      </c>
      <c r="AR98" s="139">
        <v>0</v>
      </c>
      <c r="AS98" s="139">
        <v>0</v>
      </c>
      <c r="AT98" s="139">
        <v>0</v>
      </c>
      <c r="AU98" s="139">
        <v>0</v>
      </c>
      <c r="AV98" s="139">
        <v>0</v>
      </c>
      <c r="AW98" s="139">
        <v>0</v>
      </c>
      <c r="AX98" s="139">
        <v>0</v>
      </c>
      <c r="AY98" s="139">
        <v>0</v>
      </c>
      <c r="AZ98" s="139">
        <v>0</v>
      </c>
      <c r="BA98" s="139">
        <v>0</v>
      </c>
      <c r="BB98" s="139">
        <v>0</v>
      </c>
      <c r="BC98" s="139">
        <v>0</v>
      </c>
      <c r="BD98" s="139">
        <v>0</v>
      </c>
      <c r="BE98" s="139">
        <v>0</v>
      </c>
      <c r="BF98" s="139">
        <v>0</v>
      </c>
      <c r="BG98" s="139">
        <v>0</v>
      </c>
      <c r="BH98" s="139">
        <v>0</v>
      </c>
      <c r="BI98" s="139">
        <v>0</v>
      </c>
      <c r="BJ98" s="139">
        <v>0</v>
      </c>
      <c r="BK98" s="139">
        <v>0</v>
      </c>
      <c r="BL98" s="139">
        <v>0</v>
      </c>
      <c r="BM98" s="139">
        <v>0</v>
      </c>
      <c r="BN98" s="139">
        <v>0</v>
      </c>
      <c r="BO98" s="139">
        <v>0</v>
      </c>
      <c r="BP98" s="139">
        <v>0</v>
      </c>
      <c r="BQ98" s="139">
        <v>0</v>
      </c>
      <c r="BR98" s="139">
        <v>0</v>
      </c>
      <c r="BS98" s="139">
        <v>0</v>
      </c>
      <c r="BU98" s="139">
        <f t="shared" si="76"/>
        <v>12</v>
      </c>
      <c r="BV98" s="139">
        <f t="shared" si="77"/>
        <v>0</v>
      </c>
      <c r="BW98" s="139">
        <f t="shared" si="78"/>
        <v>0</v>
      </c>
      <c r="BX98" s="139">
        <f t="shared" si="79"/>
        <v>0</v>
      </c>
      <c r="BY98" s="139">
        <f t="shared" si="80"/>
        <v>0</v>
      </c>
    </row>
    <row r="99" spans="3:77" outlineLevel="1">
      <c r="C99" s="155"/>
      <c r="D99" s="139" t="s">
        <v>196</v>
      </c>
      <c r="J99" s="139" t="s">
        <v>597</v>
      </c>
      <c r="L99" s="139">
        <v>0</v>
      </c>
      <c r="M99" s="139">
        <v>0</v>
      </c>
      <c r="N99" s="139">
        <v>0</v>
      </c>
      <c r="O99" s="139">
        <v>0</v>
      </c>
      <c r="P99" s="139">
        <v>0</v>
      </c>
      <c r="Q99" s="139">
        <v>0</v>
      </c>
      <c r="R99" s="139">
        <v>0</v>
      </c>
      <c r="S99" s="139">
        <v>0</v>
      </c>
      <c r="T99" s="139">
        <v>0</v>
      </c>
      <c r="U99" s="139">
        <v>0</v>
      </c>
      <c r="V99" s="139">
        <v>0</v>
      </c>
      <c r="W99" s="139">
        <v>0</v>
      </c>
      <c r="X99" s="139">
        <v>0</v>
      </c>
      <c r="Y99" s="139">
        <v>0</v>
      </c>
      <c r="Z99" s="139">
        <v>0</v>
      </c>
      <c r="AA99" s="139">
        <v>0</v>
      </c>
      <c r="AB99" s="139">
        <v>0</v>
      </c>
      <c r="AC99" s="139">
        <v>0</v>
      </c>
      <c r="AD99" s="139">
        <v>0</v>
      </c>
      <c r="AE99" s="139">
        <v>0</v>
      </c>
      <c r="AF99" s="139">
        <v>0</v>
      </c>
      <c r="AG99" s="139">
        <v>0</v>
      </c>
      <c r="AH99" s="139">
        <v>0</v>
      </c>
      <c r="AI99" s="139">
        <v>0</v>
      </c>
      <c r="AJ99" s="139">
        <v>0</v>
      </c>
      <c r="AK99" s="139">
        <v>0</v>
      </c>
      <c r="AL99" s="139">
        <v>0</v>
      </c>
      <c r="AM99" s="139">
        <v>0</v>
      </c>
      <c r="AN99" s="139">
        <v>0</v>
      </c>
      <c r="AO99" s="139">
        <v>0</v>
      </c>
      <c r="AP99" s="139">
        <v>0</v>
      </c>
      <c r="AQ99" s="139">
        <v>0</v>
      </c>
      <c r="AR99" s="139">
        <v>0</v>
      </c>
      <c r="AS99" s="139">
        <v>0</v>
      </c>
      <c r="AT99" s="139">
        <v>0</v>
      </c>
      <c r="AU99" s="139">
        <v>0</v>
      </c>
      <c r="AV99" s="139">
        <v>0</v>
      </c>
      <c r="AW99" s="139">
        <v>0</v>
      </c>
      <c r="AX99" s="139">
        <v>0</v>
      </c>
      <c r="AY99" s="139">
        <v>0</v>
      </c>
      <c r="AZ99" s="139">
        <v>0</v>
      </c>
      <c r="BA99" s="139">
        <v>0</v>
      </c>
      <c r="BB99" s="139">
        <v>0</v>
      </c>
      <c r="BC99" s="139">
        <v>0</v>
      </c>
      <c r="BD99" s="139">
        <v>0</v>
      </c>
      <c r="BE99" s="139">
        <v>0</v>
      </c>
      <c r="BF99" s="139">
        <v>0</v>
      </c>
      <c r="BG99" s="139">
        <v>0</v>
      </c>
      <c r="BH99" s="139">
        <v>0</v>
      </c>
      <c r="BI99" s="139">
        <v>0</v>
      </c>
      <c r="BJ99" s="139">
        <v>0</v>
      </c>
      <c r="BK99" s="139">
        <v>0</v>
      </c>
      <c r="BL99" s="139">
        <v>0</v>
      </c>
      <c r="BM99" s="139">
        <v>0</v>
      </c>
      <c r="BN99" s="139">
        <v>0</v>
      </c>
      <c r="BO99" s="139">
        <v>0</v>
      </c>
      <c r="BP99" s="139">
        <v>0</v>
      </c>
      <c r="BQ99" s="139">
        <v>0</v>
      </c>
      <c r="BR99" s="139">
        <v>0</v>
      </c>
      <c r="BS99" s="139">
        <v>0</v>
      </c>
      <c r="BU99" s="139">
        <f t="shared" si="76"/>
        <v>0</v>
      </c>
      <c r="BV99" s="139">
        <f t="shared" si="77"/>
        <v>0</v>
      </c>
      <c r="BW99" s="139">
        <f t="shared" si="78"/>
        <v>0</v>
      </c>
      <c r="BX99" s="139">
        <f t="shared" si="79"/>
        <v>0</v>
      </c>
      <c r="BY99" s="139">
        <f t="shared" si="80"/>
        <v>0</v>
      </c>
    </row>
    <row r="100" spans="3:77" s="155" customFormat="1">
      <c r="C100" s="155" t="s">
        <v>167</v>
      </c>
      <c r="L100" s="155">
        <f t="shared" ref="L100:BR100" si="97">SUBTOTAL(9,L101:L116)</f>
        <v>6</v>
      </c>
      <c r="M100" s="155">
        <f t="shared" si="97"/>
        <v>6</v>
      </c>
      <c r="N100" s="155">
        <f t="shared" si="97"/>
        <v>6</v>
      </c>
      <c r="O100" s="155">
        <f t="shared" si="97"/>
        <v>6</v>
      </c>
      <c r="P100" s="155">
        <f t="shared" si="97"/>
        <v>6</v>
      </c>
      <c r="Q100" s="155">
        <f t="shared" si="97"/>
        <v>6</v>
      </c>
      <c r="R100" s="155">
        <f t="shared" si="97"/>
        <v>17.100000000000001</v>
      </c>
      <c r="S100" s="155">
        <f t="shared" si="97"/>
        <v>17.100000000000001</v>
      </c>
      <c r="T100" s="155">
        <f t="shared" si="97"/>
        <v>17.100000000000001</v>
      </c>
      <c r="U100" s="155">
        <f t="shared" si="97"/>
        <v>17.100000000000001</v>
      </c>
      <c r="V100" s="155">
        <f t="shared" si="97"/>
        <v>17.100000000000001</v>
      </c>
      <c r="W100" s="155">
        <f t="shared" si="97"/>
        <v>17.100000000000001</v>
      </c>
      <c r="X100" s="155">
        <f t="shared" si="97"/>
        <v>17.2</v>
      </c>
      <c r="Y100" s="155">
        <f t="shared" si="97"/>
        <v>17.2</v>
      </c>
      <c r="Z100" s="155">
        <f t="shared" si="97"/>
        <v>17.2</v>
      </c>
      <c r="AA100" s="155">
        <f t="shared" si="97"/>
        <v>17.2</v>
      </c>
      <c r="AB100" s="155">
        <f t="shared" si="97"/>
        <v>17.2</v>
      </c>
      <c r="AC100" s="155">
        <f t="shared" si="97"/>
        <v>17.2</v>
      </c>
      <c r="AD100" s="155">
        <f t="shared" si="97"/>
        <v>17.2</v>
      </c>
      <c r="AE100" s="155">
        <f t="shared" si="97"/>
        <v>17.2</v>
      </c>
      <c r="AF100" s="155">
        <f t="shared" si="97"/>
        <v>17.2</v>
      </c>
      <c r="AG100" s="155">
        <f t="shared" si="97"/>
        <v>17.2</v>
      </c>
      <c r="AH100" s="155">
        <f t="shared" si="97"/>
        <v>17.2</v>
      </c>
      <c r="AI100" s="155">
        <f t="shared" si="97"/>
        <v>17.2</v>
      </c>
      <c r="AJ100" s="155">
        <f t="shared" si="97"/>
        <v>45.6</v>
      </c>
      <c r="AK100" s="155">
        <f t="shared" si="97"/>
        <v>45.6</v>
      </c>
      <c r="AL100" s="155">
        <f t="shared" si="97"/>
        <v>45.6</v>
      </c>
      <c r="AM100" s="155">
        <f t="shared" si="97"/>
        <v>45.6</v>
      </c>
      <c r="AN100" s="155">
        <f t="shared" si="97"/>
        <v>45.6</v>
      </c>
      <c r="AO100" s="155">
        <f t="shared" si="97"/>
        <v>45.6</v>
      </c>
      <c r="AP100" s="155">
        <f t="shared" si="97"/>
        <v>45.6</v>
      </c>
      <c r="AQ100" s="155">
        <f t="shared" si="97"/>
        <v>45.6</v>
      </c>
      <c r="AR100" s="155">
        <f t="shared" si="97"/>
        <v>45.6</v>
      </c>
      <c r="AS100" s="155">
        <f t="shared" si="97"/>
        <v>45.6</v>
      </c>
      <c r="AT100" s="155">
        <f t="shared" si="97"/>
        <v>45.6</v>
      </c>
      <c r="AU100" s="155">
        <f t="shared" si="97"/>
        <v>45.6</v>
      </c>
      <c r="AV100" s="155">
        <f t="shared" si="97"/>
        <v>62.8</v>
      </c>
      <c r="AW100" s="155">
        <f t="shared" si="97"/>
        <v>62.8</v>
      </c>
      <c r="AX100" s="155">
        <f t="shared" si="97"/>
        <v>62.8</v>
      </c>
      <c r="AY100" s="155">
        <f t="shared" si="97"/>
        <v>62.8</v>
      </c>
      <c r="AZ100" s="155">
        <f t="shared" si="97"/>
        <v>62.8</v>
      </c>
      <c r="BA100" s="155">
        <f t="shared" si="97"/>
        <v>62.8</v>
      </c>
      <c r="BB100" s="155">
        <f t="shared" si="97"/>
        <v>62.8</v>
      </c>
      <c r="BC100" s="155">
        <f t="shared" si="97"/>
        <v>62.8</v>
      </c>
      <c r="BD100" s="155">
        <f t="shared" si="97"/>
        <v>62.8</v>
      </c>
      <c r="BE100" s="155">
        <f t="shared" si="97"/>
        <v>62.8</v>
      </c>
      <c r="BF100" s="155">
        <f t="shared" si="97"/>
        <v>62.8</v>
      </c>
      <c r="BG100" s="155">
        <f t="shared" si="97"/>
        <v>62.8</v>
      </c>
      <c r="BH100" s="155">
        <f t="shared" si="97"/>
        <v>74</v>
      </c>
      <c r="BI100" s="155">
        <f t="shared" si="97"/>
        <v>74</v>
      </c>
      <c r="BJ100" s="155">
        <f t="shared" si="97"/>
        <v>74</v>
      </c>
      <c r="BK100" s="155">
        <f t="shared" si="97"/>
        <v>74</v>
      </c>
      <c r="BL100" s="155">
        <f t="shared" si="97"/>
        <v>74</v>
      </c>
      <c r="BM100" s="155">
        <f t="shared" si="97"/>
        <v>74</v>
      </c>
      <c r="BN100" s="155">
        <f t="shared" si="97"/>
        <v>74</v>
      </c>
      <c r="BO100" s="155">
        <f t="shared" si="97"/>
        <v>74</v>
      </c>
      <c r="BP100" s="155">
        <f t="shared" si="97"/>
        <v>74</v>
      </c>
      <c r="BQ100" s="155">
        <f t="shared" si="97"/>
        <v>74</v>
      </c>
      <c r="BR100" s="155">
        <f t="shared" si="97"/>
        <v>74</v>
      </c>
      <c r="BS100" s="155">
        <f>SUBTOTAL(9,BS101:BS116)</f>
        <v>74</v>
      </c>
      <c r="BU100" s="155">
        <f t="shared" si="76"/>
        <v>138.6</v>
      </c>
      <c r="BV100" s="155">
        <f t="shared" si="77"/>
        <v>206.39999999999995</v>
      </c>
      <c r="BW100" s="155">
        <f t="shared" si="78"/>
        <v>547.20000000000016</v>
      </c>
      <c r="BX100" s="155">
        <f t="shared" si="79"/>
        <v>753.59999999999991</v>
      </c>
      <c r="BY100" s="155">
        <f t="shared" si="80"/>
        <v>888</v>
      </c>
    </row>
    <row r="101" spans="3:77" outlineLevel="1">
      <c r="C101" s="155"/>
      <c r="D101" s="139" t="s">
        <v>97</v>
      </c>
      <c r="F101" s="183" t="s">
        <v>600</v>
      </c>
      <c r="BU101" s="139">
        <f t="shared" si="76"/>
        <v>0</v>
      </c>
      <c r="BV101" s="139">
        <f t="shared" si="77"/>
        <v>0</v>
      </c>
      <c r="BW101" s="139">
        <f t="shared" si="78"/>
        <v>0</v>
      </c>
      <c r="BX101" s="139">
        <f t="shared" si="79"/>
        <v>0</v>
      </c>
      <c r="BY101" s="139">
        <f t="shared" si="80"/>
        <v>0</v>
      </c>
    </row>
    <row r="102" spans="3:77" outlineLevel="1">
      <c r="C102" s="155"/>
      <c r="D102" s="139" t="s">
        <v>197</v>
      </c>
      <c r="J102" s="139" t="s">
        <v>597</v>
      </c>
      <c r="L102" s="139">
        <v>3</v>
      </c>
      <c r="M102" s="139">
        <v>3</v>
      </c>
      <c r="N102" s="139">
        <v>3</v>
      </c>
      <c r="O102" s="139">
        <v>3</v>
      </c>
      <c r="P102" s="139">
        <v>3</v>
      </c>
      <c r="Q102" s="139">
        <v>3</v>
      </c>
      <c r="R102" s="139">
        <v>3</v>
      </c>
      <c r="S102" s="139">
        <v>3</v>
      </c>
      <c r="T102" s="139">
        <v>3</v>
      </c>
      <c r="U102" s="139">
        <v>3</v>
      </c>
      <c r="V102" s="139">
        <v>3</v>
      </c>
      <c r="W102" s="139">
        <v>3</v>
      </c>
      <c r="X102" s="139">
        <v>3</v>
      </c>
      <c r="Y102" s="139">
        <v>3</v>
      </c>
      <c r="Z102" s="139">
        <v>3</v>
      </c>
      <c r="AA102" s="139">
        <v>3</v>
      </c>
      <c r="AB102" s="139">
        <v>3</v>
      </c>
      <c r="AC102" s="139">
        <v>3</v>
      </c>
      <c r="AD102" s="139">
        <v>3</v>
      </c>
      <c r="AE102" s="139">
        <v>3</v>
      </c>
      <c r="AF102" s="139">
        <v>3</v>
      </c>
      <c r="AG102" s="139">
        <v>3</v>
      </c>
      <c r="AH102" s="139">
        <v>3</v>
      </c>
      <c r="AI102" s="139">
        <v>3</v>
      </c>
      <c r="AJ102" s="139">
        <v>3</v>
      </c>
      <c r="AK102" s="139">
        <v>3</v>
      </c>
      <c r="AL102" s="139">
        <v>3</v>
      </c>
      <c r="AM102" s="139">
        <v>3</v>
      </c>
      <c r="AN102" s="139">
        <v>3</v>
      </c>
      <c r="AO102" s="139">
        <v>3</v>
      </c>
      <c r="AP102" s="139">
        <v>3</v>
      </c>
      <c r="AQ102" s="139">
        <v>3</v>
      </c>
      <c r="AR102" s="139">
        <v>3</v>
      </c>
      <c r="AS102" s="139">
        <v>3</v>
      </c>
      <c r="AT102" s="139">
        <v>3</v>
      </c>
      <c r="AU102" s="139">
        <v>3</v>
      </c>
      <c r="AV102" s="139">
        <v>3</v>
      </c>
      <c r="AW102" s="139">
        <v>3</v>
      </c>
      <c r="AX102" s="139">
        <v>3</v>
      </c>
      <c r="AY102" s="139">
        <v>3</v>
      </c>
      <c r="AZ102" s="139">
        <v>3</v>
      </c>
      <c r="BA102" s="139">
        <v>3</v>
      </c>
      <c r="BB102" s="139">
        <v>3</v>
      </c>
      <c r="BC102" s="139">
        <v>3</v>
      </c>
      <c r="BD102" s="139">
        <v>3</v>
      </c>
      <c r="BE102" s="139">
        <v>3</v>
      </c>
      <c r="BF102" s="139">
        <v>3</v>
      </c>
      <c r="BG102" s="139">
        <v>3</v>
      </c>
      <c r="BH102" s="139">
        <v>3</v>
      </c>
      <c r="BI102" s="139">
        <v>3</v>
      </c>
      <c r="BJ102" s="139">
        <v>3</v>
      </c>
      <c r="BK102" s="139">
        <v>3</v>
      </c>
      <c r="BL102" s="139">
        <v>3</v>
      </c>
      <c r="BM102" s="139">
        <v>3</v>
      </c>
      <c r="BN102" s="139">
        <v>3</v>
      </c>
      <c r="BO102" s="139">
        <v>3</v>
      </c>
      <c r="BP102" s="139">
        <v>3</v>
      </c>
      <c r="BQ102" s="139">
        <v>3</v>
      </c>
      <c r="BR102" s="139">
        <v>3</v>
      </c>
      <c r="BS102" s="139">
        <v>3</v>
      </c>
      <c r="BU102" s="139">
        <f t="shared" si="76"/>
        <v>36</v>
      </c>
      <c r="BV102" s="139">
        <f t="shared" si="77"/>
        <v>36</v>
      </c>
      <c r="BW102" s="139">
        <f t="shared" si="78"/>
        <v>36</v>
      </c>
      <c r="BX102" s="139">
        <f t="shared" si="79"/>
        <v>36</v>
      </c>
      <c r="BY102" s="139">
        <f t="shared" si="80"/>
        <v>36</v>
      </c>
    </row>
    <row r="103" spans="3:77" outlineLevel="1">
      <c r="C103" s="155"/>
      <c r="D103" s="139" t="s">
        <v>198</v>
      </c>
      <c r="J103" s="139" t="s">
        <v>597</v>
      </c>
      <c r="L103" s="139">
        <v>0.5</v>
      </c>
      <c r="M103" s="139">
        <v>0.5</v>
      </c>
      <c r="N103" s="139">
        <v>0.5</v>
      </c>
      <c r="O103" s="139">
        <v>0.5</v>
      </c>
      <c r="P103" s="139">
        <v>0.5</v>
      </c>
      <c r="Q103" s="139">
        <v>0.5</v>
      </c>
      <c r="R103" s="139">
        <v>0.5</v>
      </c>
      <c r="S103" s="139">
        <v>0.5</v>
      </c>
      <c r="T103" s="139">
        <v>0.5</v>
      </c>
      <c r="U103" s="139">
        <v>0.5</v>
      </c>
      <c r="V103" s="139">
        <v>0.5</v>
      </c>
      <c r="W103" s="139">
        <v>0.5</v>
      </c>
      <c r="X103" s="139">
        <v>0.5</v>
      </c>
      <c r="Y103" s="139">
        <v>0.5</v>
      </c>
      <c r="Z103" s="139">
        <v>0.5</v>
      </c>
      <c r="AA103" s="139">
        <v>0.5</v>
      </c>
      <c r="AB103" s="139">
        <v>0.5</v>
      </c>
      <c r="AC103" s="139">
        <v>0.5</v>
      </c>
      <c r="AD103" s="139">
        <v>0.5</v>
      </c>
      <c r="AE103" s="139">
        <v>0.5</v>
      </c>
      <c r="AF103" s="139">
        <v>0.5</v>
      </c>
      <c r="AG103" s="139">
        <v>0.5</v>
      </c>
      <c r="AH103" s="139">
        <v>0.5</v>
      </c>
      <c r="AI103" s="139">
        <v>0.5</v>
      </c>
      <c r="AJ103" s="139">
        <v>0.5</v>
      </c>
      <c r="AK103" s="139">
        <v>0.5</v>
      </c>
      <c r="AL103" s="139">
        <v>0.5</v>
      </c>
      <c r="AM103" s="139">
        <v>0.5</v>
      </c>
      <c r="AN103" s="139">
        <v>0.5</v>
      </c>
      <c r="AO103" s="139">
        <v>0.5</v>
      </c>
      <c r="AP103" s="139">
        <v>0.5</v>
      </c>
      <c r="AQ103" s="139">
        <v>0.5</v>
      </c>
      <c r="AR103" s="139">
        <v>0.5</v>
      </c>
      <c r="AS103" s="139">
        <v>0.5</v>
      </c>
      <c r="AT103" s="139">
        <v>0.5</v>
      </c>
      <c r="AU103" s="139">
        <v>0.5</v>
      </c>
      <c r="AV103" s="139">
        <v>0.5</v>
      </c>
      <c r="AW103" s="139">
        <v>0.5</v>
      </c>
      <c r="AX103" s="139">
        <v>0.5</v>
      </c>
      <c r="AY103" s="139">
        <v>0.5</v>
      </c>
      <c r="AZ103" s="139">
        <v>0.5</v>
      </c>
      <c r="BA103" s="139">
        <v>0.5</v>
      </c>
      <c r="BB103" s="139">
        <v>0.5</v>
      </c>
      <c r="BC103" s="139">
        <v>0.5</v>
      </c>
      <c r="BD103" s="139">
        <v>0.5</v>
      </c>
      <c r="BE103" s="139">
        <v>0.5</v>
      </c>
      <c r="BF103" s="139">
        <v>0.5</v>
      </c>
      <c r="BG103" s="139">
        <v>0.5</v>
      </c>
      <c r="BH103" s="139">
        <v>0.5</v>
      </c>
      <c r="BI103" s="139">
        <v>0.5</v>
      </c>
      <c r="BJ103" s="139">
        <v>0.5</v>
      </c>
      <c r="BK103" s="139">
        <v>0.5</v>
      </c>
      <c r="BL103" s="139">
        <v>0.5</v>
      </c>
      <c r="BM103" s="139">
        <v>0.5</v>
      </c>
      <c r="BN103" s="139">
        <v>0.5</v>
      </c>
      <c r="BO103" s="139">
        <v>0.5</v>
      </c>
      <c r="BP103" s="139">
        <v>0.5</v>
      </c>
      <c r="BQ103" s="139">
        <v>0.5</v>
      </c>
      <c r="BR103" s="139">
        <v>0.5</v>
      </c>
      <c r="BS103" s="139">
        <v>0.5</v>
      </c>
      <c r="BU103" s="139">
        <f t="shared" si="76"/>
        <v>6</v>
      </c>
      <c r="BV103" s="139">
        <f t="shared" si="77"/>
        <v>6</v>
      </c>
      <c r="BW103" s="139">
        <f t="shared" si="78"/>
        <v>6</v>
      </c>
      <c r="BX103" s="139">
        <f t="shared" si="79"/>
        <v>6</v>
      </c>
      <c r="BY103" s="139">
        <f t="shared" si="80"/>
        <v>6</v>
      </c>
    </row>
    <row r="104" spans="3:77" outlineLevel="1">
      <c r="C104" s="155"/>
      <c r="D104" s="139" t="s">
        <v>199</v>
      </c>
      <c r="J104" s="139" t="s">
        <v>597</v>
      </c>
      <c r="L104" s="139">
        <v>0.5</v>
      </c>
      <c r="M104" s="139">
        <v>0.5</v>
      </c>
      <c r="N104" s="139">
        <v>0.5</v>
      </c>
      <c r="O104" s="139">
        <v>0.5</v>
      </c>
      <c r="P104" s="139">
        <v>0.5</v>
      </c>
      <c r="Q104" s="139">
        <v>0.5</v>
      </c>
      <c r="R104" s="139">
        <v>0.5</v>
      </c>
      <c r="S104" s="139">
        <v>0.5</v>
      </c>
      <c r="T104" s="139">
        <v>0.5</v>
      </c>
      <c r="U104" s="139">
        <v>0.5</v>
      </c>
      <c r="V104" s="139">
        <v>0.5</v>
      </c>
      <c r="W104" s="139">
        <v>0.5</v>
      </c>
      <c r="X104" s="139">
        <v>0.5</v>
      </c>
      <c r="Y104" s="139">
        <v>0.5</v>
      </c>
      <c r="Z104" s="139">
        <v>0.5</v>
      </c>
      <c r="AA104" s="139">
        <v>0.5</v>
      </c>
      <c r="AB104" s="139">
        <v>0.5</v>
      </c>
      <c r="AC104" s="139">
        <v>0.5</v>
      </c>
      <c r="AD104" s="139">
        <v>0.5</v>
      </c>
      <c r="AE104" s="139">
        <v>0.5</v>
      </c>
      <c r="AF104" s="139">
        <v>0.5</v>
      </c>
      <c r="AG104" s="139">
        <v>0.5</v>
      </c>
      <c r="AH104" s="139">
        <v>0.5</v>
      </c>
      <c r="AI104" s="139">
        <v>0.5</v>
      </c>
      <c r="AJ104" s="139">
        <v>0.5</v>
      </c>
      <c r="AK104" s="139">
        <v>0.5</v>
      </c>
      <c r="AL104" s="139">
        <v>0.5</v>
      </c>
      <c r="AM104" s="139">
        <v>0.5</v>
      </c>
      <c r="AN104" s="139">
        <v>0.5</v>
      </c>
      <c r="AO104" s="139">
        <v>0.5</v>
      </c>
      <c r="AP104" s="139">
        <v>0.5</v>
      </c>
      <c r="AQ104" s="139">
        <v>0.5</v>
      </c>
      <c r="AR104" s="139">
        <v>0.5</v>
      </c>
      <c r="AS104" s="139">
        <v>0.5</v>
      </c>
      <c r="AT104" s="139">
        <v>0.5</v>
      </c>
      <c r="AU104" s="139">
        <v>0.5</v>
      </c>
      <c r="AV104" s="139">
        <v>0.5</v>
      </c>
      <c r="AW104" s="139">
        <v>0.5</v>
      </c>
      <c r="AX104" s="139">
        <v>0.5</v>
      </c>
      <c r="AY104" s="139">
        <v>0.5</v>
      </c>
      <c r="AZ104" s="139">
        <v>0.5</v>
      </c>
      <c r="BA104" s="139">
        <v>0.5</v>
      </c>
      <c r="BB104" s="139">
        <v>0.5</v>
      </c>
      <c r="BC104" s="139">
        <v>0.5</v>
      </c>
      <c r="BD104" s="139">
        <v>0.5</v>
      </c>
      <c r="BE104" s="139">
        <v>0.5</v>
      </c>
      <c r="BF104" s="139">
        <v>0.5</v>
      </c>
      <c r="BG104" s="139">
        <v>0.5</v>
      </c>
      <c r="BH104" s="139">
        <v>0.5</v>
      </c>
      <c r="BI104" s="139">
        <v>0.5</v>
      </c>
      <c r="BJ104" s="139">
        <v>0.5</v>
      </c>
      <c r="BK104" s="139">
        <v>0.5</v>
      </c>
      <c r="BL104" s="139">
        <v>0.5</v>
      </c>
      <c r="BM104" s="139">
        <v>0.5</v>
      </c>
      <c r="BN104" s="139">
        <v>0.5</v>
      </c>
      <c r="BO104" s="139">
        <v>0.5</v>
      </c>
      <c r="BP104" s="139">
        <v>0.5</v>
      </c>
      <c r="BQ104" s="139">
        <v>0.5</v>
      </c>
      <c r="BR104" s="139">
        <v>0.5</v>
      </c>
      <c r="BS104" s="139">
        <v>0.5</v>
      </c>
      <c r="BU104" s="139">
        <f t="shared" si="76"/>
        <v>6</v>
      </c>
      <c r="BV104" s="139">
        <f t="shared" si="77"/>
        <v>6</v>
      </c>
      <c r="BW104" s="139">
        <f t="shared" si="78"/>
        <v>6</v>
      </c>
      <c r="BX104" s="139">
        <f t="shared" si="79"/>
        <v>6</v>
      </c>
      <c r="BY104" s="139">
        <f t="shared" si="80"/>
        <v>6</v>
      </c>
    </row>
    <row r="105" spans="3:77" outlineLevel="1">
      <c r="C105" s="155"/>
      <c r="D105" s="139" t="s">
        <v>200</v>
      </c>
      <c r="J105" s="139" t="s">
        <v>597</v>
      </c>
      <c r="L105" s="139">
        <v>0.5</v>
      </c>
      <c r="M105" s="139">
        <v>0.5</v>
      </c>
      <c r="N105" s="139">
        <v>0.5</v>
      </c>
      <c r="O105" s="139">
        <v>0.5</v>
      </c>
      <c r="P105" s="139">
        <v>0.5</v>
      </c>
      <c r="Q105" s="139">
        <v>0.5</v>
      </c>
      <c r="R105" s="139">
        <v>0.5</v>
      </c>
      <c r="S105" s="139">
        <v>0.5</v>
      </c>
      <c r="T105" s="139">
        <v>0.5</v>
      </c>
      <c r="U105" s="139">
        <v>0.5</v>
      </c>
      <c r="V105" s="139">
        <v>0.5</v>
      </c>
      <c r="W105" s="139">
        <v>0.5</v>
      </c>
      <c r="X105" s="139">
        <v>0.5</v>
      </c>
      <c r="Y105" s="139">
        <v>0.5</v>
      </c>
      <c r="Z105" s="139">
        <v>0.5</v>
      </c>
      <c r="AA105" s="139">
        <v>0.5</v>
      </c>
      <c r="AB105" s="139">
        <v>0.5</v>
      </c>
      <c r="AC105" s="139">
        <v>0.5</v>
      </c>
      <c r="AD105" s="139">
        <v>0.5</v>
      </c>
      <c r="AE105" s="139">
        <v>0.5</v>
      </c>
      <c r="AF105" s="139">
        <v>0.5</v>
      </c>
      <c r="AG105" s="139">
        <v>0.5</v>
      </c>
      <c r="AH105" s="139">
        <v>0.5</v>
      </c>
      <c r="AI105" s="139">
        <v>0.5</v>
      </c>
      <c r="AJ105" s="139">
        <v>0.5</v>
      </c>
      <c r="AK105" s="139">
        <v>0.5</v>
      </c>
      <c r="AL105" s="139">
        <v>0.5</v>
      </c>
      <c r="AM105" s="139">
        <v>0.5</v>
      </c>
      <c r="AN105" s="139">
        <v>0.5</v>
      </c>
      <c r="AO105" s="139">
        <v>0.5</v>
      </c>
      <c r="AP105" s="139">
        <v>0.5</v>
      </c>
      <c r="AQ105" s="139">
        <v>0.5</v>
      </c>
      <c r="AR105" s="139">
        <v>0.5</v>
      </c>
      <c r="AS105" s="139">
        <v>0.5</v>
      </c>
      <c r="AT105" s="139">
        <v>0.5</v>
      </c>
      <c r="AU105" s="139">
        <v>0.5</v>
      </c>
      <c r="AV105" s="139">
        <v>0.5</v>
      </c>
      <c r="AW105" s="139">
        <v>0.5</v>
      </c>
      <c r="AX105" s="139">
        <v>0.5</v>
      </c>
      <c r="AY105" s="139">
        <v>0.5</v>
      </c>
      <c r="AZ105" s="139">
        <v>0.5</v>
      </c>
      <c r="BA105" s="139">
        <v>0.5</v>
      </c>
      <c r="BB105" s="139">
        <v>0.5</v>
      </c>
      <c r="BC105" s="139">
        <v>0.5</v>
      </c>
      <c r="BD105" s="139">
        <v>0.5</v>
      </c>
      <c r="BE105" s="139">
        <v>0.5</v>
      </c>
      <c r="BF105" s="139">
        <v>0.5</v>
      </c>
      <c r="BG105" s="139">
        <v>0.5</v>
      </c>
      <c r="BH105" s="139">
        <v>0.5</v>
      </c>
      <c r="BI105" s="139">
        <v>0.5</v>
      </c>
      <c r="BJ105" s="139">
        <v>0.5</v>
      </c>
      <c r="BK105" s="139">
        <v>0.5</v>
      </c>
      <c r="BL105" s="139">
        <v>0.5</v>
      </c>
      <c r="BM105" s="139">
        <v>0.5</v>
      </c>
      <c r="BN105" s="139">
        <v>0.5</v>
      </c>
      <c r="BO105" s="139">
        <v>0.5</v>
      </c>
      <c r="BP105" s="139">
        <v>0.5</v>
      </c>
      <c r="BQ105" s="139">
        <v>0.5</v>
      </c>
      <c r="BR105" s="139">
        <v>0.5</v>
      </c>
      <c r="BS105" s="139">
        <v>0.5</v>
      </c>
      <c r="BU105" s="139">
        <f t="shared" si="76"/>
        <v>6</v>
      </c>
      <c r="BV105" s="139">
        <f t="shared" si="77"/>
        <v>6</v>
      </c>
      <c r="BW105" s="139">
        <f t="shared" si="78"/>
        <v>6</v>
      </c>
      <c r="BX105" s="139">
        <f t="shared" si="79"/>
        <v>6</v>
      </c>
      <c r="BY105" s="139">
        <f t="shared" si="80"/>
        <v>6</v>
      </c>
    </row>
    <row r="106" spans="3:77" outlineLevel="1">
      <c r="C106" s="155"/>
      <c r="D106" s="139" t="s">
        <v>201</v>
      </c>
      <c r="J106" s="139" t="s">
        <v>597</v>
      </c>
      <c r="L106" s="139">
        <v>0</v>
      </c>
      <c r="M106" s="139">
        <v>0</v>
      </c>
      <c r="N106" s="139">
        <v>0</v>
      </c>
      <c r="O106" s="139">
        <v>0</v>
      </c>
      <c r="P106" s="139">
        <v>0</v>
      </c>
      <c r="Q106" s="139">
        <v>0</v>
      </c>
      <c r="R106" s="139">
        <v>11.1</v>
      </c>
      <c r="S106" s="139">
        <v>11.1</v>
      </c>
      <c r="T106" s="139">
        <v>11.1</v>
      </c>
      <c r="U106" s="139">
        <v>11.1</v>
      </c>
      <c r="V106" s="139">
        <v>11.1</v>
      </c>
      <c r="W106" s="139">
        <v>11.1</v>
      </c>
      <c r="X106" s="139">
        <v>11.2</v>
      </c>
      <c r="Y106" s="139">
        <v>11.2</v>
      </c>
      <c r="Z106" s="139">
        <v>11.2</v>
      </c>
      <c r="AA106" s="139">
        <v>11.2</v>
      </c>
      <c r="AB106" s="139">
        <v>11.2</v>
      </c>
      <c r="AC106" s="139">
        <v>11.2</v>
      </c>
      <c r="AD106" s="139">
        <v>11.2</v>
      </c>
      <c r="AE106" s="139">
        <v>11.2</v>
      </c>
      <c r="AF106" s="139">
        <v>11.2</v>
      </c>
      <c r="AG106" s="139">
        <v>11.2</v>
      </c>
      <c r="AH106" s="139">
        <v>11.2</v>
      </c>
      <c r="AI106" s="139">
        <v>11.2</v>
      </c>
      <c r="AJ106" s="139">
        <v>39.6</v>
      </c>
      <c r="AK106" s="139">
        <v>39.6</v>
      </c>
      <c r="AL106" s="139">
        <v>39.6</v>
      </c>
      <c r="AM106" s="139">
        <v>39.6</v>
      </c>
      <c r="AN106" s="139">
        <v>39.6</v>
      </c>
      <c r="AO106" s="139">
        <v>39.6</v>
      </c>
      <c r="AP106" s="139">
        <v>39.6</v>
      </c>
      <c r="AQ106" s="139">
        <v>39.6</v>
      </c>
      <c r="AR106" s="139">
        <v>39.6</v>
      </c>
      <c r="AS106" s="139">
        <v>39.6</v>
      </c>
      <c r="AT106" s="139">
        <v>39.6</v>
      </c>
      <c r="AU106" s="139">
        <v>39.6</v>
      </c>
      <c r="AV106" s="139">
        <v>56.8</v>
      </c>
      <c r="AW106" s="139">
        <v>56.8</v>
      </c>
      <c r="AX106" s="139">
        <v>56.8</v>
      </c>
      <c r="AY106" s="139">
        <v>56.8</v>
      </c>
      <c r="AZ106" s="139">
        <v>56.8</v>
      </c>
      <c r="BA106" s="139">
        <v>56.8</v>
      </c>
      <c r="BB106" s="139">
        <v>56.8</v>
      </c>
      <c r="BC106" s="139">
        <v>56.8</v>
      </c>
      <c r="BD106" s="139">
        <v>56.8</v>
      </c>
      <c r="BE106" s="139">
        <v>56.8</v>
      </c>
      <c r="BF106" s="139">
        <v>56.8</v>
      </c>
      <c r="BG106" s="139">
        <v>56.8</v>
      </c>
      <c r="BH106" s="139">
        <v>68</v>
      </c>
      <c r="BI106" s="139">
        <v>68</v>
      </c>
      <c r="BJ106" s="139">
        <v>68</v>
      </c>
      <c r="BK106" s="139">
        <v>68</v>
      </c>
      <c r="BL106" s="139">
        <v>68</v>
      </c>
      <c r="BM106" s="139">
        <v>68</v>
      </c>
      <c r="BN106" s="139">
        <v>68</v>
      </c>
      <c r="BO106" s="139">
        <v>68</v>
      </c>
      <c r="BP106" s="139">
        <v>68</v>
      </c>
      <c r="BQ106" s="139">
        <v>68</v>
      </c>
      <c r="BR106" s="139">
        <v>68</v>
      </c>
      <c r="BS106" s="139">
        <v>68</v>
      </c>
      <c r="BU106" s="139">
        <f t="shared" si="76"/>
        <v>66.599999999999994</v>
      </c>
      <c r="BV106" s="139">
        <f t="shared" si="77"/>
        <v>134.4</v>
      </c>
      <c r="BW106" s="139">
        <f t="shared" si="78"/>
        <v>475.2000000000001</v>
      </c>
      <c r="BX106" s="139">
        <f t="shared" si="79"/>
        <v>681.59999999999991</v>
      </c>
      <c r="BY106" s="139">
        <f t="shared" si="80"/>
        <v>816</v>
      </c>
    </row>
    <row r="107" spans="3:77" outlineLevel="1">
      <c r="C107" s="155"/>
      <c r="D107" s="139" t="s">
        <v>202</v>
      </c>
      <c r="J107" s="139" t="s">
        <v>597</v>
      </c>
      <c r="L107" s="139">
        <v>0.5</v>
      </c>
      <c r="M107" s="139">
        <v>0.5</v>
      </c>
      <c r="N107" s="139">
        <v>0.5</v>
      </c>
      <c r="O107" s="139">
        <v>0.5</v>
      </c>
      <c r="P107" s="139">
        <v>0.5</v>
      </c>
      <c r="Q107" s="139">
        <v>0.5</v>
      </c>
      <c r="R107" s="139">
        <v>0.5</v>
      </c>
      <c r="S107" s="139">
        <v>0.5</v>
      </c>
      <c r="T107" s="139">
        <v>0.5</v>
      </c>
      <c r="U107" s="139">
        <v>0.5</v>
      </c>
      <c r="V107" s="139">
        <v>0.5</v>
      </c>
      <c r="W107" s="139">
        <v>0.5</v>
      </c>
      <c r="X107" s="139">
        <v>0.5</v>
      </c>
      <c r="Y107" s="139">
        <v>0.5</v>
      </c>
      <c r="Z107" s="139">
        <v>0.5</v>
      </c>
      <c r="AA107" s="139">
        <v>0.5</v>
      </c>
      <c r="AB107" s="139">
        <v>0.5</v>
      </c>
      <c r="AC107" s="139">
        <v>0.5</v>
      </c>
      <c r="AD107" s="139">
        <v>0.5</v>
      </c>
      <c r="AE107" s="139">
        <v>0.5</v>
      </c>
      <c r="AF107" s="139">
        <v>0.5</v>
      </c>
      <c r="AG107" s="139">
        <v>0.5</v>
      </c>
      <c r="AH107" s="139">
        <v>0.5</v>
      </c>
      <c r="AI107" s="139">
        <v>0.5</v>
      </c>
      <c r="AJ107" s="139">
        <v>0.5</v>
      </c>
      <c r="AK107" s="139">
        <v>0.5</v>
      </c>
      <c r="AL107" s="139">
        <v>0.5</v>
      </c>
      <c r="AM107" s="139">
        <v>0.5</v>
      </c>
      <c r="AN107" s="139">
        <v>0.5</v>
      </c>
      <c r="AO107" s="139">
        <v>0.5</v>
      </c>
      <c r="AP107" s="139">
        <v>0.5</v>
      </c>
      <c r="AQ107" s="139">
        <v>0.5</v>
      </c>
      <c r="AR107" s="139">
        <v>0.5</v>
      </c>
      <c r="AS107" s="139">
        <v>0.5</v>
      </c>
      <c r="AT107" s="139">
        <v>0.5</v>
      </c>
      <c r="AU107" s="139">
        <v>0.5</v>
      </c>
      <c r="AV107" s="139">
        <v>0.5</v>
      </c>
      <c r="AW107" s="139">
        <v>0.5</v>
      </c>
      <c r="AX107" s="139">
        <v>0.5</v>
      </c>
      <c r="AY107" s="139">
        <v>0.5</v>
      </c>
      <c r="AZ107" s="139">
        <v>0.5</v>
      </c>
      <c r="BA107" s="139">
        <v>0.5</v>
      </c>
      <c r="BB107" s="139">
        <v>0.5</v>
      </c>
      <c r="BC107" s="139">
        <v>0.5</v>
      </c>
      <c r="BD107" s="139">
        <v>0.5</v>
      </c>
      <c r="BE107" s="139">
        <v>0.5</v>
      </c>
      <c r="BF107" s="139">
        <v>0.5</v>
      </c>
      <c r="BG107" s="139">
        <v>0.5</v>
      </c>
      <c r="BH107" s="139">
        <v>0.5</v>
      </c>
      <c r="BI107" s="139">
        <v>0.5</v>
      </c>
      <c r="BJ107" s="139">
        <v>0.5</v>
      </c>
      <c r="BK107" s="139">
        <v>0.5</v>
      </c>
      <c r="BL107" s="139">
        <v>0.5</v>
      </c>
      <c r="BM107" s="139">
        <v>0.5</v>
      </c>
      <c r="BN107" s="139">
        <v>0.5</v>
      </c>
      <c r="BO107" s="139">
        <v>0.5</v>
      </c>
      <c r="BP107" s="139">
        <v>0.5</v>
      </c>
      <c r="BQ107" s="139">
        <v>0.5</v>
      </c>
      <c r="BR107" s="139">
        <v>0.5</v>
      </c>
      <c r="BS107" s="139">
        <v>0.5</v>
      </c>
      <c r="BU107" s="139">
        <f t="shared" si="76"/>
        <v>6</v>
      </c>
      <c r="BV107" s="139">
        <f t="shared" si="77"/>
        <v>6</v>
      </c>
      <c r="BW107" s="139">
        <f t="shared" si="78"/>
        <v>6</v>
      </c>
      <c r="BX107" s="139">
        <f t="shared" si="79"/>
        <v>6</v>
      </c>
      <c r="BY107" s="139">
        <f t="shared" si="80"/>
        <v>6</v>
      </c>
    </row>
    <row r="108" spans="3:77" outlineLevel="1">
      <c r="C108" s="155"/>
      <c r="D108" s="139" t="s">
        <v>203</v>
      </c>
      <c r="J108" s="139" t="s">
        <v>597</v>
      </c>
      <c r="L108" s="139">
        <v>0</v>
      </c>
      <c r="M108" s="139">
        <v>0</v>
      </c>
      <c r="N108" s="139">
        <v>0</v>
      </c>
      <c r="O108" s="139">
        <v>0</v>
      </c>
      <c r="P108" s="139">
        <v>0</v>
      </c>
      <c r="Q108" s="139">
        <v>0</v>
      </c>
      <c r="R108" s="139">
        <v>0</v>
      </c>
      <c r="S108" s="139">
        <v>0</v>
      </c>
      <c r="T108" s="139">
        <v>0</v>
      </c>
      <c r="U108" s="139">
        <v>0</v>
      </c>
      <c r="V108" s="139">
        <v>0</v>
      </c>
      <c r="W108" s="139">
        <v>0</v>
      </c>
      <c r="X108" s="139">
        <v>0</v>
      </c>
      <c r="Y108" s="139">
        <v>0</v>
      </c>
      <c r="Z108" s="139">
        <v>0</v>
      </c>
      <c r="AA108" s="139">
        <v>0</v>
      </c>
      <c r="AB108" s="139">
        <v>0</v>
      </c>
      <c r="AC108" s="139">
        <v>0</v>
      </c>
      <c r="AD108" s="139">
        <v>0</v>
      </c>
      <c r="AE108" s="139">
        <v>0</v>
      </c>
      <c r="AF108" s="139">
        <v>0</v>
      </c>
      <c r="AG108" s="139">
        <v>0</v>
      </c>
      <c r="AH108" s="139">
        <v>0</v>
      </c>
      <c r="AI108" s="139">
        <v>0</v>
      </c>
      <c r="AJ108" s="139">
        <v>0</v>
      </c>
      <c r="AK108" s="139">
        <v>0</v>
      </c>
      <c r="AL108" s="139">
        <v>0</v>
      </c>
      <c r="AM108" s="139">
        <v>0</v>
      </c>
      <c r="AN108" s="139">
        <v>0</v>
      </c>
      <c r="AO108" s="139">
        <v>0</v>
      </c>
      <c r="AP108" s="139">
        <v>0</v>
      </c>
      <c r="AQ108" s="139">
        <v>0</v>
      </c>
      <c r="AR108" s="139">
        <v>0</v>
      </c>
      <c r="AS108" s="139">
        <v>0</v>
      </c>
      <c r="AT108" s="139">
        <v>0</v>
      </c>
      <c r="AU108" s="139">
        <v>0</v>
      </c>
      <c r="AV108" s="139">
        <v>0</v>
      </c>
      <c r="AW108" s="139">
        <v>0</v>
      </c>
      <c r="AX108" s="139">
        <v>0</v>
      </c>
      <c r="AY108" s="139">
        <v>0</v>
      </c>
      <c r="AZ108" s="139">
        <v>0</v>
      </c>
      <c r="BA108" s="139">
        <v>0</v>
      </c>
      <c r="BB108" s="139">
        <v>0</v>
      </c>
      <c r="BC108" s="139">
        <v>0</v>
      </c>
      <c r="BD108" s="139">
        <v>0</v>
      </c>
      <c r="BE108" s="139">
        <v>0</v>
      </c>
      <c r="BF108" s="139">
        <v>0</v>
      </c>
      <c r="BG108" s="139">
        <v>0</v>
      </c>
      <c r="BH108" s="139">
        <v>0</v>
      </c>
      <c r="BI108" s="139">
        <v>0</v>
      </c>
      <c r="BJ108" s="139">
        <v>0</v>
      </c>
      <c r="BK108" s="139">
        <v>0</v>
      </c>
      <c r="BL108" s="139">
        <v>0</v>
      </c>
      <c r="BM108" s="139">
        <v>0</v>
      </c>
      <c r="BN108" s="139">
        <v>0</v>
      </c>
      <c r="BO108" s="139">
        <v>0</v>
      </c>
      <c r="BP108" s="139">
        <v>0</v>
      </c>
      <c r="BQ108" s="139">
        <v>0</v>
      </c>
      <c r="BR108" s="139">
        <v>0</v>
      </c>
      <c r="BS108" s="139">
        <v>0</v>
      </c>
      <c r="BU108" s="139">
        <f t="shared" si="76"/>
        <v>0</v>
      </c>
      <c r="BV108" s="139">
        <f t="shared" si="77"/>
        <v>0</v>
      </c>
      <c r="BW108" s="139">
        <f t="shared" si="78"/>
        <v>0</v>
      </c>
      <c r="BX108" s="139">
        <f t="shared" si="79"/>
        <v>0</v>
      </c>
      <c r="BY108" s="139">
        <f t="shared" si="80"/>
        <v>0</v>
      </c>
    </row>
    <row r="109" spans="3:77" outlineLevel="1">
      <c r="C109" s="155"/>
      <c r="D109" s="139" t="s">
        <v>204</v>
      </c>
      <c r="J109" s="139" t="s">
        <v>597</v>
      </c>
      <c r="L109" s="139">
        <v>0</v>
      </c>
      <c r="M109" s="139">
        <v>0</v>
      </c>
      <c r="N109" s="139">
        <v>0</v>
      </c>
      <c r="O109" s="139">
        <v>0</v>
      </c>
      <c r="P109" s="139">
        <v>0</v>
      </c>
      <c r="Q109" s="139">
        <v>0</v>
      </c>
      <c r="R109" s="139">
        <v>0</v>
      </c>
      <c r="S109" s="139">
        <v>0</v>
      </c>
      <c r="T109" s="139">
        <v>0</v>
      </c>
      <c r="U109" s="139">
        <v>0</v>
      </c>
      <c r="V109" s="139">
        <v>0</v>
      </c>
      <c r="W109" s="139">
        <v>0</v>
      </c>
      <c r="X109" s="139">
        <v>0</v>
      </c>
      <c r="Y109" s="139">
        <v>0</v>
      </c>
      <c r="Z109" s="139">
        <v>0</v>
      </c>
      <c r="AA109" s="139">
        <v>0</v>
      </c>
      <c r="AB109" s="139">
        <v>0</v>
      </c>
      <c r="AC109" s="139">
        <v>0</v>
      </c>
      <c r="AD109" s="139">
        <v>0</v>
      </c>
      <c r="AE109" s="139">
        <v>0</v>
      </c>
      <c r="AF109" s="139">
        <v>0</v>
      </c>
      <c r="AG109" s="139">
        <v>0</v>
      </c>
      <c r="AH109" s="139">
        <v>0</v>
      </c>
      <c r="AI109" s="139">
        <v>0</v>
      </c>
      <c r="AJ109" s="139">
        <v>0</v>
      </c>
      <c r="AK109" s="139">
        <v>0</v>
      </c>
      <c r="AL109" s="139">
        <v>0</v>
      </c>
      <c r="AM109" s="139">
        <v>0</v>
      </c>
      <c r="AN109" s="139">
        <v>0</v>
      </c>
      <c r="AO109" s="139">
        <v>0</v>
      </c>
      <c r="AP109" s="139">
        <v>0</v>
      </c>
      <c r="AQ109" s="139">
        <v>0</v>
      </c>
      <c r="AR109" s="139">
        <v>0</v>
      </c>
      <c r="AS109" s="139">
        <v>0</v>
      </c>
      <c r="AT109" s="139">
        <v>0</v>
      </c>
      <c r="AU109" s="139">
        <v>0</v>
      </c>
      <c r="AV109" s="139">
        <v>0</v>
      </c>
      <c r="AW109" s="139">
        <v>0</v>
      </c>
      <c r="AX109" s="139">
        <v>0</v>
      </c>
      <c r="AY109" s="139">
        <v>0</v>
      </c>
      <c r="AZ109" s="139">
        <v>0</v>
      </c>
      <c r="BA109" s="139">
        <v>0</v>
      </c>
      <c r="BB109" s="139">
        <v>0</v>
      </c>
      <c r="BC109" s="139">
        <v>0</v>
      </c>
      <c r="BD109" s="139">
        <v>0</v>
      </c>
      <c r="BE109" s="139">
        <v>0</v>
      </c>
      <c r="BF109" s="139">
        <v>0</v>
      </c>
      <c r="BG109" s="139">
        <v>0</v>
      </c>
      <c r="BH109" s="139">
        <v>0</v>
      </c>
      <c r="BI109" s="139">
        <v>0</v>
      </c>
      <c r="BJ109" s="139">
        <v>0</v>
      </c>
      <c r="BK109" s="139">
        <v>0</v>
      </c>
      <c r="BL109" s="139">
        <v>0</v>
      </c>
      <c r="BM109" s="139">
        <v>0</v>
      </c>
      <c r="BN109" s="139">
        <v>0</v>
      </c>
      <c r="BO109" s="139">
        <v>0</v>
      </c>
      <c r="BP109" s="139">
        <v>0</v>
      </c>
      <c r="BQ109" s="139">
        <v>0</v>
      </c>
      <c r="BR109" s="139">
        <v>0</v>
      </c>
      <c r="BS109" s="139">
        <v>0</v>
      </c>
      <c r="BU109" s="139">
        <f t="shared" si="76"/>
        <v>0</v>
      </c>
      <c r="BV109" s="139">
        <f t="shared" si="77"/>
        <v>0</v>
      </c>
      <c r="BW109" s="139">
        <f t="shared" si="78"/>
        <v>0</v>
      </c>
      <c r="BX109" s="139">
        <f t="shared" si="79"/>
        <v>0</v>
      </c>
      <c r="BY109" s="139">
        <f t="shared" si="80"/>
        <v>0</v>
      </c>
    </row>
    <row r="110" spans="3:77" outlineLevel="1">
      <c r="C110" s="155"/>
      <c r="D110" s="139" t="s">
        <v>205</v>
      </c>
      <c r="J110" s="139" t="s">
        <v>597</v>
      </c>
      <c r="L110" s="139">
        <v>0</v>
      </c>
      <c r="M110" s="139">
        <v>0</v>
      </c>
      <c r="N110" s="139">
        <v>0</v>
      </c>
      <c r="O110" s="139">
        <v>0</v>
      </c>
      <c r="P110" s="139">
        <v>0</v>
      </c>
      <c r="Q110" s="139">
        <v>0</v>
      </c>
      <c r="R110" s="139">
        <v>0</v>
      </c>
      <c r="S110" s="139">
        <v>0</v>
      </c>
      <c r="T110" s="139">
        <v>0</v>
      </c>
      <c r="U110" s="139">
        <v>0</v>
      </c>
      <c r="V110" s="139">
        <v>0</v>
      </c>
      <c r="W110" s="139">
        <v>0</v>
      </c>
      <c r="X110" s="139">
        <v>0</v>
      </c>
      <c r="Y110" s="139">
        <v>0</v>
      </c>
      <c r="Z110" s="139">
        <v>0</v>
      </c>
      <c r="AA110" s="139">
        <v>0</v>
      </c>
      <c r="AB110" s="139">
        <v>0</v>
      </c>
      <c r="AC110" s="139">
        <v>0</v>
      </c>
      <c r="AD110" s="139">
        <v>0</v>
      </c>
      <c r="AE110" s="139">
        <v>0</v>
      </c>
      <c r="AF110" s="139">
        <v>0</v>
      </c>
      <c r="AG110" s="139">
        <v>0</v>
      </c>
      <c r="AH110" s="139">
        <v>0</v>
      </c>
      <c r="AI110" s="139">
        <v>0</v>
      </c>
      <c r="AJ110" s="139">
        <v>0</v>
      </c>
      <c r="AK110" s="139">
        <v>0</v>
      </c>
      <c r="AL110" s="139">
        <v>0</v>
      </c>
      <c r="AM110" s="139">
        <v>0</v>
      </c>
      <c r="AN110" s="139">
        <v>0</v>
      </c>
      <c r="AO110" s="139">
        <v>0</v>
      </c>
      <c r="AP110" s="139">
        <v>0</v>
      </c>
      <c r="AQ110" s="139">
        <v>0</v>
      </c>
      <c r="AR110" s="139">
        <v>0</v>
      </c>
      <c r="AS110" s="139">
        <v>0</v>
      </c>
      <c r="AT110" s="139">
        <v>0</v>
      </c>
      <c r="AU110" s="139">
        <v>0</v>
      </c>
      <c r="AV110" s="139">
        <v>0</v>
      </c>
      <c r="AW110" s="139">
        <v>0</v>
      </c>
      <c r="AX110" s="139">
        <v>0</v>
      </c>
      <c r="AY110" s="139">
        <v>0</v>
      </c>
      <c r="AZ110" s="139">
        <v>0</v>
      </c>
      <c r="BA110" s="139">
        <v>0</v>
      </c>
      <c r="BB110" s="139">
        <v>0</v>
      </c>
      <c r="BC110" s="139">
        <v>0</v>
      </c>
      <c r="BD110" s="139">
        <v>0</v>
      </c>
      <c r="BE110" s="139">
        <v>0</v>
      </c>
      <c r="BF110" s="139">
        <v>0</v>
      </c>
      <c r="BG110" s="139">
        <v>0</v>
      </c>
      <c r="BH110" s="139">
        <v>0</v>
      </c>
      <c r="BI110" s="139">
        <v>0</v>
      </c>
      <c r="BJ110" s="139">
        <v>0</v>
      </c>
      <c r="BK110" s="139">
        <v>0</v>
      </c>
      <c r="BL110" s="139">
        <v>0</v>
      </c>
      <c r="BM110" s="139">
        <v>0</v>
      </c>
      <c r="BN110" s="139">
        <v>0</v>
      </c>
      <c r="BO110" s="139">
        <v>0</v>
      </c>
      <c r="BP110" s="139">
        <v>0</v>
      </c>
      <c r="BQ110" s="139">
        <v>0</v>
      </c>
      <c r="BR110" s="139">
        <v>0</v>
      </c>
      <c r="BS110" s="139">
        <v>0</v>
      </c>
      <c r="BU110" s="139">
        <f t="shared" si="76"/>
        <v>0</v>
      </c>
      <c r="BV110" s="139">
        <f t="shared" si="77"/>
        <v>0</v>
      </c>
      <c r="BW110" s="139">
        <f t="shared" si="78"/>
        <v>0</v>
      </c>
      <c r="BX110" s="139">
        <f t="shared" si="79"/>
        <v>0</v>
      </c>
      <c r="BY110" s="139">
        <f t="shared" si="80"/>
        <v>0</v>
      </c>
    </row>
    <row r="111" spans="3:77" outlineLevel="1">
      <c r="C111" s="155"/>
      <c r="D111" s="139" t="s">
        <v>206</v>
      </c>
      <c r="J111" s="139" t="s">
        <v>597</v>
      </c>
      <c r="L111" s="139">
        <v>0</v>
      </c>
      <c r="M111" s="139">
        <v>0</v>
      </c>
      <c r="N111" s="139">
        <v>0</v>
      </c>
      <c r="O111" s="139">
        <v>0</v>
      </c>
      <c r="P111" s="139">
        <v>0</v>
      </c>
      <c r="Q111" s="139">
        <v>0</v>
      </c>
      <c r="R111" s="139">
        <v>0</v>
      </c>
      <c r="S111" s="139">
        <v>0</v>
      </c>
      <c r="T111" s="139">
        <v>0</v>
      </c>
      <c r="U111" s="139">
        <v>0</v>
      </c>
      <c r="V111" s="139">
        <v>0</v>
      </c>
      <c r="W111" s="139">
        <v>0</v>
      </c>
      <c r="X111" s="139">
        <v>0</v>
      </c>
      <c r="Y111" s="139">
        <v>0</v>
      </c>
      <c r="Z111" s="139">
        <v>0</v>
      </c>
      <c r="AA111" s="139">
        <v>0</v>
      </c>
      <c r="AB111" s="139">
        <v>0</v>
      </c>
      <c r="AC111" s="139">
        <v>0</v>
      </c>
      <c r="AD111" s="139">
        <v>0</v>
      </c>
      <c r="AE111" s="139">
        <v>0</v>
      </c>
      <c r="AF111" s="139">
        <v>0</v>
      </c>
      <c r="AG111" s="139">
        <v>0</v>
      </c>
      <c r="AH111" s="139">
        <v>0</v>
      </c>
      <c r="AI111" s="139">
        <v>0</v>
      </c>
      <c r="AJ111" s="139">
        <v>0</v>
      </c>
      <c r="AK111" s="139">
        <v>0</v>
      </c>
      <c r="AL111" s="139">
        <v>0</v>
      </c>
      <c r="AM111" s="139">
        <v>0</v>
      </c>
      <c r="AN111" s="139">
        <v>0</v>
      </c>
      <c r="AO111" s="139">
        <v>0</v>
      </c>
      <c r="AP111" s="139">
        <v>0</v>
      </c>
      <c r="AQ111" s="139">
        <v>0</v>
      </c>
      <c r="AR111" s="139">
        <v>0</v>
      </c>
      <c r="AS111" s="139">
        <v>0</v>
      </c>
      <c r="AT111" s="139">
        <v>0</v>
      </c>
      <c r="AU111" s="139">
        <v>0</v>
      </c>
      <c r="AV111" s="139">
        <v>0</v>
      </c>
      <c r="AW111" s="139">
        <v>0</v>
      </c>
      <c r="AX111" s="139">
        <v>0</v>
      </c>
      <c r="AY111" s="139">
        <v>0</v>
      </c>
      <c r="AZ111" s="139">
        <v>0</v>
      </c>
      <c r="BA111" s="139">
        <v>0</v>
      </c>
      <c r="BB111" s="139">
        <v>0</v>
      </c>
      <c r="BC111" s="139">
        <v>0</v>
      </c>
      <c r="BD111" s="139">
        <v>0</v>
      </c>
      <c r="BE111" s="139">
        <v>0</v>
      </c>
      <c r="BF111" s="139">
        <v>0</v>
      </c>
      <c r="BG111" s="139">
        <v>0</v>
      </c>
      <c r="BH111" s="139">
        <v>0</v>
      </c>
      <c r="BI111" s="139">
        <v>0</v>
      </c>
      <c r="BJ111" s="139">
        <v>0</v>
      </c>
      <c r="BK111" s="139">
        <v>0</v>
      </c>
      <c r="BL111" s="139">
        <v>0</v>
      </c>
      <c r="BM111" s="139">
        <v>0</v>
      </c>
      <c r="BN111" s="139">
        <v>0</v>
      </c>
      <c r="BO111" s="139">
        <v>0</v>
      </c>
      <c r="BP111" s="139">
        <v>0</v>
      </c>
      <c r="BQ111" s="139">
        <v>0</v>
      </c>
      <c r="BR111" s="139">
        <v>0</v>
      </c>
      <c r="BS111" s="139">
        <v>0</v>
      </c>
      <c r="BU111" s="139">
        <f t="shared" si="76"/>
        <v>0</v>
      </c>
      <c r="BV111" s="139">
        <f t="shared" si="77"/>
        <v>0</v>
      </c>
      <c r="BW111" s="139">
        <f t="shared" si="78"/>
        <v>0</v>
      </c>
      <c r="BX111" s="139">
        <f t="shared" si="79"/>
        <v>0</v>
      </c>
      <c r="BY111" s="139">
        <f t="shared" si="80"/>
        <v>0</v>
      </c>
    </row>
    <row r="112" spans="3:77" outlineLevel="1">
      <c r="C112" s="155"/>
      <c r="D112" s="139" t="s">
        <v>207</v>
      </c>
      <c r="J112" s="139" t="s">
        <v>597</v>
      </c>
      <c r="L112" s="139">
        <v>0</v>
      </c>
      <c r="M112" s="139">
        <v>0</v>
      </c>
      <c r="N112" s="139">
        <v>0</v>
      </c>
      <c r="O112" s="139">
        <v>0</v>
      </c>
      <c r="P112" s="139">
        <v>0</v>
      </c>
      <c r="Q112" s="139">
        <v>0</v>
      </c>
      <c r="R112" s="139">
        <v>0</v>
      </c>
      <c r="S112" s="139">
        <v>0</v>
      </c>
      <c r="T112" s="139">
        <v>0</v>
      </c>
      <c r="U112" s="139">
        <v>0</v>
      </c>
      <c r="V112" s="139">
        <v>0</v>
      </c>
      <c r="W112" s="139">
        <v>0</v>
      </c>
      <c r="X112" s="139">
        <v>0</v>
      </c>
      <c r="Y112" s="139">
        <v>0</v>
      </c>
      <c r="Z112" s="139">
        <v>0</v>
      </c>
      <c r="AA112" s="139">
        <v>0</v>
      </c>
      <c r="AB112" s="139">
        <v>0</v>
      </c>
      <c r="AC112" s="139">
        <v>0</v>
      </c>
      <c r="AD112" s="139">
        <v>0</v>
      </c>
      <c r="AE112" s="139">
        <v>0</v>
      </c>
      <c r="AF112" s="139">
        <v>0</v>
      </c>
      <c r="AG112" s="139">
        <v>0</v>
      </c>
      <c r="AH112" s="139">
        <v>0</v>
      </c>
      <c r="AI112" s="139">
        <v>0</v>
      </c>
      <c r="AJ112" s="139">
        <v>0</v>
      </c>
      <c r="AK112" s="139">
        <v>0</v>
      </c>
      <c r="AL112" s="139">
        <v>0</v>
      </c>
      <c r="AM112" s="139">
        <v>0</v>
      </c>
      <c r="AN112" s="139">
        <v>0</v>
      </c>
      <c r="AO112" s="139">
        <v>0</v>
      </c>
      <c r="AP112" s="139">
        <v>0</v>
      </c>
      <c r="AQ112" s="139">
        <v>0</v>
      </c>
      <c r="AR112" s="139">
        <v>0</v>
      </c>
      <c r="AS112" s="139">
        <v>0</v>
      </c>
      <c r="AT112" s="139">
        <v>0</v>
      </c>
      <c r="AU112" s="139">
        <v>0</v>
      </c>
      <c r="AV112" s="139">
        <v>0</v>
      </c>
      <c r="AW112" s="139">
        <v>0</v>
      </c>
      <c r="AX112" s="139">
        <v>0</v>
      </c>
      <c r="AY112" s="139">
        <v>0</v>
      </c>
      <c r="AZ112" s="139">
        <v>0</v>
      </c>
      <c r="BA112" s="139">
        <v>0</v>
      </c>
      <c r="BB112" s="139">
        <v>0</v>
      </c>
      <c r="BC112" s="139">
        <v>0</v>
      </c>
      <c r="BD112" s="139">
        <v>0</v>
      </c>
      <c r="BE112" s="139">
        <v>0</v>
      </c>
      <c r="BF112" s="139">
        <v>0</v>
      </c>
      <c r="BG112" s="139">
        <v>0</v>
      </c>
      <c r="BH112" s="139">
        <v>0</v>
      </c>
      <c r="BI112" s="139">
        <v>0</v>
      </c>
      <c r="BJ112" s="139">
        <v>0</v>
      </c>
      <c r="BK112" s="139">
        <v>0</v>
      </c>
      <c r="BL112" s="139">
        <v>0</v>
      </c>
      <c r="BM112" s="139">
        <v>0</v>
      </c>
      <c r="BN112" s="139">
        <v>0</v>
      </c>
      <c r="BO112" s="139">
        <v>0</v>
      </c>
      <c r="BP112" s="139">
        <v>0</v>
      </c>
      <c r="BQ112" s="139">
        <v>0</v>
      </c>
      <c r="BR112" s="139">
        <v>0</v>
      </c>
      <c r="BS112" s="139">
        <v>0</v>
      </c>
      <c r="BU112" s="139">
        <f t="shared" si="76"/>
        <v>0</v>
      </c>
      <c r="BV112" s="139">
        <f t="shared" si="77"/>
        <v>0</v>
      </c>
      <c r="BW112" s="139">
        <f t="shared" si="78"/>
        <v>0</v>
      </c>
      <c r="BX112" s="139">
        <f t="shared" si="79"/>
        <v>0</v>
      </c>
      <c r="BY112" s="139">
        <f t="shared" si="80"/>
        <v>0</v>
      </c>
    </row>
    <row r="113" spans="2:77" outlineLevel="1">
      <c r="C113" s="155"/>
      <c r="D113" s="139" t="s">
        <v>208</v>
      </c>
      <c r="J113" s="139" t="s">
        <v>597</v>
      </c>
      <c r="L113" s="139">
        <v>0</v>
      </c>
      <c r="M113" s="139">
        <v>0</v>
      </c>
      <c r="N113" s="139">
        <v>0</v>
      </c>
      <c r="O113" s="139">
        <v>0</v>
      </c>
      <c r="P113" s="139">
        <v>0</v>
      </c>
      <c r="Q113" s="139">
        <v>0</v>
      </c>
      <c r="R113" s="139">
        <v>0</v>
      </c>
      <c r="S113" s="139">
        <v>0</v>
      </c>
      <c r="T113" s="139">
        <v>0</v>
      </c>
      <c r="U113" s="139">
        <v>0</v>
      </c>
      <c r="V113" s="139">
        <v>0</v>
      </c>
      <c r="W113" s="139">
        <v>0</v>
      </c>
      <c r="X113" s="139">
        <v>0</v>
      </c>
      <c r="Y113" s="139">
        <v>0</v>
      </c>
      <c r="Z113" s="139">
        <v>0</v>
      </c>
      <c r="AA113" s="139">
        <v>0</v>
      </c>
      <c r="AB113" s="139">
        <v>0</v>
      </c>
      <c r="AC113" s="139">
        <v>0</v>
      </c>
      <c r="AD113" s="139">
        <v>0</v>
      </c>
      <c r="AE113" s="139">
        <v>0</v>
      </c>
      <c r="AF113" s="139">
        <v>0</v>
      </c>
      <c r="AG113" s="139">
        <v>0</v>
      </c>
      <c r="AH113" s="139">
        <v>0</v>
      </c>
      <c r="AI113" s="139">
        <v>0</v>
      </c>
      <c r="AJ113" s="139">
        <v>0</v>
      </c>
      <c r="AK113" s="139">
        <v>0</v>
      </c>
      <c r="AL113" s="139">
        <v>0</v>
      </c>
      <c r="AM113" s="139">
        <v>0</v>
      </c>
      <c r="AN113" s="139">
        <v>0</v>
      </c>
      <c r="AO113" s="139">
        <v>0</v>
      </c>
      <c r="AP113" s="139">
        <v>0</v>
      </c>
      <c r="AQ113" s="139">
        <v>0</v>
      </c>
      <c r="AR113" s="139">
        <v>0</v>
      </c>
      <c r="AS113" s="139">
        <v>0</v>
      </c>
      <c r="AT113" s="139">
        <v>0</v>
      </c>
      <c r="AU113" s="139">
        <v>0</v>
      </c>
      <c r="AV113" s="139">
        <v>0</v>
      </c>
      <c r="AW113" s="139">
        <v>0</v>
      </c>
      <c r="AX113" s="139">
        <v>0</v>
      </c>
      <c r="AY113" s="139">
        <v>0</v>
      </c>
      <c r="AZ113" s="139">
        <v>0</v>
      </c>
      <c r="BA113" s="139">
        <v>0</v>
      </c>
      <c r="BB113" s="139">
        <v>0</v>
      </c>
      <c r="BC113" s="139">
        <v>0</v>
      </c>
      <c r="BD113" s="139">
        <v>0</v>
      </c>
      <c r="BE113" s="139">
        <v>0</v>
      </c>
      <c r="BF113" s="139">
        <v>0</v>
      </c>
      <c r="BG113" s="139">
        <v>0</v>
      </c>
      <c r="BH113" s="139">
        <v>0</v>
      </c>
      <c r="BI113" s="139">
        <v>0</v>
      </c>
      <c r="BJ113" s="139">
        <v>0</v>
      </c>
      <c r="BK113" s="139">
        <v>0</v>
      </c>
      <c r="BL113" s="139">
        <v>0</v>
      </c>
      <c r="BM113" s="139">
        <v>0</v>
      </c>
      <c r="BN113" s="139">
        <v>0</v>
      </c>
      <c r="BO113" s="139">
        <v>0</v>
      </c>
      <c r="BP113" s="139">
        <v>0</v>
      </c>
      <c r="BQ113" s="139">
        <v>0</v>
      </c>
      <c r="BR113" s="139">
        <v>0</v>
      </c>
      <c r="BS113" s="139">
        <v>0</v>
      </c>
      <c r="BU113" s="139">
        <f t="shared" si="76"/>
        <v>0</v>
      </c>
      <c r="BV113" s="139">
        <f t="shared" si="77"/>
        <v>0</v>
      </c>
      <c r="BW113" s="139">
        <f t="shared" si="78"/>
        <v>0</v>
      </c>
      <c r="BX113" s="139">
        <f t="shared" si="79"/>
        <v>0</v>
      </c>
      <c r="BY113" s="139">
        <f t="shared" si="80"/>
        <v>0</v>
      </c>
    </row>
    <row r="114" spans="2:77" outlineLevel="1">
      <c r="C114" s="155"/>
      <c r="D114" s="139" t="s">
        <v>209</v>
      </c>
      <c r="F114" s="183" t="s">
        <v>1296</v>
      </c>
      <c r="J114" s="139" t="s">
        <v>597</v>
      </c>
      <c r="L114" s="139">
        <v>0</v>
      </c>
      <c r="M114" s="139">
        <v>0</v>
      </c>
      <c r="N114" s="139">
        <v>0</v>
      </c>
      <c r="O114" s="139">
        <v>0</v>
      </c>
      <c r="P114" s="139">
        <v>0</v>
      </c>
      <c r="Q114" s="139">
        <v>0</v>
      </c>
      <c r="R114" s="139">
        <v>0</v>
      </c>
      <c r="S114" s="139">
        <v>0</v>
      </c>
      <c r="T114" s="139">
        <v>0</v>
      </c>
      <c r="U114" s="139">
        <v>0</v>
      </c>
      <c r="V114" s="139">
        <v>0</v>
      </c>
      <c r="W114" s="139">
        <v>0</v>
      </c>
      <c r="X114" s="139">
        <v>0</v>
      </c>
      <c r="Y114" s="139">
        <v>0</v>
      </c>
      <c r="Z114" s="139">
        <v>0</v>
      </c>
      <c r="AA114" s="139">
        <v>0</v>
      </c>
      <c r="AB114" s="139">
        <v>0</v>
      </c>
      <c r="AC114" s="139">
        <v>0</v>
      </c>
      <c r="AD114" s="139">
        <v>0</v>
      </c>
      <c r="AE114" s="139">
        <v>0</v>
      </c>
      <c r="AF114" s="139">
        <v>0</v>
      </c>
      <c r="AG114" s="139">
        <v>0</v>
      </c>
      <c r="AH114" s="139">
        <v>0</v>
      </c>
      <c r="AI114" s="139">
        <v>0</v>
      </c>
      <c r="AJ114" s="139">
        <v>0</v>
      </c>
      <c r="AK114" s="139">
        <v>0</v>
      </c>
      <c r="AL114" s="139">
        <v>0</v>
      </c>
      <c r="AM114" s="139">
        <v>0</v>
      </c>
      <c r="AN114" s="139">
        <v>0</v>
      </c>
      <c r="AO114" s="139">
        <v>0</v>
      </c>
      <c r="AP114" s="139">
        <v>0</v>
      </c>
      <c r="AQ114" s="139">
        <v>0</v>
      </c>
      <c r="AR114" s="139">
        <v>0</v>
      </c>
      <c r="AS114" s="139">
        <v>0</v>
      </c>
      <c r="AT114" s="139">
        <v>0</v>
      </c>
      <c r="AU114" s="139">
        <v>0</v>
      </c>
      <c r="AV114" s="139">
        <v>0</v>
      </c>
      <c r="AW114" s="139">
        <v>0</v>
      </c>
      <c r="AX114" s="139">
        <v>0</v>
      </c>
      <c r="AY114" s="139">
        <v>0</v>
      </c>
      <c r="AZ114" s="139">
        <v>0</v>
      </c>
      <c r="BA114" s="139">
        <v>0</v>
      </c>
      <c r="BB114" s="139">
        <v>0</v>
      </c>
      <c r="BC114" s="139">
        <v>0</v>
      </c>
      <c r="BD114" s="139">
        <v>0</v>
      </c>
      <c r="BE114" s="139">
        <v>0</v>
      </c>
      <c r="BF114" s="139">
        <v>0</v>
      </c>
      <c r="BG114" s="139">
        <v>0</v>
      </c>
      <c r="BH114" s="139">
        <v>0</v>
      </c>
      <c r="BI114" s="139">
        <v>0</v>
      </c>
      <c r="BJ114" s="139">
        <v>0</v>
      </c>
      <c r="BK114" s="139">
        <v>0</v>
      </c>
      <c r="BL114" s="139">
        <v>0</v>
      </c>
      <c r="BM114" s="139">
        <v>0</v>
      </c>
      <c r="BN114" s="139">
        <v>0</v>
      </c>
      <c r="BO114" s="139">
        <v>0</v>
      </c>
      <c r="BP114" s="139">
        <v>0</v>
      </c>
      <c r="BQ114" s="139">
        <v>0</v>
      </c>
      <c r="BR114" s="139">
        <v>0</v>
      </c>
      <c r="BS114" s="139">
        <v>0</v>
      </c>
      <c r="BU114" s="139">
        <f t="shared" si="76"/>
        <v>0</v>
      </c>
      <c r="BV114" s="139">
        <f t="shared" si="77"/>
        <v>0</v>
      </c>
      <c r="BW114" s="139">
        <f t="shared" si="78"/>
        <v>0</v>
      </c>
      <c r="BX114" s="139">
        <f t="shared" si="79"/>
        <v>0</v>
      </c>
      <c r="BY114" s="139">
        <f t="shared" si="80"/>
        <v>0</v>
      </c>
    </row>
    <row r="115" spans="2:77" outlineLevel="1">
      <c r="C115" s="155"/>
      <c r="D115" s="139" t="s">
        <v>210</v>
      </c>
      <c r="H115" s="139">
        <f>1</f>
        <v>1</v>
      </c>
      <c r="J115" s="139" t="s">
        <v>597</v>
      </c>
      <c r="L115" s="139">
        <f>$H$115*노선구성!$F$29</f>
        <v>1</v>
      </c>
      <c r="M115" s="139">
        <f>$H$115*노선구성!$F$29</f>
        <v>1</v>
      </c>
      <c r="N115" s="139">
        <f>$H$115*노선구성!$F$29</f>
        <v>1</v>
      </c>
      <c r="O115" s="139">
        <f>$H$115*노선구성!$F$29</f>
        <v>1</v>
      </c>
      <c r="P115" s="139">
        <f>$H$115*노선구성!$F$29</f>
        <v>1</v>
      </c>
      <c r="Q115" s="139">
        <f>$H$115*노선구성!$F$29</f>
        <v>1</v>
      </c>
      <c r="R115" s="139">
        <f>$H$115*노선구성!$F$29</f>
        <v>1</v>
      </c>
      <c r="S115" s="139">
        <f>$H$115*노선구성!$F$29</f>
        <v>1</v>
      </c>
      <c r="T115" s="139">
        <f>$H$115*노선구성!$F$29</f>
        <v>1</v>
      </c>
      <c r="U115" s="139">
        <f>$H$115*노선구성!$F$29</f>
        <v>1</v>
      </c>
      <c r="V115" s="139">
        <f>$H$115*노선구성!$F$29</f>
        <v>1</v>
      </c>
      <c r="W115" s="139">
        <f>$H$115*노선구성!$F$29</f>
        <v>1</v>
      </c>
      <c r="X115" s="139">
        <f>$H$115*노선구성!$G$29</f>
        <v>1</v>
      </c>
      <c r="Y115" s="139">
        <f>$H$115*노선구성!$G$29</f>
        <v>1</v>
      </c>
      <c r="Z115" s="139">
        <f>$H$115*노선구성!$G$29</f>
        <v>1</v>
      </c>
      <c r="AA115" s="139">
        <f>$H$115*노선구성!$G$29</f>
        <v>1</v>
      </c>
      <c r="AB115" s="139">
        <f>$H$115*노선구성!$G$29</f>
        <v>1</v>
      </c>
      <c r="AC115" s="139">
        <f>$H$115*노선구성!$G$29</f>
        <v>1</v>
      </c>
      <c r="AD115" s="139">
        <f>$H$115*노선구성!$G$29</f>
        <v>1</v>
      </c>
      <c r="AE115" s="139">
        <f>$H$115*노선구성!$G$29</f>
        <v>1</v>
      </c>
      <c r="AF115" s="139">
        <f>$H$115*노선구성!$G$29</f>
        <v>1</v>
      </c>
      <c r="AG115" s="139">
        <f>$H$115*노선구성!$G$29</f>
        <v>1</v>
      </c>
      <c r="AH115" s="139">
        <f>$H$115*노선구성!$G$29</f>
        <v>1</v>
      </c>
      <c r="AI115" s="139">
        <f>$H$115*노선구성!$G$29</f>
        <v>1</v>
      </c>
      <c r="AJ115" s="139">
        <f>$H$115*노선구성!$H$29</f>
        <v>1</v>
      </c>
      <c r="AK115" s="139">
        <f>$H$115*노선구성!$H$29</f>
        <v>1</v>
      </c>
      <c r="AL115" s="139">
        <f>$H$115*노선구성!$H$29</f>
        <v>1</v>
      </c>
      <c r="AM115" s="139">
        <f>$H$115*노선구성!$H$29</f>
        <v>1</v>
      </c>
      <c r="AN115" s="139">
        <f>$H$115*노선구성!$H$29</f>
        <v>1</v>
      </c>
      <c r="AO115" s="139">
        <f>$H$115*노선구성!$H$29</f>
        <v>1</v>
      </c>
      <c r="AP115" s="139">
        <f>$H$115*노선구성!$H$29</f>
        <v>1</v>
      </c>
      <c r="AQ115" s="139">
        <f>$H$115*노선구성!$H$29</f>
        <v>1</v>
      </c>
      <c r="AR115" s="139">
        <f>$H$115*노선구성!$H$29</f>
        <v>1</v>
      </c>
      <c r="AS115" s="139">
        <f>$H$115*노선구성!$H$29</f>
        <v>1</v>
      </c>
      <c r="AT115" s="139">
        <f>$H$115*노선구성!$H$29</f>
        <v>1</v>
      </c>
      <c r="AU115" s="139">
        <f>$H$115*노선구성!$H$29</f>
        <v>1</v>
      </c>
      <c r="AV115" s="139">
        <f>$H$115*노선구성!$I$29</f>
        <v>1</v>
      </c>
      <c r="AW115" s="139">
        <f>$H$115*노선구성!$I$29</f>
        <v>1</v>
      </c>
      <c r="AX115" s="139">
        <f>$H$115*노선구성!$I$29</f>
        <v>1</v>
      </c>
      <c r="AY115" s="139">
        <f>$H$115*노선구성!$I$29</f>
        <v>1</v>
      </c>
      <c r="AZ115" s="139">
        <f>$H$115*노선구성!$I$29</f>
        <v>1</v>
      </c>
      <c r="BA115" s="139">
        <f>$H$115*노선구성!$I$29</f>
        <v>1</v>
      </c>
      <c r="BB115" s="139">
        <f>$H$115*노선구성!$I$29</f>
        <v>1</v>
      </c>
      <c r="BC115" s="139">
        <f>$H$115*노선구성!$I$29</f>
        <v>1</v>
      </c>
      <c r="BD115" s="139">
        <f>$H$115*노선구성!$I$29</f>
        <v>1</v>
      </c>
      <c r="BE115" s="139">
        <f>$H$115*노선구성!$I$29</f>
        <v>1</v>
      </c>
      <c r="BF115" s="139">
        <f>$H$115*노선구성!$I$29</f>
        <v>1</v>
      </c>
      <c r="BG115" s="139">
        <f>$H$115*노선구성!$I$29</f>
        <v>1</v>
      </c>
      <c r="BH115" s="139">
        <f>$H$115*노선구성!$J$29</f>
        <v>1</v>
      </c>
      <c r="BI115" s="139">
        <f>$H$115*노선구성!$J$29</f>
        <v>1</v>
      </c>
      <c r="BJ115" s="139">
        <f>$H$115*노선구성!$J$29</f>
        <v>1</v>
      </c>
      <c r="BK115" s="139">
        <f>$H$115*노선구성!$J$29</f>
        <v>1</v>
      </c>
      <c r="BL115" s="139">
        <f>$H$115*노선구성!$J$29</f>
        <v>1</v>
      </c>
      <c r="BM115" s="139">
        <f>$H$115*노선구성!$J$29</f>
        <v>1</v>
      </c>
      <c r="BN115" s="139">
        <f>$H$115*노선구성!$J$29</f>
        <v>1</v>
      </c>
      <c r="BO115" s="139">
        <f>$H$115*노선구성!$J$29</f>
        <v>1</v>
      </c>
      <c r="BP115" s="139">
        <f>$H$115*노선구성!$J$29</f>
        <v>1</v>
      </c>
      <c r="BQ115" s="139">
        <f>$H$115*노선구성!$J$29</f>
        <v>1</v>
      </c>
      <c r="BR115" s="139">
        <f>$H$115*노선구성!$J$29</f>
        <v>1</v>
      </c>
      <c r="BS115" s="139">
        <f>$H$115*노선구성!$J$29</f>
        <v>1</v>
      </c>
      <c r="BU115" s="139">
        <f t="shared" si="76"/>
        <v>12</v>
      </c>
      <c r="BV115" s="139">
        <f t="shared" si="77"/>
        <v>12</v>
      </c>
      <c r="BW115" s="139">
        <f t="shared" si="78"/>
        <v>12</v>
      </c>
      <c r="BX115" s="139">
        <f t="shared" si="79"/>
        <v>12</v>
      </c>
      <c r="BY115" s="139">
        <f t="shared" si="80"/>
        <v>12</v>
      </c>
    </row>
    <row r="116" spans="2:77" outlineLevel="1">
      <c r="C116" s="155"/>
      <c r="D116" s="139" t="s">
        <v>211</v>
      </c>
      <c r="J116" s="139" t="s">
        <v>597</v>
      </c>
      <c r="L116" s="139">
        <v>0</v>
      </c>
      <c r="M116" s="139">
        <v>0</v>
      </c>
      <c r="N116" s="139">
        <v>0</v>
      </c>
      <c r="O116" s="139">
        <v>0</v>
      </c>
      <c r="P116" s="139">
        <v>0</v>
      </c>
      <c r="Q116" s="139">
        <v>0</v>
      </c>
      <c r="R116" s="139">
        <v>0</v>
      </c>
      <c r="S116" s="139">
        <v>0</v>
      </c>
      <c r="T116" s="139">
        <v>0</v>
      </c>
      <c r="U116" s="139">
        <v>0</v>
      </c>
      <c r="V116" s="139">
        <v>0</v>
      </c>
      <c r="W116" s="139">
        <v>0</v>
      </c>
      <c r="X116" s="139">
        <v>0</v>
      </c>
      <c r="Y116" s="139">
        <v>0</v>
      </c>
      <c r="Z116" s="139">
        <v>0</v>
      </c>
      <c r="AA116" s="139">
        <v>0</v>
      </c>
      <c r="AB116" s="139">
        <v>0</v>
      </c>
      <c r="AC116" s="139">
        <v>0</v>
      </c>
      <c r="AD116" s="139">
        <v>0</v>
      </c>
      <c r="AE116" s="139">
        <v>0</v>
      </c>
      <c r="AF116" s="139">
        <v>0</v>
      </c>
      <c r="AG116" s="139">
        <v>0</v>
      </c>
      <c r="AH116" s="139">
        <v>0</v>
      </c>
      <c r="AI116" s="139">
        <v>0</v>
      </c>
      <c r="AJ116" s="139">
        <v>0</v>
      </c>
      <c r="AK116" s="139">
        <v>0</v>
      </c>
      <c r="AL116" s="139">
        <v>0</v>
      </c>
      <c r="AM116" s="139">
        <v>0</v>
      </c>
      <c r="AN116" s="139">
        <v>0</v>
      </c>
      <c r="AO116" s="139">
        <v>0</v>
      </c>
      <c r="AP116" s="139">
        <v>0</v>
      </c>
      <c r="AQ116" s="139">
        <v>0</v>
      </c>
      <c r="AR116" s="139">
        <v>0</v>
      </c>
      <c r="AS116" s="139">
        <v>0</v>
      </c>
      <c r="AT116" s="139">
        <v>0</v>
      </c>
      <c r="AU116" s="139">
        <v>0</v>
      </c>
      <c r="AV116" s="139">
        <v>0</v>
      </c>
      <c r="AW116" s="139">
        <v>0</v>
      </c>
      <c r="AX116" s="139">
        <v>0</v>
      </c>
      <c r="AY116" s="139">
        <v>0</v>
      </c>
      <c r="AZ116" s="139">
        <v>0</v>
      </c>
      <c r="BA116" s="139">
        <v>0</v>
      </c>
      <c r="BB116" s="139">
        <v>0</v>
      </c>
      <c r="BC116" s="139">
        <v>0</v>
      </c>
      <c r="BD116" s="139">
        <v>0</v>
      </c>
      <c r="BE116" s="139">
        <v>0</v>
      </c>
      <c r="BF116" s="139">
        <v>0</v>
      </c>
      <c r="BG116" s="139">
        <v>0</v>
      </c>
      <c r="BH116" s="139">
        <v>0</v>
      </c>
      <c r="BI116" s="139">
        <v>0</v>
      </c>
      <c r="BJ116" s="139">
        <v>0</v>
      </c>
      <c r="BK116" s="139">
        <v>0</v>
      </c>
      <c r="BL116" s="139">
        <v>0</v>
      </c>
      <c r="BM116" s="139">
        <v>0</v>
      </c>
      <c r="BN116" s="139">
        <v>0</v>
      </c>
      <c r="BO116" s="139">
        <v>0</v>
      </c>
      <c r="BP116" s="139">
        <v>0</v>
      </c>
      <c r="BQ116" s="139">
        <v>0</v>
      </c>
      <c r="BR116" s="139">
        <v>0</v>
      </c>
      <c r="BS116" s="139">
        <v>0</v>
      </c>
      <c r="BU116" s="139">
        <f t="shared" si="76"/>
        <v>0</v>
      </c>
      <c r="BV116" s="139">
        <f t="shared" si="77"/>
        <v>0</v>
      </c>
      <c r="BW116" s="139">
        <f t="shared" si="78"/>
        <v>0</v>
      </c>
      <c r="BX116" s="139">
        <f t="shared" si="79"/>
        <v>0</v>
      </c>
      <c r="BY116" s="139">
        <f t="shared" si="80"/>
        <v>0</v>
      </c>
    </row>
    <row r="117" spans="2:77">
      <c r="C117" s="155" t="s">
        <v>212</v>
      </c>
      <c r="BU117" s="139">
        <f t="shared" si="76"/>
        <v>0</v>
      </c>
      <c r="BV117" s="139">
        <f t="shared" si="77"/>
        <v>0</v>
      </c>
      <c r="BW117" s="139">
        <f t="shared" si="78"/>
        <v>0</v>
      </c>
      <c r="BX117" s="139">
        <f t="shared" si="79"/>
        <v>0</v>
      </c>
      <c r="BY117" s="139">
        <f t="shared" si="80"/>
        <v>0</v>
      </c>
    </row>
    <row r="118" spans="2:77">
      <c r="C118" s="155" t="s">
        <v>213</v>
      </c>
      <c r="BU118" s="139">
        <f t="shared" si="76"/>
        <v>0</v>
      </c>
      <c r="BV118" s="139">
        <f t="shared" si="77"/>
        <v>0</v>
      </c>
      <c r="BW118" s="139">
        <f t="shared" si="78"/>
        <v>0</v>
      </c>
      <c r="BX118" s="139">
        <f t="shared" si="79"/>
        <v>0</v>
      </c>
      <c r="BY118" s="139">
        <f t="shared" si="80"/>
        <v>0</v>
      </c>
    </row>
    <row r="119" spans="2:77">
      <c r="C119" s="155"/>
      <c r="BU119" s="139">
        <f t="shared" si="76"/>
        <v>0</v>
      </c>
      <c r="BV119" s="139">
        <f t="shared" si="77"/>
        <v>0</v>
      </c>
      <c r="BW119" s="139">
        <f t="shared" si="78"/>
        <v>0</v>
      </c>
      <c r="BX119" s="139">
        <f t="shared" si="79"/>
        <v>0</v>
      </c>
      <c r="BY119" s="139">
        <f t="shared" si="80"/>
        <v>0</v>
      </c>
    </row>
    <row r="120" spans="2:77">
      <c r="C120" s="155"/>
      <c r="BU120" s="139">
        <f t="shared" si="76"/>
        <v>0</v>
      </c>
      <c r="BV120" s="139">
        <f t="shared" si="77"/>
        <v>0</v>
      </c>
      <c r="BW120" s="139">
        <f t="shared" si="78"/>
        <v>0</v>
      </c>
      <c r="BX120" s="139">
        <f t="shared" si="79"/>
        <v>0</v>
      </c>
      <c r="BY120" s="139">
        <f t="shared" si="80"/>
        <v>0</v>
      </c>
    </row>
    <row r="121" spans="2:77">
      <c r="B121" s="155" t="s">
        <v>572</v>
      </c>
      <c r="C121" s="155"/>
      <c r="L121" s="155">
        <f>L122+L128+L135+L140+L145</f>
        <v>2370</v>
      </c>
      <c r="M121" s="155">
        <f t="shared" ref="M121:BS121" si="98">M122+M128+M135+M140+M145</f>
        <v>250.00000000000003</v>
      </c>
      <c r="N121" s="155">
        <f t="shared" si="98"/>
        <v>250.00000000000003</v>
      </c>
      <c r="O121" s="155">
        <f t="shared" si="98"/>
        <v>250.00000000000003</v>
      </c>
      <c r="P121" s="155">
        <f t="shared" si="98"/>
        <v>250.00000000000003</v>
      </c>
      <c r="Q121" s="155">
        <f t="shared" si="98"/>
        <v>250.00000000000003</v>
      </c>
      <c r="R121" s="155">
        <f t="shared" si="98"/>
        <v>6028.2999999999993</v>
      </c>
      <c r="S121" s="155">
        <f t="shared" si="98"/>
        <v>250.00000000000003</v>
      </c>
      <c r="T121" s="155">
        <f t="shared" si="98"/>
        <v>250.00000000000003</v>
      </c>
      <c r="U121" s="155">
        <f t="shared" si="98"/>
        <v>250.00000000000003</v>
      </c>
      <c r="V121" s="155">
        <f t="shared" si="98"/>
        <v>250.00000000000003</v>
      </c>
      <c r="W121" s="155">
        <f t="shared" si="98"/>
        <v>250.00000000000003</v>
      </c>
      <c r="X121" s="155">
        <f t="shared" si="98"/>
        <v>2417.9333333333334</v>
      </c>
      <c r="Y121" s="155">
        <f t="shared" si="98"/>
        <v>458.33333333333337</v>
      </c>
      <c r="Z121" s="155">
        <f t="shared" si="98"/>
        <v>458.33333333333337</v>
      </c>
      <c r="AA121" s="155">
        <f t="shared" si="98"/>
        <v>458.33333333333337</v>
      </c>
      <c r="AB121" s="155">
        <f t="shared" si="98"/>
        <v>458.33333333333337</v>
      </c>
      <c r="AC121" s="155">
        <f t="shared" si="98"/>
        <v>458.33333333333337</v>
      </c>
      <c r="AD121" s="155">
        <f t="shared" si="98"/>
        <v>2157.8333333333335</v>
      </c>
      <c r="AE121" s="155">
        <f t="shared" si="98"/>
        <v>458.33333333333337</v>
      </c>
      <c r="AF121" s="155">
        <f t="shared" si="98"/>
        <v>458.33333333333337</v>
      </c>
      <c r="AG121" s="155">
        <f t="shared" si="98"/>
        <v>458.33333333333337</v>
      </c>
      <c r="AH121" s="155">
        <f t="shared" si="98"/>
        <v>458.33333333333337</v>
      </c>
      <c r="AI121" s="155">
        <f t="shared" si="98"/>
        <v>458.33333333333337</v>
      </c>
      <c r="AJ121" s="155">
        <f t="shared" si="98"/>
        <v>2342.9333333333334</v>
      </c>
      <c r="AK121" s="155">
        <f t="shared" si="98"/>
        <v>583.33333333333337</v>
      </c>
      <c r="AL121" s="155">
        <f t="shared" si="98"/>
        <v>583.33333333333337</v>
      </c>
      <c r="AM121" s="155">
        <f t="shared" si="98"/>
        <v>583.33333333333337</v>
      </c>
      <c r="AN121" s="155">
        <f t="shared" si="98"/>
        <v>583.33333333333337</v>
      </c>
      <c r="AO121" s="155">
        <f t="shared" si="98"/>
        <v>583.33333333333337</v>
      </c>
      <c r="AP121" s="155">
        <f t="shared" si="98"/>
        <v>2282.8333333333335</v>
      </c>
      <c r="AQ121" s="155">
        <f t="shared" si="98"/>
        <v>583.33333333333337</v>
      </c>
      <c r="AR121" s="155">
        <f t="shared" si="98"/>
        <v>583.33333333333337</v>
      </c>
      <c r="AS121" s="155">
        <f t="shared" si="98"/>
        <v>583.33333333333337</v>
      </c>
      <c r="AT121" s="155">
        <f t="shared" si="98"/>
        <v>583.33333333333337</v>
      </c>
      <c r="AU121" s="155">
        <f t="shared" si="98"/>
        <v>583.33333333333337</v>
      </c>
      <c r="AV121" s="155">
        <f t="shared" si="98"/>
        <v>2607.8333333333335</v>
      </c>
      <c r="AW121" s="155">
        <f t="shared" si="98"/>
        <v>708.33333333333337</v>
      </c>
      <c r="AX121" s="155">
        <f t="shared" si="98"/>
        <v>708.33333333333337</v>
      </c>
      <c r="AY121" s="155">
        <f t="shared" si="98"/>
        <v>708.33333333333337</v>
      </c>
      <c r="AZ121" s="155">
        <f t="shared" si="98"/>
        <v>708.33333333333337</v>
      </c>
      <c r="BA121" s="155">
        <f t="shared" si="98"/>
        <v>708.33333333333337</v>
      </c>
      <c r="BB121" s="155">
        <f t="shared" si="98"/>
        <v>2407.8333333333335</v>
      </c>
      <c r="BC121" s="155">
        <f t="shared" si="98"/>
        <v>708.33333333333337</v>
      </c>
      <c r="BD121" s="155">
        <f t="shared" si="98"/>
        <v>708.33333333333337</v>
      </c>
      <c r="BE121" s="155">
        <f t="shared" si="98"/>
        <v>708.33333333333337</v>
      </c>
      <c r="BF121" s="155">
        <f t="shared" si="98"/>
        <v>708.33333333333337</v>
      </c>
      <c r="BG121" s="155">
        <f t="shared" si="98"/>
        <v>708.33333333333337</v>
      </c>
      <c r="BH121" s="155">
        <f t="shared" si="98"/>
        <v>833.33333333333337</v>
      </c>
      <c r="BI121" s="155">
        <f t="shared" si="98"/>
        <v>833.33333333333337</v>
      </c>
      <c r="BJ121" s="155">
        <f t="shared" si="98"/>
        <v>833.33333333333337</v>
      </c>
      <c r="BK121" s="155">
        <f t="shared" si="98"/>
        <v>833.33333333333337</v>
      </c>
      <c r="BL121" s="155">
        <f t="shared" si="98"/>
        <v>833.33333333333337</v>
      </c>
      <c r="BM121" s="155">
        <f t="shared" si="98"/>
        <v>833.33333333333337</v>
      </c>
      <c r="BN121" s="155">
        <f t="shared" si="98"/>
        <v>833.33333333333337</v>
      </c>
      <c r="BO121" s="155">
        <f t="shared" si="98"/>
        <v>833.33333333333337</v>
      </c>
      <c r="BP121" s="155">
        <f t="shared" si="98"/>
        <v>833.33333333333337</v>
      </c>
      <c r="BQ121" s="155">
        <f t="shared" si="98"/>
        <v>833.33333333333337</v>
      </c>
      <c r="BR121" s="155">
        <f t="shared" si="98"/>
        <v>833.33333333333337</v>
      </c>
      <c r="BS121" s="155">
        <f t="shared" si="98"/>
        <v>833.33333333333337</v>
      </c>
      <c r="BU121" s="139">
        <f t="shared" si="76"/>
        <v>10898.3</v>
      </c>
      <c r="BV121" s="139">
        <f t="shared" si="77"/>
        <v>9159.1000000000022</v>
      </c>
      <c r="BW121" s="139">
        <f t="shared" si="78"/>
        <v>10459.100000000002</v>
      </c>
      <c r="BX121" s="139">
        <f t="shared" si="79"/>
        <v>12099.000000000004</v>
      </c>
      <c r="BY121" s="139">
        <f t="shared" si="80"/>
        <v>10000</v>
      </c>
    </row>
    <row r="122" spans="2:77" s="155" customFormat="1">
      <c r="C122" s="155" t="s">
        <v>545</v>
      </c>
      <c r="L122" s="155">
        <f t="shared" ref="L122:BR122" si="99">SUBTOTAL(9,L123)</f>
        <v>0</v>
      </c>
      <c r="M122" s="155">
        <f t="shared" si="99"/>
        <v>0</v>
      </c>
      <c r="N122" s="155">
        <f t="shared" si="99"/>
        <v>0</v>
      </c>
      <c r="O122" s="155">
        <f t="shared" si="99"/>
        <v>0</v>
      </c>
      <c r="P122" s="155">
        <f t="shared" si="99"/>
        <v>0</v>
      </c>
      <c r="Q122" s="155">
        <f t="shared" si="99"/>
        <v>0</v>
      </c>
      <c r="R122" s="155">
        <f t="shared" si="99"/>
        <v>5778.2999999999993</v>
      </c>
      <c r="S122" s="155">
        <f t="shared" si="99"/>
        <v>0</v>
      </c>
      <c r="T122" s="155">
        <f t="shared" si="99"/>
        <v>0</v>
      </c>
      <c r="U122" s="155">
        <f t="shared" si="99"/>
        <v>0</v>
      </c>
      <c r="V122" s="155">
        <f t="shared" si="99"/>
        <v>0</v>
      </c>
      <c r="W122" s="155">
        <f t="shared" si="99"/>
        <v>0</v>
      </c>
      <c r="X122" s="155">
        <f t="shared" si="99"/>
        <v>1359.6</v>
      </c>
      <c r="Y122" s="155">
        <f t="shared" si="99"/>
        <v>0</v>
      </c>
      <c r="Z122" s="155">
        <f t="shared" si="99"/>
        <v>0</v>
      </c>
      <c r="AA122" s="155">
        <f t="shared" si="99"/>
        <v>0</v>
      </c>
      <c r="AB122" s="155">
        <f t="shared" si="99"/>
        <v>0</v>
      </c>
      <c r="AC122" s="155">
        <f t="shared" si="99"/>
        <v>0</v>
      </c>
      <c r="AD122" s="155">
        <f t="shared" si="99"/>
        <v>1699.5</v>
      </c>
      <c r="AE122" s="155">
        <f t="shared" si="99"/>
        <v>0</v>
      </c>
      <c r="AF122" s="155">
        <f t="shared" si="99"/>
        <v>0</v>
      </c>
      <c r="AG122" s="155">
        <f t="shared" si="99"/>
        <v>0</v>
      </c>
      <c r="AH122" s="155">
        <f t="shared" si="99"/>
        <v>0</v>
      </c>
      <c r="AI122" s="155">
        <f t="shared" si="99"/>
        <v>0</v>
      </c>
      <c r="AJ122" s="155">
        <f t="shared" si="99"/>
        <v>1359.6</v>
      </c>
      <c r="AK122" s="155">
        <f t="shared" si="99"/>
        <v>0</v>
      </c>
      <c r="AL122" s="155">
        <f t="shared" si="99"/>
        <v>0</v>
      </c>
      <c r="AM122" s="155">
        <f t="shared" si="99"/>
        <v>0</v>
      </c>
      <c r="AN122" s="155">
        <f t="shared" si="99"/>
        <v>0</v>
      </c>
      <c r="AO122" s="155">
        <f t="shared" si="99"/>
        <v>0</v>
      </c>
      <c r="AP122" s="155">
        <f t="shared" si="99"/>
        <v>1699.5</v>
      </c>
      <c r="AQ122" s="155">
        <f t="shared" si="99"/>
        <v>0</v>
      </c>
      <c r="AR122" s="155">
        <f t="shared" si="99"/>
        <v>0</v>
      </c>
      <c r="AS122" s="155">
        <f t="shared" si="99"/>
        <v>0</v>
      </c>
      <c r="AT122" s="155">
        <f t="shared" si="99"/>
        <v>0</v>
      </c>
      <c r="AU122" s="155">
        <f t="shared" si="99"/>
        <v>0</v>
      </c>
      <c r="AV122" s="155">
        <f t="shared" si="99"/>
        <v>1699.5</v>
      </c>
      <c r="AW122" s="155">
        <f t="shared" si="99"/>
        <v>0</v>
      </c>
      <c r="AX122" s="155">
        <f t="shared" si="99"/>
        <v>0</v>
      </c>
      <c r="AY122" s="155">
        <f t="shared" si="99"/>
        <v>0</v>
      </c>
      <c r="AZ122" s="155">
        <f t="shared" si="99"/>
        <v>0</v>
      </c>
      <c r="BA122" s="155">
        <f t="shared" si="99"/>
        <v>0</v>
      </c>
      <c r="BB122" s="155">
        <f t="shared" si="99"/>
        <v>1699.5</v>
      </c>
      <c r="BC122" s="155">
        <f t="shared" si="99"/>
        <v>0</v>
      </c>
      <c r="BD122" s="155">
        <f t="shared" si="99"/>
        <v>0</v>
      </c>
      <c r="BE122" s="155">
        <f t="shared" si="99"/>
        <v>0</v>
      </c>
      <c r="BF122" s="155">
        <f t="shared" si="99"/>
        <v>0</v>
      </c>
      <c r="BG122" s="155">
        <f t="shared" si="99"/>
        <v>0</v>
      </c>
      <c r="BH122" s="155">
        <f t="shared" si="99"/>
        <v>0</v>
      </c>
      <c r="BI122" s="155">
        <f t="shared" si="99"/>
        <v>0</v>
      </c>
      <c r="BJ122" s="155">
        <f t="shared" si="99"/>
        <v>0</v>
      </c>
      <c r="BK122" s="155">
        <f t="shared" si="99"/>
        <v>0</v>
      </c>
      <c r="BL122" s="155">
        <f t="shared" si="99"/>
        <v>0</v>
      </c>
      <c r="BM122" s="155">
        <f t="shared" si="99"/>
        <v>0</v>
      </c>
      <c r="BN122" s="155">
        <f t="shared" si="99"/>
        <v>0</v>
      </c>
      <c r="BO122" s="155">
        <f t="shared" si="99"/>
        <v>0</v>
      </c>
      <c r="BP122" s="155">
        <f t="shared" si="99"/>
        <v>0</v>
      </c>
      <c r="BQ122" s="155">
        <f t="shared" si="99"/>
        <v>0</v>
      </c>
      <c r="BR122" s="155">
        <f t="shared" si="99"/>
        <v>0</v>
      </c>
      <c r="BS122" s="155">
        <f>SUBTOTAL(9,BS123)</f>
        <v>0</v>
      </c>
      <c r="BU122" s="155">
        <f t="shared" si="76"/>
        <v>5778.2999999999993</v>
      </c>
      <c r="BV122" s="155">
        <f t="shared" si="77"/>
        <v>3059.1</v>
      </c>
      <c r="BW122" s="155">
        <f t="shared" si="78"/>
        <v>3059.1</v>
      </c>
      <c r="BX122" s="155">
        <f t="shared" si="79"/>
        <v>3399</v>
      </c>
      <c r="BY122" s="155">
        <f t="shared" si="80"/>
        <v>0</v>
      </c>
    </row>
    <row r="123" spans="2:77">
      <c r="C123" s="155"/>
      <c r="D123" s="139" t="s">
        <v>545</v>
      </c>
      <c r="F123" s="286" t="s">
        <v>1297</v>
      </c>
      <c r="L123" s="139">
        <f>(L125*$F$125+L126*$F$126+L127*$F$127)*노선구성!$E$15</f>
        <v>0</v>
      </c>
      <c r="M123" s="139">
        <f>(M125*$F$125+M126*$F$126+M127*$F$127)*노선구성!$E$15</f>
        <v>0</v>
      </c>
      <c r="N123" s="139">
        <f>(N125*$F$125+N126*$F$126+N127*$F$127)*노선구성!$E$15</f>
        <v>0</v>
      </c>
      <c r="O123" s="139">
        <f>(O125*$F$125+O126*$F$126+O127*$F$127)*노선구성!$E$15</f>
        <v>0</v>
      </c>
      <c r="P123" s="139">
        <f>(P125*$F$125+P126*$F$126+P127*$F$127)*노선구성!$E$15</f>
        <v>0</v>
      </c>
      <c r="Q123" s="139">
        <f>(Q125*$F$125+Q126*$F$126+Q127*$F$127)*노선구성!$E$15</f>
        <v>0</v>
      </c>
      <c r="R123" s="139">
        <f>(R125*$F$125+R126*$F$126+R127*$F$127)*노선구성!$E$15</f>
        <v>5778.2999999999993</v>
      </c>
      <c r="S123" s="139">
        <f>(S125*$F$125+S126*$F$126+S127*$F$127)*노선구성!$E$15</f>
        <v>0</v>
      </c>
      <c r="T123" s="139">
        <f>(T125*$F$125+T126*$F$126+T127*$F$127)*노선구성!$E$15</f>
        <v>0</v>
      </c>
      <c r="U123" s="139">
        <f>(U125*$F$125+U126*$F$126+U127*$F$127)*노선구성!$E$15</f>
        <v>0</v>
      </c>
      <c r="V123" s="139">
        <f>(V125*$F$125+V126*$F$126+V127*$F$127)*노선구성!$E$15</f>
        <v>0</v>
      </c>
      <c r="W123" s="139">
        <f>(W125*$F$125+W126*$F$126+W127*$F$127)*노선구성!$E$15</f>
        <v>0</v>
      </c>
      <c r="X123" s="139">
        <f>(X125*$F$125+X126*$F$126+X127*$F$127)*노선구성!$E$15</f>
        <v>1359.6</v>
      </c>
      <c r="Y123" s="139">
        <f>(Y125*$F$125+Y126*$F$126+Y127*$F$127)*노선구성!$E$15</f>
        <v>0</v>
      </c>
      <c r="Z123" s="139">
        <f>(Z125*$F$125+Z126*$F$126+Z127*$F$127)*노선구성!$E$15</f>
        <v>0</v>
      </c>
      <c r="AA123" s="139">
        <f>(AA125*$F$125+AA126*$F$126+AA127*$F$127)*노선구성!$E$15</f>
        <v>0</v>
      </c>
      <c r="AB123" s="139">
        <f>(AB125*$F$125+AB126*$F$126+AB127*$F$127)*노선구성!$E$15</f>
        <v>0</v>
      </c>
      <c r="AC123" s="139">
        <f>(AC125*$F$125+AC126*$F$126+AC127*$F$127)*노선구성!$E$15</f>
        <v>0</v>
      </c>
      <c r="AD123" s="139">
        <f>(AD125*$F$125+AD126*$F$126+AD127*$F$127)*노선구성!$E$15</f>
        <v>1699.5</v>
      </c>
      <c r="AE123" s="139">
        <f>(AE125*$F$125+AE126*$F$126+AE127*$F$127)*노선구성!$E$15</f>
        <v>0</v>
      </c>
      <c r="AF123" s="139">
        <f>(AF125*$F$125+AF126*$F$126+AF127*$F$127)*노선구성!$E$15</f>
        <v>0</v>
      </c>
      <c r="AG123" s="139">
        <f>(AG125*$F$125+AG126*$F$126+AG127*$F$127)*노선구성!$E$15</f>
        <v>0</v>
      </c>
      <c r="AH123" s="139">
        <f>(AH125*$F$125+AH126*$F$126+AH127*$F$127)*노선구성!$E$15</f>
        <v>0</v>
      </c>
      <c r="AI123" s="139">
        <f>(AI125*$F$125+AI126*$F$126+AI127*$F$127)*노선구성!$E$15</f>
        <v>0</v>
      </c>
      <c r="AJ123" s="139">
        <f>(AJ125*$F$125+AJ126*$F$126+AJ127*$F$127)*노선구성!$E$15</f>
        <v>1359.6</v>
      </c>
      <c r="AK123" s="139">
        <f>(AK125*$F$125+AK126*$F$126+AK127*$F$127)*노선구성!$E$15</f>
        <v>0</v>
      </c>
      <c r="AL123" s="139">
        <f>(AL125*$F$125+AL126*$F$126+AL127*$F$127)*노선구성!$E$15</f>
        <v>0</v>
      </c>
      <c r="AM123" s="139">
        <f>(AM125*$F$125+AM126*$F$126+AM127*$F$127)*노선구성!$E$15</f>
        <v>0</v>
      </c>
      <c r="AN123" s="139">
        <f>(AN125*$F$125+AN126*$F$126+AN127*$F$127)*노선구성!$E$15</f>
        <v>0</v>
      </c>
      <c r="AO123" s="139">
        <f>(AO125*$F$125+AO126*$F$126+AO127*$F$127)*노선구성!$E$15</f>
        <v>0</v>
      </c>
      <c r="AP123" s="139">
        <f>(AP125*$F$125+AP126*$F$126+AP127*$F$127)*노선구성!$E$15</f>
        <v>1699.5</v>
      </c>
      <c r="AQ123" s="139">
        <f>(AQ125*$F$125+AQ126*$F$126+AQ127*$F$127)*노선구성!$E$15</f>
        <v>0</v>
      </c>
      <c r="AR123" s="139">
        <f>(AR125*$F$125+AR126*$F$126+AR127*$F$127)*노선구성!$E$15</f>
        <v>0</v>
      </c>
      <c r="AS123" s="139">
        <f>(AS125*$F$125+AS126*$F$126+AS127*$F$127)*노선구성!$E$15</f>
        <v>0</v>
      </c>
      <c r="AT123" s="139">
        <f>(AT125*$F$125+AT126*$F$126+AT127*$F$127)*노선구성!$E$15</f>
        <v>0</v>
      </c>
      <c r="AU123" s="139">
        <f>(AU125*$F$125+AU126*$F$126+AU127*$F$127)*노선구성!$E$15</f>
        <v>0</v>
      </c>
      <c r="AV123" s="139">
        <f>(AV125*$F$125+AV126*$F$126+AV127*$F$127)*노선구성!$E$15</f>
        <v>1699.5</v>
      </c>
      <c r="AW123" s="139">
        <f>(AW125*$F$125+AW126*$F$126+AW127*$F$127)*노선구성!$E$15</f>
        <v>0</v>
      </c>
      <c r="AX123" s="139">
        <f>(AX125*$F$125+AX126*$F$126+AX127*$F$127)*노선구성!$E$15</f>
        <v>0</v>
      </c>
      <c r="AY123" s="139">
        <f>(AY125*$F$125+AY126*$F$126+AY127*$F$127)*노선구성!$E$15</f>
        <v>0</v>
      </c>
      <c r="AZ123" s="139">
        <f>(AZ125*$F$125+AZ126*$F$126+AZ127*$F$127)*노선구성!$E$15</f>
        <v>0</v>
      </c>
      <c r="BA123" s="139">
        <f>(BA125*$F$125+BA126*$F$126+BA127*$F$127)*노선구성!$E$15</f>
        <v>0</v>
      </c>
      <c r="BB123" s="139">
        <f>(BB125*$F$125+BB126*$F$126+BB127*$F$127)*노선구성!$E$15</f>
        <v>1699.5</v>
      </c>
      <c r="BC123" s="139">
        <f>(BC125*$F$125+BC126*$F$126+BC127*$F$127)*노선구성!$E$15</f>
        <v>0</v>
      </c>
      <c r="BD123" s="139">
        <f>(BD125*$F$125+BD126*$F$126+BD127*$F$127)*노선구성!$E$15</f>
        <v>0</v>
      </c>
      <c r="BE123" s="139">
        <f>(BE125*$F$125+BE126*$F$126+BE127*$F$127)*노선구성!$E$15</f>
        <v>0</v>
      </c>
      <c r="BF123" s="139">
        <f>(BF125*$F$125+BF126*$F$126+BF127*$F$127)*노선구성!$E$15</f>
        <v>0</v>
      </c>
      <c r="BG123" s="139">
        <f>(BG125*$F$125+BG126*$F$126+BG127*$F$127)*노선구성!$E$15</f>
        <v>0</v>
      </c>
      <c r="BH123" s="139">
        <f>(BH125*$F$125+BH126*$F$126+BH127*$F$127)*노선구성!$E$15</f>
        <v>0</v>
      </c>
      <c r="BI123" s="139">
        <f>(BI125*$F$125+BI126*$F$126+BI127*$F$127)*노선구성!$E$15</f>
        <v>0</v>
      </c>
      <c r="BJ123" s="139">
        <f>(BJ125*$F$125+BJ126*$F$126+BJ127*$F$127)*노선구성!$E$15</f>
        <v>0</v>
      </c>
      <c r="BK123" s="139">
        <f>(BK125*$F$125+BK126*$F$126+BK127*$F$127)*노선구성!$E$15</f>
        <v>0</v>
      </c>
      <c r="BL123" s="139">
        <f>(BL125*$F$125+BL126*$F$126+BL127*$F$127)*노선구성!$E$15</f>
        <v>0</v>
      </c>
      <c r="BM123" s="139">
        <f>(BM125*$F$125+BM126*$F$126+BM127*$F$127)*노선구성!$E$15</f>
        <v>0</v>
      </c>
      <c r="BN123" s="139">
        <f>(BN125*$F$125+BN126*$F$126+BN127*$F$127)*노선구성!$E$15</f>
        <v>0</v>
      </c>
      <c r="BO123" s="139">
        <f>(BO125*$F$125+BO126*$F$126+BO127*$F$127)*노선구성!$E$15</f>
        <v>0</v>
      </c>
      <c r="BP123" s="139">
        <f>(BP125*$F$125+BP126*$F$126+BP127*$F$127)*노선구성!$E$15</f>
        <v>0</v>
      </c>
      <c r="BQ123" s="139">
        <f>(BQ125*$F$125+BQ126*$F$126+BQ127*$F$127)*노선구성!$E$15</f>
        <v>0</v>
      </c>
      <c r="BR123" s="139">
        <f>(BR125*$F$125+BR126*$F$126+BR127*$F$127)*노선구성!$E$15</f>
        <v>0</v>
      </c>
      <c r="BS123" s="139">
        <f>(BS125*$F$125+BS126*$F$126+BS127*$F$127)*노선구성!$E$15</f>
        <v>0</v>
      </c>
      <c r="BU123" s="139">
        <f t="shared" si="76"/>
        <v>5778.2999999999993</v>
      </c>
      <c r="BV123" s="139">
        <f t="shared" si="77"/>
        <v>3059.1</v>
      </c>
      <c r="BW123" s="139">
        <f t="shared" si="78"/>
        <v>3059.1</v>
      </c>
      <c r="BX123" s="139">
        <f t="shared" si="79"/>
        <v>3399</v>
      </c>
      <c r="BY123" s="139">
        <f t="shared" si="80"/>
        <v>0</v>
      </c>
    </row>
    <row r="124" spans="2:77">
      <c r="C124" s="155"/>
      <c r="E124" s="139" t="s">
        <v>637</v>
      </c>
      <c r="F124" s="139" t="s">
        <v>638</v>
      </c>
      <c r="BU124" s="139">
        <f t="shared" si="76"/>
        <v>0</v>
      </c>
      <c r="BV124" s="139">
        <f t="shared" si="77"/>
        <v>0</v>
      </c>
      <c r="BW124" s="139">
        <f t="shared" si="78"/>
        <v>0</v>
      </c>
      <c r="BX124" s="139">
        <f t="shared" si="79"/>
        <v>0</v>
      </c>
      <c r="BY124" s="139">
        <f t="shared" si="80"/>
        <v>0</v>
      </c>
    </row>
    <row r="125" spans="2:77">
      <c r="C125" s="155"/>
      <c r="E125" s="139">
        <v>737</v>
      </c>
      <c r="F125" s="311">
        <f>200000*6/1000000</f>
        <v>1.2</v>
      </c>
      <c r="L125" s="139">
        <f>IS_항공기!L22</f>
        <v>0</v>
      </c>
      <c r="M125" s="139">
        <f>IS_항공기!M22</f>
        <v>0</v>
      </c>
      <c r="N125" s="139">
        <f>IS_항공기!N22</f>
        <v>0</v>
      </c>
      <c r="O125" s="139">
        <f>IS_항공기!O22</f>
        <v>0</v>
      </c>
      <c r="P125" s="139">
        <f>IS_항공기!P22</f>
        <v>0</v>
      </c>
      <c r="Q125" s="139">
        <f>IS_항공기!Q22</f>
        <v>0</v>
      </c>
      <c r="R125" s="139">
        <f>IS_항공기!R22</f>
        <v>3</v>
      </c>
      <c r="S125" s="139">
        <f>IS_항공기!S22</f>
        <v>0</v>
      </c>
      <c r="T125" s="139">
        <f>IS_항공기!T22</f>
        <v>0</v>
      </c>
      <c r="U125" s="139">
        <f>IS_항공기!U22</f>
        <v>0</v>
      </c>
      <c r="V125" s="139">
        <f>IS_항공기!V22</f>
        <v>0</v>
      </c>
      <c r="W125" s="139">
        <f>IS_항공기!W22</f>
        <v>0</v>
      </c>
      <c r="X125" s="139">
        <f>IS_항공기!X22</f>
        <v>1</v>
      </c>
      <c r="Y125" s="139">
        <f>IS_항공기!Y22</f>
        <v>0</v>
      </c>
      <c r="Z125" s="139">
        <f>IS_항공기!Z22</f>
        <v>0</v>
      </c>
      <c r="AA125" s="139">
        <f>IS_항공기!AA22</f>
        <v>0</v>
      </c>
      <c r="AB125" s="139">
        <f>IS_항공기!AB22</f>
        <v>0</v>
      </c>
      <c r="AC125" s="139">
        <f>IS_항공기!AC22</f>
        <v>0</v>
      </c>
      <c r="AD125" s="139">
        <f>IS_항공기!AD22</f>
        <v>0</v>
      </c>
      <c r="AE125" s="139">
        <f>IS_항공기!AE22</f>
        <v>0</v>
      </c>
      <c r="AF125" s="139">
        <f>IS_항공기!AF22</f>
        <v>0</v>
      </c>
      <c r="AG125" s="139">
        <f>IS_항공기!AG22</f>
        <v>0</v>
      </c>
      <c r="AH125" s="139">
        <f>IS_항공기!AH22</f>
        <v>0</v>
      </c>
      <c r="AI125" s="139">
        <f>IS_항공기!AI22</f>
        <v>0</v>
      </c>
      <c r="AJ125" s="139">
        <f>IS_항공기!AJ22</f>
        <v>1</v>
      </c>
      <c r="AK125" s="139">
        <f>IS_항공기!AK22</f>
        <v>0</v>
      </c>
      <c r="AL125" s="139">
        <f>IS_항공기!AL22</f>
        <v>0</v>
      </c>
      <c r="AM125" s="139">
        <f>IS_항공기!AM22</f>
        <v>0</v>
      </c>
      <c r="AN125" s="139">
        <f>IS_항공기!AN22</f>
        <v>0</v>
      </c>
      <c r="AO125" s="139">
        <f>IS_항공기!AO22</f>
        <v>0</v>
      </c>
      <c r="AP125" s="139">
        <f>IS_항공기!AP22</f>
        <v>0</v>
      </c>
      <c r="AQ125" s="139">
        <f>IS_항공기!AQ22</f>
        <v>0</v>
      </c>
      <c r="AR125" s="139">
        <f>IS_항공기!AR22</f>
        <v>0</v>
      </c>
      <c r="AS125" s="139">
        <f>IS_항공기!AS22</f>
        <v>0</v>
      </c>
      <c r="AT125" s="139">
        <f>IS_항공기!AT22</f>
        <v>0</v>
      </c>
      <c r="AU125" s="139">
        <f>IS_항공기!AU22</f>
        <v>0</v>
      </c>
      <c r="AV125" s="139">
        <f>IS_항공기!AV22</f>
        <v>0</v>
      </c>
      <c r="AW125" s="139">
        <f>IS_항공기!AW22</f>
        <v>0</v>
      </c>
      <c r="AX125" s="139">
        <f>IS_항공기!AX22</f>
        <v>0</v>
      </c>
      <c r="AY125" s="139">
        <f>IS_항공기!AY22</f>
        <v>0</v>
      </c>
      <c r="AZ125" s="139">
        <f>IS_항공기!AZ22</f>
        <v>0</v>
      </c>
      <c r="BA125" s="139">
        <f>IS_항공기!BA22</f>
        <v>0</v>
      </c>
      <c r="BB125" s="139">
        <f>IS_항공기!BB22</f>
        <v>0</v>
      </c>
      <c r="BC125" s="139">
        <f>IS_항공기!BC22</f>
        <v>0</v>
      </c>
      <c r="BD125" s="139">
        <f>IS_항공기!BD22</f>
        <v>0</v>
      </c>
      <c r="BE125" s="139">
        <f>IS_항공기!BE22</f>
        <v>0</v>
      </c>
      <c r="BF125" s="139">
        <f>IS_항공기!BF22</f>
        <v>0</v>
      </c>
      <c r="BG125" s="139">
        <f>IS_항공기!BG22</f>
        <v>0</v>
      </c>
      <c r="BH125" s="139">
        <f>IS_항공기!BH22</f>
        <v>0</v>
      </c>
      <c r="BI125" s="139">
        <f>IS_항공기!BI22</f>
        <v>0</v>
      </c>
      <c r="BJ125" s="139">
        <f>IS_항공기!BJ22</f>
        <v>0</v>
      </c>
      <c r="BK125" s="139">
        <f>IS_항공기!BK22</f>
        <v>0</v>
      </c>
      <c r="BL125" s="139">
        <f>IS_항공기!BL22</f>
        <v>0</v>
      </c>
      <c r="BM125" s="139">
        <f>IS_항공기!BM22</f>
        <v>0</v>
      </c>
      <c r="BN125" s="139">
        <f>IS_항공기!BN22</f>
        <v>0</v>
      </c>
      <c r="BO125" s="139">
        <f>IS_항공기!BO22</f>
        <v>0</v>
      </c>
      <c r="BP125" s="139">
        <f>IS_항공기!BP22</f>
        <v>0</v>
      </c>
      <c r="BQ125" s="139">
        <f>IS_항공기!BQ22</f>
        <v>0</v>
      </c>
      <c r="BR125" s="139">
        <f>IS_항공기!BR22</f>
        <v>0</v>
      </c>
      <c r="BS125" s="139">
        <f>IS_항공기!BS22</f>
        <v>0</v>
      </c>
      <c r="BU125" s="139">
        <f t="shared" si="76"/>
        <v>3</v>
      </c>
      <c r="BV125" s="139">
        <f t="shared" si="77"/>
        <v>1</v>
      </c>
      <c r="BW125" s="139">
        <f t="shared" si="78"/>
        <v>1</v>
      </c>
      <c r="BX125" s="139">
        <f t="shared" si="79"/>
        <v>0</v>
      </c>
      <c r="BY125" s="139">
        <f t="shared" si="80"/>
        <v>0</v>
      </c>
    </row>
    <row r="126" spans="2:77">
      <c r="C126" s="155"/>
      <c r="E126" s="139">
        <v>767</v>
      </c>
      <c r="F126" s="311">
        <f>250000*6/1000000</f>
        <v>1.5</v>
      </c>
      <c r="L126" s="139">
        <f>IS_항공기!L23</f>
        <v>0</v>
      </c>
      <c r="M126" s="139">
        <f>IS_항공기!M23</f>
        <v>0</v>
      </c>
      <c r="N126" s="139">
        <f>IS_항공기!N23</f>
        <v>0</v>
      </c>
      <c r="O126" s="139">
        <f>IS_항공기!O23</f>
        <v>0</v>
      </c>
      <c r="P126" s="139">
        <f>IS_항공기!P23</f>
        <v>0</v>
      </c>
      <c r="Q126" s="139">
        <f>IS_항공기!Q23</f>
        <v>0</v>
      </c>
      <c r="R126" s="139">
        <f>IS_항공기!R23</f>
        <v>1</v>
      </c>
      <c r="S126" s="139">
        <f>IS_항공기!S23</f>
        <v>0</v>
      </c>
      <c r="T126" s="139">
        <f>IS_항공기!T23</f>
        <v>0</v>
      </c>
      <c r="U126" s="139">
        <f>IS_항공기!U23</f>
        <v>0</v>
      </c>
      <c r="V126" s="139">
        <f>IS_항공기!V23</f>
        <v>0</v>
      </c>
      <c r="W126" s="139">
        <f>IS_항공기!W23</f>
        <v>0</v>
      </c>
      <c r="X126" s="139">
        <f>IS_항공기!X23</f>
        <v>0</v>
      </c>
      <c r="Y126" s="139">
        <f>IS_항공기!Y23</f>
        <v>0</v>
      </c>
      <c r="Z126" s="139">
        <f>IS_항공기!Z23</f>
        <v>0</v>
      </c>
      <c r="AA126" s="139">
        <f>IS_항공기!AA23</f>
        <v>0</v>
      </c>
      <c r="AB126" s="139">
        <f>IS_항공기!AB23</f>
        <v>0</v>
      </c>
      <c r="AC126" s="139">
        <f>IS_항공기!AC23</f>
        <v>0</v>
      </c>
      <c r="AD126" s="139">
        <f>IS_항공기!AD23</f>
        <v>1</v>
      </c>
      <c r="AE126" s="139">
        <f>IS_항공기!AE23</f>
        <v>0</v>
      </c>
      <c r="AF126" s="139">
        <f>IS_항공기!AF23</f>
        <v>0</v>
      </c>
      <c r="AG126" s="139">
        <f>IS_항공기!AG23</f>
        <v>0</v>
      </c>
      <c r="AH126" s="139">
        <f>IS_항공기!AH23</f>
        <v>0</v>
      </c>
      <c r="AI126" s="139">
        <f>IS_항공기!AI23</f>
        <v>0</v>
      </c>
      <c r="AJ126" s="139">
        <f>IS_항공기!AJ23</f>
        <v>0</v>
      </c>
      <c r="AK126" s="139">
        <f>IS_항공기!AK23</f>
        <v>0</v>
      </c>
      <c r="AL126" s="139">
        <f>IS_항공기!AL23</f>
        <v>0</v>
      </c>
      <c r="AM126" s="139">
        <f>IS_항공기!AM23</f>
        <v>0</v>
      </c>
      <c r="AN126" s="139">
        <f>IS_항공기!AN23</f>
        <v>0</v>
      </c>
      <c r="AO126" s="139">
        <f>IS_항공기!AO23</f>
        <v>0</v>
      </c>
      <c r="AP126" s="139">
        <f>IS_항공기!AP23</f>
        <v>1</v>
      </c>
      <c r="AQ126" s="139">
        <f>IS_항공기!AQ23</f>
        <v>0</v>
      </c>
      <c r="AR126" s="139">
        <f>IS_항공기!AR23</f>
        <v>0</v>
      </c>
      <c r="AS126" s="139">
        <f>IS_항공기!AS23</f>
        <v>0</v>
      </c>
      <c r="AT126" s="139">
        <f>IS_항공기!AT23</f>
        <v>0</v>
      </c>
      <c r="AU126" s="139">
        <f>IS_항공기!AU23</f>
        <v>0</v>
      </c>
      <c r="AV126" s="139">
        <f>IS_항공기!AV23</f>
        <v>1</v>
      </c>
      <c r="AW126" s="139">
        <f>IS_항공기!AW23</f>
        <v>0</v>
      </c>
      <c r="AX126" s="139">
        <f>IS_항공기!AX23</f>
        <v>0</v>
      </c>
      <c r="AY126" s="139">
        <f>IS_항공기!AY23</f>
        <v>0</v>
      </c>
      <c r="AZ126" s="139">
        <f>IS_항공기!AZ23</f>
        <v>0</v>
      </c>
      <c r="BA126" s="139">
        <f>IS_항공기!BA23</f>
        <v>0</v>
      </c>
      <c r="BB126" s="139">
        <f>IS_항공기!BB23</f>
        <v>1</v>
      </c>
      <c r="BC126" s="139">
        <f>IS_항공기!BC23</f>
        <v>0</v>
      </c>
      <c r="BD126" s="139">
        <f>IS_항공기!BD23</f>
        <v>0</v>
      </c>
      <c r="BE126" s="139">
        <f>IS_항공기!BE23</f>
        <v>0</v>
      </c>
      <c r="BF126" s="139">
        <f>IS_항공기!BF23</f>
        <v>0</v>
      </c>
      <c r="BG126" s="139">
        <f>IS_항공기!BG23</f>
        <v>0</v>
      </c>
      <c r="BH126" s="139">
        <f>IS_항공기!BH23</f>
        <v>0</v>
      </c>
      <c r="BI126" s="139">
        <f>IS_항공기!BI23</f>
        <v>0</v>
      </c>
      <c r="BJ126" s="139">
        <f>IS_항공기!BJ23</f>
        <v>0</v>
      </c>
      <c r="BK126" s="139">
        <f>IS_항공기!BK23</f>
        <v>0</v>
      </c>
      <c r="BL126" s="139">
        <f>IS_항공기!BL23</f>
        <v>0</v>
      </c>
      <c r="BM126" s="139">
        <f>IS_항공기!BM23</f>
        <v>0</v>
      </c>
      <c r="BN126" s="139">
        <f>IS_항공기!BN23</f>
        <v>0</v>
      </c>
      <c r="BO126" s="139">
        <f>IS_항공기!BO23</f>
        <v>0</v>
      </c>
      <c r="BP126" s="139">
        <f>IS_항공기!BP23</f>
        <v>0</v>
      </c>
      <c r="BQ126" s="139">
        <f>IS_항공기!BQ23</f>
        <v>0</v>
      </c>
      <c r="BR126" s="139">
        <f>IS_항공기!BR23</f>
        <v>0</v>
      </c>
      <c r="BS126" s="139">
        <f>IS_항공기!BS23</f>
        <v>0</v>
      </c>
      <c r="BU126" s="139">
        <f t="shared" si="76"/>
        <v>1</v>
      </c>
      <c r="BV126" s="139">
        <f t="shared" si="77"/>
        <v>1</v>
      </c>
      <c r="BW126" s="139">
        <f t="shared" si="78"/>
        <v>1</v>
      </c>
      <c r="BX126" s="139">
        <f t="shared" si="79"/>
        <v>2</v>
      </c>
      <c r="BY126" s="139">
        <f t="shared" si="80"/>
        <v>0</v>
      </c>
    </row>
    <row r="127" spans="2:77">
      <c r="C127" s="155"/>
      <c r="E127" s="139">
        <v>777</v>
      </c>
      <c r="F127" s="309"/>
      <c r="L127" s="139">
        <f>IS_항공기!L24</f>
        <v>0</v>
      </c>
      <c r="M127" s="139">
        <f>IS_항공기!M24</f>
        <v>0</v>
      </c>
      <c r="N127" s="139">
        <f>IS_항공기!N24</f>
        <v>0</v>
      </c>
      <c r="O127" s="139">
        <f>IS_항공기!O24</f>
        <v>0</v>
      </c>
      <c r="P127" s="139">
        <f>IS_항공기!P24</f>
        <v>0</v>
      </c>
      <c r="Q127" s="139">
        <f>IS_항공기!Q24</f>
        <v>0</v>
      </c>
      <c r="R127" s="139">
        <f>IS_항공기!R24</f>
        <v>0</v>
      </c>
      <c r="S127" s="139">
        <f>IS_항공기!S24</f>
        <v>0</v>
      </c>
      <c r="T127" s="139">
        <f>IS_항공기!T24</f>
        <v>0</v>
      </c>
      <c r="U127" s="139">
        <f>IS_항공기!U24</f>
        <v>0</v>
      </c>
      <c r="V127" s="139">
        <f>IS_항공기!V24</f>
        <v>0</v>
      </c>
      <c r="W127" s="139">
        <f>IS_항공기!W24</f>
        <v>0</v>
      </c>
      <c r="X127" s="139">
        <f>IS_항공기!X24</f>
        <v>0</v>
      </c>
      <c r="Y127" s="139">
        <f>IS_항공기!Y24</f>
        <v>0</v>
      </c>
      <c r="Z127" s="139">
        <f>IS_항공기!Z24</f>
        <v>0</v>
      </c>
      <c r="AA127" s="139">
        <f>IS_항공기!AA24</f>
        <v>0</v>
      </c>
      <c r="AB127" s="139">
        <f>IS_항공기!AB24</f>
        <v>0</v>
      </c>
      <c r="AC127" s="139">
        <f>IS_항공기!AC24</f>
        <v>0</v>
      </c>
      <c r="AD127" s="139">
        <f>IS_항공기!AD24</f>
        <v>0</v>
      </c>
      <c r="AE127" s="139">
        <f>IS_항공기!AE24</f>
        <v>0</v>
      </c>
      <c r="AF127" s="139">
        <f>IS_항공기!AF24</f>
        <v>0</v>
      </c>
      <c r="AG127" s="139">
        <f>IS_항공기!AG24</f>
        <v>0</v>
      </c>
      <c r="AH127" s="139">
        <f>IS_항공기!AH24</f>
        <v>0</v>
      </c>
      <c r="AI127" s="139">
        <f>IS_항공기!AI24</f>
        <v>0</v>
      </c>
      <c r="AJ127" s="139">
        <f>IS_항공기!AJ24</f>
        <v>0</v>
      </c>
      <c r="AK127" s="139">
        <f>IS_항공기!AK24</f>
        <v>0</v>
      </c>
      <c r="AL127" s="139">
        <f>IS_항공기!AL24</f>
        <v>0</v>
      </c>
      <c r="AM127" s="139">
        <f>IS_항공기!AM24</f>
        <v>0</v>
      </c>
      <c r="AN127" s="139">
        <f>IS_항공기!AN24</f>
        <v>0</v>
      </c>
      <c r="AO127" s="139">
        <f>IS_항공기!AO24</f>
        <v>0</v>
      </c>
      <c r="AP127" s="139">
        <f>IS_항공기!AP24</f>
        <v>0</v>
      </c>
      <c r="AQ127" s="139">
        <f>IS_항공기!AQ24</f>
        <v>0</v>
      </c>
      <c r="AR127" s="139">
        <f>IS_항공기!AR24</f>
        <v>0</v>
      </c>
      <c r="AS127" s="139">
        <f>IS_항공기!AS24</f>
        <v>0</v>
      </c>
      <c r="AT127" s="139">
        <f>IS_항공기!AT24</f>
        <v>0</v>
      </c>
      <c r="AU127" s="139">
        <f>IS_항공기!AU24</f>
        <v>0</v>
      </c>
      <c r="AV127" s="139">
        <f>IS_항공기!AV24</f>
        <v>0</v>
      </c>
      <c r="AW127" s="139">
        <f>IS_항공기!AW24</f>
        <v>0</v>
      </c>
      <c r="AX127" s="139">
        <f>IS_항공기!AX24</f>
        <v>0</v>
      </c>
      <c r="AY127" s="139">
        <f>IS_항공기!AY24</f>
        <v>0</v>
      </c>
      <c r="AZ127" s="139">
        <f>IS_항공기!AZ24</f>
        <v>0</v>
      </c>
      <c r="BA127" s="139">
        <f>IS_항공기!BA24</f>
        <v>0</v>
      </c>
      <c r="BB127" s="139">
        <f>IS_항공기!BB24</f>
        <v>0</v>
      </c>
      <c r="BC127" s="139">
        <f>IS_항공기!BC24</f>
        <v>0</v>
      </c>
      <c r="BD127" s="139">
        <f>IS_항공기!BD24</f>
        <v>0</v>
      </c>
      <c r="BE127" s="139">
        <f>IS_항공기!BE24</f>
        <v>0</v>
      </c>
      <c r="BF127" s="139">
        <f>IS_항공기!BF24</f>
        <v>0</v>
      </c>
      <c r="BG127" s="139">
        <f>IS_항공기!BG24</f>
        <v>0</v>
      </c>
      <c r="BH127" s="139">
        <f>IS_항공기!BH24</f>
        <v>0</v>
      </c>
      <c r="BI127" s="139">
        <f>IS_항공기!BI24</f>
        <v>0</v>
      </c>
      <c r="BJ127" s="139">
        <f>IS_항공기!BJ24</f>
        <v>0</v>
      </c>
      <c r="BK127" s="139">
        <f>IS_항공기!BK24</f>
        <v>0</v>
      </c>
      <c r="BL127" s="139">
        <f>IS_항공기!BL24</f>
        <v>0</v>
      </c>
      <c r="BM127" s="139">
        <f>IS_항공기!BM24</f>
        <v>0</v>
      </c>
      <c r="BN127" s="139">
        <f>IS_항공기!BN24</f>
        <v>0</v>
      </c>
      <c r="BO127" s="139">
        <f>IS_항공기!BO24</f>
        <v>0</v>
      </c>
      <c r="BP127" s="139">
        <f>IS_항공기!BP24</f>
        <v>0</v>
      </c>
      <c r="BQ127" s="139">
        <f>IS_항공기!BQ24</f>
        <v>0</v>
      </c>
      <c r="BR127" s="139">
        <f>IS_항공기!BR24</f>
        <v>0</v>
      </c>
      <c r="BS127" s="139">
        <f>IS_항공기!BS24</f>
        <v>0</v>
      </c>
      <c r="BU127" s="139">
        <f t="shared" si="76"/>
        <v>0</v>
      </c>
      <c r="BV127" s="139">
        <f t="shared" si="77"/>
        <v>0</v>
      </c>
      <c r="BW127" s="139">
        <f t="shared" si="78"/>
        <v>0</v>
      </c>
      <c r="BX127" s="139">
        <f t="shared" si="79"/>
        <v>0</v>
      </c>
      <c r="BY127" s="139">
        <f t="shared" si="80"/>
        <v>0</v>
      </c>
    </row>
    <row r="128" spans="2:77" s="155" customFormat="1">
      <c r="C128" s="155" t="s">
        <v>546</v>
      </c>
      <c r="L128" s="155">
        <f t="shared" ref="L128:BR128" si="100">SUBTOTAL(9,L129:L134)</f>
        <v>320</v>
      </c>
      <c r="M128" s="155">
        <f t="shared" si="100"/>
        <v>0</v>
      </c>
      <c r="N128" s="155">
        <f t="shared" si="100"/>
        <v>0</v>
      </c>
      <c r="O128" s="155">
        <f t="shared" si="100"/>
        <v>0</v>
      </c>
      <c r="P128" s="155">
        <f t="shared" si="100"/>
        <v>0</v>
      </c>
      <c r="Q128" s="155">
        <f t="shared" si="100"/>
        <v>0</v>
      </c>
      <c r="R128" s="155">
        <f t="shared" si="100"/>
        <v>0</v>
      </c>
      <c r="S128" s="155">
        <f t="shared" si="100"/>
        <v>0</v>
      </c>
      <c r="T128" s="155">
        <f t="shared" si="100"/>
        <v>0</v>
      </c>
      <c r="U128" s="155">
        <f t="shared" si="100"/>
        <v>0</v>
      </c>
      <c r="V128" s="155">
        <f t="shared" si="100"/>
        <v>0</v>
      </c>
      <c r="W128" s="155">
        <f t="shared" si="100"/>
        <v>0</v>
      </c>
      <c r="X128" s="155">
        <f t="shared" si="100"/>
        <v>0</v>
      </c>
      <c r="Y128" s="155">
        <f t="shared" si="100"/>
        <v>0</v>
      </c>
      <c r="Z128" s="155">
        <f t="shared" si="100"/>
        <v>0</v>
      </c>
      <c r="AA128" s="155">
        <f t="shared" si="100"/>
        <v>0</v>
      </c>
      <c r="AB128" s="155">
        <f t="shared" si="100"/>
        <v>0</v>
      </c>
      <c r="AC128" s="155">
        <f t="shared" si="100"/>
        <v>0</v>
      </c>
      <c r="AD128" s="155">
        <f t="shared" si="100"/>
        <v>0</v>
      </c>
      <c r="AE128" s="155">
        <f t="shared" si="100"/>
        <v>0</v>
      </c>
      <c r="AF128" s="155">
        <f t="shared" si="100"/>
        <v>0</v>
      </c>
      <c r="AG128" s="155">
        <f t="shared" si="100"/>
        <v>0</v>
      </c>
      <c r="AH128" s="155">
        <f t="shared" si="100"/>
        <v>0</v>
      </c>
      <c r="AI128" s="155">
        <f t="shared" si="100"/>
        <v>0</v>
      </c>
      <c r="AJ128" s="155">
        <f t="shared" si="100"/>
        <v>0</v>
      </c>
      <c r="AK128" s="155">
        <f t="shared" si="100"/>
        <v>0</v>
      </c>
      <c r="AL128" s="155">
        <f t="shared" si="100"/>
        <v>0</v>
      </c>
      <c r="AM128" s="155">
        <f t="shared" si="100"/>
        <v>0</v>
      </c>
      <c r="AN128" s="155">
        <f t="shared" si="100"/>
        <v>0</v>
      </c>
      <c r="AO128" s="155">
        <f t="shared" si="100"/>
        <v>0</v>
      </c>
      <c r="AP128" s="155">
        <f t="shared" si="100"/>
        <v>0</v>
      </c>
      <c r="AQ128" s="155">
        <f t="shared" si="100"/>
        <v>0</v>
      </c>
      <c r="AR128" s="155">
        <f t="shared" si="100"/>
        <v>0</v>
      </c>
      <c r="AS128" s="155">
        <f t="shared" si="100"/>
        <v>0</v>
      </c>
      <c r="AT128" s="155">
        <f t="shared" si="100"/>
        <v>0</v>
      </c>
      <c r="AU128" s="155">
        <f t="shared" si="100"/>
        <v>0</v>
      </c>
      <c r="AV128" s="155">
        <f t="shared" si="100"/>
        <v>0</v>
      </c>
      <c r="AW128" s="155">
        <f t="shared" si="100"/>
        <v>0</v>
      </c>
      <c r="AX128" s="155">
        <f t="shared" si="100"/>
        <v>0</v>
      </c>
      <c r="AY128" s="155">
        <f t="shared" si="100"/>
        <v>0</v>
      </c>
      <c r="AZ128" s="155">
        <f t="shared" si="100"/>
        <v>0</v>
      </c>
      <c r="BA128" s="155">
        <f t="shared" si="100"/>
        <v>0</v>
      </c>
      <c r="BB128" s="155">
        <f t="shared" si="100"/>
        <v>0</v>
      </c>
      <c r="BC128" s="155">
        <f t="shared" si="100"/>
        <v>0</v>
      </c>
      <c r="BD128" s="155">
        <f t="shared" si="100"/>
        <v>0</v>
      </c>
      <c r="BE128" s="155">
        <f t="shared" si="100"/>
        <v>0</v>
      </c>
      <c r="BF128" s="155">
        <f t="shared" si="100"/>
        <v>0</v>
      </c>
      <c r="BG128" s="155">
        <f t="shared" si="100"/>
        <v>0</v>
      </c>
      <c r="BH128" s="155">
        <f t="shared" si="100"/>
        <v>0</v>
      </c>
      <c r="BI128" s="155">
        <f t="shared" si="100"/>
        <v>0</v>
      </c>
      <c r="BJ128" s="155">
        <f t="shared" si="100"/>
        <v>0</v>
      </c>
      <c r="BK128" s="155">
        <f t="shared" si="100"/>
        <v>0</v>
      </c>
      <c r="BL128" s="155">
        <f t="shared" si="100"/>
        <v>0</v>
      </c>
      <c r="BM128" s="155">
        <f t="shared" si="100"/>
        <v>0</v>
      </c>
      <c r="BN128" s="155">
        <f t="shared" si="100"/>
        <v>0</v>
      </c>
      <c r="BO128" s="155">
        <f t="shared" si="100"/>
        <v>0</v>
      </c>
      <c r="BP128" s="155">
        <f t="shared" si="100"/>
        <v>0</v>
      </c>
      <c r="BQ128" s="155">
        <f t="shared" si="100"/>
        <v>0</v>
      </c>
      <c r="BR128" s="155">
        <f t="shared" si="100"/>
        <v>0</v>
      </c>
      <c r="BS128" s="155">
        <f>SUBTOTAL(9,BS129:BS134)</f>
        <v>0</v>
      </c>
      <c r="BU128" s="155">
        <f t="shared" si="76"/>
        <v>320</v>
      </c>
      <c r="BV128" s="155">
        <f t="shared" si="77"/>
        <v>0</v>
      </c>
      <c r="BW128" s="155">
        <f t="shared" si="78"/>
        <v>0</v>
      </c>
      <c r="BX128" s="155">
        <f t="shared" si="79"/>
        <v>0</v>
      </c>
      <c r="BY128" s="155">
        <f t="shared" si="80"/>
        <v>0</v>
      </c>
    </row>
    <row r="129" spans="3:77">
      <c r="C129" s="155"/>
      <c r="D129" s="139" t="s">
        <v>530</v>
      </c>
      <c r="F129" s="286" t="s">
        <v>1298</v>
      </c>
      <c r="L129" s="139">
        <f>IF(L73&gt;0,200,0)</f>
        <v>200</v>
      </c>
      <c r="M129" s="139">
        <f>IF(L129&gt;0,0,IF(M73&gt;0,200,0))</f>
        <v>0</v>
      </c>
      <c r="N129" s="139">
        <f>IF(SUM($L$129:M129)&gt;0,0,IF(N73&gt;0,200,0))</f>
        <v>0</v>
      </c>
      <c r="O129" s="139">
        <f>IF(SUM($L$129:N129)&gt;0,0,IF(O73&gt;0,200,0))</f>
        <v>0</v>
      </c>
      <c r="P129" s="139">
        <f>IF(SUM($L$129:O129)&gt;0,0,IF(P73&gt;0,200,0))</f>
        <v>0</v>
      </c>
      <c r="Q129" s="139">
        <f>IF(SUM($L$129:P129)&gt;0,0,IF(Q73&gt;0,200,0))</f>
        <v>0</v>
      </c>
      <c r="R129" s="139">
        <f>IF(SUM($L$129:Q129)&gt;0,0,IF(R73&gt;0,200,0))</f>
        <v>0</v>
      </c>
      <c r="S129" s="139">
        <f>IF(SUM($L$129:R129)&gt;0,0,IF(S73&gt;0,200,0))</f>
        <v>0</v>
      </c>
      <c r="T129" s="139">
        <f>IF(SUM($L$129:S129)&gt;0,0,IF(T73&gt;0,200,0))</f>
        <v>0</v>
      </c>
      <c r="U129" s="139">
        <f>IF(SUM($L$129:T129)&gt;0,0,IF(U73&gt;0,200,0))</f>
        <v>0</v>
      </c>
      <c r="V129" s="139">
        <f>IF(SUM($L$129:U129)&gt;0,0,IF(V73&gt;0,200,0))</f>
        <v>0</v>
      </c>
      <c r="W129" s="139">
        <f>IF(SUM($L$129:V129)&gt;0,0,IF(W73&gt;0,200,0))</f>
        <v>0</v>
      </c>
      <c r="X129" s="139">
        <f>IF(SUM($L$129:W129)&gt;0,0,IF(X73&gt;0,200,0))</f>
        <v>0</v>
      </c>
      <c r="Y129" s="139">
        <f>IF(SUM($L$129:X129)&gt;0,0,IF(Y73&gt;0,200,0))</f>
        <v>0</v>
      </c>
      <c r="Z129" s="139">
        <f>IF(SUM($L$129:Y129)&gt;0,0,IF(Z73&gt;0,200,0))</f>
        <v>0</v>
      </c>
      <c r="AA129" s="139">
        <f>IF(SUM($L$129:Z129)&gt;0,0,IF(AA73&gt;0,200,0))</f>
        <v>0</v>
      </c>
      <c r="AB129" s="139">
        <f>IF(SUM($L$129:AA129)&gt;0,0,IF(AB73&gt;0,200,0))</f>
        <v>0</v>
      </c>
      <c r="AC129" s="139">
        <f>IF(SUM($L$129:AB129)&gt;0,0,IF(AC73&gt;0,200,0))</f>
        <v>0</v>
      </c>
      <c r="AD129" s="139">
        <f>IF(SUM($L$129:AC129)&gt;0,0,IF(AD73&gt;0,200,0))</f>
        <v>0</v>
      </c>
      <c r="AE129" s="139">
        <f>IF(SUM($L$129:AD129)&gt;0,0,IF(AE73&gt;0,200,0))</f>
        <v>0</v>
      </c>
      <c r="AF129" s="139">
        <f>IF(SUM($L$129:AE129)&gt;0,0,IF(AF73&gt;0,200,0))</f>
        <v>0</v>
      </c>
      <c r="AG129" s="139">
        <f>IF(SUM($L$129:AF129)&gt;0,0,IF(AG73&gt;0,200,0))</f>
        <v>0</v>
      </c>
      <c r="AH129" s="139">
        <f>IF(SUM($L$129:AG129)&gt;0,0,IF(AH73&gt;0,200,0))</f>
        <v>0</v>
      </c>
      <c r="AI129" s="139">
        <f>IF(SUM($L$129:AH129)&gt;0,0,IF(AI73&gt;0,200,0))</f>
        <v>0</v>
      </c>
      <c r="AJ129" s="139">
        <f>IF(SUM($L$129:AI129)&gt;0,0,IF(AJ73&gt;0,200,0))</f>
        <v>0</v>
      </c>
      <c r="AK129" s="139">
        <f>IF(SUM($L$129:AJ129)&gt;0,0,IF(AK73&gt;0,200,0))</f>
        <v>0</v>
      </c>
      <c r="AL129" s="139">
        <f>IF(SUM($L$129:AK129)&gt;0,0,IF(AL73&gt;0,200,0))</f>
        <v>0</v>
      </c>
      <c r="AM129" s="139">
        <f>IF(SUM($L$129:AL129)&gt;0,0,IF(AM73&gt;0,200,0))</f>
        <v>0</v>
      </c>
      <c r="AN129" s="139">
        <f>IF(SUM($L$129:AM129)&gt;0,0,IF(AN73&gt;0,200,0))</f>
        <v>0</v>
      </c>
      <c r="AO129" s="139">
        <f>IF(SUM($L$129:AN129)&gt;0,0,IF(AO73&gt;0,200,0))</f>
        <v>0</v>
      </c>
      <c r="AP129" s="139">
        <f>IF(SUM($L$129:AO129)&gt;0,0,IF(AP73&gt;0,200,0))</f>
        <v>0</v>
      </c>
      <c r="AQ129" s="139">
        <f>IF(SUM($L$129:AP129)&gt;0,0,IF(AQ73&gt;0,200,0))</f>
        <v>0</v>
      </c>
      <c r="AR129" s="139">
        <f>IF(SUM($L$129:AQ129)&gt;0,0,IF(AR73&gt;0,200,0))</f>
        <v>0</v>
      </c>
      <c r="AS129" s="139">
        <f>IF(SUM($L$129:AR129)&gt;0,0,IF(AS73&gt;0,200,0))</f>
        <v>0</v>
      </c>
      <c r="AT129" s="139">
        <f>IF(SUM($L$129:AS129)&gt;0,0,IF(AT73&gt;0,200,0))</f>
        <v>0</v>
      </c>
      <c r="AU129" s="139">
        <f>IF(SUM($L$129:AT129)&gt;0,0,IF(AU73&gt;0,200,0))</f>
        <v>0</v>
      </c>
      <c r="AV129" s="139">
        <f>IF(SUM($L$129:AU129)&gt;0,0,IF(AV73&gt;0,200,0))</f>
        <v>0</v>
      </c>
      <c r="AW129" s="139">
        <f>IF(SUM($L$129:AV129)&gt;0,0,IF(AW73&gt;0,200,0))</f>
        <v>0</v>
      </c>
      <c r="AX129" s="139">
        <f>IF(SUM($L$129:AW129)&gt;0,0,IF(AX73&gt;0,200,0))</f>
        <v>0</v>
      </c>
      <c r="AY129" s="139">
        <f>IF(SUM($L$129:AX129)&gt;0,0,IF(AY73&gt;0,200,0))</f>
        <v>0</v>
      </c>
      <c r="AZ129" s="139">
        <f>IF(SUM($L$129:AY129)&gt;0,0,IF(AZ73&gt;0,200,0))</f>
        <v>0</v>
      </c>
      <c r="BA129" s="139">
        <f>IF(SUM($L$129:AZ129)&gt;0,0,IF(BA73&gt;0,200,0))</f>
        <v>0</v>
      </c>
      <c r="BB129" s="139">
        <f>IF(SUM($L$129:BA129)&gt;0,0,IF(BB73&gt;0,200,0))</f>
        <v>0</v>
      </c>
      <c r="BC129" s="139">
        <f>IF(SUM($L$129:BB129)&gt;0,0,IF(BC73&gt;0,200,0))</f>
        <v>0</v>
      </c>
      <c r="BD129" s="139">
        <f>IF(SUM($L$129:BC129)&gt;0,0,IF(BD73&gt;0,200,0))</f>
        <v>0</v>
      </c>
      <c r="BE129" s="139">
        <f>IF(SUM($L$129:BD129)&gt;0,0,IF(BE73&gt;0,200,0))</f>
        <v>0</v>
      </c>
      <c r="BF129" s="139">
        <f>IF(SUM($L$129:BE129)&gt;0,0,IF(BF73&gt;0,200,0))</f>
        <v>0</v>
      </c>
      <c r="BG129" s="139">
        <f>IF(SUM($L$129:BF129)&gt;0,0,IF(BG73&gt;0,200,0))</f>
        <v>0</v>
      </c>
      <c r="BH129" s="139">
        <f>IF(SUM($L$129:BG129)&gt;0,0,IF(BH73&gt;0,200,0))</f>
        <v>0</v>
      </c>
      <c r="BI129" s="139">
        <f>IF(SUM($L$129:BH129)&gt;0,0,IF(BI73&gt;0,200,0))</f>
        <v>0</v>
      </c>
      <c r="BJ129" s="139">
        <f>IF(SUM($L$129:BI129)&gt;0,0,IF(BJ73&gt;0,200,0))</f>
        <v>0</v>
      </c>
      <c r="BK129" s="139">
        <f>IF(SUM($L$129:BJ129)&gt;0,0,IF(BK73&gt;0,200,0))</f>
        <v>0</v>
      </c>
      <c r="BL129" s="139">
        <f>IF(SUM($L$129:BK129)&gt;0,0,IF(BL73&gt;0,200,0))</f>
        <v>0</v>
      </c>
      <c r="BM129" s="139">
        <f>IF(SUM($L$129:BL129)&gt;0,0,IF(BM73&gt;0,200,0))</f>
        <v>0</v>
      </c>
      <c r="BN129" s="139">
        <f>IF(SUM($L$129:BM129)&gt;0,0,IF(BN73&gt;0,200,0))</f>
        <v>0</v>
      </c>
      <c r="BO129" s="139">
        <f>IF(SUM($L$129:BN129)&gt;0,0,IF(BO73&gt;0,200,0))</f>
        <v>0</v>
      </c>
      <c r="BP129" s="139">
        <f>IF(SUM($L$129:BO129)&gt;0,0,IF(BP73&gt;0,200,0))</f>
        <v>0</v>
      </c>
      <c r="BQ129" s="139">
        <f>IF(SUM($L$129:BP129)&gt;0,0,IF(BQ73&gt;0,200,0))</f>
        <v>0</v>
      </c>
      <c r="BR129" s="139">
        <f>IF(SUM($L$129:BQ129)&gt;0,0,IF(BR73&gt;0,200,0))</f>
        <v>0</v>
      </c>
      <c r="BS129" s="139">
        <f>IF(SUM($L$129:BR129)&gt;0,0,IF(BS73&gt;0,200,0))</f>
        <v>0</v>
      </c>
      <c r="BU129" s="139">
        <f>SUM(L129:W129)</f>
        <v>200</v>
      </c>
      <c r="BV129" s="139">
        <f>SUM(X129:AI129)</f>
        <v>0</v>
      </c>
      <c r="BW129" s="139">
        <f>SUM(AJ129:AU129)</f>
        <v>0</v>
      </c>
      <c r="BX129" s="139">
        <f>SUM(AV129:BG129)</f>
        <v>0</v>
      </c>
      <c r="BY129" s="139">
        <f>SUM(BH129:BS129)</f>
        <v>0</v>
      </c>
    </row>
    <row r="130" spans="3:77">
      <c r="C130" s="155"/>
      <c r="D130" s="139" t="s">
        <v>531</v>
      </c>
      <c r="F130" s="312" t="s">
        <v>1299</v>
      </c>
      <c r="G130" s="139" t="s">
        <v>1358</v>
      </c>
      <c r="H130" s="139">
        <v>5000</v>
      </c>
      <c r="I130" s="139" t="s">
        <v>1353</v>
      </c>
      <c r="L130" s="139">
        <v>0</v>
      </c>
      <c r="M130" s="139">
        <v>0</v>
      </c>
      <c r="N130" s="139">
        <v>0</v>
      </c>
      <c r="O130" s="139">
        <v>0</v>
      </c>
      <c r="P130" s="139">
        <v>0</v>
      </c>
      <c r="Q130" s="139">
        <v>0</v>
      </c>
      <c r="R130" s="139">
        <v>0</v>
      </c>
      <c r="S130" s="139">
        <v>0</v>
      </c>
      <c r="T130" s="139">
        <v>0</v>
      </c>
      <c r="U130" s="139">
        <v>0</v>
      </c>
      <c r="V130" s="139">
        <v>0</v>
      </c>
      <c r="W130" s="139">
        <v>0</v>
      </c>
      <c r="X130" s="139">
        <v>0</v>
      </c>
      <c r="Y130" s="139">
        <v>0</v>
      </c>
      <c r="Z130" s="139">
        <v>0</v>
      </c>
      <c r="AA130" s="139">
        <v>0</v>
      </c>
      <c r="AB130" s="139">
        <v>0</v>
      </c>
      <c r="AC130" s="139">
        <v>0</v>
      </c>
      <c r="AD130" s="139">
        <v>0</v>
      </c>
      <c r="AE130" s="139">
        <v>0</v>
      </c>
      <c r="AF130" s="139">
        <v>0</v>
      </c>
      <c r="AG130" s="139">
        <v>0</v>
      </c>
      <c r="AH130" s="139">
        <v>0</v>
      </c>
      <c r="AI130" s="139">
        <v>0</v>
      </c>
      <c r="AJ130" s="139">
        <v>0</v>
      </c>
      <c r="AK130" s="139">
        <v>0</v>
      </c>
      <c r="AL130" s="139">
        <v>0</v>
      </c>
      <c r="AM130" s="139">
        <v>0</v>
      </c>
      <c r="AN130" s="139">
        <v>0</v>
      </c>
      <c r="AO130" s="139">
        <v>0</v>
      </c>
      <c r="AP130" s="139">
        <v>0</v>
      </c>
      <c r="AQ130" s="139">
        <v>0</v>
      </c>
      <c r="AR130" s="139">
        <v>0</v>
      </c>
      <c r="AS130" s="139">
        <v>0</v>
      </c>
      <c r="AT130" s="139">
        <v>0</v>
      </c>
      <c r="AU130" s="139">
        <v>0</v>
      </c>
      <c r="AV130" s="139">
        <v>0</v>
      </c>
      <c r="AW130" s="139">
        <v>0</v>
      </c>
      <c r="AX130" s="139">
        <v>0</v>
      </c>
      <c r="AY130" s="139">
        <v>0</v>
      </c>
      <c r="AZ130" s="139">
        <v>0</v>
      </c>
      <c r="BA130" s="139">
        <v>0</v>
      </c>
      <c r="BB130" s="139">
        <v>0</v>
      </c>
      <c r="BC130" s="139">
        <v>0</v>
      </c>
      <c r="BD130" s="139">
        <v>0</v>
      </c>
      <c r="BE130" s="139">
        <v>0</v>
      </c>
      <c r="BF130" s="139">
        <v>0</v>
      </c>
      <c r="BG130" s="139">
        <v>0</v>
      </c>
      <c r="BH130" s="139">
        <v>0</v>
      </c>
      <c r="BI130" s="139">
        <v>0</v>
      </c>
      <c r="BJ130" s="139">
        <v>0</v>
      </c>
      <c r="BK130" s="139">
        <v>0</v>
      </c>
      <c r="BL130" s="139">
        <v>0</v>
      </c>
      <c r="BM130" s="139">
        <v>0</v>
      </c>
      <c r="BN130" s="139">
        <v>0</v>
      </c>
      <c r="BO130" s="139">
        <v>0</v>
      </c>
      <c r="BP130" s="139">
        <v>0</v>
      </c>
      <c r="BQ130" s="139">
        <v>0</v>
      </c>
      <c r="BR130" s="139">
        <v>0</v>
      </c>
      <c r="BS130" s="139">
        <v>0</v>
      </c>
      <c r="BU130" s="139">
        <f t="shared" ref="BU130:BU147" si="101">SUM(L130:W130)</f>
        <v>0</v>
      </c>
      <c r="BV130" s="139">
        <f t="shared" ref="BV130:BV147" si="102">SUM(X130:AI130)</f>
        <v>0</v>
      </c>
      <c r="BW130" s="139">
        <f t="shared" ref="BW130:BW147" si="103">SUM(AJ130:AU130)</f>
        <v>0</v>
      </c>
      <c r="BX130" s="139">
        <f t="shared" ref="BX130:BX147" si="104">SUM(AV130:BG130)</f>
        <v>0</v>
      </c>
      <c r="BY130" s="139">
        <f t="shared" ref="BY130:BY147" si="105">SUM(BH130:BS130)</f>
        <v>0</v>
      </c>
    </row>
    <row r="131" spans="3:77">
      <c r="C131" s="155"/>
      <c r="D131" s="139" t="s">
        <v>532</v>
      </c>
      <c r="F131" s="286" t="s">
        <v>1298</v>
      </c>
      <c r="L131" s="139">
        <v>50</v>
      </c>
      <c r="M131" s="139">
        <v>0</v>
      </c>
      <c r="N131" s="139">
        <v>0</v>
      </c>
      <c r="O131" s="139">
        <v>0</v>
      </c>
      <c r="P131" s="139">
        <v>0</v>
      </c>
      <c r="Q131" s="139">
        <v>0</v>
      </c>
      <c r="R131" s="139">
        <v>0</v>
      </c>
      <c r="S131" s="139">
        <v>0</v>
      </c>
      <c r="T131" s="139">
        <v>0</v>
      </c>
      <c r="U131" s="139">
        <v>0</v>
      </c>
      <c r="V131" s="139">
        <v>0</v>
      </c>
      <c r="W131" s="139">
        <v>0</v>
      </c>
      <c r="X131" s="139">
        <v>0</v>
      </c>
      <c r="Y131" s="139">
        <v>0</v>
      </c>
      <c r="Z131" s="139">
        <v>0</v>
      </c>
      <c r="AA131" s="139">
        <v>0</v>
      </c>
      <c r="AB131" s="139">
        <v>0</v>
      </c>
      <c r="AC131" s="139">
        <v>0</v>
      </c>
      <c r="AD131" s="139">
        <v>0</v>
      </c>
      <c r="AE131" s="139">
        <v>0</v>
      </c>
      <c r="AF131" s="139">
        <v>0</v>
      </c>
      <c r="AG131" s="139">
        <v>0</v>
      </c>
      <c r="AH131" s="139">
        <v>0</v>
      </c>
      <c r="AI131" s="139">
        <v>0</v>
      </c>
      <c r="AJ131" s="139">
        <v>0</v>
      </c>
      <c r="AK131" s="139">
        <v>0</v>
      </c>
      <c r="AL131" s="139">
        <v>0</v>
      </c>
      <c r="AM131" s="139">
        <v>0</v>
      </c>
      <c r="AN131" s="139">
        <v>0</v>
      </c>
      <c r="AO131" s="139">
        <v>0</v>
      </c>
      <c r="AP131" s="139">
        <v>0</v>
      </c>
      <c r="AQ131" s="139">
        <v>0</v>
      </c>
      <c r="AR131" s="139">
        <v>0</v>
      </c>
      <c r="AS131" s="139">
        <v>0</v>
      </c>
      <c r="AT131" s="139">
        <v>0</v>
      </c>
      <c r="AU131" s="139">
        <v>0</v>
      </c>
      <c r="AV131" s="139">
        <v>0</v>
      </c>
      <c r="AW131" s="139">
        <v>0</v>
      </c>
      <c r="AX131" s="139">
        <v>0</v>
      </c>
      <c r="AY131" s="139">
        <v>0</v>
      </c>
      <c r="AZ131" s="139">
        <v>0</v>
      </c>
      <c r="BA131" s="139">
        <v>0</v>
      </c>
      <c r="BB131" s="139">
        <v>0</v>
      </c>
      <c r="BC131" s="139">
        <v>0</v>
      </c>
      <c r="BD131" s="139">
        <v>0</v>
      </c>
      <c r="BE131" s="139">
        <v>0</v>
      </c>
      <c r="BF131" s="139">
        <v>0</v>
      </c>
      <c r="BG131" s="139">
        <v>0</v>
      </c>
      <c r="BH131" s="139">
        <v>0</v>
      </c>
      <c r="BI131" s="139">
        <v>0</v>
      </c>
      <c r="BJ131" s="139">
        <v>0</v>
      </c>
      <c r="BK131" s="139">
        <v>0</v>
      </c>
      <c r="BL131" s="139">
        <v>0</v>
      </c>
      <c r="BM131" s="139">
        <v>0</v>
      </c>
      <c r="BN131" s="139">
        <v>0</v>
      </c>
      <c r="BO131" s="139">
        <v>0</v>
      </c>
      <c r="BP131" s="139">
        <v>0</v>
      </c>
      <c r="BQ131" s="139">
        <v>0</v>
      </c>
      <c r="BR131" s="139">
        <v>0</v>
      </c>
      <c r="BS131" s="139">
        <v>0</v>
      </c>
      <c r="BU131" s="139">
        <f t="shared" si="101"/>
        <v>50</v>
      </c>
      <c r="BV131" s="139">
        <f t="shared" si="102"/>
        <v>0</v>
      </c>
      <c r="BW131" s="139">
        <f t="shared" si="103"/>
        <v>0</v>
      </c>
      <c r="BX131" s="139">
        <f t="shared" si="104"/>
        <v>0</v>
      </c>
      <c r="BY131" s="139">
        <f t="shared" si="105"/>
        <v>0</v>
      </c>
    </row>
    <row r="132" spans="3:77">
      <c r="C132" s="155"/>
      <c r="D132" s="139" t="s">
        <v>533</v>
      </c>
      <c r="F132" s="286" t="s">
        <v>1298</v>
      </c>
      <c r="L132" s="139">
        <v>50</v>
      </c>
      <c r="M132" s="139">
        <v>0</v>
      </c>
      <c r="N132" s="139">
        <v>0</v>
      </c>
      <c r="O132" s="139">
        <v>0</v>
      </c>
      <c r="P132" s="139">
        <v>0</v>
      </c>
      <c r="Q132" s="139">
        <v>0</v>
      </c>
      <c r="R132" s="139">
        <v>0</v>
      </c>
      <c r="S132" s="139">
        <v>0</v>
      </c>
      <c r="T132" s="139">
        <v>0</v>
      </c>
      <c r="U132" s="139">
        <v>0</v>
      </c>
      <c r="V132" s="139">
        <v>0</v>
      </c>
      <c r="W132" s="139">
        <v>0</v>
      </c>
      <c r="X132" s="139">
        <v>0</v>
      </c>
      <c r="Y132" s="139">
        <v>0</v>
      </c>
      <c r="Z132" s="139">
        <v>0</v>
      </c>
      <c r="AA132" s="139">
        <v>0</v>
      </c>
      <c r="AB132" s="139">
        <v>0</v>
      </c>
      <c r="AC132" s="139">
        <v>0</v>
      </c>
      <c r="AD132" s="139">
        <v>0</v>
      </c>
      <c r="AE132" s="139">
        <v>0</v>
      </c>
      <c r="AF132" s="139">
        <v>0</v>
      </c>
      <c r="AG132" s="139">
        <v>0</v>
      </c>
      <c r="AH132" s="139">
        <v>0</v>
      </c>
      <c r="AI132" s="139">
        <v>0</v>
      </c>
      <c r="AJ132" s="139">
        <v>0</v>
      </c>
      <c r="AK132" s="139">
        <v>0</v>
      </c>
      <c r="AL132" s="139">
        <v>0</v>
      </c>
      <c r="AM132" s="139">
        <v>0</v>
      </c>
      <c r="AN132" s="139">
        <v>0</v>
      </c>
      <c r="AO132" s="139">
        <v>0</v>
      </c>
      <c r="AP132" s="139">
        <v>0</v>
      </c>
      <c r="AQ132" s="139">
        <v>0</v>
      </c>
      <c r="AR132" s="139">
        <v>0</v>
      </c>
      <c r="AS132" s="139">
        <v>0</v>
      </c>
      <c r="AT132" s="139">
        <v>0</v>
      </c>
      <c r="AU132" s="139">
        <v>0</v>
      </c>
      <c r="AV132" s="139">
        <v>0</v>
      </c>
      <c r="AW132" s="139">
        <v>0</v>
      </c>
      <c r="AX132" s="139">
        <v>0</v>
      </c>
      <c r="AY132" s="139">
        <v>0</v>
      </c>
      <c r="AZ132" s="139">
        <v>0</v>
      </c>
      <c r="BA132" s="139">
        <v>0</v>
      </c>
      <c r="BB132" s="139">
        <v>0</v>
      </c>
      <c r="BC132" s="139">
        <v>0</v>
      </c>
      <c r="BD132" s="139">
        <v>0</v>
      </c>
      <c r="BE132" s="139">
        <v>0</v>
      </c>
      <c r="BF132" s="139">
        <v>0</v>
      </c>
      <c r="BG132" s="139">
        <v>0</v>
      </c>
      <c r="BH132" s="139">
        <v>0</v>
      </c>
      <c r="BI132" s="139">
        <v>0</v>
      </c>
      <c r="BJ132" s="139">
        <v>0</v>
      </c>
      <c r="BK132" s="139">
        <v>0</v>
      </c>
      <c r="BL132" s="139">
        <v>0</v>
      </c>
      <c r="BM132" s="139">
        <v>0</v>
      </c>
      <c r="BN132" s="139">
        <v>0</v>
      </c>
      <c r="BO132" s="139">
        <v>0</v>
      </c>
      <c r="BP132" s="139">
        <v>0</v>
      </c>
      <c r="BQ132" s="139">
        <v>0</v>
      </c>
      <c r="BR132" s="139">
        <v>0</v>
      </c>
      <c r="BS132" s="139">
        <v>0</v>
      </c>
      <c r="BU132" s="139">
        <f t="shared" si="101"/>
        <v>50</v>
      </c>
      <c r="BV132" s="139">
        <f t="shared" si="102"/>
        <v>0</v>
      </c>
      <c r="BW132" s="139">
        <f t="shared" si="103"/>
        <v>0</v>
      </c>
      <c r="BX132" s="139">
        <f t="shared" si="104"/>
        <v>0</v>
      </c>
      <c r="BY132" s="139">
        <f t="shared" si="105"/>
        <v>0</v>
      </c>
    </row>
    <row r="133" spans="3:77">
      <c r="C133" s="155"/>
      <c r="D133" s="139" t="s">
        <v>534</v>
      </c>
      <c r="F133" s="360" t="s">
        <v>1359</v>
      </c>
      <c r="L133" s="139">
        <v>0</v>
      </c>
      <c r="M133" s="139">
        <v>0</v>
      </c>
      <c r="N133" s="139">
        <v>0</v>
      </c>
      <c r="O133" s="139">
        <v>0</v>
      </c>
      <c r="P133" s="139">
        <v>0</v>
      </c>
      <c r="Q133" s="139">
        <v>0</v>
      </c>
      <c r="R133" s="139">
        <v>0</v>
      </c>
      <c r="S133" s="139">
        <v>0</v>
      </c>
      <c r="T133" s="139">
        <v>0</v>
      </c>
      <c r="U133" s="139">
        <v>0</v>
      </c>
      <c r="V133" s="139">
        <v>0</v>
      </c>
      <c r="W133" s="139">
        <v>0</v>
      </c>
      <c r="X133" s="139">
        <v>0</v>
      </c>
      <c r="Y133" s="139">
        <v>0</v>
      </c>
      <c r="Z133" s="139">
        <v>0</v>
      </c>
      <c r="AA133" s="139">
        <v>0</v>
      </c>
      <c r="AB133" s="139">
        <v>0</v>
      </c>
      <c r="AC133" s="139">
        <v>0</v>
      </c>
      <c r="AD133" s="139">
        <v>0</v>
      </c>
      <c r="AE133" s="139">
        <v>0</v>
      </c>
      <c r="AF133" s="139">
        <v>0</v>
      </c>
      <c r="AG133" s="139">
        <v>0</v>
      </c>
      <c r="AH133" s="139">
        <v>0</v>
      </c>
      <c r="AI133" s="139">
        <v>0</v>
      </c>
      <c r="AJ133" s="139">
        <v>0</v>
      </c>
      <c r="AK133" s="139">
        <v>0</v>
      </c>
      <c r="AL133" s="139">
        <v>0</v>
      </c>
      <c r="AM133" s="139">
        <v>0</v>
      </c>
      <c r="AN133" s="139">
        <v>0</v>
      </c>
      <c r="AO133" s="139">
        <v>0</v>
      </c>
      <c r="AP133" s="139">
        <v>0</v>
      </c>
      <c r="AQ133" s="139">
        <v>0</v>
      </c>
      <c r="AR133" s="139">
        <v>0</v>
      </c>
      <c r="AS133" s="139">
        <v>0</v>
      </c>
      <c r="AT133" s="139">
        <v>0</v>
      </c>
      <c r="AU133" s="139">
        <v>0</v>
      </c>
      <c r="AV133" s="139">
        <v>0</v>
      </c>
      <c r="AW133" s="139">
        <v>0</v>
      </c>
      <c r="AX133" s="139">
        <v>0</v>
      </c>
      <c r="AY133" s="139">
        <v>0</v>
      </c>
      <c r="AZ133" s="139">
        <v>0</v>
      </c>
      <c r="BA133" s="139">
        <v>0</v>
      </c>
      <c r="BB133" s="139">
        <v>0</v>
      </c>
      <c r="BC133" s="139">
        <v>0</v>
      </c>
      <c r="BD133" s="139">
        <v>0</v>
      </c>
      <c r="BE133" s="139">
        <v>0</v>
      </c>
      <c r="BF133" s="139">
        <v>0</v>
      </c>
      <c r="BG133" s="139">
        <v>0</v>
      </c>
      <c r="BH133" s="139">
        <v>0</v>
      </c>
      <c r="BI133" s="139">
        <v>0</v>
      </c>
      <c r="BJ133" s="139">
        <v>0</v>
      </c>
      <c r="BK133" s="139">
        <v>0</v>
      </c>
      <c r="BL133" s="139">
        <v>0</v>
      </c>
      <c r="BM133" s="139">
        <v>0</v>
      </c>
      <c r="BN133" s="139">
        <v>0</v>
      </c>
      <c r="BO133" s="139">
        <v>0</v>
      </c>
      <c r="BP133" s="139">
        <v>0</v>
      </c>
      <c r="BQ133" s="139">
        <v>0</v>
      </c>
      <c r="BR133" s="139">
        <v>0</v>
      </c>
      <c r="BS133" s="139">
        <v>0</v>
      </c>
      <c r="BU133" s="139">
        <f t="shared" si="101"/>
        <v>0</v>
      </c>
      <c r="BV133" s="139">
        <f t="shared" si="102"/>
        <v>0</v>
      </c>
      <c r="BW133" s="139">
        <f t="shared" si="103"/>
        <v>0</v>
      </c>
      <c r="BX133" s="139">
        <f t="shared" si="104"/>
        <v>0</v>
      </c>
      <c r="BY133" s="139">
        <f t="shared" si="105"/>
        <v>0</v>
      </c>
    </row>
    <row r="134" spans="3:77">
      <c r="C134" s="155"/>
      <c r="D134" s="139" t="s">
        <v>535</v>
      </c>
      <c r="F134" s="360" t="s">
        <v>1360</v>
      </c>
      <c r="L134" s="139">
        <v>20</v>
      </c>
      <c r="M134" s="139">
        <v>0</v>
      </c>
      <c r="N134" s="139">
        <v>0</v>
      </c>
      <c r="O134" s="139">
        <v>0</v>
      </c>
      <c r="P134" s="139">
        <v>0</v>
      </c>
      <c r="Q134" s="139">
        <v>0</v>
      </c>
      <c r="R134" s="139">
        <v>0</v>
      </c>
      <c r="S134" s="139">
        <v>0</v>
      </c>
      <c r="T134" s="139">
        <v>0</v>
      </c>
      <c r="U134" s="139">
        <v>0</v>
      </c>
      <c r="V134" s="139">
        <v>0</v>
      </c>
      <c r="W134" s="139">
        <v>0</v>
      </c>
      <c r="X134" s="139">
        <v>0</v>
      </c>
      <c r="Y134" s="139">
        <v>0</v>
      </c>
      <c r="Z134" s="139">
        <v>0</v>
      </c>
      <c r="AA134" s="139">
        <v>0</v>
      </c>
      <c r="AB134" s="139">
        <v>0</v>
      </c>
      <c r="AC134" s="139">
        <v>0</v>
      </c>
      <c r="AD134" s="139">
        <v>0</v>
      </c>
      <c r="AE134" s="139">
        <v>0</v>
      </c>
      <c r="AF134" s="139">
        <v>0</v>
      </c>
      <c r="AG134" s="139">
        <v>0</v>
      </c>
      <c r="AH134" s="139">
        <v>0</v>
      </c>
      <c r="AI134" s="139">
        <v>0</v>
      </c>
      <c r="AJ134" s="139">
        <v>0</v>
      </c>
      <c r="AK134" s="139">
        <v>0</v>
      </c>
      <c r="AL134" s="139">
        <v>0</v>
      </c>
      <c r="AM134" s="139">
        <v>0</v>
      </c>
      <c r="AN134" s="139">
        <v>0</v>
      </c>
      <c r="AO134" s="139">
        <v>0</v>
      </c>
      <c r="AP134" s="139">
        <v>0</v>
      </c>
      <c r="AQ134" s="139">
        <v>0</v>
      </c>
      <c r="AR134" s="139">
        <v>0</v>
      </c>
      <c r="AS134" s="139">
        <v>0</v>
      </c>
      <c r="AT134" s="139">
        <v>0</v>
      </c>
      <c r="AU134" s="139">
        <v>0</v>
      </c>
      <c r="AV134" s="139">
        <v>0</v>
      </c>
      <c r="AW134" s="139">
        <v>0</v>
      </c>
      <c r="AX134" s="139">
        <v>0</v>
      </c>
      <c r="AY134" s="139">
        <v>0</v>
      </c>
      <c r="AZ134" s="139">
        <v>0</v>
      </c>
      <c r="BA134" s="139">
        <v>0</v>
      </c>
      <c r="BB134" s="139">
        <v>0</v>
      </c>
      <c r="BC134" s="139">
        <v>0</v>
      </c>
      <c r="BD134" s="139">
        <v>0</v>
      </c>
      <c r="BE134" s="139">
        <v>0</v>
      </c>
      <c r="BF134" s="139">
        <v>0</v>
      </c>
      <c r="BG134" s="139">
        <v>0</v>
      </c>
      <c r="BH134" s="139">
        <v>0</v>
      </c>
      <c r="BI134" s="139">
        <v>0</v>
      </c>
      <c r="BJ134" s="139">
        <v>0</v>
      </c>
      <c r="BK134" s="139">
        <v>0</v>
      </c>
      <c r="BL134" s="139">
        <v>0</v>
      </c>
      <c r="BM134" s="139">
        <v>0</v>
      </c>
      <c r="BN134" s="139">
        <v>0</v>
      </c>
      <c r="BO134" s="139">
        <v>0</v>
      </c>
      <c r="BP134" s="139">
        <v>0</v>
      </c>
      <c r="BQ134" s="139">
        <v>0</v>
      </c>
      <c r="BR134" s="139">
        <v>0</v>
      </c>
      <c r="BS134" s="139">
        <v>0</v>
      </c>
      <c r="BU134" s="139">
        <f t="shared" si="101"/>
        <v>20</v>
      </c>
      <c r="BV134" s="139">
        <f t="shared" si="102"/>
        <v>0</v>
      </c>
      <c r="BW134" s="139">
        <f t="shared" si="103"/>
        <v>0</v>
      </c>
      <c r="BX134" s="139">
        <f t="shared" si="104"/>
        <v>0</v>
      </c>
      <c r="BY134" s="139">
        <f t="shared" si="105"/>
        <v>0</v>
      </c>
    </row>
    <row r="135" spans="3:77" s="155" customFormat="1">
      <c r="C135" s="155" t="s">
        <v>547</v>
      </c>
      <c r="L135" s="155">
        <f t="shared" ref="L135:BR135" si="106">SUBTOTAL(9,L136:L139)</f>
        <v>350</v>
      </c>
      <c r="M135" s="155">
        <f t="shared" si="106"/>
        <v>250.00000000000003</v>
      </c>
      <c r="N135" s="155">
        <f t="shared" si="106"/>
        <v>250.00000000000003</v>
      </c>
      <c r="O135" s="155">
        <f t="shared" si="106"/>
        <v>250.00000000000003</v>
      </c>
      <c r="P135" s="155">
        <f t="shared" si="106"/>
        <v>250.00000000000003</v>
      </c>
      <c r="Q135" s="155">
        <f t="shared" si="106"/>
        <v>250.00000000000003</v>
      </c>
      <c r="R135" s="155">
        <f t="shared" si="106"/>
        <v>250.00000000000003</v>
      </c>
      <c r="S135" s="155">
        <f t="shared" si="106"/>
        <v>250.00000000000003</v>
      </c>
      <c r="T135" s="155">
        <f t="shared" si="106"/>
        <v>250.00000000000003</v>
      </c>
      <c r="U135" s="155">
        <f t="shared" si="106"/>
        <v>250.00000000000003</v>
      </c>
      <c r="V135" s="155">
        <f t="shared" si="106"/>
        <v>250.00000000000003</v>
      </c>
      <c r="W135" s="155">
        <f t="shared" si="106"/>
        <v>250.00000000000003</v>
      </c>
      <c r="X135" s="155">
        <f t="shared" si="106"/>
        <v>458.33333333333337</v>
      </c>
      <c r="Y135" s="155">
        <f t="shared" si="106"/>
        <v>458.33333333333337</v>
      </c>
      <c r="Z135" s="155">
        <f t="shared" si="106"/>
        <v>458.33333333333337</v>
      </c>
      <c r="AA135" s="155">
        <f t="shared" si="106"/>
        <v>458.33333333333337</v>
      </c>
      <c r="AB135" s="155">
        <f t="shared" si="106"/>
        <v>458.33333333333337</v>
      </c>
      <c r="AC135" s="155">
        <f t="shared" si="106"/>
        <v>458.33333333333337</v>
      </c>
      <c r="AD135" s="155">
        <f t="shared" si="106"/>
        <v>458.33333333333337</v>
      </c>
      <c r="AE135" s="155">
        <f t="shared" si="106"/>
        <v>458.33333333333337</v>
      </c>
      <c r="AF135" s="155">
        <f t="shared" si="106"/>
        <v>458.33333333333337</v>
      </c>
      <c r="AG135" s="155">
        <f t="shared" si="106"/>
        <v>458.33333333333337</v>
      </c>
      <c r="AH135" s="155">
        <f t="shared" si="106"/>
        <v>458.33333333333337</v>
      </c>
      <c r="AI135" s="155">
        <f t="shared" si="106"/>
        <v>458.33333333333337</v>
      </c>
      <c r="AJ135" s="155">
        <f t="shared" si="106"/>
        <v>583.33333333333337</v>
      </c>
      <c r="AK135" s="155">
        <f t="shared" si="106"/>
        <v>583.33333333333337</v>
      </c>
      <c r="AL135" s="155">
        <f t="shared" si="106"/>
        <v>583.33333333333337</v>
      </c>
      <c r="AM135" s="155">
        <f t="shared" si="106"/>
        <v>583.33333333333337</v>
      </c>
      <c r="AN135" s="155">
        <f t="shared" si="106"/>
        <v>583.33333333333337</v>
      </c>
      <c r="AO135" s="155">
        <f t="shared" si="106"/>
        <v>583.33333333333337</v>
      </c>
      <c r="AP135" s="155">
        <f t="shared" si="106"/>
        <v>583.33333333333337</v>
      </c>
      <c r="AQ135" s="155">
        <f t="shared" si="106"/>
        <v>583.33333333333337</v>
      </c>
      <c r="AR135" s="155">
        <f t="shared" si="106"/>
        <v>583.33333333333337</v>
      </c>
      <c r="AS135" s="155">
        <f t="shared" si="106"/>
        <v>583.33333333333337</v>
      </c>
      <c r="AT135" s="155">
        <f t="shared" si="106"/>
        <v>583.33333333333337</v>
      </c>
      <c r="AU135" s="155">
        <f t="shared" si="106"/>
        <v>583.33333333333337</v>
      </c>
      <c r="AV135" s="155">
        <f t="shared" si="106"/>
        <v>708.33333333333337</v>
      </c>
      <c r="AW135" s="155">
        <f t="shared" si="106"/>
        <v>708.33333333333337</v>
      </c>
      <c r="AX135" s="155">
        <f t="shared" si="106"/>
        <v>708.33333333333337</v>
      </c>
      <c r="AY135" s="155">
        <f t="shared" si="106"/>
        <v>708.33333333333337</v>
      </c>
      <c r="AZ135" s="155">
        <f t="shared" si="106"/>
        <v>708.33333333333337</v>
      </c>
      <c r="BA135" s="155">
        <f t="shared" si="106"/>
        <v>708.33333333333337</v>
      </c>
      <c r="BB135" s="155">
        <f t="shared" si="106"/>
        <v>708.33333333333337</v>
      </c>
      <c r="BC135" s="155">
        <f t="shared" si="106"/>
        <v>708.33333333333337</v>
      </c>
      <c r="BD135" s="155">
        <f t="shared" si="106"/>
        <v>708.33333333333337</v>
      </c>
      <c r="BE135" s="155">
        <f t="shared" si="106"/>
        <v>708.33333333333337</v>
      </c>
      <c r="BF135" s="155">
        <f t="shared" si="106"/>
        <v>708.33333333333337</v>
      </c>
      <c r="BG135" s="155">
        <f t="shared" si="106"/>
        <v>708.33333333333337</v>
      </c>
      <c r="BH135" s="155">
        <f t="shared" si="106"/>
        <v>833.33333333333337</v>
      </c>
      <c r="BI135" s="155">
        <f t="shared" si="106"/>
        <v>833.33333333333337</v>
      </c>
      <c r="BJ135" s="155">
        <f t="shared" si="106"/>
        <v>833.33333333333337</v>
      </c>
      <c r="BK135" s="155">
        <f t="shared" si="106"/>
        <v>833.33333333333337</v>
      </c>
      <c r="BL135" s="155">
        <f t="shared" si="106"/>
        <v>833.33333333333337</v>
      </c>
      <c r="BM135" s="155">
        <f t="shared" si="106"/>
        <v>833.33333333333337</v>
      </c>
      <c r="BN135" s="155">
        <f t="shared" si="106"/>
        <v>833.33333333333337</v>
      </c>
      <c r="BO135" s="155">
        <f t="shared" si="106"/>
        <v>833.33333333333337</v>
      </c>
      <c r="BP135" s="155">
        <f t="shared" si="106"/>
        <v>833.33333333333337</v>
      </c>
      <c r="BQ135" s="155">
        <f t="shared" si="106"/>
        <v>833.33333333333337</v>
      </c>
      <c r="BR135" s="155">
        <f t="shared" si="106"/>
        <v>833.33333333333337</v>
      </c>
      <c r="BS135" s="155">
        <f>SUBTOTAL(9,BS136:BS139)</f>
        <v>833.33333333333337</v>
      </c>
      <c r="BU135" s="139"/>
      <c r="BV135" s="139"/>
      <c r="BW135" s="139"/>
      <c r="BX135" s="139"/>
      <c r="BY135" s="139"/>
    </row>
    <row r="136" spans="3:77">
      <c r="C136" s="155"/>
      <c r="D136" s="139" t="s">
        <v>536</v>
      </c>
      <c r="F136" s="286" t="s">
        <v>1298</v>
      </c>
      <c r="L136" s="139">
        <v>100</v>
      </c>
      <c r="M136" s="139">
        <v>0</v>
      </c>
      <c r="N136" s="139">
        <v>0</v>
      </c>
      <c r="O136" s="139">
        <v>0</v>
      </c>
      <c r="P136" s="139">
        <v>0</v>
      </c>
      <c r="Q136" s="139">
        <v>0</v>
      </c>
      <c r="R136" s="139">
        <v>0</v>
      </c>
      <c r="S136" s="139">
        <v>0</v>
      </c>
      <c r="T136" s="139">
        <v>0</v>
      </c>
      <c r="U136" s="139">
        <v>0</v>
      </c>
      <c r="V136" s="139">
        <v>0</v>
      </c>
      <c r="W136" s="139">
        <v>0</v>
      </c>
      <c r="X136" s="139">
        <v>0</v>
      </c>
      <c r="Y136" s="139">
        <v>0</v>
      </c>
      <c r="Z136" s="139">
        <v>0</v>
      </c>
      <c r="AA136" s="139">
        <v>0</v>
      </c>
      <c r="AB136" s="139">
        <v>0</v>
      </c>
      <c r="AC136" s="139">
        <v>0</v>
      </c>
      <c r="AD136" s="139">
        <v>0</v>
      </c>
      <c r="AE136" s="139">
        <v>0</v>
      </c>
      <c r="AF136" s="139">
        <v>0</v>
      </c>
      <c r="AG136" s="139">
        <v>0</v>
      </c>
      <c r="AH136" s="139">
        <v>0</v>
      </c>
      <c r="AI136" s="139">
        <v>0</v>
      </c>
      <c r="AJ136" s="139">
        <v>0</v>
      </c>
      <c r="AK136" s="139">
        <v>0</v>
      </c>
      <c r="AL136" s="139">
        <v>0</v>
      </c>
      <c r="AM136" s="139">
        <v>0</v>
      </c>
      <c r="AN136" s="139">
        <v>0</v>
      </c>
      <c r="AO136" s="139">
        <v>0</v>
      </c>
      <c r="AP136" s="139">
        <v>0</v>
      </c>
      <c r="AQ136" s="139">
        <v>0</v>
      </c>
      <c r="AR136" s="139">
        <v>0</v>
      </c>
      <c r="AS136" s="139">
        <v>0</v>
      </c>
      <c r="AT136" s="139">
        <v>0</v>
      </c>
      <c r="AU136" s="139">
        <v>0</v>
      </c>
      <c r="AV136" s="139">
        <v>0</v>
      </c>
      <c r="AW136" s="139">
        <v>0</v>
      </c>
      <c r="AX136" s="139">
        <v>0</v>
      </c>
      <c r="AY136" s="139">
        <v>0</v>
      </c>
      <c r="AZ136" s="139">
        <v>0</v>
      </c>
      <c r="BA136" s="139">
        <v>0</v>
      </c>
      <c r="BB136" s="139">
        <v>0</v>
      </c>
      <c r="BC136" s="139">
        <v>0</v>
      </c>
      <c r="BD136" s="139">
        <v>0</v>
      </c>
      <c r="BE136" s="139">
        <v>0</v>
      </c>
      <c r="BF136" s="139">
        <v>0</v>
      </c>
      <c r="BG136" s="139">
        <v>0</v>
      </c>
      <c r="BH136" s="139">
        <v>0</v>
      </c>
      <c r="BI136" s="139">
        <v>0</v>
      </c>
      <c r="BJ136" s="139">
        <v>0</v>
      </c>
      <c r="BK136" s="139">
        <v>0</v>
      </c>
      <c r="BL136" s="139">
        <v>0</v>
      </c>
      <c r="BM136" s="139">
        <v>0</v>
      </c>
      <c r="BN136" s="139">
        <v>0</v>
      </c>
      <c r="BO136" s="139">
        <v>0</v>
      </c>
      <c r="BP136" s="139">
        <v>0</v>
      </c>
      <c r="BQ136" s="139">
        <v>0</v>
      </c>
      <c r="BR136" s="139">
        <v>0</v>
      </c>
      <c r="BS136" s="139">
        <v>0</v>
      </c>
      <c r="BU136" s="139">
        <f t="shared" si="101"/>
        <v>100</v>
      </c>
      <c r="BV136" s="139">
        <f t="shared" si="102"/>
        <v>0</v>
      </c>
      <c r="BW136" s="139">
        <f t="shared" si="103"/>
        <v>0</v>
      </c>
      <c r="BX136" s="139">
        <f t="shared" si="104"/>
        <v>0</v>
      </c>
      <c r="BY136" s="139">
        <f t="shared" si="105"/>
        <v>0</v>
      </c>
    </row>
    <row r="137" spans="3:77">
      <c r="C137" s="155"/>
      <c r="D137" s="139" t="s">
        <v>537</v>
      </c>
      <c r="F137" s="286" t="s">
        <v>1298</v>
      </c>
      <c r="L137" s="139">
        <f>HLOOKUP(L$2, CTRL!$G$151:$K$154, 4, FALSE)/12*100</f>
        <v>0</v>
      </c>
      <c r="M137" s="139">
        <f>HLOOKUP(M$2, CTRL!$G$151:$K$154, 4, FALSE)/12*100</f>
        <v>0</v>
      </c>
      <c r="N137" s="139">
        <f>HLOOKUP(N$2, CTRL!$G$151:$K$154, 4, FALSE)/12*100</f>
        <v>0</v>
      </c>
      <c r="O137" s="139">
        <f>HLOOKUP(O$2, CTRL!$G$151:$K$154, 4, FALSE)/12*100</f>
        <v>0</v>
      </c>
      <c r="P137" s="139">
        <f>HLOOKUP(P$2, CTRL!$G$151:$K$154, 4, FALSE)/12*100</f>
        <v>0</v>
      </c>
      <c r="Q137" s="139">
        <f>HLOOKUP(Q$2, CTRL!$G$151:$K$154, 4, FALSE)/12*100</f>
        <v>0</v>
      </c>
      <c r="R137" s="139">
        <f>HLOOKUP(R$2, CTRL!$G$151:$K$154, 4, FALSE)/12*100</f>
        <v>0</v>
      </c>
      <c r="S137" s="139">
        <f>HLOOKUP(S$2, CTRL!$G$151:$K$154, 4, FALSE)/12*100</f>
        <v>0</v>
      </c>
      <c r="T137" s="139">
        <f>HLOOKUP(T$2, CTRL!$G$151:$K$154, 4, FALSE)/12*100</f>
        <v>0</v>
      </c>
      <c r="U137" s="139">
        <f>HLOOKUP(U$2, CTRL!$G$151:$K$154, 4, FALSE)/12*100</f>
        <v>0</v>
      </c>
      <c r="V137" s="139">
        <f>HLOOKUP(V$2, CTRL!$G$151:$K$154, 4, FALSE)/12*100</f>
        <v>0</v>
      </c>
      <c r="W137" s="139">
        <f>HLOOKUP(W$2, CTRL!$G$151:$K$154, 4, FALSE)/12*100</f>
        <v>0</v>
      </c>
      <c r="X137" s="139">
        <f>HLOOKUP(X$2, CTRL!$G$151:$K$154, 4, FALSE)/12*100</f>
        <v>83.333333333333343</v>
      </c>
      <c r="Y137" s="139">
        <f>HLOOKUP(Y$2, CTRL!$G$151:$K$154, 4, FALSE)/12*100</f>
        <v>83.333333333333343</v>
      </c>
      <c r="Z137" s="139">
        <f>HLOOKUP(Z$2, CTRL!$G$151:$K$154, 4, FALSE)/12*100</f>
        <v>83.333333333333343</v>
      </c>
      <c r="AA137" s="139">
        <f>HLOOKUP(AA$2, CTRL!$G$151:$K$154, 4, FALSE)/12*100</f>
        <v>83.333333333333343</v>
      </c>
      <c r="AB137" s="139">
        <f>HLOOKUP(AB$2, CTRL!$G$151:$K$154, 4, FALSE)/12*100</f>
        <v>83.333333333333343</v>
      </c>
      <c r="AC137" s="139">
        <f>HLOOKUP(AC$2, CTRL!$G$151:$K$154, 4, FALSE)/12*100</f>
        <v>83.333333333333343</v>
      </c>
      <c r="AD137" s="139">
        <f>HLOOKUP(AD$2, CTRL!$G$151:$K$154, 4, FALSE)/12*100</f>
        <v>83.333333333333343</v>
      </c>
      <c r="AE137" s="139">
        <f>HLOOKUP(AE$2, CTRL!$G$151:$K$154, 4, FALSE)/12*100</f>
        <v>83.333333333333343</v>
      </c>
      <c r="AF137" s="139">
        <f>HLOOKUP(AF$2, CTRL!$G$151:$K$154, 4, FALSE)/12*100</f>
        <v>83.333333333333343</v>
      </c>
      <c r="AG137" s="139">
        <f>HLOOKUP(AG$2, CTRL!$G$151:$K$154, 4, FALSE)/12*100</f>
        <v>83.333333333333343</v>
      </c>
      <c r="AH137" s="139">
        <f>HLOOKUP(AH$2, CTRL!$G$151:$K$154, 4, FALSE)/12*100</f>
        <v>83.333333333333343</v>
      </c>
      <c r="AI137" s="139">
        <f>HLOOKUP(AI$2, CTRL!$G$151:$K$154, 4, FALSE)/12*100</f>
        <v>83.333333333333343</v>
      </c>
      <c r="AJ137" s="139">
        <f>HLOOKUP(AJ$2, CTRL!$G$151:$K$154, 4, FALSE)/12*100</f>
        <v>83.333333333333343</v>
      </c>
      <c r="AK137" s="139">
        <f>HLOOKUP(AK$2, CTRL!$G$151:$K$154, 4, FALSE)/12*100</f>
        <v>83.333333333333343</v>
      </c>
      <c r="AL137" s="139">
        <f>HLOOKUP(AL$2, CTRL!$G$151:$K$154, 4, FALSE)/12*100</f>
        <v>83.333333333333343</v>
      </c>
      <c r="AM137" s="139">
        <f>HLOOKUP(AM$2, CTRL!$G$151:$K$154, 4, FALSE)/12*100</f>
        <v>83.333333333333343</v>
      </c>
      <c r="AN137" s="139">
        <f>HLOOKUP(AN$2, CTRL!$G$151:$K$154, 4, FALSE)/12*100</f>
        <v>83.333333333333343</v>
      </c>
      <c r="AO137" s="139">
        <f>HLOOKUP(AO$2, CTRL!$G$151:$K$154, 4, FALSE)/12*100</f>
        <v>83.333333333333343</v>
      </c>
      <c r="AP137" s="139">
        <f>HLOOKUP(AP$2, CTRL!$G$151:$K$154, 4, FALSE)/12*100</f>
        <v>83.333333333333343</v>
      </c>
      <c r="AQ137" s="139">
        <f>HLOOKUP(AQ$2, CTRL!$G$151:$K$154, 4, FALSE)/12*100</f>
        <v>83.333333333333343</v>
      </c>
      <c r="AR137" s="139">
        <f>HLOOKUP(AR$2, CTRL!$G$151:$K$154, 4, FALSE)/12*100</f>
        <v>83.333333333333343</v>
      </c>
      <c r="AS137" s="139">
        <f>HLOOKUP(AS$2, CTRL!$G$151:$K$154, 4, FALSE)/12*100</f>
        <v>83.333333333333343</v>
      </c>
      <c r="AT137" s="139">
        <f>HLOOKUP(AT$2, CTRL!$G$151:$K$154, 4, FALSE)/12*100</f>
        <v>83.333333333333343</v>
      </c>
      <c r="AU137" s="139">
        <f>HLOOKUP(AU$2, CTRL!$G$151:$K$154, 4, FALSE)/12*100</f>
        <v>83.333333333333343</v>
      </c>
      <c r="AV137" s="139">
        <f>HLOOKUP(AV$2, CTRL!$G$151:$K$154, 4, FALSE)/12*100</f>
        <v>83.333333333333343</v>
      </c>
      <c r="AW137" s="139">
        <f>HLOOKUP(AW$2, CTRL!$G$151:$K$154, 4, FALSE)/12*100</f>
        <v>83.333333333333343</v>
      </c>
      <c r="AX137" s="139">
        <f>HLOOKUP(AX$2, CTRL!$G$151:$K$154, 4, FALSE)/12*100</f>
        <v>83.333333333333343</v>
      </c>
      <c r="AY137" s="139">
        <f>HLOOKUP(AY$2, CTRL!$G$151:$K$154, 4, FALSE)/12*100</f>
        <v>83.333333333333343</v>
      </c>
      <c r="AZ137" s="139">
        <f>HLOOKUP(AZ$2, CTRL!$G$151:$K$154, 4, FALSE)/12*100</f>
        <v>83.333333333333343</v>
      </c>
      <c r="BA137" s="139">
        <f>HLOOKUP(BA$2, CTRL!$G$151:$K$154, 4, FALSE)/12*100</f>
        <v>83.333333333333343</v>
      </c>
      <c r="BB137" s="139">
        <f>HLOOKUP(BB$2, CTRL!$G$151:$K$154, 4, FALSE)/12*100</f>
        <v>83.333333333333343</v>
      </c>
      <c r="BC137" s="139">
        <f>HLOOKUP(BC$2, CTRL!$G$151:$K$154, 4, FALSE)/12*100</f>
        <v>83.333333333333343</v>
      </c>
      <c r="BD137" s="139">
        <f>HLOOKUP(BD$2, CTRL!$G$151:$K$154, 4, FALSE)/12*100</f>
        <v>83.333333333333343</v>
      </c>
      <c r="BE137" s="139">
        <f>HLOOKUP(BE$2, CTRL!$G$151:$K$154, 4, FALSE)/12*100</f>
        <v>83.333333333333343</v>
      </c>
      <c r="BF137" s="139">
        <f>HLOOKUP(BF$2, CTRL!$G$151:$K$154, 4, FALSE)/12*100</f>
        <v>83.333333333333343</v>
      </c>
      <c r="BG137" s="139">
        <f>HLOOKUP(BG$2, CTRL!$G$151:$K$154, 4, FALSE)/12*100</f>
        <v>83.333333333333343</v>
      </c>
      <c r="BH137" s="139">
        <f>HLOOKUP(BH$2, CTRL!$G$151:$K$154, 4, FALSE)/12*100</f>
        <v>83.333333333333343</v>
      </c>
      <c r="BI137" s="139">
        <f>HLOOKUP(BI$2, CTRL!$G$151:$K$154, 4, FALSE)/12*100</f>
        <v>83.333333333333343</v>
      </c>
      <c r="BJ137" s="139">
        <f>HLOOKUP(BJ$2, CTRL!$G$151:$K$154, 4, FALSE)/12*100</f>
        <v>83.333333333333343</v>
      </c>
      <c r="BK137" s="139">
        <f>HLOOKUP(BK$2, CTRL!$G$151:$K$154, 4, FALSE)/12*100</f>
        <v>83.333333333333343</v>
      </c>
      <c r="BL137" s="139">
        <f>HLOOKUP(BL$2, CTRL!$G$151:$K$154, 4, FALSE)/12*100</f>
        <v>83.333333333333343</v>
      </c>
      <c r="BM137" s="139">
        <f>HLOOKUP(BM$2, CTRL!$G$151:$K$154, 4, FALSE)/12*100</f>
        <v>83.333333333333343</v>
      </c>
      <c r="BN137" s="139">
        <f>HLOOKUP(BN$2, CTRL!$G$151:$K$154, 4, FALSE)/12*100</f>
        <v>83.333333333333343</v>
      </c>
      <c r="BO137" s="139">
        <f>HLOOKUP(BO$2, CTRL!$G$151:$K$154, 4, FALSE)/12*100</f>
        <v>83.333333333333343</v>
      </c>
      <c r="BP137" s="139">
        <f>HLOOKUP(BP$2, CTRL!$G$151:$K$154, 4, FALSE)/12*100</f>
        <v>83.333333333333343</v>
      </c>
      <c r="BQ137" s="139">
        <f>HLOOKUP(BQ$2, CTRL!$G$151:$K$154, 4, FALSE)/12*100</f>
        <v>83.333333333333343</v>
      </c>
      <c r="BR137" s="139">
        <f>HLOOKUP(BR$2, CTRL!$G$151:$K$154, 4, FALSE)/12*100</f>
        <v>83.333333333333343</v>
      </c>
      <c r="BS137" s="139">
        <f>HLOOKUP(BS$2, CTRL!$G$151:$K$154, 4, FALSE)/12*100</f>
        <v>83.333333333333343</v>
      </c>
      <c r="BU137" s="139">
        <f t="shared" si="101"/>
        <v>0</v>
      </c>
      <c r="BV137" s="139">
        <f t="shared" si="102"/>
        <v>1000.0000000000003</v>
      </c>
      <c r="BW137" s="139">
        <f t="shared" si="103"/>
        <v>1000.0000000000003</v>
      </c>
      <c r="BX137" s="139">
        <f t="shared" si="104"/>
        <v>1000.0000000000003</v>
      </c>
      <c r="BY137" s="139">
        <f t="shared" si="105"/>
        <v>1000.0000000000003</v>
      </c>
    </row>
    <row r="138" spans="3:77">
      <c r="C138" s="155"/>
      <c r="D138" s="139" t="s">
        <v>538</v>
      </c>
      <c r="F138" s="286" t="s">
        <v>1298</v>
      </c>
      <c r="L138" s="139">
        <f>HLOOKUP(L$2, CTRL!$G$151:$K$154, 2, FALSE)/12*100</f>
        <v>83.333333333333343</v>
      </c>
      <c r="M138" s="139">
        <f>HLOOKUP(M$2, CTRL!$G$151:$K$154, 2, FALSE)/12*100</f>
        <v>83.333333333333343</v>
      </c>
      <c r="N138" s="139">
        <f>HLOOKUP(N$2, CTRL!$G$151:$K$154, 2, FALSE)/12*100</f>
        <v>83.333333333333343</v>
      </c>
      <c r="O138" s="139">
        <f>HLOOKUP(O$2, CTRL!$G$151:$K$154, 2, FALSE)/12*100</f>
        <v>83.333333333333343</v>
      </c>
      <c r="P138" s="139">
        <f>HLOOKUP(P$2, CTRL!$G$151:$K$154, 2, FALSE)/12*100</f>
        <v>83.333333333333343</v>
      </c>
      <c r="Q138" s="139">
        <f>HLOOKUP(Q$2, CTRL!$G$151:$K$154, 2, FALSE)/12*100</f>
        <v>83.333333333333343</v>
      </c>
      <c r="R138" s="139">
        <f>HLOOKUP(R$2, CTRL!$G$151:$K$154, 2, FALSE)/12*100</f>
        <v>83.333333333333343</v>
      </c>
      <c r="S138" s="139">
        <f>HLOOKUP(S$2, CTRL!$G$151:$K$154, 2, FALSE)/12*100</f>
        <v>83.333333333333343</v>
      </c>
      <c r="T138" s="139">
        <f>HLOOKUP(T$2, CTRL!$G$151:$K$154, 2, FALSE)/12*100</f>
        <v>83.333333333333343</v>
      </c>
      <c r="U138" s="139">
        <f>HLOOKUP(U$2, CTRL!$G$151:$K$154, 2, FALSE)/12*100</f>
        <v>83.333333333333343</v>
      </c>
      <c r="V138" s="139">
        <f>HLOOKUP(V$2, CTRL!$G$151:$K$154, 2, FALSE)/12*100</f>
        <v>83.333333333333343</v>
      </c>
      <c r="W138" s="139">
        <f>HLOOKUP(W$2, CTRL!$G$151:$K$154, 2, FALSE)/12*100</f>
        <v>83.333333333333343</v>
      </c>
      <c r="X138" s="139">
        <f>HLOOKUP(X$2, CTRL!$G$151:$K$154, 2, FALSE)/12*100</f>
        <v>125</v>
      </c>
      <c r="Y138" s="139">
        <f>HLOOKUP(Y$2, CTRL!$G$151:$K$154, 2, FALSE)/12*100</f>
        <v>125</v>
      </c>
      <c r="Z138" s="139">
        <f>HLOOKUP(Z$2, CTRL!$G$151:$K$154, 2, FALSE)/12*100</f>
        <v>125</v>
      </c>
      <c r="AA138" s="139">
        <f>HLOOKUP(AA$2, CTRL!$G$151:$K$154, 2, FALSE)/12*100</f>
        <v>125</v>
      </c>
      <c r="AB138" s="139">
        <f>HLOOKUP(AB$2, CTRL!$G$151:$K$154, 2, FALSE)/12*100</f>
        <v>125</v>
      </c>
      <c r="AC138" s="139">
        <f>HLOOKUP(AC$2, CTRL!$G$151:$K$154, 2, FALSE)/12*100</f>
        <v>125</v>
      </c>
      <c r="AD138" s="139">
        <f>HLOOKUP(AD$2, CTRL!$G$151:$K$154, 2, FALSE)/12*100</f>
        <v>125</v>
      </c>
      <c r="AE138" s="139">
        <f>HLOOKUP(AE$2, CTRL!$G$151:$K$154, 2, FALSE)/12*100</f>
        <v>125</v>
      </c>
      <c r="AF138" s="139">
        <f>HLOOKUP(AF$2, CTRL!$G$151:$K$154, 2, FALSE)/12*100</f>
        <v>125</v>
      </c>
      <c r="AG138" s="139">
        <f>HLOOKUP(AG$2, CTRL!$G$151:$K$154, 2, FALSE)/12*100</f>
        <v>125</v>
      </c>
      <c r="AH138" s="139">
        <f>HLOOKUP(AH$2, CTRL!$G$151:$K$154, 2, FALSE)/12*100</f>
        <v>125</v>
      </c>
      <c r="AI138" s="139">
        <f>HLOOKUP(AI$2, CTRL!$G$151:$K$154, 2, FALSE)/12*100</f>
        <v>125</v>
      </c>
      <c r="AJ138" s="139">
        <f>HLOOKUP(AJ$2, CTRL!$G$151:$K$154, 2, FALSE)/12*100</f>
        <v>166.66666666666669</v>
      </c>
      <c r="AK138" s="139">
        <f>HLOOKUP(AK$2, CTRL!$G$151:$K$154, 2, FALSE)/12*100</f>
        <v>166.66666666666669</v>
      </c>
      <c r="AL138" s="139">
        <f>HLOOKUP(AL$2, CTRL!$G$151:$K$154, 2, FALSE)/12*100</f>
        <v>166.66666666666669</v>
      </c>
      <c r="AM138" s="139">
        <f>HLOOKUP(AM$2, CTRL!$G$151:$K$154, 2, FALSE)/12*100</f>
        <v>166.66666666666669</v>
      </c>
      <c r="AN138" s="139">
        <f>HLOOKUP(AN$2, CTRL!$G$151:$K$154, 2, FALSE)/12*100</f>
        <v>166.66666666666669</v>
      </c>
      <c r="AO138" s="139">
        <f>HLOOKUP(AO$2, CTRL!$G$151:$K$154, 2, FALSE)/12*100</f>
        <v>166.66666666666669</v>
      </c>
      <c r="AP138" s="139">
        <f>HLOOKUP(AP$2, CTRL!$G$151:$K$154, 2, FALSE)/12*100</f>
        <v>166.66666666666669</v>
      </c>
      <c r="AQ138" s="139">
        <f>HLOOKUP(AQ$2, CTRL!$G$151:$K$154, 2, FALSE)/12*100</f>
        <v>166.66666666666669</v>
      </c>
      <c r="AR138" s="139">
        <f>HLOOKUP(AR$2, CTRL!$G$151:$K$154, 2, FALSE)/12*100</f>
        <v>166.66666666666669</v>
      </c>
      <c r="AS138" s="139">
        <f>HLOOKUP(AS$2, CTRL!$G$151:$K$154, 2, FALSE)/12*100</f>
        <v>166.66666666666669</v>
      </c>
      <c r="AT138" s="139">
        <f>HLOOKUP(AT$2, CTRL!$G$151:$K$154, 2, FALSE)/12*100</f>
        <v>166.66666666666669</v>
      </c>
      <c r="AU138" s="139">
        <f>HLOOKUP(AU$2, CTRL!$G$151:$K$154, 2, FALSE)/12*100</f>
        <v>166.66666666666669</v>
      </c>
      <c r="AV138" s="139">
        <f>HLOOKUP(AV$2, CTRL!$G$151:$K$154, 2, FALSE)/12*100</f>
        <v>208.33333333333334</v>
      </c>
      <c r="AW138" s="139">
        <f>HLOOKUP(AW$2, CTRL!$G$151:$K$154, 2, FALSE)/12*100</f>
        <v>208.33333333333334</v>
      </c>
      <c r="AX138" s="139">
        <f>HLOOKUP(AX$2, CTRL!$G$151:$K$154, 2, FALSE)/12*100</f>
        <v>208.33333333333334</v>
      </c>
      <c r="AY138" s="139">
        <f>HLOOKUP(AY$2, CTRL!$G$151:$K$154, 2, FALSE)/12*100</f>
        <v>208.33333333333334</v>
      </c>
      <c r="AZ138" s="139">
        <f>HLOOKUP(AZ$2, CTRL!$G$151:$K$154, 2, FALSE)/12*100</f>
        <v>208.33333333333334</v>
      </c>
      <c r="BA138" s="139">
        <f>HLOOKUP(BA$2, CTRL!$G$151:$K$154, 2, FALSE)/12*100</f>
        <v>208.33333333333334</v>
      </c>
      <c r="BB138" s="139">
        <f>HLOOKUP(BB$2, CTRL!$G$151:$K$154, 2, FALSE)/12*100</f>
        <v>208.33333333333334</v>
      </c>
      <c r="BC138" s="139">
        <f>HLOOKUP(BC$2, CTRL!$G$151:$K$154, 2, FALSE)/12*100</f>
        <v>208.33333333333334</v>
      </c>
      <c r="BD138" s="139">
        <f>HLOOKUP(BD$2, CTRL!$G$151:$K$154, 2, FALSE)/12*100</f>
        <v>208.33333333333334</v>
      </c>
      <c r="BE138" s="139">
        <f>HLOOKUP(BE$2, CTRL!$G$151:$K$154, 2, FALSE)/12*100</f>
        <v>208.33333333333334</v>
      </c>
      <c r="BF138" s="139">
        <f>HLOOKUP(BF$2, CTRL!$G$151:$K$154, 2, FALSE)/12*100</f>
        <v>208.33333333333334</v>
      </c>
      <c r="BG138" s="139">
        <f>HLOOKUP(BG$2, CTRL!$G$151:$K$154, 2, FALSE)/12*100</f>
        <v>208.33333333333334</v>
      </c>
      <c r="BH138" s="139">
        <f>HLOOKUP(BH$2, CTRL!$G$151:$K$154, 2, FALSE)/12*100</f>
        <v>250</v>
      </c>
      <c r="BI138" s="139">
        <f>HLOOKUP(BI$2, CTRL!$G$151:$K$154, 2, FALSE)/12*100</f>
        <v>250</v>
      </c>
      <c r="BJ138" s="139">
        <f>HLOOKUP(BJ$2, CTRL!$G$151:$K$154, 2, FALSE)/12*100</f>
        <v>250</v>
      </c>
      <c r="BK138" s="139">
        <f>HLOOKUP(BK$2, CTRL!$G$151:$K$154, 2, FALSE)/12*100</f>
        <v>250</v>
      </c>
      <c r="BL138" s="139">
        <f>HLOOKUP(BL$2, CTRL!$G$151:$K$154, 2, FALSE)/12*100</f>
        <v>250</v>
      </c>
      <c r="BM138" s="139">
        <f>HLOOKUP(BM$2, CTRL!$G$151:$K$154, 2, FALSE)/12*100</f>
        <v>250</v>
      </c>
      <c r="BN138" s="139">
        <f>HLOOKUP(BN$2, CTRL!$G$151:$K$154, 2, FALSE)/12*100</f>
        <v>250</v>
      </c>
      <c r="BO138" s="139">
        <f>HLOOKUP(BO$2, CTRL!$G$151:$K$154, 2, FALSE)/12*100</f>
        <v>250</v>
      </c>
      <c r="BP138" s="139">
        <f>HLOOKUP(BP$2, CTRL!$G$151:$K$154, 2, FALSE)/12*100</f>
        <v>250</v>
      </c>
      <c r="BQ138" s="139">
        <f>HLOOKUP(BQ$2, CTRL!$G$151:$K$154, 2, FALSE)/12*100</f>
        <v>250</v>
      </c>
      <c r="BR138" s="139">
        <f>HLOOKUP(BR$2, CTRL!$G$151:$K$154, 2, FALSE)/12*100</f>
        <v>250</v>
      </c>
      <c r="BS138" s="139">
        <f>HLOOKUP(BS$2, CTRL!$G$151:$K$154, 2, FALSE)/12*100</f>
        <v>250</v>
      </c>
      <c r="BU138" s="139">
        <f t="shared" si="101"/>
        <v>1000.0000000000003</v>
      </c>
      <c r="BV138" s="139">
        <f t="shared" si="102"/>
        <v>1500</v>
      </c>
      <c r="BW138" s="139">
        <f t="shared" si="103"/>
        <v>2000.0000000000007</v>
      </c>
      <c r="BX138" s="139">
        <f t="shared" si="104"/>
        <v>2500</v>
      </c>
      <c r="BY138" s="139">
        <f t="shared" si="105"/>
        <v>3000</v>
      </c>
    </row>
    <row r="139" spans="3:77">
      <c r="C139" s="155"/>
      <c r="D139" s="139" t="s">
        <v>539</v>
      </c>
      <c r="F139" s="286" t="s">
        <v>1298</v>
      </c>
      <c r="L139" s="139">
        <f>HLOOKUP(L$2, CTRL!$G$151:$K$154, 3, FALSE)/12*100</f>
        <v>166.66666666666669</v>
      </c>
      <c r="M139" s="139">
        <f>HLOOKUP(M$2, CTRL!$G$151:$K$154, 3, FALSE)/12*100</f>
        <v>166.66666666666669</v>
      </c>
      <c r="N139" s="139">
        <f>HLOOKUP(N$2, CTRL!$G$151:$K$154, 3, FALSE)/12*100</f>
        <v>166.66666666666669</v>
      </c>
      <c r="O139" s="139">
        <f>HLOOKUP(O$2, CTRL!$G$151:$K$154, 3, FALSE)/12*100</f>
        <v>166.66666666666669</v>
      </c>
      <c r="P139" s="139">
        <f>HLOOKUP(P$2, CTRL!$G$151:$K$154, 3, FALSE)/12*100</f>
        <v>166.66666666666669</v>
      </c>
      <c r="Q139" s="139">
        <f>HLOOKUP(Q$2, CTRL!$G$151:$K$154, 3, FALSE)/12*100</f>
        <v>166.66666666666669</v>
      </c>
      <c r="R139" s="139">
        <f>HLOOKUP(R$2, CTRL!$G$151:$K$154, 3, FALSE)/12*100</f>
        <v>166.66666666666669</v>
      </c>
      <c r="S139" s="139">
        <f>HLOOKUP(S$2, CTRL!$G$151:$K$154, 3, FALSE)/12*100</f>
        <v>166.66666666666669</v>
      </c>
      <c r="T139" s="139">
        <f>HLOOKUP(T$2, CTRL!$G$151:$K$154, 3, FALSE)/12*100</f>
        <v>166.66666666666669</v>
      </c>
      <c r="U139" s="139">
        <f>HLOOKUP(U$2, CTRL!$G$151:$K$154, 3, FALSE)/12*100</f>
        <v>166.66666666666669</v>
      </c>
      <c r="V139" s="139">
        <f>HLOOKUP(V$2, CTRL!$G$151:$K$154, 3, FALSE)/12*100</f>
        <v>166.66666666666669</v>
      </c>
      <c r="W139" s="139">
        <f>HLOOKUP(W$2, CTRL!$G$151:$K$154, 3, FALSE)/12*100</f>
        <v>166.66666666666669</v>
      </c>
      <c r="X139" s="139">
        <f>HLOOKUP(X$2, CTRL!$G$151:$K$154, 3, FALSE)/12*100</f>
        <v>250</v>
      </c>
      <c r="Y139" s="139">
        <f>HLOOKUP(Y$2, CTRL!$G$151:$K$154, 3, FALSE)/12*100</f>
        <v>250</v>
      </c>
      <c r="Z139" s="139">
        <f>HLOOKUP(Z$2, CTRL!$G$151:$K$154, 3, FALSE)/12*100</f>
        <v>250</v>
      </c>
      <c r="AA139" s="139">
        <f>HLOOKUP(AA$2, CTRL!$G$151:$K$154, 3, FALSE)/12*100</f>
        <v>250</v>
      </c>
      <c r="AB139" s="139">
        <f>HLOOKUP(AB$2, CTRL!$G$151:$K$154, 3, FALSE)/12*100</f>
        <v>250</v>
      </c>
      <c r="AC139" s="139">
        <f>HLOOKUP(AC$2, CTRL!$G$151:$K$154, 3, FALSE)/12*100</f>
        <v>250</v>
      </c>
      <c r="AD139" s="139">
        <f>HLOOKUP(AD$2, CTRL!$G$151:$K$154, 3, FALSE)/12*100</f>
        <v>250</v>
      </c>
      <c r="AE139" s="139">
        <f>HLOOKUP(AE$2, CTRL!$G$151:$K$154, 3, FALSE)/12*100</f>
        <v>250</v>
      </c>
      <c r="AF139" s="139">
        <f>HLOOKUP(AF$2, CTRL!$G$151:$K$154, 3, FALSE)/12*100</f>
        <v>250</v>
      </c>
      <c r="AG139" s="139">
        <f>HLOOKUP(AG$2, CTRL!$G$151:$K$154, 3, FALSE)/12*100</f>
        <v>250</v>
      </c>
      <c r="AH139" s="139">
        <f>HLOOKUP(AH$2, CTRL!$G$151:$K$154, 3, FALSE)/12*100</f>
        <v>250</v>
      </c>
      <c r="AI139" s="139">
        <f>HLOOKUP(AI$2, CTRL!$G$151:$K$154, 3, FALSE)/12*100</f>
        <v>250</v>
      </c>
      <c r="AJ139" s="139">
        <f>HLOOKUP(AJ$2, CTRL!$G$151:$K$154, 3, FALSE)/12*100</f>
        <v>333.33333333333337</v>
      </c>
      <c r="AK139" s="139">
        <f>HLOOKUP(AK$2, CTRL!$G$151:$K$154, 3, FALSE)/12*100</f>
        <v>333.33333333333337</v>
      </c>
      <c r="AL139" s="139">
        <f>HLOOKUP(AL$2, CTRL!$G$151:$K$154, 3, FALSE)/12*100</f>
        <v>333.33333333333337</v>
      </c>
      <c r="AM139" s="139">
        <f>HLOOKUP(AM$2, CTRL!$G$151:$K$154, 3, FALSE)/12*100</f>
        <v>333.33333333333337</v>
      </c>
      <c r="AN139" s="139">
        <f>HLOOKUP(AN$2, CTRL!$G$151:$K$154, 3, FALSE)/12*100</f>
        <v>333.33333333333337</v>
      </c>
      <c r="AO139" s="139">
        <f>HLOOKUP(AO$2, CTRL!$G$151:$K$154, 3, FALSE)/12*100</f>
        <v>333.33333333333337</v>
      </c>
      <c r="AP139" s="139">
        <f>HLOOKUP(AP$2, CTRL!$G$151:$K$154, 3, FALSE)/12*100</f>
        <v>333.33333333333337</v>
      </c>
      <c r="AQ139" s="139">
        <f>HLOOKUP(AQ$2, CTRL!$G$151:$K$154, 3, FALSE)/12*100</f>
        <v>333.33333333333337</v>
      </c>
      <c r="AR139" s="139">
        <f>HLOOKUP(AR$2, CTRL!$G$151:$K$154, 3, FALSE)/12*100</f>
        <v>333.33333333333337</v>
      </c>
      <c r="AS139" s="139">
        <f>HLOOKUP(AS$2, CTRL!$G$151:$K$154, 3, FALSE)/12*100</f>
        <v>333.33333333333337</v>
      </c>
      <c r="AT139" s="139">
        <f>HLOOKUP(AT$2, CTRL!$G$151:$K$154, 3, FALSE)/12*100</f>
        <v>333.33333333333337</v>
      </c>
      <c r="AU139" s="139">
        <f>HLOOKUP(AU$2, CTRL!$G$151:$K$154, 3, FALSE)/12*100</f>
        <v>333.33333333333337</v>
      </c>
      <c r="AV139" s="139">
        <f>HLOOKUP(AV$2, CTRL!$G$151:$K$154, 3, FALSE)/12*100</f>
        <v>416.66666666666669</v>
      </c>
      <c r="AW139" s="139">
        <f>HLOOKUP(AW$2, CTRL!$G$151:$K$154, 3, FALSE)/12*100</f>
        <v>416.66666666666669</v>
      </c>
      <c r="AX139" s="139">
        <f>HLOOKUP(AX$2, CTRL!$G$151:$K$154, 3, FALSE)/12*100</f>
        <v>416.66666666666669</v>
      </c>
      <c r="AY139" s="139">
        <f>HLOOKUP(AY$2, CTRL!$G$151:$K$154, 3, FALSE)/12*100</f>
        <v>416.66666666666669</v>
      </c>
      <c r="AZ139" s="139">
        <f>HLOOKUP(AZ$2, CTRL!$G$151:$K$154, 3, FALSE)/12*100</f>
        <v>416.66666666666669</v>
      </c>
      <c r="BA139" s="139">
        <f>HLOOKUP(BA$2, CTRL!$G$151:$K$154, 3, FALSE)/12*100</f>
        <v>416.66666666666669</v>
      </c>
      <c r="BB139" s="139">
        <f>HLOOKUP(BB$2, CTRL!$G$151:$K$154, 3, FALSE)/12*100</f>
        <v>416.66666666666669</v>
      </c>
      <c r="BC139" s="139">
        <f>HLOOKUP(BC$2, CTRL!$G$151:$K$154, 3, FALSE)/12*100</f>
        <v>416.66666666666669</v>
      </c>
      <c r="BD139" s="139">
        <f>HLOOKUP(BD$2, CTRL!$G$151:$K$154, 3, FALSE)/12*100</f>
        <v>416.66666666666669</v>
      </c>
      <c r="BE139" s="139">
        <f>HLOOKUP(BE$2, CTRL!$G$151:$K$154, 3, FALSE)/12*100</f>
        <v>416.66666666666669</v>
      </c>
      <c r="BF139" s="139">
        <f>HLOOKUP(BF$2, CTRL!$G$151:$K$154, 3, FALSE)/12*100</f>
        <v>416.66666666666669</v>
      </c>
      <c r="BG139" s="139">
        <f>HLOOKUP(BG$2, CTRL!$G$151:$K$154, 3, FALSE)/12*100</f>
        <v>416.66666666666669</v>
      </c>
      <c r="BH139" s="139">
        <f>HLOOKUP(BH$2, CTRL!$G$151:$K$154, 3, FALSE)/12*100</f>
        <v>500</v>
      </c>
      <c r="BI139" s="139">
        <f>HLOOKUP(BI$2, CTRL!$G$151:$K$154, 3, FALSE)/12*100</f>
        <v>500</v>
      </c>
      <c r="BJ139" s="139">
        <f>HLOOKUP(BJ$2, CTRL!$G$151:$K$154, 3, FALSE)/12*100</f>
        <v>500</v>
      </c>
      <c r="BK139" s="139">
        <f>HLOOKUP(BK$2, CTRL!$G$151:$K$154, 3, FALSE)/12*100</f>
        <v>500</v>
      </c>
      <c r="BL139" s="139">
        <f>HLOOKUP(BL$2, CTRL!$G$151:$K$154, 3, FALSE)/12*100</f>
        <v>500</v>
      </c>
      <c r="BM139" s="139">
        <f>HLOOKUP(BM$2, CTRL!$G$151:$K$154, 3, FALSE)/12*100</f>
        <v>500</v>
      </c>
      <c r="BN139" s="139">
        <f>HLOOKUP(BN$2, CTRL!$G$151:$K$154, 3, FALSE)/12*100</f>
        <v>500</v>
      </c>
      <c r="BO139" s="139">
        <f>HLOOKUP(BO$2, CTRL!$G$151:$K$154, 3, FALSE)/12*100</f>
        <v>500</v>
      </c>
      <c r="BP139" s="139">
        <f>HLOOKUP(BP$2, CTRL!$G$151:$K$154, 3, FALSE)/12*100</f>
        <v>500</v>
      </c>
      <c r="BQ139" s="139">
        <f>HLOOKUP(BQ$2, CTRL!$G$151:$K$154, 3, FALSE)/12*100</f>
        <v>500</v>
      </c>
      <c r="BR139" s="139">
        <f>HLOOKUP(BR$2, CTRL!$G$151:$K$154, 3, FALSE)/12*100</f>
        <v>500</v>
      </c>
      <c r="BS139" s="139">
        <f>HLOOKUP(BS$2, CTRL!$G$151:$K$154, 3, FALSE)/12*100</f>
        <v>500</v>
      </c>
      <c r="BU139" s="139">
        <f t="shared" si="101"/>
        <v>2000.0000000000007</v>
      </c>
      <c r="BV139" s="139">
        <f t="shared" si="102"/>
        <v>3000</v>
      </c>
      <c r="BW139" s="139">
        <f t="shared" si="103"/>
        <v>4000.0000000000014</v>
      </c>
      <c r="BX139" s="139">
        <f t="shared" si="104"/>
        <v>5000</v>
      </c>
      <c r="BY139" s="139">
        <f t="shared" si="105"/>
        <v>6000</v>
      </c>
    </row>
    <row r="140" spans="3:77">
      <c r="C140" s="155" t="s">
        <v>548</v>
      </c>
      <c r="F140" s="286" t="s">
        <v>1300</v>
      </c>
      <c r="L140" s="155">
        <f t="shared" ref="L140:BR140" si="107">SUBTOTAL(9,L141:L144)</f>
        <v>1600</v>
      </c>
      <c r="M140" s="155">
        <f t="shared" si="107"/>
        <v>0</v>
      </c>
      <c r="N140" s="155">
        <f t="shared" si="107"/>
        <v>0</v>
      </c>
      <c r="O140" s="155">
        <f t="shared" si="107"/>
        <v>0</v>
      </c>
      <c r="P140" s="155">
        <f t="shared" si="107"/>
        <v>0</v>
      </c>
      <c r="Q140" s="155">
        <f t="shared" si="107"/>
        <v>0</v>
      </c>
      <c r="R140" s="155">
        <f t="shared" si="107"/>
        <v>0</v>
      </c>
      <c r="S140" s="155">
        <f t="shared" si="107"/>
        <v>0</v>
      </c>
      <c r="T140" s="155">
        <f t="shared" si="107"/>
        <v>0</v>
      </c>
      <c r="U140" s="155">
        <f t="shared" si="107"/>
        <v>0</v>
      </c>
      <c r="V140" s="155">
        <f t="shared" si="107"/>
        <v>0</v>
      </c>
      <c r="W140" s="155">
        <f t="shared" si="107"/>
        <v>0</v>
      </c>
      <c r="X140" s="155">
        <f t="shared" si="107"/>
        <v>600</v>
      </c>
      <c r="Y140" s="155">
        <f t="shared" si="107"/>
        <v>0</v>
      </c>
      <c r="Z140" s="155">
        <f t="shared" si="107"/>
        <v>0</v>
      </c>
      <c r="AA140" s="155">
        <f t="shared" si="107"/>
        <v>0</v>
      </c>
      <c r="AB140" s="155">
        <f t="shared" si="107"/>
        <v>0</v>
      </c>
      <c r="AC140" s="155">
        <f t="shared" si="107"/>
        <v>0</v>
      </c>
      <c r="AD140" s="155">
        <f t="shared" si="107"/>
        <v>0</v>
      </c>
      <c r="AE140" s="155">
        <f t="shared" si="107"/>
        <v>0</v>
      </c>
      <c r="AF140" s="155">
        <f t="shared" si="107"/>
        <v>0</v>
      </c>
      <c r="AG140" s="155">
        <f t="shared" si="107"/>
        <v>0</v>
      </c>
      <c r="AH140" s="155">
        <f t="shared" si="107"/>
        <v>0</v>
      </c>
      <c r="AI140" s="155">
        <f t="shared" si="107"/>
        <v>0</v>
      </c>
      <c r="AJ140" s="155">
        <f t="shared" si="107"/>
        <v>400</v>
      </c>
      <c r="AK140" s="155">
        <f t="shared" si="107"/>
        <v>0</v>
      </c>
      <c r="AL140" s="155">
        <f t="shared" si="107"/>
        <v>0</v>
      </c>
      <c r="AM140" s="155">
        <f t="shared" si="107"/>
        <v>0</v>
      </c>
      <c r="AN140" s="155">
        <f t="shared" si="107"/>
        <v>0</v>
      </c>
      <c r="AO140" s="155">
        <f t="shared" si="107"/>
        <v>0</v>
      </c>
      <c r="AP140" s="155">
        <f t="shared" si="107"/>
        <v>0</v>
      </c>
      <c r="AQ140" s="155">
        <f t="shared" si="107"/>
        <v>0</v>
      </c>
      <c r="AR140" s="155">
        <f t="shared" si="107"/>
        <v>0</v>
      </c>
      <c r="AS140" s="155">
        <f t="shared" si="107"/>
        <v>0</v>
      </c>
      <c r="AT140" s="155">
        <f t="shared" si="107"/>
        <v>0</v>
      </c>
      <c r="AU140" s="155">
        <f t="shared" si="107"/>
        <v>0</v>
      </c>
      <c r="AV140" s="155">
        <f t="shared" si="107"/>
        <v>200</v>
      </c>
      <c r="AW140" s="155">
        <f t="shared" si="107"/>
        <v>0</v>
      </c>
      <c r="AX140" s="155">
        <f t="shared" si="107"/>
        <v>0</v>
      </c>
      <c r="AY140" s="155">
        <f t="shared" si="107"/>
        <v>0</v>
      </c>
      <c r="AZ140" s="155">
        <f t="shared" si="107"/>
        <v>0</v>
      </c>
      <c r="BA140" s="155">
        <f t="shared" si="107"/>
        <v>0</v>
      </c>
      <c r="BB140" s="155">
        <f t="shared" si="107"/>
        <v>0</v>
      </c>
      <c r="BC140" s="155">
        <f t="shared" si="107"/>
        <v>0</v>
      </c>
      <c r="BD140" s="155">
        <f t="shared" si="107"/>
        <v>0</v>
      </c>
      <c r="BE140" s="155">
        <f t="shared" si="107"/>
        <v>0</v>
      </c>
      <c r="BF140" s="155">
        <f t="shared" si="107"/>
        <v>0</v>
      </c>
      <c r="BG140" s="155">
        <f t="shared" si="107"/>
        <v>0</v>
      </c>
      <c r="BH140" s="155">
        <f t="shared" si="107"/>
        <v>0</v>
      </c>
      <c r="BI140" s="155">
        <f t="shared" si="107"/>
        <v>0</v>
      </c>
      <c r="BJ140" s="155">
        <f t="shared" si="107"/>
        <v>0</v>
      </c>
      <c r="BK140" s="155">
        <f t="shared" si="107"/>
        <v>0</v>
      </c>
      <c r="BL140" s="155">
        <f t="shared" si="107"/>
        <v>0</v>
      </c>
      <c r="BM140" s="155">
        <f t="shared" si="107"/>
        <v>0</v>
      </c>
      <c r="BN140" s="155">
        <f t="shared" si="107"/>
        <v>0</v>
      </c>
      <c r="BO140" s="155">
        <f t="shared" si="107"/>
        <v>0</v>
      </c>
      <c r="BP140" s="155">
        <f t="shared" si="107"/>
        <v>0</v>
      </c>
      <c r="BQ140" s="155">
        <f t="shared" si="107"/>
        <v>0</v>
      </c>
      <c r="BR140" s="155">
        <f t="shared" si="107"/>
        <v>0</v>
      </c>
      <c r="BS140" s="155">
        <f>SUBTOTAL(9,BS141:BS144)</f>
        <v>0</v>
      </c>
    </row>
    <row r="141" spans="3:77">
      <c r="C141" s="155"/>
      <c r="D141" s="139" t="s">
        <v>540</v>
      </c>
      <c r="F141" s="286" t="s">
        <v>1301</v>
      </c>
      <c r="L141" s="139">
        <v>1000</v>
      </c>
      <c r="M141" s="139">
        <v>0</v>
      </c>
      <c r="N141" s="139">
        <v>0</v>
      </c>
      <c r="O141" s="139">
        <v>0</v>
      </c>
      <c r="P141" s="139">
        <v>0</v>
      </c>
      <c r="Q141" s="139">
        <v>0</v>
      </c>
      <c r="R141" s="139">
        <v>0</v>
      </c>
      <c r="S141" s="139">
        <v>0</v>
      </c>
      <c r="T141" s="139">
        <v>0</v>
      </c>
      <c r="U141" s="139">
        <v>0</v>
      </c>
      <c r="V141" s="139">
        <v>0</v>
      </c>
      <c r="W141" s="139">
        <v>0</v>
      </c>
      <c r="X141" s="139">
        <v>0</v>
      </c>
      <c r="Y141" s="139">
        <v>0</v>
      </c>
      <c r="Z141" s="139">
        <v>0</v>
      </c>
      <c r="AA141" s="139">
        <v>0</v>
      </c>
      <c r="AB141" s="139">
        <v>0</v>
      </c>
      <c r="AC141" s="139">
        <v>0</v>
      </c>
      <c r="AD141" s="139">
        <v>0</v>
      </c>
      <c r="AE141" s="139">
        <v>0</v>
      </c>
      <c r="AF141" s="139">
        <v>0</v>
      </c>
      <c r="AG141" s="139">
        <v>0</v>
      </c>
      <c r="AH141" s="139">
        <v>0</v>
      </c>
      <c r="AI141" s="139">
        <v>0</v>
      </c>
      <c r="AJ141" s="139">
        <v>0</v>
      </c>
      <c r="AK141" s="139">
        <v>0</v>
      </c>
      <c r="AL141" s="139">
        <v>0</v>
      </c>
      <c r="AM141" s="139">
        <v>0</v>
      </c>
      <c r="AN141" s="139">
        <v>0</v>
      </c>
      <c r="AO141" s="139">
        <v>0</v>
      </c>
      <c r="AP141" s="139">
        <v>0</v>
      </c>
      <c r="AQ141" s="139">
        <v>0</v>
      </c>
      <c r="AR141" s="139">
        <v>0</v>
      </c>
      <c r="AS141" s="139">
        <v>0</v>
      </c>
      <c r="AT141" s="139">
        <v>0</v>
      </c>
      <c r="AU141" s="139">
        <v>0</v>
      </c>
      <c r="AV141" s="139">
        <v>0</v>
      </c>
      <c r="AW141" s="139">
        <v>0</v>
      </c>
      <c r="AX141" s="139">
        <v>0</v>
      </c>
      <c r="AY141" s="139">
        <v>0</v>
      </c>
      <c r="AZ141" s="139">
        <v>0</v>
      </c>
      <c r="BA141" s="139">
        <v>0</v>
      </c>
      <c r="BB141" s="139">
        <v>0</v>
      </c>
      <c r="BC141" s="139">
        <v>0</v>
      </c>
      <c r="BD141" s="139">
        <v>0</v>
      </c>
      <c r="BE141" s="139">
        <v>0</v>
      </c>
      <c r="BF141" s="139">
        <v>0</v>
      </c>
      <c r="BG141" s="139">
        <v>0</v>
      </c>
      <c r="BH141" s="139">
        <v>0</v>
      </c>
      <c r="BI141" s="139">
        <v>0</v>
      </c>
      <c r="BJ141" s="139">
        <v>0</v>
      </c>
      <c r="BK141" s="139">
        <v>0</v>
      </c>
      <c r="BL141" s="139">
        <v>0</v>
      </c>
      <c r="BM141" s="139">
        <v>0</v>
      </c>
      <c r="BN141" s="139">
        <v>0</v>
      </c>
      <c r="BO141" s="139">
        <v>0</v>
      </c>
      <c r="BP141" s="139">
        <v>0</v>
      </c>
      <c r="BQ141" s="139">
        <v>0</v>
      </c>
      <c r="BR141" s="139">
        <v>0</v>
      </c>
      <c r="BS141" s="139">
        <v>0</v>
      </c>
      <c r="BU141" s="139">
        <f t="shared" si="101"/>
        <v>1000</v>
      </c>
      <c r="BV141" s="139">
        <f t="shared" si="102"/>
        <v>0</v>
      </c>
      <c r="BW141" s="139">
        <f t="shared" si="103"/>
        <v>0</v>
      </c>
      <c r="BX141" s="139">
        <f t="shared" si="104"/>
        <v>0</v>
      </c>
      <c r="BY141" s="139">
        <f t="shared" si="105"/>
        <v>0</v>
      </c>
    </row>
    <row r="142" spans="3:77">
      <c r="C142" s="155"/>
      <c r="D142" s="139" t="s">
        <v>541</v>
      </c>
      <c r="F142" s="286" t="s">
        <v>1302</v>
      </c>
      <c r="G142" s="286"/>
      <c r="L142" s="139">
        <v>200</v>
      </c>
      <c r="M142" s="139">
        <v>0</v>
      </c>
      <c r="N142" s="139">
        <v>0</v>
      </c>
      <c r="O142" s="139">
        <v>0</v>
      </c>
      <c r="P142" s="139">
        <v>0</v>
      </c>
      <c r="Q142" s="139">
        <v>0</v>
      </c>
      <c r="R142" s="139">
        <v>0</v>
      </c>
      <c r="S142" s="139">
        <v>0</v>
      </c>
      <c r="T142" s="139">
        <v>0</v>
      </c>
      <c r="U142" s="139">
        <v>0</v>
      </c>
      <c r="V142" s="139">
        <v>0</v>
      </c>
      <c r="W142" s="139">
        <v>0</v>
      </c>
      <c r="X142" s="139">
        <v>600</v>
      </c>
      <c r="Y142" s="139">
        <v>0</v>
      </c>
      <c r="Z142" s="139">
        <v>0</v>
      </c>
      <c r="AA142" s="139">
        <v>0</v>
      </c>
      <c r="AB142" s="139">
        <v>0</v>
      </c>
      <c r="AC142" s="139">
        <v>0</v>
      </c>
      <c r="AD142" s="139">
        <v>0</v>
      </c>
      <c r="AE142" s="139">
        <v>0</v>
      </c>
      <c r="AF142" s="139">
        <v>0</v>
      </c>
      <c r="AG142" s="139">
        <v>0</v>
      </c>
      <c r="AH142" s="139">
        <v>0</v>
      </c>
      <c r="AI142" s="139">
        <v>0</v>
      </c>
      <c r="AJ142" s="139">
        <v>400</v>
      </c>
      <c r="AK142" s="139">
        <v>0</v>
      </c>
      <c r="AL142" s="139">
        <v>0</v>
      </c>
      <c r="AM142" s="139">
        <v>0</v>
      </c>
      <c r="AN142" s="139">
        <v>0</v>
      </c>
      <c r="AO142" s="139">
        <v>0</v>
      </c>
      <c r="AP142" s="139">
        <v>0</v>
      </c>
      <c r="AQ142" s="139">
        <v>0</v>
      </c>
      <c r="AR142" s="139">
        <v>0</v>
      </c>
      <c r="AS142" s="139">
        <v>0</v>
      </c>
      <c r="AT142" s="139">
        <v>0</v>
      </c>
      <c r="AU142" s="139">
        <v>0</v>
      </c>
      <c r="AV142" s="139">
        <v>200</v>
      </c>
      <c r="AW142" s="139">
        <v>0</v>
      </c>
      <c r="AX142" s="139">
        <v>0</v>
      </c>
      <c r="AY142" s="139">
        <v>0</v>
      </c>
      <c r="AZ142" s="139">
        <v>0</v>
      </c>
      <c r="BA142" s="139">
        <v>0</v>
      </c>
      <c r="BB142" s="139">
        <v>0</v>
      </c>
      <c r="BC142" s="139">
        <v>0</v>
      </c>
      <c r="BD142" s="139">
        <v>0</v>
      </c>
      <c r="BE142" s="139">
        <v>0</v>
      </c>
      <c r="BF142" s="139">
        <v>0</v>
      </c>
      <c r="BG142" s="139">
        <v>0</v>
      </c>
      <c r="BH142" s="139">
        <v>0</v>
      </c>
      <c r="BI142" s="139">
        <v>0</v>
      </c>
      <c r="BJ142" s="139">
        <v>0</v>
      </c>
      <c r="BK142" s="139">
        <v>0</v>
      </c>
      <c r="BL142" s="139">
        <v>0</v>
      </c>
      <c r="BM142" s="139">
        <v>0</v>
      </c>
      <c r="BN142" s="139">
        <v>0</v>
      </c>
      <c r="BO142" s="139">
        <v>0</v>
      </c>
      <c r="BP142" s="139">
        <v>0</v>
      </c>
      <c r="BQ142" s="139">
        <v>0</v>
      </c>
      <c r="BR142" s="139">
        <v>0</v>
      </c>
      <c r="BS142" s="139">
        <v>0</v>
      </c>
      <c r="BU142" s="139">
        <f t="shared" si="101"/>
        <v>200</v>
      </c>
      <c r="BV142" s="139">
        <f t="shared" si="102"/>
        <v>600</v>
      </c>
      <c r="BW142" s="139">
        <f t="shared" si="103"/>
        <v>400</v>
      </c>
      <c r="BX142" s="139">
        <f t="shared" si="104"/>
        <v>200</v>
      </c>
      <c r="BY142" s="139">
        <f t="shared" si="105"/>
        <v>0</v>
      </c>
    </row>
    <row r="143" spans="3:77">
      <c r="C143" s="155"/>
      <c r="D143" s="139" t="s">
        <v>542</v>
      </c>
      <c r="F143" s="286" t="s">
        <v>1301</v>
      </c>
      <c r="L143" s="139">
        <v>200</v>
      </c>
      <c r="M143" s="139">
        <v>0</v>
      </c>
      <c r="N143" s="139">
        <v>0</v>
      </c>
      <c r="O143" s="139">
        <v>0</v>
      </c>
      <c r="P143" s="139">
        <v>0</v>
      </c>
      <c r="Q143" s="139">
        <v>0</v>
      </c>
      <c r="R143" s="139">
        <v>0</v>
      </c>
      <c r="S143" s="139">
        <v>0</v>
      </c>
      <c r="T143" s="139">
        <v>0</v>
      </c>
      <c r="U143" s="139">
        <v>0</v>
      </c>
      <c r="V143" s="139">
        <v>0</v>
      </c>
      <c r="W143" s="139">
        <v>0</v>
      </c>
      <c r="X143" s="139">
        <v>0</v>
      </c>
      <c r="Y143" s="139">
        <v>0</v>
      </c>
      <c r="Z143" s="139">
        <v>0</v>
      </c>
      <c r="AA143" s="139">
        <v>0</v>
      </c>
      <c r="AB143" s="139">
        <v>0</v>
      </c>
      <c r="AC143" s="139">
        <v>0</v>
      </c>
      <c r="AD143" s="139">
        <v>0</v>
      </c>
      <c r="AE143" s="139">
        <v>0</v>
      </c>
      <c r="AF143" s="139">
        <v>0</v>
      </c>
      <c r="AG143" s="139">
        <v>0</v>
      </c>
      <c r="AH143" s="139">
        <v>0</v>
      </c>
      <c r="AI143" s="139">
        <v>0</v>
      </c>
      <c r="AJ143" s="139">
        <v>0</v>
      </c>
      <c r="AK143" s="139">
        <v>0</v>
      </c>
      <c r="AL143" s="139">
        <v>0</v>
      </c>
      <c r="AM143" s="139">
        <v>0</v>
      </c>
      <c r="AN143" s="139">
        <v>0</v>
      </c>
      <c r="AO143" s="139">
        <v>0</v>
      </c>
      <c r="AP143" s="139">
        <v>0</v>
      </c>
      <c r="AQ143" s="139">
        <v>0</v>
      </c>
      <c r="AR143" s="139">
        <v>0</v>
      </c>
      <c r="AS143" s="139">
        <v>0</v>
      </c>
      <c r="AT143" s="139">
        <v>0</v>
      </c>
      <c r="AU143" s="139">
        <v>0</v>
      </c>
      <c r="AV143" s="139">
        <v>0</v>
      </c>
      <c r="AW143" s="139">
        <v>0</v>
      </c>
      <c r="AX143" s="139">
        <v>0</v>
      </c>
      <c r="AY143" s="139">
        <v>0</v>
      </c>
      <c r="AZ143" s="139">
        <v>0</v>
      </c>
      <c r="BA143" s="139">
        <v>0</v>
      </c>
      <c r="BB143" s="139">
        <v>0</v>
      </c>
      <c r="BC143" s="139">
        <v>0</v>
      </c>
      <c r="BD143" s="139">
        <v>0</v>
      </c>
      <c r="BE143" s="139">
        <v>0</v>
      </c>
      <c r="BF143" s="139">
        <v>0</v>
      </c>
      <c r="BG143" s="139">
        <v>0</v>
      </c>
      <c r="BH143" s="139">
        <v>0</v>
      </c>
      <c r="BI143" s="139">
        <v>0</v>
      </c>
      <c r="BJ143" s="139">
        <v>0</v>
      </c>
      <c r="BK143" s="139">
        <v>0</v>
      </c>
      <c r="BL143" s="139">
        <v>0</v>
      </c>
      <c r="BM143" s="139">
        <v>0</v>
      </c>
      <c r="BN143" s="139">
        <v>0</v>
      </c>
      <c r="BO143" s="139">
        <v>0</v>
      </c>
      <c r="BP143" s="139">
        <v>0</v>
      </c>
      <c r="BQ143" s="139">
        <v>0</v>
      </c>
      <c r="BR143" s="139">
        <v>0</v>
      </c>
      <c r="BS143" s="139">
        <v>0</v>
      </c>
      <c r="BU143" s="139">
        <f t="shared" si="101"/>
        <v>200</v>
      </c>
      <c r="BV143" s="139">
        <f t="shared" si="102"/>
        <v>0</v>
      </c>
      <c r="BW143" s="139">
        <f t="shared" si="103"/>
        <v>0</v>
      </c>
      <c r="BX143" s="139">
        <f t="shared" si="104"/>
        <v>0</v>
      </c>
      <c r="BY143" s="139">
        <f t="shared" si="105"/>
        <v>0</v>
      </c>
    </row>
    <row r="144" spans="3:77">
      <c r="C144" s="155"/>
      <c r="D144" s="139" t="s">
        <v>543</v>
      </c>
      <c r="F144" s="286" t="s">
        <v>1301</v>
      </c>
      <c r="L144" s="139">
        <v>200</v>
      </c>
      <c r="M144" s="139">
        <v>0</v>
      </c>
      <c r="N144" s="139">
        <v>0</v>
      </c>
      <c r="O144" s="139">
        <v>0</v>
      </c>
      <c r="P144" s="139">
        <v>0</v>
      </c>
      <c r="Q144" s="139">
        <v>0</v>
      </c>
      <c r="R144" s="139">
        <v>0</v>
      </c>
      <c r="S144" s="139">
        <v>0</v>
      </c>
      <c r="T144" s="139">
        <v>0</v>
      </c>
      <c r="U144" s="139">
        <v>0</v>
      </c>
      <c r="V144" s="139">
        <v>0</v>
      </c>
      <c r="W144" s="139">
        <v>0</v>
      </c>
      <c r="X144" s="139">
        <v>0</v>
      </c>
      <c r="Y144" s="139">
        <v>0</v>
      </c>
      <c r="Z144" s="139">
        <v>0</v>
      </c>
      <c r="AA144" s="139">
        <v>0</v>
      </c>
      <c r="AB144" s="139">
        <v>0</v>
      </c>
      <c r="AC144" s="139">
        <v>0</v>
      </c>
      <c r="AD144" s="139">
        <v>0</v>
      </c>
      <c r="AE144" s="139">
        <v>0</v>
      </c>
      <c r="AF144" s="139">
        <v>0</v>
      </c>
      <c r="AG144" s="139">
        <v>0</v>
      </c>
      <c r="AH144" s="139">
        <v>0</v>
      </c>
      <c r="AI144" s="139">
        <v>0</v>
      </c>
      <c r="AJ144" s="139">
        <v>0</v>
      </c>
      <c r="AK144" s="139">
        <v>0</v>
      </c>
      <c r="AL144" s="139">
        <v>0</v>
      </c>
      <c r="AM144" s="139">
        <v>0</v>
      </c>
      <c r="AN144" s="139">
        <v>0</v>
      </c>
      <c r="AO144" s="139">
        <v>0</v>
      </c>
      <c r="AP144" s="139">
        <v>0</v>
      </c>
      <c r="AQ144" s="139">
        <v>0</v>
      </c>
      <c r="AR144" s="139">
        <v>0</v>
      </c>
      <c r="AS144" s="139">
        <v>0</v>
      </c>
      <c r="AT144" s="139">
        <v>0</v>
      </c>
      <c r="AU144" s="139">
        <v>0</v>
      </c>
      <c r="AV144" s="139">
        <v>0</v>
      </c>
      <c r="AW144" s="139">
        <v>0</v>
      </c>
      <c r="AX144" s="139">
        <v>0</v>
      </c>
      <c r="AY144" s="139">
        <v>0</v>
      </c>
      <c r="AZ144" s="139">
        <v>0</v>
      </c>
      <c r="BA144" s="139">
        <v>0</v>
      </c>
      <c r="BB144" s="139">
        <v>0</v>
      </c>
      <c r="BC144" s="139">
        <v>0</v>
      </c>
      <c r="BD144" s="139">
        <v>0</v>
      </c>
      <c r="BE144" s="139">
        <v>0</v>
      </c>
      <c r="BF144" s="139">
        <v>0</v>
      </c>
      <c r="BG144" s="139">
        <v>0</v>
      </c>
      <c r="BH144" s="139">
        <v>0</v>
      </c>
      <c r="BI144" s="139">
        <v>0</v>
      </c>
      <c r="BJ144" s="139">
        <v>0</v>
      </c>
      <c r="BK144" s="139">
        <v>0</v>
      </c>
      <c r="BL144" s="139">
        <v>0</v>
      </c>
      <c r="BM144" s="139">
        <v>0</v>
      </c>
      <c r="BN144" s="139">
        <v>0</v>
      </c>
      <c r="BO144" s="139">
        <v>0</v>
      </c>
      <c r="BP144" s="139">
        <v>0</v>
      </c>
      <c r="BQ144" s="139">
        <v>0</v>
      </c>
      <c r="BR144" s="139">
        <v>0</v>
      </c>
      <c r="BS144" s="139">
        <v>0</v>
      </c>
      <c r="BU144" s="139">
        <f t="shared" si="101"/>
        <v>200</v>
      </c>
      <c r="BV144" s="139">
        <f t="shared" si="102"/>
        <v>0</v>
      </c>
      <c r="BW144" s="139">
        <f t="shared" si="103"/>
        <v>0</v>
      </c>
      <c r="BX144" s="139">
        <f t="shared" si="104"/>
        <v>0</v>
      </c>
      <c r="BY144" s="139">
        <f t="shared" si="105"/>
        <v>0</v>
      </c>
    </row>
    <row r="145" spans="2:77">
      <c r="C145" s="155" t="s">
        <v>549</v>
      </c>
      <c r="L145" s="155">
        <f t="shared" ref="L145:BR145" si="108">SUBTOTAL(9,L146:L147)</f>
        <v>100</v>
      </c>
      <c r="M145" s="155">
        <f t="shared" si="108"/>
        <v>0</v>
      </c>
      <c r="N145" s="155">
        <f t="shared" si="108"/>
        <v>0</v>
      </c>
      <c r="O145" s="155">
        <f t="shared" si="108"/>
        <v>0</v>
      </c>
      <c r="P145" s="155">
        <f t="shared" si="108"/>
        <v>0</v>
      </c>
      <c r="Q145" s="155">
        <f t="shared" si="108"/>
        <v>0</v>
      </c>
      <c r="R145" s="155">
        <f t="shared" si="108"/>
        <v>0</v>
      </c>
      <c r="S145" s="155">
        <f t="shared" si="108"/>
        <v>0</v>
      </c>
      <c r="T145" s="155">
        <f t="shared" si="108"/>
        <v>0</v>
      </c>
      <c r="U145" s="155">
        <f t="shared" si="108"/>
        <v>0</v>
      </c>
      <c r="V145" s="155">
        <f t="shared" si="108"/>
        <v>0</v>
      </c>
      <c r="W145" s="155">
        <f t="shared" si="108"/>
        <v>0</v>
      </c>
      <c r="X145" s="155">
        <f t="shared" si="108"/>
        <v>0</v>
      </c>
      <c r="Y145" s="155">
        <f t="shared" si="108"/>
        <v>0</v>
      </c>
      <c r="Z145" s="155">
        <f t="shared" si="108"/>
        <v>0</v>
      </c>
      <c r="AA145" s="155">
        <f t="shared" si="108"/>
        <v>0</v>
      </c>
      <c r="AB145" s="155">
        <f t="shared" si="108"/>
        <v>0</v>
      </c>
      <c r="AC145" s="155">
        <f t="shared" si="108"/>
        <v>0</v>
      </c>
      <c r="AD145" s="155">
        <f t="shared" si="108"/>
        <v>0</v>
      </c>
      <c r="AE145" s="155">
        <f t="shared" si="108"/>
        <v>0</v>
      </c>
      <c r="AF145" s="155">
        <f t="shared" si="108"/>
        <v>0</v>
      </c>
      <c r="AG145" s="155">
        <f t="shared" si="108"/>
        <v>0</v>
      </c>
      <c r="AH145" s="155">
        <f t="shared" si="108"/>
        <v>0</v>
      </c>
      <c r="AI145" s="155">
        <f t="shared" si="108"/>
        <v>0</v>
      </c>
      <c r="AJ145" s="155">
        <f t="shared" si="108"/>
        <v>0</v>
      </c>
      <c r="AK145" s="155">
        <f t="shared" si="108"/>
        <v>0</v>
      </c>
      <c r="AL145" s="155">
        <f t="shared" si="108"/>
        <v>0</v>
      </c>
      <c r="AM145" s="155">
        <f t="shared" si="108"/>
        <v>0</v>
      </c>
      <c r="AN145" s="155">
        <f t="shared" si="108"/>
        <v>0</v>
      </c>
      <c r="AO145" s="155">
        <f t="shared" si="108"/>
        <v>0</v>
      </c>
      <c r="AP145" s="155">
        <f t="shared" si="108"/>
        <v>0</v>
      </c>
      <c r="AQ145" s="155">
        <f t="shared" si="108"/>
        <v>0</v>
      </c>
      <c r="AR145" s="155">
        <f t="shared" si="108"/>
        <v>0</v>
      </c>
      <c r="AS145" s="155">
        <f t="shared" si="108"/>
        <v>0</v>
      </c>
      <c r="AT145" s="155">
        <f t="shared" si="108"/>
        <v>0</v>
      </c>
      <c r="AU145" s="155">
        <f t="shared" si="108"/>
        <v>0</v>
      </c>
      <c r="AV145" s="155">
        <f t="shared" si="108"/>
        <v>0</v>
      </c>
      <c r="AW145" s="155">
        <f t="shared" si="108"/>
        <v>0</v>
      </c>
      <c r="AX145" s="155">
        <f t="shared" si="108"/>
        <v>0</v>
      </c>
      <c r="AY145" s="155">
        <f t="shared" si="108"/>
        <v>0</v>
      </c>
      <c r="AZ145" s="155">
        <f t="shared" si="108"/>
        <v>0</v>
      </c>
      <c r="BA145" s="155">
        <f t="shared" si="108"/>
        <v>0</v>
      </c>
      <c r="BB145" s="155">
        <f t="shared" si="108"/>
        <v>0</v>
      </c>
      <c r="BC145" s="155">
        <f t="shared" si="108"/>
        <v>0</v>
      </c>
      <c r="BD145" s="155">
        <f t="shared" si="108"/>
        <v>0</v>
      </c>
      <c r="BE145" s="155">
        <f t="shared" si="108"/>
        <v>0</v>
      </c>
      <c r="BF145" s="155">
        <f t="shared" si="108"/>
        <v>0</v>
      </c>
      <c r="BG145" s="155">
        <f t="shared" si="108"/>
        <v>0</v>
      </c>
      <c r="BH145" s="155">
        <f t="shared" si="108"/>
        <v>0</v>
      </c>
      <c r="BI145" s="155">
        <f t="shared" si="108"/>
        <v>0</v>
      </c>
      <c r="BJ145" s="155">
        <f t="shared" si="108"/>
        <v>0</v>
      </c>
      <c r="BK145" s="155">
        <f t="shared" si="108"/>
        <v>0</v>
      </c>
      <c r="BL145" s="155">
        <f t="shared" si="108"/>
        <v>0</v>
      </c>
      <c r="BM145" s="155">
        <f t="shared" si="108"/>
        <v>0</v>
      </c>
      <c r="BN145" s="155">
        <f t="shared" si="108"/>
        <v>0</v>
      </c>
      <c r="BO145" s="155">
        <f t="shared" si="108"/>
        <v>0</v>
      </c>
      <c r="BP145" s="155">
        <f t="shared" si="108"/>
        <v>0</v>
      </c>
      <c r="BQ145" s="155">
        <f t="shared" si="108"/>
        <v>0</v>
      </c>
      <c r="BR145" s="155">
        <f t="shared" si="108"/>
        <v>0</v>
      </c>
      <c r="BS145" s="155">
        <f>SUBTOTAL(9,BS146:BS147)</f>
        <v>0</v>
      </c>
    </row>
    <row r="146" spans="2:77">
      <c r="C146" s="155"/>
      <c r="D146" s="139" t="s">
        <v>550</v>
      </c>
      <c r="F146" s="286" t="s">
        <v>1301</v>
      </c>
      <c r="L146" s="139">
        <v>100</v>
      </c>
      <c r="M146" s="139">
        <v>0</v>
      </c>
      <c r="N146" s="139">
        <v>0</v>
      </c>
      <c r="O146" s="139">
        <v>0</v>
      </c>
      <c r="P146" s="139">
        <v>0</v>
      </c>
      <c r="Q146" s="139">
        <v>0</v>
      </c>
      <c r="R146" s="139">
        <v>0</v>
      </c>
      <c r="S146" s="139">
        <v>0</v>
      </c>
      <c r="T146" s="139">
        <v>0</v>
      </c>
      <c r="U146" s="139">
        <v>0</v>
      </c>
      <c r="V146" s="139">
        <v>0</v>
      </c>
      <c r="W146" s="139">
        <v>0</v>
      </c>
      <c r="X146" s="139">
        <v>0</v>
      </c>
      <c r="Y146" s="139">
        <v>0</v>
      </c>
      <c r="Z146" s="139">
        <v>0</v>
      </c>
      <c r="AA146" s="139">
        <v>0</v>
      </c>
      <c r="AB146" s="139">
        <v>0</v>
      </c>
      <c r="AC146" s="139">
        <v>0</v>
      </c>
      <c r="AD146" s="139">
        <v>0</v>
      </c>
      <c r="AE146" s="139">
        <v>0</v>
      </c>
      <c r="AF146" s="139">
        <v>0</v>
      </c>
      <c r="AG146" s="139">
        <v>0</v>
      </c>
      <c r="AH146" s="139">
        <v>0</v>
      </c>
      <c r="AI146" s="139">
        <v>0</v>
      </c>
      <c r="AJ146" s="139">
        <v>0</v>
      </c>
      <c r="AK146" s="139">
        <v>0</v>
      </c>
      <c r="AL146" s="139">
        <v>0</v>
      </c>
      <c r="AM146" s="139">
        <v>0</v>
      </c>
      <c r="AN146" s="139">
        <v>0</v>
      </c>
      <c r="AO146" s="139">
        <v>0</v>
      </c>
      <c r="AP146" s="139">
        <v>0</v>
      </c>
      <c r="AQ146" s="139">
        <v>0</v>
      </c>
      <c r="AR146" s="139">
        <v>0</v>
      </c>
      <c r="AS146" s="139">
        <v>0</v>
      </c>
      <c r="AT146" s="139">
        <v>0</v>
      </c>
      <c r="AU146" s="139">
        <v>0</v>
      </c>
      <c r="AV146" s="139">
        <v>0</v>
      </c>
      <c r="AW146" s="139">
        <v>0</v>
      </c>
      <c r="AX146" s="139">
        <v>0</v>
      </c>
      <c r="AY146" s="139">
        <v>0</v>
      </c>
      <c r="AZ146" s="139">
        <v>0</v>
      </c>
      <c r="BA146" s="139">
        <v>0</v>
      </c>
      <c r="BB146" s="139">
        <v>0</v>
      </c>
      <c r="BC146" s="139">
        <v>0</v>
      </c>
      <c r="BD146" s="139">
        <v>0</v>
      </c>
      <c r="BE146" s="139">
        <v>0</v>
      </c>
      <c r="BF146" s="139">
        <v>0</v>
      </c>
      <c r="BG146" s="139">
        <v>0</v>
      </c>
      <c r="BH146" s="139">
        <v>0</v>
      </c>
      <c r="BI146" s="139">
        <v>0</v>
      </c>
      <c r="BJ146" s="139">
        <v>0</v>
      </c>
      <c r="BK146" s="139">
        <v>0</v>
      </c>
      <c r="BL146" s="139">
        <v>0</v>
      </c>
      <c r="BM146" s="139">
        <v>0</v>
      </c>
      <c r="BN146" s="139">
        <v>0</v>
      </c>
      <c r="BO146" s="139">
        <v>0</v>
      </c>
      <c r="BP146" s="139">
        <v>0</v>
      </c>
      <c r="BQ146" s="139">
        <v>0</v>
      </c>
      <c r="BR146" s="139">
        <v>0</v>
      </c>
      <c r="BS146" s="139">
        <v>0</v>
      </c>
      <c r="BU146" s="139">
        <f t="shared" si="101"/>
        <v>100</v>
      </c>
      <c r="BV146" s="139">
        <f t="shared" si="102"/>
        <v>0</v>
      </c>
      <c r="BW146" s="139">
        <f t="shared" si="103"/>
        <v>0</v>
      </c>
      <c r="BX146" s="139">
        <f t="shared" si="104"/>
        <v>0</v>
      </c>
      <c r="BY146" s="139">
        <f t="shared" si="105"/>
        <v>0</v>
      </c>
    </row>
    <row r="147" spans="2:77">
      <c r="C147" s="155"/>
      <c r="D147" s="139" t="s">
        <v>544</v>
      </c>
      <c r="F147" s="139" t="s">
        <v>559</v>
      </c>
      <c r="L147" s="139">
        <v>0</v>
      </c>
      <c r="M147" s="139">
        <v>0</v>
      </c>
      <c r="N147" s="139">
        <v>0</v>
      </c>
      <c r="O147" s="139">
        <v>0</v>
      </c>
      <c r="P147" s="139">
        <v>0</v>
      </c>
      <c r="Q147" s="139">
        <v>0</v>
      </c>
      <c r="R147" s="139">
        <v>0</v>
      </c>
      <c r="S147" s="139">
        <v>0</v>
      </c>
      <c r="T147" s="139">
        <v>0</v>
      </c>
      <c r="U147" s="139">
        <v>0</v>
      </c>
      <c r="V147" s="139">
        <v>0</v>
      </c>
      <c r="W147" s="139">
        <v>0</v>
      </c>
      <c r="X147" s="139">
        <v>0</v>
      </c>
      <c r="Y147" s="139">
        <v>0</v>
      </c>
      <c r="Z147" s="139">
        <v>0</v>
      </c>
      <c r="AA147" s="139">
        <v>0</v>
      </c>
      <c r="AB147" s="139">
        <v>0</v>
      </c>
      <c r="AC147" s="139">
        <v>0</v>
      </c>
      <c r="AD147" s="139">
        <v>0</v>
      </c>
      <c r="AE147" s="139">
        <v>0</v>
      </c>
      <c r="AF147" s="139">
        <v>0</v>
      </c>
      <c r="AG147" s="139">
        <v>0</v>
      </c>
      <c r="AH147" s="139">
        <v>0</v>
      </c>
      <c r="AI147" s="139">
        <v>0</v>
      </c>
      <c r="AJ147" s="139">
        <v>0</v>
      </c>
      <c r="AK147" s="139">
        <v>0</v>
      </c>
      <c r="AL147" s="139">
        <v>0</v>
      </c>
      <c r="AM147" s="139">
        <v>0</v>
      </c>
      <c r="AN147" s="139">
        <v>0</v>
      </c>
      <c r="AO147" s="139">
        <v>0</v>
      </c>
      <c r="AP147" s="139">
        <v>0</v>
      </c>
      <c r="AQ147" s="139">
        <v>0</v>
      </c>
      <c r="AR147" s="139">
        <v>0</v>
      </c>
      <c r="AS147" s="139">
        <v>0</v>
      </c>
      <c r="AT147" s="139">
        <v>0</v>
      </c>
      <c r="AU147" s="139">
        <v>0</v>
      </c>
      <c r="AV147" s="139">
        <v>0</v>
      </c>
      <c r="AW147" s="139">
        <v>0</v>
      </c>
      <c r="AX147" s="139">
        <v>0</v>
      </c>
      <c r="AY147" s="139">
        <v>0</v>
      </c>
      <c r="AZ147" s="139">
        <v>0</v>
      </c>
      <c r="BA147" s="139">
        <v>0</v>
      </c>
      <c r="BB147" s="139">
        <v>0</v>
      </c>
      <c r="BC147" s="139">
        <v>0</v>
      </c>
      <c r="BD147" s="139">
        <v>0</v>
      </c>
      <c r="BE147" s="139">
        <v>0</v>
      </c>
      <c r="BF147" s="139">
        <v>0</v>
      </c>
      <c r="BG147" s="139">
        <v>0</v>
      </c>
      <c r="BH147" s="139">
        <v>0</v>
      </c>
      <c r="BI147" s="139">
        <v>0</v>
      </c>
      <c r="BJ147" s="139">
        <v>0</v>
      </c>
      <c r="BK147" s="139">
        <v>0</v>
      </c>
      <c r="BL147" s="139">
        <v>0</v>
      </c>
      <c r="BM147" s="139">
        <v>0</v>
      </c>
      <c r="BN147" s="139">
        <v>0</v>
      </c>
      <c r="BO147" s="139">
        <v>0</v>
      </c>
      <c r="BP147" s="139">
        <v>0</v>
      </c>
      <c r="BQ147" s="139">
        <v>0</v>
      </c>
      <c r="BR147" s="139">
        <v>0</v>
      </c>
      <c r="BS147" s="139">
        <v>0</v>
      </c>
      <c r="BU147" s="139">
        <f t="shared" si="101"/>
        <v>0</v>
      </c>
      <c r="BV147" s="139">
        <f t="shared" si="102"/>
        <v>0</v>
      </c>
      <c r="BW147" s="139">
        <f t="shared" si="103"/>
        <v>0</v>
      </c>
      <c r="BX147" s="139">
        <f t="shared" si="104"/>
        <v>0</v>
      </c>
      <c r="BY147" s="139">
        <f t="shared" si="105"/>
        <v>0</v>
      </c>
    </row>
    <row r="151" spans="2:77">
      <c r="B151" s="156" t="s">
        <v>578</v>
      </c>
      <c r="C151" s="156"/>
      <c r="D151" s="314"/>
      <c r="E151" s="314"/>
      <c r="F151" s="183" t="s">
        <v>1303</v>
      </c>
    </row>
    <row r="152" spans="2:77">
      <c r="C152" s="155" t="s">
        <v>154</v>
      </c>
      <c r="H152" s="139" t="s">
        <v>629</v>
      </c>
      <c r="L152" s="155">
        <f t="shared" ref="L152:BR152" si="109">SUBTOTAL(9,L153:L194)</f>
        <v>7</v>
      </c>
      <c r="M152" s="155">
        <f t="shared" si="109"/>
        <v>7</v>
      </c>
      <c r="N152" s="155">
        <f t="shared" si="109"/>
        <v>7</v>
      </c>
      <c r="O152" s="155">
        <f t="shared" si="109"/>
        <v>7</v>
      </c>
      <c r="P152" s="155">
        <f t="shared" si="109"/>
        <v>7</v>
      </c>
      <c r="Q152" s="155">
        <f t="shared" si="109"/>
        <v>7</v>
      </c>
      <c r="R152" s="155">
        <f t="shared" si="109"/>
        <v>155</v>
      </c>
      <c r="S152" s="155">
        <f t="shared" si="109"/>
        <v>155</v>
      </c>
      <c r="T152" s="155">
        <f t="shared" si="109"/>
        <v>155</v>
      </c>
      <c r="U152" s="155">
        <f t="shared" si="109"/>
        <v>155</v>
      </c>
      <c r="V152" s="155">
        <f t="shared" si="109"/>
        <v>155</v>
      </c>
      <c r="W152" s="155">
        <f t="shared" si="109"/>
        <v>155</v>
      </c>
      <c r="X152" s="155">
        <f t="shared" si="109"/>
        <v>194</v>
      </c>
      <c r="Y152" s="155">
        <f t="shared" si="109"/>
        <v>194</v>
      </c>
      <c r="Z152" s="155">
        <f t="shared" si="109"/>
        <v>194</v>
      </c>
      <c r="AA152" s="155">
        <f t="shared" si="109"/>
        <v>194</v>
      </c>
      <c r="AB152" s="155">
        <f t="shared" si="109"/>
        <v>194</v>
      </c>
      <c r="AC152" s="155">
        <f t="shared" si="109"/>
        <v>194</v>
      </c>
      <c r="AD152" s="155">
        <f t="shared" si="109"/>
        <v>231</v>
      </c>
      <c r="AE152" s="155">
        <f t="shared" si="109"/>
        <v>231</v>
      </c>
      <c r="AF152" s="155">
        <f t="shared" si="109"/>
        <v>231</v>
      </c>
      <c r="AG152" s="155">
        <f t="shared" si="109"/>
        <v>231</v>
      </c>
      <c r="AH152" s="155">
        <f t="shared" si="109"/>
        <v>231</v>
      </c>
      <c r="AI152" s="155">
        <f t="shared" si="109"/>
        <v>231</v>
      </c>
      <c r="AJ152" s="155">
        <f t="shared" si="109"/>
        <v>271</v>
      </c>
      <c r="AK152" s="155">
        <f t="shared" si="109"/>
        <v>271</v>
      </c>
      <c r="AL152" s="155">
        <f t="shared" si="109"/>
        <v>271</v>
      </c>
      <c r="AM152" s="155">
        <f t="shared" si="109"/>
        <v>271</v>
      </c>
      <c r="AN152" s="155">
        <f t="shared" si="109"/>
        <v>271</v>
      </c>
      <c r="AO152" s="155">
        <f t="shared" si="109"/>
        <v>271</v>
      </c>
      <c r="AP152" s="155">
        <f t="shared" si="109"/>
        <v>308</v>
      </c>
      <c r="AQ152" s="155">
        <f t="shared" si="109"/>
        <v>308</v>
      </c>
      <c r="AR152" s="155">
        <f t="shared" si="109"/>
        <v>308</v>
      </c>
      <c r="AS152" s="155">
        <f t="shared" si="109"/>
        <v>308</v>
      </c>
      <c r="AT152" s="155">
        <f t="shared" si="109"/>
        <v>308</v>
      </c>
      <c r="AU152" s="155">
        <f t="shared" si="109"/>
        <v>308</v>
      </c>
      <c r="AV152" s="155">
        <f t="shared" si="109"/>
        <v>345</v>
      </c>
      <c r="AW152" s="155">
        <f t="shared" si="109"/>
        <v>345</v>
      </c>
      <c r="AX152" s="155">
        <f t="shared" si="109"/>
        <v>345</v>
      </c>
      <c r="AY152" s="155">
        <f t="shared" si="109"/>
        <v>345</v>
      </c>
      <c r="AZ152" s="155">
        <f t="shared" si="109"/>
        <v>345</v>
      </c>
      <c r="BA152" s="155">
        <f t="shared" si="109"/>
        <v>345</v>
      </c>
      <c r="BB152" s="155">
        <f t="shared" si="109"/>
        <v>382</v>
      </c>
      <c r="BC152" s="155">
        <f t="shared" si="109"/>
        <v>382</v>
      </c>
      <c r="BD152" s="155">
        <f t="shared" si="109"/>
        <v>382</v>
      </c>
      <c r="BE152" s="155">
        <f t="shared" si="109"/>
        <v>382</v>
      </c>
      <c r="BF152" s="155">
        <f t="shared" si="109"/>
        <v>382</v>
      </c>
      <c r="BG152" s="155">
        <f t="shared" si="109"/>
        <v>382</v>
      </c>
      <c r="BH152" s="155">
        <f t="shared" si="109"/>
        <v>382</v>
      </c>
      <c r="BI152" s="155">
        <f t="shared" si="109"/>
        <v>382</v>
      </c>
      <c r="BJ152" s="155">
        <f t="shared" si="109"/>
        <v>382</v>
      </c>
      <c r="BK152" s="155">
        <f t="shared" si="109"/>
        <v>382</v>
      </c>
      <c r="BL152" s="155">
        <f t="shared" si="109"/>
        <v>382</v>
      </c>
      <c r="BM152" s="155">
        <f t="shared" si="109"/>
        <v>382</v>
      </c>
      <c r="BN152" s="155">
        <f t="shared" si="109"/>
        <v>382</v>
      </c>
      <c r="BO152" s="155">
        <f t="shared" si="109"/>
        <v>382</v>
      </c>
      <c r="BP152" s="155">
        <f t="shared" si="109"/>
        <v>382</v>
      </c>
      <c r="BQ152" s="155">
        <f t="shared" si="109"/>
        <v>382</v>
      </c>
      <c r="BR152" s="155">
        <f t="shared" si="109"/>
        <v>382</v>
      </c>
      <c r="BS152" s="155">
        <f>SUBTOTAL(9,BS153:BS194)</f>
        <v>382</v>
      </c>
      <c r="BU152" s="139">
        <f t="shared" ref="BU152:BU155" si="110">SUM(L152:W152)</f>
        <v>972</v>
      </c>
      <c r="BV152" s="139">
        <f t="shared" ref="BV152:BV155" si="111">SUM(X152:AI152)</f>
        <v>2550</v>
      </c>
      <c r="BW152" s="139">
        <f t="shared" ref="BW152:BW155" si="112">SUM(AJ152:AU152)</f>
        <v>3474</v>
      </c>
      <c r="BX152" s="139">
        <f t="shared" ref="BX152:BX155" si="113">SUM(AV152:BG152)</f>
        <v>4362</v>
      </c>
      <c r="BY152" s="139">
        <f t="shared" ref="BY152:BY155" si="114">SUM(BH152:BS152)</f>
        <v>4584</v>
      </c>
    </row>
    <row r="153" spans="2:77" s="155" customFormat="1">
      <c r="D153" s="313" t="s">
        <v>155</v>
      </c>
      <c r="E153" s="313"/>
      <c r="F153" s="313"/>
      <c r="G153" s="313"/>
      <c r="H153" s="313"/>
      <c r="I153" s="313"/>
      <c r="J153" s="313"/>
      <c r="K153" s="313"/>
      <c r="L153" s="313">
        <f t="shared" ref="L153:BR153" si="115">SUBTOTAL(9,L154:L156)</f>
        <v>3</v>
      </c>
      <c r="M153" s="313">
        <f t="shared" si="115"/>
        <v>3</v>
      </c>
      <c r="N153" s="313">
        <f t="shared" si="115"/>
        <v>3</v>
      </c>
      <c r="O153" s="313">
        <f t="shared" si="115"/>
        <v>3</v>
      </c>
      <c r="P153" s="313">
        <f t="shared" si="115"/>
        <v>3</v>
      </c>
      <c r="Q153" s="313">
        <f t="shared" si="115"/>
        <v>3</v>
      </c>
      <c r="R153" s="313">
        <f t="shared" si="115"/>
        <v>3</v>
      </c>
      <c r="S153" s="313">
        <f t="shared" si="115"/>
        <v>3</v>
      </c>
      <c r="T153" s="313">
        <f t="shared" si="115"/>
        <v>3</v>
      </c>
      <c r="U153" s="313">
        <f t="shared" si="115"/>
        <v>3</v>
      </c>
      <c r="V153" s="313">
        <f t="shared" si="115"/>
        <v>3</v>
      </c>
      <c r="W153" s="313">
        <f t="shared" si="115"/>
        <v>3</v>
      </c>
      <c r="X153" s="313">
        <f t="shared" si="115"/>
        <v>3</v>
      </c>
      <c r="Y153" s="313">
        <f t="shared" si="115"/>
        <v>3</v>
      </c>
      <c r="Z153" s="313">
        <f t="shared" si="115"/>
        <v>3</v>
      </c>
      <c r="AA153" s="313">
        <f t="shared" si="115"/>
        <v>3</v>
      </c>
      <c r="AB153" s="313">
        <f t="shared" si="115"/>
        <v>3</v>
      </c>
      <c r="AC153" s="313">
        <f t="shared" si="115"/>
        <v>3</v>
      </c>
      <c r="AD153" s="313">
        <f t="shared" si="115"/>
        <v>2</v>
      </c>
      <c r="AE153" s="313">
        <f t="shared" si="115"/>
        <v>2</v>
      </c>
      <c r="AF153" s="313">
        <f t="shared" si="115"/>
        <v>2</v>
      </c>
      <c r="AG153" s="313">
        <f t="shared" si="115"/>
        <v>2</v>
      </c>
      <c r="AH153" s="313">
        <f t="shared" si="115"/>
        <v>2</v>
      </c>
      <c r="AI153" s="313">
        <f t="shared" si="115"/>
        <v>2</v>
      </c>
      <c r="AJ153" s="313">
        <f t="shared" si="115"/>
        <v>2</v>
      </c>
      <c r="AK153" s="313">
        <f t="shared" si="115"/>
        <v>2</v>
      </c>
      <c r="AL153" s="313">
        <f t="shared" si="115"/>
        <v>2</v>
      </c>
      <c r="AM153" s="313">
        <f t="shared" si="115"/>
        <v>2</v>
      </c>
      <c r="AN153" s="313">
        <f t="shared" si="115"/>
        <v>2</v>
      </c>
      <c r="AO153" s="313">
        <f t="shared" si="115"/>
        <v>2</v>
      </c>
      <c r="AP153" s="313">
        <f t="shared" si="115"/>
        <v>2</v>
      </c>
      <c r="AQ153" s="313">
        <f t="shared" si="115"/>
        <v>2</v>
      </c>
      <c r="AR153" s="313">
        <f t="shared" si="115"/>
        <v>2</v>
      </c>
      <c r="AS153" s="313">
        <f t="shared" si="115"/>
        <v>2</v>
      </c>
      <c r="AT153" s="313">
        <f t="shared" si="115"/>
        <v>2</v>
      </c>
      <c r="AU153" s="313">
        <f t="shared" si="115"/>
        <v>2</v>
      </c>
      <c r="AV153" s="313">
        <f t="shared" si="115"/>
        <v>2</v>
      </c>
      <c r="AW153" s="313">
        <f t="shared" si="115"/>
        <v>2</v>
      </c>
      <c r="AX153" s="313">
        <f t="shared" si="115"/>
        <v>2</v>
      </c>
      <c r="AY153" s="313">
        <f t="shared" si="115"/>
        <v>2</v>
      </c>
      <c r="AZ153" s="313">
        <f t="shared" si="115"/>
        <v>2</v>
      </c>
      <c r="BA153" s="313">
        <f t="shared" si="115"/>
        <v>2</v>
      </c>
      <c r="BB153" s="313">
        <f t="shared" si="115"/>
        <v>2</v>
      </c>
      <c r="BC153" s="313">
        <f t="shared" si="115"/>
        <v>2</v>
      </c>
      <c r="BD153" s="313">
        <f t="shared" si="115"/>
        <v>2</v>
      </c>
      <c r="BE153" s="313">
        <f t="shared" si="115"/>
        <v>2</v>
      </c>
      <c r="BF153" s="313">
        <f t="shared" si="115"/>
        <v>2</v>
      </c>
      <c r="BG153" s="313">
        <f t="shared" si="115"/>
        <v>2</v>
      </c>
      <c r="BH153" s="313">
        <f t="shared" si="115"/>
        <v>2</v>
      </c>
      <c r="BI153" s="313">
        <f t="shared" si="115"/>
        <v>2</v>
      </c>
      <c r="BJ153" s="313">
        <f t="shared" si="115"/>
        <v>2</v>
      </c>
      <c r="BK153" s="313">
        <f t="shared" si="115"/>
        <v>2</v>
      </c>
      <c r="BL153" s="313">
        <f t="shared" si="115"/>
        <v>2</v>
      </c>
      <c r="BM153" s="313">
        <f t="shared" si="115"/>
        <v>2</v>
      </c>
      <c r="BN153" s="313">
        <f t="shared" si="115"/>
        <v>2</v>
      </c>
      <c r="BO153" s="313">
        <f t="shared" si="115"/>
        <v>2</v>
      </c>
      <c r="BP153" s="313">
        <f t="shared" si="115"/>
        <v>2</v>
      </c>
      <c r="BQ153" s="313">
        <f t="shared" si="115"/>
        <v>2</v>
      </c>
      <c r="BR153" s="313">
        <f t="shared" si="115"/>
        <v>2</v>
      </c>
      <c r="BS153" s="313">
        <f>SUBTOTAL(9,BS154:BS156)</f>
        <v>2</v>
      </c>
      <c r="BU153" s="139">
        <f t="shared" si="110"/>
        <v>36</v>
      </c>
      <c r="BV153" s="139">
        <f t="shared" si="111"/>
        <v>30</v>
      </c>
      <c r="BW153" s="139">
        <f t="shared" si="112"/>
        <v>24</v>
      </c>
      <c r="BX153" s="139">
        <f t="shared" si="113"/>
        <v>24</v>
      </c>
      <c r="BY153" s="139">
        <f t="shared" si="114"/>
        <v>24</v>
      </c>
    </row>
    <row r="154" spans="2:77">
      <c r="C154" s="155"/>
      <c r="E154" s="139" t="s">
        <v>494</v>
      </c>
      <c r="F154" s="139" t="s">
        <v>561</v>
      </c>
      <c r="G154" s="139">
        <v>1</v>
      </c>
      <c r="H154" s="139">
        <v>60</v>
      </c>
      <c r="I154" s="139" t="s">
        <v>111</v>
      </c>
      <c r="J154" s="139" t="s">
        <v>575</v>
      </c>
      <c r="L154" s="139">
        <v>1</v>
      </c>
      <c r="M154" s="139">
        <v>1</v>
      </c>
      <c r="N154" s="139">
        <v>1</v>
      </c>
      <c r="O154" s="139">
        <v>1</v>
      </c>
      <c r="P154" s="139">
        <v>1</v>
      </c>
      <c r="Q154" s="139">
        <v>1</v>
      </c>
      <c r="R154" s="139">
        <v>1</v>
      </c>
      <c r="S154" s="139">
        <v>1</v>
      </c>
      <c r="T154" s="139">
        <v>1</v>
      </c>
      <c r="U154" s="139">
        <v>1</v>
      </c>
      <c r="V154" s="139">
        <v>1</v>
      </c>
      <c r="W154" s="139">
        <v>1</v>
      </c>
      <c r="X154" s="139">
        <v>1</v>
      </c>
      <c r="Y154" s="139">
        <v>1</v>
      </c>
      <c r="Z154" s="139">
        <v>1</v>
      </c>
      <c r="AA154" s="139">
        <v>1</v>
      </c>
      <c r="AB154" s="139">
        <v>1</v>
      </c>
      <c r="AC154" s="139">
        <v>1</v>
      </c>
      <c r="AD154" s="139">
        <v>1</v>
      </c>
      <c r="AE154" s="139">
        <v>1</v>
      </c>
      <c r="AF154" s="139">
        <v>1</v>
      </c>
      <c r="AG154" s="139">
        <v>1</v>
      </c>
      <c r="AH154" s="139">
        <v>1</v>
      </c>
      <c r="AI154" s="139">
        <v>1</v>
      </c>
      <c r="AJ154" s="139">
        <v>1</v>
      </c>
      <c r="AK154" s="139">
        <v>1</v>
      </c>
      <c r="AL154" s="139">
        <v>1</v>
      </c>
      <c r="AM154" s="139">
        <v>1</v>
      </c>
      <c r="AN154" s="139">
        <v>1</v>
      </c>
      <c r="AO154" s="139">
        <v>1</v>
      </c>
      <c r="AP154" s="139">
        <v>1</v>
      </c>
      <c r="AQ154" s="139">
        <v>1</v>
      </c>
      <c r="AR154" s="139">
        <v>1</v>
      </c>
      <c r="AS154" s="139">
        <v>1</v>
      </c>
      <c r="AT154" s="139">
        <v>1</v>
      </c>
      <c r="AU154" s="139">
        <v>1</v>
      </c>
      <c r="AV154" s="139">
        <v>1</v>
      </c>
      <c r="AW154" s="139">
        <v>1</v>
      </c>
      <c r="AX154" s="139">
        <v>1</v>
      </c>
      <c r="AY154" s="139">
        <v>1</v>
      </c>
      <c r="AZ154" s="139">
        <v>1</v>
      </c>
      <c r="BA154" s="139">
        <v>1</v>
      </c>
      <c r="BB154" s="139">
        <v>1</v>
      </c>
      <c r="BC154" s="139">
        <v>1</v>
      </c>
      <c r="BD154" s="139">
        <v>1</v>
      </c>
      <c r="BE154" s="139">
        <v>1</v>
      </c>
      <c r="BF154" s="139">
        <v>1</v>
      </c>
      <c r="BG154" s="139">
        <v>1</v>
      </c>
      <c r="BH154" s="139">
        <v>1</v>
      </c>
      <c r="BI154" s="139">
        <v>1</v>
      </c>
      <c r="BJ154" s="139">
        <v>1</v>
      </c>
      <c r="BK154" s="139">
        <v>1</v>
      </c>
      <c r="BL154" s="139">
        <v>1</v>
      </c>
      <c r="BM154" s="139">
        <v>1</v>
      </c>
      <c r="BN154" s="139">
        <v>1</v>
      </c>
      <c r="BO154" s="139">
        <v>1</v>
      </c>
      <c r="BP154" s="139">
        <v>1</v>
      </c>
      <c r="BQ154" s="139">
        <v>1</v>
      </c>
      <c r="BR154" s="139">
        <v>1</v>
      </c>
      <c r="BS154" s="139">
        <v>1</v>
      </c>
      <c r="BU154" s="139">
        <f t="shared" si="110"/>
        <v>12</v>
      </c>
      <c r="BV154" s="139">
        <f t="shared" si="111"/>
        <v>12</v>
      </c>
      <c r="BW154" s="139">
        <f t="shared" si="112"/>
        <v>12</v>
      </c>
      <c r="BX154" s="139">
        <f t="shared" si="113"/>
        <v>12</v>
      </c>
      <c r="BY154" s="139">
        <f t="shared" si="114"/>
        <v>12</v>
      </c>
    </row>
    <row r="155" spans="2:77">
      <c r="C155" s="155"/>
      <c r="E155" s="139" t="s">
        <v>495</v>
      </c>
      <c r="F155" s="139" t="s">
        <v>561</v>
      </c>
      <c r="G155" s="139">
        <v>1</v>
      </c>
      <c r="H155" s="139">
        <v>50</v>
      </c>
      <c r="I155" s="139" t="s">
        <v>111</v>
      </c>
      <c r="J155" s="139" t="s">
        <v>575</v>
      </c>
      <c r="L155" s="139">
        <v>1</v>
      </c>
      <c r="M155" s="139">
        <v>1</v>
      </c>
      <c r="N155" s="139">
        <v>1</v>
      </c>
      <c r="O155" s="139">
        <v>1</v>
      </c>
      <c r="P155" s="139">
        <v>1</v>
      </c>
      <c r="Q155" s="139">
        <v>1</v>
      </c>
      <c r="R155" s="139">
        <v>1</v>
      </c>
      <c r="S155" s="139">
        <v>1</v>
      </c>
      <c r="T155" s="139">
        <v>1</v>
      </c>
      <c r="U155" s="139">
        <v>1</v>
      </c>
      <c r="V155" s="139">
        <v>1</v>
      </c>
      <c r="W155" s="139">
        <v>1</v>
      </c>
      <c r="X155" s="139">
        <v>1</v>
      </c>
      <c r="Y155" s="139">
        <v>1</v>
      </c>
      <c r="Z155" s="139">
        <v>1</v>
      </c>
      <c r="AA155" s="139">
        <v>1</v>
      </c>
      <c r="AB155" s="139">
        <v>1</v>
      </c>
      <c r="AC155" s="139">
        <v>1</v>
      </c>
      <c r="AD155" s="139">
        <v>1</v>
      </c>
      <c r="AE155" s="139">
        <v>1</v>
      </c>
      <c r="AF155" s="139">
        <v>1</v>
      </c>
      <c r="AG155" s="139">
        <v>1</v>
      </c>
      <c r="AH155" s="139">
        <v>1</v>
      </c>
      <c r="AI155" s="139">
        <v>1</v>
      </c>
      <c r="AJ155" s="139">
        <v>1</v>
      </c>
      <c r="AK155" s="139">
        <v>1</v>
      </c>
      <c r="AL155" s="139">
        <v>1</v>
      </c>
      <c r="AM155" s="139">
        <v>1</v>
      </c>
      <c r="AN155" s="139">
        <v>1</v>
      </c>
      <c r="AO155" s="139">
        <v>1</v>
      </c>
      <c r="AP155" s="139">
        <v>1</v>
      </c>
      <c r="AQ155" s="139">
        <v>1</v>
      </c>
      <c r="AR155" s="139">
        <v>1</v>
      </c>
      <c r="AS155" s="139">
        <v>1</v>
      </c>
      <c r="AT155" s="139">
        <v>1</v>
      </c>
      <c r="AU155" s="139">
        <v>1</v>
      </c>
      <c r="AV155" s="139">
        <v>1</v>
      </c>
      <c r="AW155" s="139">
        <v>1</v>
      </c>
      <c r="AX155" s="139">
        <v>1</v>
      </c>
      <c r="AY155" s="139">
        <v>1</v>
      </c>
      <c r="AZ155" s="139">
        <v>1</v>
      </c>
      <c r="BA155" s="139">
        <v>1</v>
      </c>
      <c r="BB155" s="139">
        <v>1</v>
      </c>
      <c r="BC155" s="139">
        <v>1</v>
      </c>
      <c r="BD155" s="139">
        <v>1</v>
      </c>
      <c r="BE155" s="139">
        <v>1</v>
      </c>
      <c r="BF155" s="139">
        <v>1</v>
      </c>
      <c r="BG155" s="139">
        <v>1</v>
      </c>
      <c r="BH155" s="139">
        <v>1</v>
      </c>
      <c r="BI155" s="139">
        <v>1</v>
      </c>
      <c r="BJ155" s="139">
        <v>1</v>
      </c>
      <c r="BK155" s="139">
        <v>1</v>
      </c>
      <c r="BL155" s="139">
        <v>1</v>
      </c>
      <c r="BM155" s="139">
        <v>1</v>
      </c>
      <c r="BN155" s="139">
        <v>1</v>
      </c>
      <c r="BO155" s="139">
        <v>1</v>
      </c>
      <c r="BP155" s="139">
        <v>1</v>
      </c>
      <c r="BQ155" s="139">
        <v>1</v>
      </c>
      <c r="BR155" s="139">
        <v>1</v>
      </c>
      <c r="BS155" s="139">
        <v>1</v>
      </c>
      <c r="BU155" s="139">
        <f t="shared" si="110"/>
        <v>12</v>
      </c>
      <c r="BV155" s="139">
        <f t="shared" si="111"/>
        <v>12</v>
      </c>
      <c r="BW155" s="139">
        <f t="shared" si="112"/>
        <v>12</v>
      </c>
      <c r="BX155" s="139">
        <f t="shared" si="113"/>
        <v>12</v>
      </c>
      <c r="BY155" s="139">
        <f t="shared" si="114"/>
        <v>12</v>
      </c>
    </row>
    <row r="156" spans="2:77">
      <c r="C156" s="155"/>
      <c r="E156" s="139" t="s">
        <v>496</v>
      </c>
      <c r="F156" s="139" t="s">
        <v>561</v>
      </c>
      <c r="G156" s="139">
        <v>1</v>
      </c>
      <c r="H156" s="139">
        <v>50</v>
      </c>
      <c r="I156" s="139" t="s">
        <v>111</v>
      </c>
      <c r="J156" s="139" t="s">
        <v>575</v>
      </c>
      <c r="L156" s="139">
        <v>1</v>
      </c>
      <c r="M156" s="139">
        <v>1</v>
      </c>
      <c r="N156" s="139">
        <v>1</v>
      </c>
      <c r="O156" s="139">
        <v>1</v>
      </c>
      <c r="P156" s="139">
        <v>1</v>
      </c>
      <c r="Q156" s="139">
        <v>1</v>
      </c>
      <c r="R156" s="139">
        <v>1</v>
      </c>
      <c r="S156" s="139">
        <v>1</v>
      </c>
      <c r="T156" s="139">
        <v>1</v>
      </c>
      <c r="U156" s="139">
        <v>1</v>
      </c>
      <c r="V156" s="139">
        <v>1</v>
      </c>
      <c r="W156" s="139">
        <v>1</v>
      </c>
      <c r="X156" s="139">
        <v>1</v>
      </c>
      <c r="Y156" s="139">
        <v>1</v>
      </c>
      <c r="Z156" s="139">
        <v>1</v>
      </c>
      <c r="AA156" s="139">
        <v>1</v>
      </c>
      <c r="AB156" s="139">
        <v>1</v>
      </c>
      <c r="AC156" s="139">
        <v>1</v>
      </c>
    </row>
    <row r="157" spans="2:77" s="155" customFormat="1">
      <c r="D157" s="313" t="s">
        <v>96</v>
      </c>
      <c r="E157" s="313"/>
      <c r="F157" s="313"/>
      <c r="G157" s="313"/>
      <c r="H157" s="313"/>
      <c r="I157" s="313"/>
      <c r="J157" s="313"/>
      <c r="K157" s="313"/>
      <c r="L157" s="313">
        <f t="shared" ref="L157:BR157" si="116">SUBTOTAL(9,L158:L170)</f>
        <v>3</v>
      </c>
      <c r="M157" s="313">
        <f t="shared" si="116"/>
        <v>3</v>
      </c>
      <c r="N157" s="313">
        <f t="shared" si="116"/>
        <v>3</v>
      </c>
      <c r="O157" s="313">
        <f t="shared" si="116"/>
        <v>3</v>
      </c>
      <c r="P157" s="313">
        <f t="shared" si="116"/>
        <v>3</v>
      </c>
      <c r="Q157" s="313">
        <f t="shared" si="116"/>
        <v>3</v>
      </c>
      <c r="R157" s="313">
        <f t="shared" si="116"/>
        <v>77</v>
      </c>
      <c r="S157" s="313">
        <f t="shared" si="116"/>
        <v>77</v>
      </c>
      <c r="T157" s="313">
        <f t="shared" si="116"/>
        <v>77</v>
      </c>
      <c r="U157" s="313">
        <f t="shared" si="116"/>
        <v>77</v>
      </c>
      <c r="V157" s="313">
        <f t="shared" si="116"/>
        <v>77</v>
      </c>
      <c r="W157" s="313">
        <f t="shared" si="116"/>
        <v>77</v>
      </c>
      <c r="X157" s="313">
        <f t="shared" si="116"/>
        <v>96.5</v>
      </c>
      <c r="Y157" s="313">
        <f t="shared" si="116"/>
        <v>96.5</v>
      </c>
      <c r="Z157" s="313">
        <f t="shared" si="116"/>
        <v>96.5</v>
      </c>
      <c r="AA157" s="313">
        <f t="shared" si="116"/>
        <v>96.5</v>
      </c>
      <c r="AB157" s="313">
        <f t="shared" si="116"/>
        <v>96.5</v>
      </c>
      <c r="AC157" s="313">
        <f t="shared" si="116"/>
        <v>96.5</v>
      </c>
      <c r="AD157" s="313">
        <f t="shared" si="116"/>
        <v>116</v>
      </c>
      <c r="AE157" s="313">
        <f t="shared" si="116"/>
        <v>116</v>
      </c>
      <c r="AF157" s="313">
        <f t="shared" si="116"/>
        <v>116</v>
      </c>
      <c r="AG157" s="313">
        <f t="shared" si="116"/>
        <v>116</v>
      </c>
      <c r="AH157" s="313">
        <f t="shared" si="116"/>
        <v>116</v>
      </c>
      <c r="AI157" s="313">
        <f t="shared" si="116"/>
        <v>116</v>
      </c>
      <c r="AJ157" s="313">
        <f t="shared" si="116"/>
        <v>135.5</v>
      </c>
      <c r="AK157" s="313">
        <f t="shared" si="116"/>
        <v>135.5</v>
      </c>
      <c r="AL157" s="313">
        <f t="shared" si="116"/>
        <v>135.5</v>
      </c>
      <c r="AM157" s="313">
        <f t="shared" si="116"/>
        <v>135.5</v>
      </c>
      <c r="AN157" s="313">
        <f t="shared" si="116"/>
        <v>135.5</v>
      </c>
      <c r="AO157" s="313">
        <f t="shared" si="116"/>
        <v>135.5</v>
      </c>
      <c r="AP157" s="313">
        <f t="shared" si="116"/>
        <v>154</v>
      </c>
      <c r="AQ157" s="313">
        <f t="shared" si="116"/>
        <v>154</v>
      </c>
      <c r="AR157" s="313">
        <f t="shared" si="116"/>
        <v>154</v>
      </c>
      <c r="AS157" s="313">
        <f t="shared" si="116"/>
        <v>154</v>
      </c>
      <c r="AT157" s="313">
        <f t="shared" si="116"/>
        <v>154</v>
      </c>
      <c r="AU157" s="313">
        <f t="shared" si="116"/>
        <v>154</v>
      </c>
      <c r="AV157" s="313">
        <f t="shared" si="116"/>
        <v>172.5</v>
      </c>
      <c r="AW157" s="313">
        <f t="shared" si="116"/>
        <v>172.5</v>
      </c>
      <c r="AX157" s="313">
        <f t="shared" si="116"/>
        <v>172.5</v>
      </c>
      <c r="AY157" s="313">
        <f t="shared" si="116"/>
        <v>172.5</v>
      </c>
      <c r="AZ157" s="313">
        <f t="shared" si="116"/>
        <v>172.5</v>
      </c>
      <c r="BA157" s="313">
        <f t="shared" si="116"/>
        <v>172.5</v>
      </c>
      <c r="BB157" s="313">
        <f t="shared" si="116"/>
        <v>191</v>
      </c>
      <c r="BC157" s="313">
        <f t="shared" si="116"/>
        <v>191</v>
      </c>
      <c r="BD157" s="313">
        <f t="shared" si="116"/>
        <v>191</v>
      </c>
      <c r="BE157" s="313">
        <f t="shared" si="116"/>
        <v>191</v>
      </c>
      <c r="BF157" s="313">
        <f t="shared" si="116"/>
        <v>191</v>
      </c>
      <c r="BG157" s="313">
        <f t="shared" si="116"/>
        <v>191</v>
      </c>
      <c r="BH157" s="313">
        <f t="shared" si="116"/>
        <v>191</v>
      </c>
      <c r="BI157" s="313">
        <f t="shared" si="116"/>
        <v>191</v>
      </c>
      <c r="BJ157" s="313">
        <f t="shared" si="116"/>
        <v>191</v>
      </c>
      <c r="BK157" s="313">
        <f t="shared" si="116"/>
        <v>191</v>
      </c>
      <c r="BL157" s="313">
        <f t="shared" si="116"/>
        <v>191</v>
      </c>
      <c r="BM157" s="313">
        <f t="shared" si="116"/>
        <v>191</v>
      </c>
      <c r="BN157" s="313">
        <f t="shared" si="116"/>
        <v>191</v>
      </c>
      <c r="BO157" s="313">
        <f t="shared" si="116"/>
        <v>191</v>
      </c>
      <c r="BP157" s="313">
        <f t="shared" si="116"/>
        <v>191</v>
      </c>
      <c r="BQ157" s="313">
        <f t="shared" si="116"/>
        <v>191</v>
      </c>
      <c r="BR157" s="313">
        <f t="shared" si="116"/>
        <v>191</v>
      </c>
      <c r="BS157" s="313">
        <f>SUBTOTAL(9,BS158:BS170)</f>
        <v>191</v>
      </c>
      <c r="BU157" s="139">
        <f t="shared" ref="BU157:BU194" si="117">SUM(L157:W157)</f>
        <v>480</v>
      </c>
      <c r="BV157" s="139">
        <f t="shared" ref="BV157:BV194" si="118">SUM(X157:AI157)</f>
        <v>1275</v>
      </c>
      <c r="BW157" s="139">
        <f t="shared" ref="BW157:BW194" si="119">SUM(AJ157:AU157)</f>
        <v>1737</v>
      </c>
      <c r="BX157" s="139">
        <f t="shared" ref="BX157:BX194" si="120">SUM(AV157:BG157)</f>
        <v>2181</v>
      </c>
      <c r="BY157" s="139">
        <f t="shared" ref="BY157:BY194" si="121">SUM(BH157:BS157)</f>
        <v>2292</v>
      </c>
    </row>
    <row r="158" spans="2:77">
      <c r="C158" s="155"/>
      <c r="E158" s="139" t="s">
        <v>498</v>
      </c>
      <c r="F158" s="139" t="s">
        <v>561</v>
      </c>
      <c r="G158" s="165" t="s">
        <v>562</v>
      </c>
      <c r="H158" s="165"/>
      <c r="I158" s="158" t="s">
        <v>1352</v>
      </c>
      <c r="J158" s="158"/>
      <c r="L158" s="139">
        <v>0</v>
      </c>
      <c r="M158" s="139">
        <f>L158</f>
        <v>0</v>
      </c>
      <c r="N158" s="139">
        <f t="shared" ref="N158:BS158" si="122">M158</f>
        <v>0</v>
      </c>
      <c r="O158" s="139">
        <f t="shared" si="122"/>
        <v>0</v>
      </c>
      <c r="P158" s="139">
        <f t="shared" si="122"/>
        <v>0</v>
      </c>
      <c r="Q158" s="139">
        <f t="shared" si="122"/>
        <v>0</v>
      </c>
      <c r="R158" s="139">
        <f t="shared" si="122"/>
        <v>0</v>
      </c>
      <c r="S158" s="139">
        <f t="shared" si="122"/>
        <v>0</v>
      </c>
      <c r="T158" s="139">
        <f t="shared" si="122"/>
        <v>0</v>
      </c>
      <c r="U158" s="139">
        <f t="shared" si="122"/>
        <v>0</v>
      </c>
      <c r="V158" s="139">
        <f t="shared" si="122"/>
        <v>0</v>
      </c>
      <c r="W158" s="139">
        <f t="shared" si="122"/>
        <v>0</v>
      </c>
      <c r="X158" s="139">
        <f t="shared" si="122"/>
        <v>0</v>
      </c>
      <c r="Y158" s="139">
        <f t="shared" si="122"/>
        <v>0</v>
      </c>
      <c r="Z158" s="139">
        <f t="shared" si="122"/>
        <v>0</v>
      </c>
      <c r="AA158" s="139">
        <f t="shared" si="122"/>
        <v>0</v>
      </c>
      <c r="AB158" s="139">
        <f t="shared" si="122"/>
        <v>0</v>
      </c>
      <c r="AC158" s="139">
        <f t="shared" si="122"/>
        <v>0</v>
      </c>
      <c r="AD158" s="139">
        <f>AC156</f>
        <v>1</v>
      </c>
      <c r="AE158" s="139">
        <f t="shared" si="122"/>
        <v>1</v>
      </c>
      <c r="AF158" s="139">
        <f t="shared" si="122"/>
        <v>1</v>
      </c>
      <c r="AG158" s="139">
        <f t="shared" si="122"/>
        <v>1</v>
      </c>
      <c r="AH158" s="139">
        <f t="shared" si="122"/>
        <v>1</v>
      </c>
      <c r="AI158" s="139">
        <f t="shared" si="122"/>
        <v>1</v>
      </c>
      <c r="AJ158" s="139">
        <f t="shared" si="122"/>
        <v>1</v>
      </c>
      <c r="AK158" s="139">
        <f t="shared" si="122"/>
        <v>1</v>
      </c>
      <c r="AL158" s="139">
        <f t="shared" si="122"/>
        <v>1</v>
      </c>
      <c r="AM158" s="139">
        <f t="shared" si="122"/>
        <v>1</v>
      </c>
      <c r="AN158" s="139">
        <f t="shared" si="122"/>
        <v>1</v>
      </c>
      <c r="AO158" s="139">
        <f t="shared" si="122"/>
        <v>1</v>
      </c>
      <c r="AP158" s="139">
        <f t="shared" si="122"/>
        <v>1</v>
      </c>
      <c r="AQ158" s="139">
        <f t="shared" si="122"/>
        <v>1</v>
      </c>
      <c r="AR158" s="139">
        <f t="shared" si="122"/>
        <v>1</v>
      </c>
      <c r="AS158" s="139">
        <f t="shared" si="122"/>
        <v>1</v>
      </c>
      <c r="AT158" s="139">
        <f t="shared" si="122"/>
        <v>1</v>
      </c>
      <c r="AU158" s="139">
        <f t="shared" si="122"/>
        <v>1</v>
      </c>
      <c r="AV158" s="139">
        <f t="shared" si="122"/>
        <v>1</v>
      </c>
      <c r="AW158" s="139">
        <f t="shared" si="122"/>
        <v>1</v>
      </c>
      <c r="AX158" s="139">
        <f t="shared" si="122"/>
        <v>1</v>
      </c>
      <c r="AY158" s="139">
        <f t="shared" si="122"/>
        <v>1</v>
      </c>
      <c r="AZ158" s="139">
        <f t="shared" si="122"/>
        <v>1</v>
      </c>
      <c r="BA158" s="139">
        <f t="shared" si="122"/>
        <v>1</v>
      </c>
      <c r="BB158" s="139">
        <f t="shared" si="122"/>
        <v>1</v>
      </c>
      <c r="BC158" s="139">
        <f t="shared" si="122"/>
        <v>1</v>
      </c>
      <c r="BD158" s="139">
        <f t="shared" si="122"/>
        <v>1</v>
      </c>
      <c r="BE158" s="139">
        <f t="shared" si="122"/>
        <v>1</v>
      </c>
      <c r="BF158" s="139">
        <f t="shared" si="122"/>
        <v>1</v>
      </c>
      <c r="BG158" s="139">
        <f t="shared" si="122"/>
        <v>1</v>
      </c>
      <c r="BH158" s="139">
        <f t="shared" si="122"/>
        <v>1</v>
      </c>
      <c r="BI158" s="139">
        <f t="shared" si="122"/>
        <v>1</v>
      </c>
      <c r="BJ158" s="139">
        <f t="shared" si="122"/>
        <v>1</v>
      </c>
      <c r="BK158" s="139">
        <f t="shared" si="122"/>
        <v>1</v>
      </c>
      <c r="BL158" s="139">
        <f t="shared" si="122"/>
        <v>1</v>
      </c>
      <c r="BM158" s="139">
        <f t="shared" si="122"/>
        <v>1</v>
      </c>
      <c r="BN158" s="139">
        <f t="shared" si="122"/>
        <v>1</v>
      </c>
      <c r="BO158" s="139">
        <f t="shared" si="122"/>
        <v>1</v>
      </c>
      <c r="BP158" s="139">
        <f t="shared" si="122"/>
        <v>1</v>
      </c>
      <c r="BQ158" s="139">
        <f t="shared" si="122"/>
        <v>1</v>
      </c>
      <c r="BR158" s="139">
        <f t="shared" si="122"/>
        <v>1</v>
      </c>
      <c r="BS158" s="139">
        <f t="shared" si="122"/>
        <v>1</v>
      </c>
      <c r="BU158" s="139">
        <f t="shared" si="117"/>
        <v>0</v>
      </c>
      <c r="BV158" s="139">
        <f t="shared" si="118"/>
        <v>6</v>
      </c>
      <c r="BW158" s="139">
        <f t="shared" si="119"/>
        <v>12</v>
      </c>
      <c r="BX158" s="139">
        <f t="shared" si="120"/>
        <v>12</v>
      </c>
      <c r="BY158" s="139">
        <f t="shared" si="121"/>
        <v>12</v>
      </c>
    </row>
    <row r="159" spans="2:77">
      <c r="B159" s="221"/>
      <c r="C159" s="310"/>
      <c r="D159" s="221"/>
      <c r="E159" s="221" t="s">
        <v>98</v>
      </c>
      <c r="F159" s="221" t="s">
        <v>563</v>
      </c>
      <c r="G159" s="221" t="s">
        <v>564</v>
      </c>
      <c r="H159" s="221">
        <f>기타비용분석!H17</f>
        <v>150</v>
      </c>
      <c r="I159" s="221" t="s">
        <v>113</v>
      </c>
      <c r="J159" s="221" t="s">
        <v>576</v>
      </c>
      <c r="K159" s="221"/>
      <c r="L159" s="221">
        <f t="shared" ref="L159:BR159" si="123">L11</f>
        <v>0</v>
      </c>
      <c r="M159" s="221">
        <f t="shared" si="123"/>
        <v>0</v>
      </c>
      <c r="N159" s="221">
        <f t="shared" si="123"/>
        <v>0</v>
      </c>
      <c r="O159" s="221">
        <f t="shared" si="123"/>
        <v>0</v>
      </c>
      <c r="P159" s="221">
        <f t="shared" si="123"/>
        <v>0</v>
      </c>
      <c r="Q159" s="221">
        <f t="shared" si="123"/>
        <v>0</v>
      </c>
      <c r="R159" s="221">
        <f t="shared" si="123"/>
        <v>24</v>
      </c>
      <c r="S159" s="221">
        <f t="shared" si="123"/>
        <v>24</v>
      </c>
      <c r="T159" s="221">
        <f t="shared" si="123"/>
        <v>24</v>
      </c>
      <c r="U159" s="221">
        <f t="shared" si="123"/>
        <v>24</v>
      </c>
      <c r="V159" s="221">
        <f t="shared" si="123"/>
        <v>24</v>
      </c>
      <c r="W159" s="221">
        <f t="shared" si="123"/>
        <v>24</v>
      </c>
      <c r="X159" s="221">
        <f t="shared" si="123"/>
        <v>30</v>
      </c>
      <c r="Y159" s="221">
        <f t="shared" si="123"/>
        <v>30</v>
      </c>
      <c r="Z159" s="221">
        <f t="shared" si="123"/>
        <v>30</v>
      </c>
      <c r="AA159" s="221">
        <f t="shared" si="123"/>
        <v>30</v>
      </c>
      <c r="AB159" s="221">
        <f t="shared" si="123"/>
        <v>30</v>
      </c>
      <c r="AC159" s="221">
        <f t="shared" si="123"/>
        <v>30</v>
      </c>
      <c r="AD159" s="221">
        <f t="shared" si="123"/>
        <v>36</v>
      </c>
      <c r="AE159" s="221">
        <f t="shared" si="123"/>
        <v>36</v>
      </c>
      <c r="AF159" s="221">
        <f t="shared" si="123"/>
        <v>36</v>
      </c>
      <c r="AG159" s="221">
        <f t="shared" si="123"/>
        <v>36</v>
      </c>
      <c r="AH159" s="221">
        <f t="shared" si="123"/>
        <v>36</v>
      </c>
      <c r="AI159" s="221">
        <f t="shared" si="123"/>
        <v>36</v>
      </c>
      <c r="AJ159" s="221">
        <f t="shared" si="123"/>
        <v>42</v>
      </c>
      <c r="AK159" s="221">
        <f t="shared" si="123"/>
        <v>42</v>
      </c>
      <c r="AL159" s="221">
        <f t="shared" si="123"/>
        <v>42</v>
      </c>
      <c r="AM159" s="221">
        <f t="shared" si="123"/>
        <v>42</v>
      </c>
      <c r="AN159" s="221">
        <f t="shared" si="123"/>
        <v>42</v>
      </c>
      <c r="AO159" s="221">
        <f t="shared" si="123"/>
        <v>42</v>
      </c>
      <c r="AP159" s="221">
        <f t="shared" si="123"/>
        <v>48</v>
      </c>
      <c r="AQ159" s="221">
        <f t="shared" si="123"/>
        <v>48</v>
      </c>
      <c r="AR159" s="221">
        <f t="shared" si="123"/>
        <v>48</v>
      </c>
      <c r="AS159" s="221">
        <f t="shared" si="123"/>
        <v>48</v>
      </c>
      <c r="AT159" s="221">
        <f t="shared" si="123"/>
        <v>48</v>
      </c>
      <c r="AU159" s="221">
        <f t="shared" si="123"/>
        <v>48</v>
      </c>
      <c r="AV159" s="221">
        <f t="shared" si="123"/>
        <v>54</v>
      </c>
      <c r="AW159" s="221">
        <f t="shared" si="123"/>
        <v>54</v>
      </c>
      <c r="AX159" s="221">
        <f t="shared" si="123"/>
        <v>54</v>
      </c>
      <c r="AY159" s="221">
        <f t="shared" si="123"/>
        <v>54</v>
      </c>
      <c r="AZ159" s="221">
        <f t="shared" si="123"/>
        <v>54</v>
      </c>
      <c r="BA159" s="221">
        <f t="shared" si="123"/>
        <v>54</v>
      </c>
      <c r="BB159" s="221">
        <f t="shared" si="123"/>
        <v>60</v>
      </c>
      <c r="BC159" s="221">
        <f t="shared" si="123"/>
        <v>60</v>
      </c>
      <c r="BD159" s="221">
        <f t="shared" si="123"/>
        <v>60</v>
      </c>
      <c r="BE159" s="221">
        <f t="shared" si="123"/>
        <v>60</v>
      </c>
      <c r="BF159" s="221">
        <f t="shared" si="123"/>
        <v>60</v>
      </c>
      <c r="BG159" s="221">
        <f t="shared" si="123"/>
        <v>60</v>
      </c>
      <c r="BH159" s="221">
        <f t="shared" si="123"/>
        <v>60</v>
      </c>
      <c r="BI159" s="221">
        <f t="shared" si="123"/>
        <v>60</v>
      </c>
      <c r="BJ159" s="221">
        <f t="shared" si="123"/>
        <v>60</v>
      </c>
      <c r="BK159" s="221">
        <f t="shared" si="123"/>
        <v>60</v>
      </c>
      <c r="BL159" s="221">
        <f t="shared" si="123"/>
        <v>60</v>
      </c>
      <c r="BM159" s="221">
        <f t="shared" si="123"/>
        <v>60</v>
      </c>
      <c r="BN159" s="221">
        <f t="shared" si="123"/>
        <v>60</v>
      </c>
      <c r="BO159" s="221">
        <f t="shared" si="123"/>
        <v>60</v>
      </c>
      <c r="BP159" s="221">
        <f t="shared" si="123"/>
        <v>60</v>
      </c>
      <c r="BQ159" s="221">
        <f t="shared" si="123"/>
        <v>60</v>
      </c>
      <c r="BR159" s="221">
        <f t="shared" si="123"/>
        <v>60</v>
      </c>
      <c r="BS159" s="221">
        <f>BS11</f>
        <v>60</v>
      </c>
      <c r="BU159" s="139">
        <f t="shared" si="117"/>
        <v>144</v>
      </c>
      <c r="BV159" s="139">
        <f t="shared" si="118"/>
        <v>396</v>
      </c>
      <c r="BW159" s="139">
        <f t="shared" si="119"/>
        <v>540</v>
      </c>
      <c r="BX159" s="139">
        <f t="shared" si="120"/>
        <v>684</v>
      </c>
      <c r="BY159" s="139">
        <f t="shared" si="121"/>
        <v>720</v>
      </c>
    </row>
    <row r="160" spans="2:77">
      <c r="B160" s="221"/>
      <c r="C160" s="310"/>
      <c r="D160" s="221"/>
      <c r="E160" s="221" t="s">
        <v>99</v>
      </c>
      <c r="F160" s="221" t="s">
        <v>563</v>
      </c>
      <c r="G160" s="221"/>
      <c r="H160" s="221">
        <f>기타비용분석!H18</f>
        <v>70</v>
      </c>
      <c r="I160" s="221" t="s">
        <v>113</v>
      </c>
      <c r="J160" s="221" t="s">
        <v>577</v>
      </c>
      <c r="K160" s="221"/>
      <c r="L160" s="221">
        <f t="shared" ref="L160:BR160" si="124">L12</f>
        <v>0</v>
      </c>
      <c r="M160" s="221">
        <f t="shared" si="124"/>
        <v>0</v>
      </c>
      <c r="N160" s="221">
        <f t="shared" si="124"/>
        <v>0</v>
      </c>
      <c r="O160" s="221">
        <f t="shared" si="124"/>
        <v>0</v>
      </c>
      <c r="P160" s="221">
        <f t="shared" si="124"/>
        <v>0</v>
      </c>
      <c r="Q160" s="221">
        <f t="shared" si="124"/>
        <v>0</v>
      </c>
      <c r="R160" s="221">
        <f t="shared" si="124"/>
        <v>24</v>
      </c>
      <c r="S160" s="221">
        <f t="shared" si="124"/>
        <v>24</v>
      </c>
      <c r="T160" s="221">
        <f t="shared" si="124"/>
        <v>24</v>
      </c>
      <c r="U160" s="221">
        <f t="shared" si="124"/>
        <v>24</v>
      </c>
      <c r="V160" s="221">
        <f t="shared" si="124"/>
        <v>24</v>
      </c>
      <c r="W160" s="221">
        <f t="shared" si="124"/>
        <v>24</v>
      </c>
      <c r="X160" s="221">
        <f t="shared" si="124"/>
        <v>30</v>
      </c>
      <c r="Y160" s="221">
        <f t="shared" si="124"/>
        <v>30</v>
      </c>
      <c r="Z160" s="221">
        <f t="shared" si="124"/>
        <v>30</v>
      </c>
      <c r="AA160" s="221">
        <f t="shared" si="124"/>
        <v>30</v>
      </c>
      <c r="AB160" s="221">
        <f t="shared" si="124"/>
        <v>30</v>
      </c>
      <c r="AC160" s="221">
        <f t="shared" si="124"/>
        <v>30</v>
      </c>
      <c r="AD160" s="221">
        <f t="shared" si="124"/>
        <v>36</v>
      </c>
      <c r="AE160" s="221">
        <f t="shared" si="124"/>
        <v>36</v>
      </c>
      <c r="AF160" s="221">
        <f t="shared" si="124"/>
        <v>36</v>
      </c>
      <c r="AG160" s="221">
        <f t="shared" si="124"/>
        <v>36</v>
      </c>
      <c r="AH160" s="221">
        <f t="shared" si="124"/>
        <v>36</v>
      </c>
      <c r="AI160" s="221">
        <f t="shared" si="124"/>
        <v>36</v>
      </c>
      <c r="AJ160" s="221">
        <f t="shared" si="124"/>
        <v>42</v>
      </c>
      <c r="AK160" s="221">
        <f t="shared" si="124"/>
        <v>42</v>
      </c>
      <c r="AL160" s="221">
        <f t="shared" si="124"/>
        <v>42</v>
      </c>
      <c r="AM160" s="221">
        <f t="shared" si="124"/>
        <v>42</v>
      </c>
      <c r="AN160" s="221">
        <f t="shared" si="124"/>
        <v>42</v>
      </c>
      <c r="AO160" s="221">
        <f t="shared" si="124"/>
        <v>42</v>
      </c>
      <c r="AP160" s="221">
        <f t="shared" si="124"/>
        <v>48</v>
      </c>
      <c r="AQ160" s="221">
        <f t="shared" si="124"/>
        <v>48</v>
      </c>
      <c r="AR160" s="221">
        <f t="shared" si="124"/>
        <v>48</v>
      </c>
      <c r="AS160" s="221">
        <f t="shared" si="124"/>
        <v>48</v>
      </c>
      <c r="AT160" s="221">
        <f t="shared" si="124"/>
        <v>48</v>
      </c>
      <c r="AU160" s="221">
        <f t="shared" si="124"/>
        <v>48</v>
      </c>
      <c r="AV160" s="221">
        <f t="shared" si="124"/>
        <v>54</v>
      </c>
      <c r="AW160" s="221">
        <f t="shared" si="124"/>
        <v>54</v>
      </c>
      <c r="AX160" s="221">
        <f t="shared" si="124"/>
        <v>54</v>
      </c>
      <c r="AY160" s="221">
        <f t="shared" si="124"/>
        <v>54</v>
      </c>
      <c r="AZ160" s="221">
        <f t="shared" si="124"/>
        <v>54</v>
      </c>
      <c r="BA160" s="221">
        <f t="shared" si="124"/>
        <v>54</v>
      </c>
      <c r="BB160" s="221">
        <f t="shared" si="124"/>
        <v>60</v>
      </c>
      <c r="BC160" s="221">
        <f t="shared" si="124"/>
        <v>60</v>
      </c>
      <c r="BD160" s="221">
        <f t="shared" si="124"/>
        <v>60</v>
      </c>
      <c r="BE160" s="221">
        <f t="shared" si="124"/>
        <v>60</v>
      </c>
      <c r="BF160" s="221">
        <f t="shared" si="124"/>
        <v>60</v>
      </c>
      <c r="BG160" s="221">
        <f t="shared" si="124"/>
        <v>60</v>
      </c>
      <c r="BH160" s="221">
        <f t="shared" si="124"/>
        <v>60</v>
      </c>
      <c r="BI160" s="221">
        <f t="shared" si="124"/>
        <v>60</v>
      </c>
      <c r="BJ160" s="221">
        <f t="shared" si="124"/>
        <v>60</v>
      </c>
      <c r="BK160" s="221">
        <f t="shared" si="124"/>
        <v>60</v>
      </c>
      <c r="BL160" s="221">
        <f t="shared" si="124"/>
        <v>60</v>
      </c>
      <c r="BM160" s="221">
        <f t="shared" si="124"/>
        <v>60</v>
      </c>
      <c r="BN160" s="221">
        <f t="shared" si="124"/>
        <v>60</v>
      </c>
      <c r="BO160" s="221">
        <f t="shared" si="124"/>
        <v>60</v>
      </c>
      <c r="BP160" s="221">
        <f t="shared" si="124"/>
        <v>60</v>
      </c>
      <c r="BQ160" s="221">
        <f t="shared" si="124"/>
        <v>60</v>
      </c>
      <c r="BR160" s="221">
        <f t="shared" si="124"/>
        <v>60</v>
      </c>
      <c r="BS160" s="221">
        <f>BS12</f>
        <v>60</v>
      </c>
      <c r="BU160" s="139">
        <f t="shared" si="117"/>
        <v>144</v>
      </c>
      <c r="BV160" s="139">
        <f t="shared" si="118"/>
        <v>396</v>
      </c>
      <c r="BW160" s="139">
        <f t="shared" si="119"/>
        <v>540</v>
      </c>
      <c r="BX160" s="139">
        <f t="shared" si="120"/>
        <v>684</v>
      </c>
      <c r="BY160" s="139">
        <f t="shared" si="121"/>
        <v>720</v>
      </c>
    </row>
    <row r="161" spans="3:77">
      <c r="C161" s="155"/>
      <c r="E161" s="139" t="s">
        <v>499</v>
      </c>
      <c r="G161" s="165" t="s">
        <v>562</v>
      </c>
      <c r="H161" s="165">
        <v>50</v>
      </c>
      <c r="I161" s="158" t="s">
        <v>557</v>
      </c>
      <c r="J161" s="165"/>
      <c r="L161" s="139">
        <v>0</v>
      </c>
      <c r="M161" s="139">
        <f>L161</f>
        <v>0</v>
      </c>
      <c r="N161" s="139">
        <f t="shared" ref="N161:BS164" si="125">M161</f>
        <v>0</v>
      </c>
      <c r="O161" s="139">
        <f t="shared" si="125"/>
        <v>0</v>
      </c>
      <c r="P161" s="139">
        <f t="shared" si="125"/>
        <v>0</v>
      </c>
      <c r="Q161" s="139">
        <f t="shared" si="125"/>
        <v>0</v>
      </c>
      <c r="R161" s="139">
        <f t="shared" si="125"/>
        <v>0</v>
      </c>
      <c r="S161" s="139">
        <f t="shared" si="125"/>
        <v>0</v>
      </c>
      <c r="T161" s="139">
        <f t="shared" si="125"/>
        <v>0</v>
      </c>
      <c r="U161" s="139">
        <f t="shared" si="125"/>
        <v>0</v>
      </c>
      <c r="V161" s="139">
        <f t="shared" si="125"/>
        <v>0</v>
      </c>
      <c r="W161" s="139">
        <f t="shared" si="125"/>
        <v>0</v>
      </c>
      <c r="X161" s="139">
        <f t="shared" si="125"/>
        <v>0</v>
      </c>
      <c r="Y161" s="139">
        <f t="shared" si="125"/>
        <v>0</v>
      </c>
      <c r="Z161" s="139">
        <f t="shared" si="125"/>
        <v>0</v>
      </c>
      <c r="AA161" s="139">
        <f t="shared" si="125"/>
        <v>0</v>
      </c>
      <c r="AB161" s="139">
        <f t="shared" si="125"/>
        <v>0</v>
      </c>
      <c r="AC161" s="139">
        <f t="shared" si="125"/>
        <v>0</v>
      </c>
      <c r="AD161" s="139">
        <f t="shared" si="125"/>
        <v>0</v>
      </c>
      <c r="AE161" s="139">
        <f t="shared" si="125"/>
        <v>0</v>
      </c>
      <c r="AF161" s="139">
        <f t="shared" si="125"/>
        <v>0</v>
      </c>
      <c r="AG161" s="139">
        <f t="shared" si="125"/>
        <v>0</v>
      </c>
      <c r="AH161" s="139">
        <f t="shared" si="125"/>
        <v>0</v>
      </c>
      <c r="AI161" s="139">
        <f t="shared" si="125"/>
        <v>0</v>
      </c>
      <c r="AJ161" s="139">
        <f t="shared" si="125"/>
        <v>0</v>
      </c>
      <c r="AK161" s="139">
        <f t="shared" si="125"/>
        <v>0</v>
      </c>
      <c r="AL161" s="139">
        <f t="shared" si="125"/>
        <v>0</v>
      </c>
      <c r="AM161" s="139">
        <f t="shared" si="125"/>
        <v>0</v>
      </c>
      <c r="AN161" s="139">
        <f t="shared" si="125"/>
        <v>0</v>
      </c>
      <c r="AO161" s="139">
        <f t="shared" si="125"/>
        <v>0</v>
      </c>
      <c r="AP161" s="139">
        <f t="shared" si="125"/>
        <v>0</v>
      </c>
      <c r="AQ161" s="139">
        <f t="shared" si="125"/>
        <v>0</v>
      </c>
      <c r="AR161" s="139">
        <f t="shared" si="125"/>
        <v>0</v>
      </c>
      <c r="AS161" s="139">
        <f t="shared" si="125"/>
        <v>0</v>
      </c>
      <c r="AT161" s="139">
        <f t="shared" si="125"/>
        <v>0</v>
      </c>
      <c r="AU161" s="139">
        <f t="shared" si="125"/>
        <v>0</v>
      </c>
      <c r="AV161" s="139">
        <f t="shared" si="125"/>
        <v>0</v>
      </c>
      <c r="AW161" s="139">
        <f t="shared" si="125"/>
        <v>0</v>
      </c>
      <c r="AX161" s="139">
        <f t="shared" si="125"/>
        <v>0</v>
      </c>
      <c r="AY161" s="139">
        <f t="shared" si="125"/>
        <v>0</v>
      </c>
      <c r="AZ161" s="139">
        <f t="shared" si="125"/>
        <v>0</v>
      </c>
      <c r="BA161" s="139">
        <f t="shared" si="125"/>
        <v>0</v>
      </c>
      <c r="BB161" s="139">
        <f t="shared" si="125"/>
        <v>0</v>
      </c>
      <c r="BC161" s="139">
        <f t="shared" si="125"/>
        <v>0</v>
      </c>
      <c r="BD161" s="139">
        <f t="shared" si="125"/>
        <v>0</v>
      </c>
      <c r="BE161" s="139">
        <f t="shared" si="125"/>
        <v>0</v>
      </c>
      <c r="BF161" s="139">
        <f t="shared" si="125"/>
        <v>0</v>
      </c>
      <c r="BG161" s="139">
        <f t="shared" si="125"/>
        <v>0</v>
      </c>
      <c r="BH161" s="139">
        <f t="shared" si="125"/>
        <v>0</v>
      </c>
      <c r="BI161" s="139">
        <f t="shared" si="125"/>
        <v>0</v>
      </c>
      <c r="BJ161" s="139">
        <f t="shared" si="125"/>
        <v>0</v>
      </c>
      <c r="BK161" s="139">
        <f t="shared" si="125"/>
        <v>0</v>
      </c>
      <c r="BL161" s="139">
        <f t="shared" si="125"/>
        <v>0</v>
      </c>
      <c r="BM161" s="139">
        <f t="shared" si="125"/>
        <v>0</v>
      </c>
      <c r="BN161" s="139">
        <f t="shared" si="125"/>
        <v>0</v>
      </c>
      <c r="BO161" s="139">
        <f t="shared" si="125"/>
        <v>0</v>
      </c>
      <c r="BP161" s="139">
        <f t="shared" si="125"/>
        <v>0</v>
      </c>
      <c r="BQ161" s="139">
        <f t="shared" si="125"/>
        <v>0</v>
      </c>
      <c r="BR161" s="139">
        <f t="shared" si="125"/>
        <v>0</v>
      </c>
      <c r="BS161" s="139">
        <f t="shared" si="125"/>
        <v>0</v>
      </c>
      <c r="BU161" s="139">
        <f t="shared" si="117"/>
        <v>0</v>
      </c>
      <c r="BV161" s="139">
        <f t="shared" si="118"/>
        <v>0</v>
      </c>
      <c r="BW161" s="139">
        <f t="shared" si="119"/>
        <v>0</v>
      </c>
      <c r="BX161" s="139">
        <f t="shared" si="120"/>
        <v>0</v>
      </c>
      <c r="BY161" s="139">
        <f t="shared" si="121"/>
        <v>0</v>
      </c>
    </row>
    <row r="162" spans="3:77">
      <c r="C162" s="155"/>
      <c r="E162" s="139" t="s">
        <v>500</v>
      </c>
      <c r="G162" s="165" t="s">
        <v>562</v>
      </c>
      <c r="H162" s="165">
        <v>40</v>
      </c>
      <c r="I162" s="158" t="s">
        <v>557</v>
      </c>
      <c r="J162" s="165"/>
      <c r="L162" s="139">
        <v>0</v>
      </c>
      <c r="M162" s="139">
        <f>L162</f>
        <v>0</v>
      </c>
      <c r="N162" s="139">
        <f t="shared" si="125"/>
        <v>0</v>
      </c>
      <c r="O162" s="139">
        <f t="shared" si="125"/>
        <v>0</v>
      </c>
      <c r="P162" s="139">
        <f t="shared" si="125"/>
        <v>0</v>
      </c>
      <c r="Q162" s="139">
        <f t="shared" si="125"/>
        <v>0</v>
      </c>
      <c r="R162" s="139">
        <f t="shared" si="125"/>
        <v>0</v>
      </c>
      <c r="S162" s="139">
        <f t="shared" si="125"/>
        <v>0</v>
      </c>
      <c r="T162" s="139">
        <f t="shared" si="125"/>
        <v>0</v>
      </c>
      <c r="U162" s="139">
        <f t="shared" si="125"/>
        <v>0</v>
      </c>
      <c r="V162" s="139">
        <f t="shared" si="125"/>
        <v>0</v>
      </c>
      <c r="W162" s="139">
        <f t="shared" si="125"/>
        <v>0</v>
      </c>
      <c r="X162" s="139">
        <f t="shared" si="125"/>
        <v>0</v>
      </c>
      <c r="Y162" s="139">
        <f t="shared" si="125"/>
        <v>0</v>
      </c>
      <c r="Z162" s="139">
        <f t="shared" si="125"/>
        <v>0</v>
      </c>
      <c r="AA162" s="139">
        <f t="shared" si="125"/>
        <v>0</v>
      </c>
      <c r="AB162" s="139">
        <f t="shared" si="125"/>
        <v>0</v>
      </c>
      <c r="AC162" s="139">
        <f t="shared" si="125"/>
        <v>0</v>
      </c>
      <c r="AD162" s="139">
        <f t="shared" si="125"/>
        <v>0</v>
      </c>
      <c r="AE162" s="139">
        <f t="shared" si="125"/>
        <v>0</v>
      </c>
      <c r="AF162" s="139">
        <f t="shared" si="125"/>
        <v>0</v>
      </c>
      <c r="AG162" s="139">
        <f t="shared" si="125"/>
        <v>0</v>
      </c>
      <c r="AH162" s="139">
        <f t="shared" si="125"/>
        <v>0</v>
      </c>
      <c r="AI162" s="139">
        <f t="shared" si="125"/>
        <v>0</v>
      </c>
      <c r="AJ162" s="139">
        <f t="shared" si="125"/>
        <v>0</v>
      </c>
      <c r="AK162" s="139">
        <f t="shared" si="125"/>
        <v>0</v>
      </c>
      <c r="AL162" s="139">
        <f t="shared" si="125"/>
        <v>0</v>
      </c>
      <c r="AM162" s="139">
        <f t="shared" si="125"/>
        <v>0</v>
      </c>
      <c r="AN162" s="139">
        <f t="shared" si="125"/>
        <v>0</v>
      </c>
      <c r="AO162" s="139">
        <f t="shared" si="125"/>
        <v>0</v>
      </c>
      <c r="AP162" s="139">
        <f t="shared" si="125"/>
        <v>0</v>
      </c>
      <c r="AQ162" s="139">
        <f t="shared" si="125"/>
        <v>0</v>
      </c>
      <c r="AR162" s="139">
        <f t="shared" si="125"/>
        <v>0</v>
      </c>
      <c r="AS162" s="139">
        <f t="shared" si="125"/>
        <v>0</v>
      </c>
      <c r="AT162" s="139">
        <f t="shared" si="125"/>
        <v>0</v>
      </c>
      <c r="AU162" s="139">
        <f t="shared" si="125"/>
        <v>0</v>
      </c>
      <c r="AV162" s="139">
        <f t="shared" si="125"/>
        <v>0</v>
      </c>
      <c r="AW162" s="139">
        <f t="shared" si="125"/>
        <v>0</v>
      </c>
      <c r="AX162" s="139">
        <f t="shared" si="125"/>
        <v>0</v>
      </c>
      <c r="AY162" s="139">
        <f t="shared" si="125"/>
        <v>0</v>
      </c>
      <c r="AZ162" s="139">
        <f t="shared" si="125"/>
        <v>0</v>
      </c>
      <c r="BA162" s="139">
        <f t="shared" si="125"/>
        <v>0</v>
      </c>
      <c r="BB162" s="139">
        <f t="shared" si="125"/>
        <v>0</v>
      </c>
      <c r="BC162" s="139">
        <f t="shared" si="125"/>
        <v>0</v>
      </c>
      <c r="BD162" s="139">
        <f t="shared" si="125"/>
        <v>0</v>
      </c>
      <c r="BE162" s="139">
        <f t="shared" si="125"/>
        <v>0</v>
      </c>
      <c r="BF162" s="139">
        <f t="shared" si="125"/>
        <v>0</v>
      </c>
      <c r="BG162" s="139">
        <f t="shared" si="125"/>
        <v>0</v>
      </c>
      <c r="BH162" s="139">
        <f t="shared" si="125"/>
        <v>0</v>
      </c>
      <c r="BI162" s="139">
        <f t="shared" si="125"/>
        <v>0</v>
      </c>
      <c r="BJ162" s="139">
        <f t="shared" si="125"/>
        <v>0</v>
      </c>
      <c r="BK162" s="139">
        <f t="shared" si="125"/>
        <v>0</v>
      </c>
      <c r="BL162" s="139">
        <f t="shared" si="125"/>
        <v>0</v>
      </c>
      <c r="BM162" s="139">
        <f t="shared" si="125"/>
        <v>0</v>
      </c>
      <c r="BN162" s="139">
        <f t="shared" si="125"/>
        <v>0</v>
      </c>
      <c r="BO162" s="139">
        <f t="shared" si="125"/>
        <v>0</v>
      </c>
      <c r="BP162" s="139">
        <f t="shared" si="125"/>
        <v>0</v>
      </c>
      <c r="BQ162" s="139">
        <f t="shared" si="125"/>
        <v>0</v>
      </c>
      <c r="BR162" s="139">
        <f t="shared" si="125"/>
        <v>0</v>
      </c>
      <c r="BS162" s="139">
        <f t="shared" si="125"/>
        <v>0</v>
      </c>
      <c r="BU162" s="139">
        <f t="shared" si="117"/>
        <v>0</v>
      </c>
      <c r="BV162" s="139">
        <f t="shared" si="118"/>
        <v>0</v>
      </c>
      <c r="BW162" s="139">
        <f t="shared" si="119"/>
        <v>0</v>
      </c>
      <c r="BX162" s="139">
        <f t="shared" si="120"/>
        <v>0</v>
      </c>
      <c r="BY162" s="139">
        <f t="shared" si="121"/>
        <v>0</v>
      </c>
    </row>
    <row r="163" spans="3:77">
      <c r="C163" s="155"/>
      <c r="E163" s="139" t="s">
        <v>501</v>
      </c>
      <c r="G163" s="165" t="s">
        <v>562</v>
      </c>
      <c r="H163" s="165">
        <v>25</v>
      </c>
      <c r="I163" s="158" t="s">
        <v>557</v>
      </c>
      <c r="J163" s="165"/>
      <c r="L163" s="139">
        <v>0</v>
      </c>
      <c r="M163" s="139">
        <f>L163</f>
        <v>0</v>
      </c>
      <c r="N163" s="139">
        <f t="shared" si="125"/>
        <v>0</v>
      </c>
      <c r="O163" s="139">
        <f t="shared" si="125"/>
        <v>0</v>
      </c>
      <c r="P163" s="139">
        <f t="shared" si="125"/>
        <v>0</v>
      </c>
      <c r="Q163" s="139">
        <f t="shared" si="125"/>
        <v>0</v>
      </c>
      <c r="R163" s="139">
        <f t="shared" si="125"/>
        <v>0</v>
      </c>
      <c r="S163" s="139">
        <f t="shared" si="125"/>
        <v>0</v>
      </c>
      <c r="T163" s="139">
        <f t="shared" si="125"/>
        <v>0</v>
      </c>
      <c r="U163" s="139">
        <f t="shared" si="125"/>
        <v>0</v>
      </c>
      <c r="V163" s="139">
        <f t="shared" si="125"/>
        <v>0</v>
      </c>
      <c r="W163" s="139">
        <f t="shared" si="125"/>
        <v>0</v>
      </c>
      <c r="X163" s="139">
        <f t="shared" si="125"/>
        <v>0</v>
      </c>
      <c r="Y163" s="139">
        <f t="shared" si="125"/>
        <v>0</v>
      </c>
      <c r="Z163" s="139">
        <f t="shared" si="125"/>
        <v>0</v>
      </c>
      <c r="AA163" s="139">
        <f t="shared" si="125"/>
        <v>0</v>
      </c>
      <c r="AB163" s="139">
        <f t="shared" si="125"/>
        <v>0</v>
      </c>
      <c r="AC163" s="139">
        <f t="shared" si="125"/>
        <v>0</v>
      </c>
      <c r="AD163" s="139">
        <f t="shared" si="125"/>
        <v>0</v>
      </c>
      <c r="AE163" s="139">
        <f t="shared" si="125"/>
        <v>0</v>
      </c>
      <c r="AF163" s="139">
        <f t="shared" si="125"/>
        <v>0</v>
      </c>
      <c r="AG163" s="139">
        <f t="shared" si="125"/>
        <v>0</v>
      </c>
      <c r="AH163" s="139">
        <f t="shared" si="125"/>
        <v>0</v>
      </c>
      <c r="AI163" s="139">
        <f t="shared" si="125"/>
        <v>0</v>
      </c>
      <c r="AJ163" s="139">
        <f t="shared" si="125"/>
        <v>0</v>
      </c>
      <c r="AK163" s="139">
        <f t="shared" si="125"/>
        <v>0</v>
      </c>
      <c r="AL163" s="139">
        <f t="shared" si="125"/>
        <v>0</v>
      </c>
      <c r="AM163" s="139">
        <f t="shared" si="125"/>
        <v>0</v>
      </c>
      <c r="AN163" s="139">
        <f t="shared" si="125"/>
        <v>0</v>
      </c>
      <c r="AO163" s="139">
        <f t="shared" si="125"/>
        <v>0</v>
      </c>
      <c r="AP163" s="139">
        <f t="shared" si="125"/>
        <v>0</v>
      </c>
      <c r="AQ163" s="139">
        <f t="shared" si="125"/>
        <v>0</v>
      </c>
      <c r="AR163" s="139">
        <f t="shared" si="125"/>
        <v>0</v>
      </c>
      <c r="AS163" s="139">
        <f t="shared" si="125"/>
        <v>0</v>
      </c>
      <c r="AT163" s="139">
        <f t="shared" si="125"/>
        <v>0</v>
      </c>
      <c r="AU163" s="139">
        <f t="shared" si="125"/>
        <v>0</v>
      </c>
      <c r="AV163" s="139">
        <f t="shared" si="125"/>
        <v>0</v>
      </c>
      <c r="AW163" s="139">
        <f t="shared" si="125"/>
        <v>0</v>
      </c>
      <c r="AX163" s="139">
        <f t="shared" si="125"/>
        <v>0</v>
      </c>
      <c r="AY163" s="139">
        <f t="shared" si="125"/>
        <v>0</v>
      </c>
      <c r="AZ163" s="139">
        <f t="shared" si="125"/>
        <v>0</v>
      </c>
      <c r="BA163" s="139">
        <f t="shared" si="125"/>
        <v>0</v>
      </c>
      <c r="BB163" s="139">
        <f t="shared" si="125"/>
        <v>0</v>
      </c>
      <c r="BC163" s="139">
        <f t="shared" si="125"/>
        <v>0</v>
      </c>
      <c r="BD163" s="139">
        <f t="shared" si="125"/>
        <v>0</v>
      </c>
      <c r="BE163" s="139">
        <f t="shared" si="125"/>
        <v>0</v>
      </c>
      <c r="BF163" s="139">
        <f t="shared" si="125"/>
        <v>0</v>
      </c>
      <c r="BG163" s="139">
        <f t="shared" si="125"/>
        <v>0</v>
      </c>
      <c r="BH163" s="139">
        <f t="shared" si="125"/>
        <v>0</v>
      </c>
      <c r="BI163" s="139">
        <f t="shared" si="125"/>
        <v>0</v>
      </c>
      <c r="BJ163" s="139">
        <f t="shared" si="125"/>
        <v>0</v>
      </c>
      <c r="BK163" s="139">
        <f t="shared" si="125"/>
        <v>0</v>
      </c>
      <c r="BL163" s="139">
        <f t="shared" si="125"/>
        <v>0</v>
      </c>
      <c r="BM163" s="139">
        <f t="shared" si="125"/>
        <v>0</v>
      </c>
      <c r="BN163" s="139">
        <f t="shared" si="125"/>
        <v>0</v>
      </c>
      <c r="BO163" s="139">
        <f t="shared" si="125"/>
        <v>0</v>
      </c>
      <c r="BP163" s="139">
        <f t="shared" si="125"/>
        <v>0</v>
      </c>
      <c r="BQ163" s="139">
        <f t="shared" si="125"/>
        <v>0</v>
      </c>
      <c r="BR163" s="139">
        <f t="shared" si="125"/>
        <v>0</v>
      </c>
      <c r="BS163" s="139">
        <f t="shared" si="125"/>
        <v>0</v>
      </c>
      <c r="BU163" s="139">
        <f t="shared" si="117"/>
        <v>0</v>
      </c>
      <c r="BV163" s="139">
        <f t="shared" si="118"/>
        <v>0</v>
      </c>
      <c r="BW163" s="139">
        <f t="shared" si="119"/>
        <v>0</v>
      </c>
      <c r="BX163" s="139">
        <f t="shared" si="120"/>
        <v>0</v>
      </c>
      <c r="BY163" s="139">
        <f t="shared" si="121"/>
        <v>0</v>
      </c>
    </row>
    <row r="164" spans="3:77">
      <c r="C164" s="155"/>
      <c r="E164" s="139" t="s">
        <v>502</v>
      </c>
      <c r="F164" s="139" t="s">
        <v>561</v>
      </c>
      <c r="G164" s="311">
        <v>1</v>
      </c>
      <c r="H164" s="139">
        <v>45</v>
      </c>
      <c r="I164" s="139" t="s">
        <v>1353</v>
      </c>
      <c r="J164" s="139" t="s">
        <v>575</v>
      </c>
      <c r="L164" s="139">
        <v>1</v>
      </c>
      <c r="M164" s="139">
        <f>L164</f>
        <v>1</v>
      </c>
      <c r="N164" s="139">
        <f t="shared" si="125"/>
        <v>1</v>
      </c>
      <c r="O164" s="139">
        <f t="shared" si="125"/>
        <v>1</v>
      </c>
      <c r="P164" s="139">
        <f t="shared" si="125"/>
        <v>1</v>
      </c>
      <c r="Q164" s="139">
        <f t="shared" si="125"/>
        <v>1</v>
      </c>
      <c r="R164" s="139">
        <f t="shared" si="125"/>
        <v>1</v>
      </c>
      <c r="S164" s="139">
        <f t="shared" si="125"/>
        <v>1</v>
      </c>
      <c r="T164" s="139">
        <f t="shared" si="125"/>
        <v>1</v>
      </c>
      <c r="U164" s="139">
        <f t="shared" si="125"/>
        <v>1</v>
      </c>
      <c r="V164" s="139">
        <f t="shared" si="125"/>
        <v>1</v>
      </c>
      <c r="W164" s="139">
        <f t="shared" si="125"/>
        <v>1</v>
      </c>
      <c r="X164" s="139">
        <f t="shared" si="125"/>
        <v>1</v>
      </c>
      <c r="Y164" s="139">
        <f t="shared" si="125"/>
        <v>1</v>
      </c>
      <c r="Z164" s="139">
        <f t="shared" si="125"/>
        <v>1</v>
      </c>
      <c r="AA164" s="139">
        <f t="shared" si="125"/>
        <v>1</v>
      </c>
      <c r="AB164" s="139">
        <f t="shared" si="125"/>
        <v>1</v>
      </c>
      <c r="AC164" s="139">
        <f t="shared" si="125"/>
        <v>1</v>
      </c>
      <c r="AD164" s="139">
        <f t="shared" si="125"/>
        <v>1</v>
      </c>
      <c r="AE164" s="139">
        <f t="shared" si="125"/>
        <v>1</v>
      </c>
      <c r="AF164" s="139">
        <f t="shared" si="125"/>
        <v>1</v>
      </c>
      <c r="AG164" s="139">
        <f t="shared" si="125"/>
        <v>1</v>
      </c>
      <c r="AH164" s="139">
        <f t="shared" si="125"/>
        <v>1</v>
      </c>
      <c r="AI164" s="139">
        <f t="shared" si="125"/>
        <v>1</v>
      </c>
      <c r="AJ164" s="139">
        <f t="shared" si="125"/>
        <v>1</v>
      </c>
      <c r="AK164" s="139">
        <f t="shared" si="125"/>
        <v>1</v>
      </c>
      <c r="AL164" s="139">
        <f t="shared" si="125"/>
        <v>1</v>
      </c>
      <c r="AM164" s="139">
        <f t="shared" si="125"/>
        <v>1</v>
      </c>
      <c r="AN164" s="139">
        <f t="shared" si="125"/>
        <v>1</v>
      </c>
      <c r="AO164" s="139">
        <f t="shared" si="125"/>
        <v>1</v>
      </c>
      <c r="AP164" s="139">
        <f t="shared" si="125"/>
        <v>1</v>
      </c>
      <c r="AQ164" s="139">
        <f t="shared" si="125"/>
        <v>1</v>
      </c>
      <c r="AR164" s="139">
        <f t="shared" si="125"/>
        <v>1</v>
      </c>
      <c r="AS164" s="139">
        <f t="shared" si="125"/>
        <v>1</v>
      </c>
      <c r="AT164" s="139">
        <f t="shared" si="125"/>
        <v>1</v>
      </c>
      <c r="AU164" s="139">
        <f t="shared" si="125"/>
        <v>1</v>
      </c>
      <c r="AV164" s="139">
        <f t="shared" si="125"/>
        <v>1</v>
      </c>
      <c r="AW164" s="139">
        <f t="shared" si="125"/>
        <v>1</v>
      </c>
      <c r="AX164" s="139">
        <f t="shared" si="125"/>
        <v>1</v>
      </c>
      <c r="AY164" s="139">
        <f t="shared" si="125"/>
        <v>1</v>
      </c>
      <c r="AZ164" s="139">
        <f t="shared" si="125"/>
        <v>1</v>
      </c>
      <c r="BA164" s="139">
        <f t="shared" si="125"/>
        <v>1</v>
      </c>
      <c r="BB164" s="139">
        <f t="shared" si="125"/>
        <v>1</v>
      </c>
      <c r="BC164" s="139">
        <f t="shared" si="125"/>
        <v>1</v>
      </c>
      <c r="BD164" s="139">
        <f t="shared" si="125"/>
        <v>1</v>
      </c>
      <c r="BE164" s="139">
        <f t="shared" si="125"/>
        <v>1</v>
      </c>
      <c r="BF164" s="139">
        <f t="shared" si="125"/>
        <v>1</v>
      </c>
      <c r="BG164" s="139">
        <f t="shared" si="125"/>
        <v>1</v>
      </c>
      <c r="BH164" s="139">
        <f t="shared" si="125"/>
        <v>1</v>
      </c>
      <c r="BI164" s="139">
        <f t="shared" si="125"/>
        <v>1</v>
      </c>
      <c r="BJ164" s="139">
        <f t="shared" si="125"/>
        <v>1</v>
      </c>
      <c r="BK164" s="139">
        <f t="shared" si="125"/>
        <v>1</v>
      </c>
      <c r="BL164" s="139">
        <f t="shared" si="125"/>
        <v>1</v>
      </c>
      <c r="BM164" s="139">
        <f t="shared" si="125"/>
        <v>1</v>
      </c>
      <c r="BN164" s="139">
        <f t="shared" si="125"/>
        <v>1</v>
      </c>
      <c r="BO164" s="139">
        <f t="shared" si="125"/>
        <v>1</v>
      </c>
      <c r="BP164" s="139">
        <f t="shared" si="125"/>
        <v>1</v>
      </c>
      <c r="BQ164" s="139">
        <f t="shared" si="125"/>
        <v>1</v>
      </c>
      <c r="BR164" s="139">
        <f t="shared" si="125"/>
        <v>1</v>
      </c>
      <c r="BS164" s="139">
        <f t="shared" si="125"/>
        <v>1</v>
      </c>
      <c r="BU164" s="139">
        <f t="shared" si="117"/>
        <v>12</v>
      </c>
      <c r="BV164" s="139">
        <f t="shared" si="118"/>
        <v>12</v>
      </c>
      <c r="BW164" s="139">
        <f t="shared" si="119"/>
        <v>12</v>
      </c>
      <c r="BX164" s="139">
        <f t="shared" si="120"/>
        <v>12</v>
      </c>
      <c r="BY164" s="139">
        <f t="shared" si="121"/>
        <v>12</v>
      </c>
    </row>
    <row r="165" spans="3:77">
      <c r="C165" s="155"/>
      <c r="E165" s="139" t="s">
        <v>503</v>
      </c>
      <c r="F165" s="139" t="s">
        <v>613</v>
      </c>
      <c r="G165" s="359">
        <v>3</v>
      </c>
      <c r="H165" s="139" t="s">
        <v>1356</v>
      </c>
      <c r="I165" s="139" t="s">
        <v>1353</v>
      </c>
      <c r="L165" s="139">
        <f t="shared" ref="L165:U166" si="126">L$5*$G165</f>
        <v>0</v>
      </c>
      <c r="M165" s="139">
        <f t="shared" si="126"/>
        <v>0</v>
      </c>
      <c r="N165" s="139">
        <f t="shared" si="126"/>
        <v>0</v>
      </c>
      <c r="O165" s="139">
        <f t="shared" si="126"/>
        <v>0</v>
      </c>
      <c r="P165" s="139">
        <f t="shared" si="126"/>
        <v>0</v>
      </c>
      <c r="Q165" s="139">
        <f t="shared" si="126"/>
        <v>0</v>
      </c>
      <c r="R165" s="139">
        <f t="shared" si="126"/>
        <v>12</v>
      </c>
      <c r="S165" s="139">
        <f t="shared" si="126"/>
        <v>12</v>
      </c>
      <c r="T165" s="139">
        <f t="shared" si="126"/>
        <v>12</v>
      </c>
      <c r="U165" s="139">
        <f t="shared" si="126"/>
        <v>12</v>
      </c>
      <c r="V165" s="139">
        <f t="shared" ref="V165:AE166" si="127">V$5*$G165</f>
        <v>12</v>
      </c>
      <c r="W165" s="139">
        <f t="shared" si="127"/>
        <v>12</v>
      </c>
      <c r="X165" s="139">
        <f t="shared" si="127"/>
        <v>15</v>
      </c>
      <c r="Y165" s="139">
        <f t="shared" si="127"/>
        <v>15</v>
      </c>
      <c r="Z165" s="139">
        <f t="shared" si="127"/>
        <v>15</v>
      </c>
      <c r="AA165" s="139">
        <f t="shared" si="127"/>
        <v>15</v>
      </c>
      <c r="AB165" s="139">
        <f t="shared" si="127"/>
        <v>15</v>
      </c>
      <c r="AC165" s="139">
        <f t="shared" si="127"/>
        <v>15</v>
      </c>
      <c r="AD165" s="139">
        <f t="shared" si="127"/>
        <v>18</v>
      </c>
      <c r="AE165" s="139">
        <f t="shared" si="127"/>
        <v>18</v>
      </c>
      <c r="AF165" s="139">
        <f t="shared" ref="AF165:AO166" si="128">AF$5*$G165</f>
        <v>18</v>
      </c>
      <c r="AG165" s="139">
        <f t="shared" si="128"/>
        <v>18</v>
      </c>
      <c r="AH165" s="139">
        <f t="shared" si="128"/>
        <v>18</v>
      </c>
      <c r="AI165" s="139">
        <f t="shared" si="128"/>
        <v>18</v>
      </c>
      <c r="AJ165" s="139">
        <f t="shared" si="128"/>
        <v>21</v>
      </c>
      <c r="AK165" s="139">
        <f t="shared" si="128"/>
        <v>21</v>
      </c>
      <c r="AL165" s="139">
        <f t="shared" si="128"/>
        <v>21</v>
      </c>
      <c r="AM165" s="139">
        <f t="shared" si="128"/>
        <v>21</v>
      </c>
      <c r="AN165" s="139">
        <f t="shared" si="128"/>
        <v>21</v>
      </c>
      <c r="AO165" s="139">
        <f t="shared" si="128"/>
        <v>21</v>
      </c>
      <c r="AP165" s="139">
        <f t="shared" ref="AP165:AY166" si="129">AP$5*$G165</f>
        <v>24</v>
      </c>
      <c r="AQ165" s="139">
        <f t="shared" si="129"/>
        <v>24</v>
      </c>
      <c r="AR165" s="139">
        <f t="shared" si="129"/>
        <v>24</v>
      </c>
      <c r="AS165" s="139">
        <f t="shared" si="129"/>
        <v>24</v>
      </c>
      <c r="AT165" s="139">
        <f t="shared" si="129"/>
        <v>24</v>
      </c>
      <c r="AU165" s="139">
        <f t="shared" si="129"/>
        <v>24</v>
      </c>
      <c r="AV165" s="139">
        <f t="shared" si="129"/>
        <v>27</v>
      </c>
      <c r="AW165" s="139">
        <f t="shared" si="129"/>
        <v>27</v>
      </c>
      <c r="AX165" s="139">
        <f t="shared" si="129"/>
        <v>27</v>
      </c>
      <c r="AY165" s="139">
        <f t="shared" si="129"/>
        <v>27</v>
      </c>
      <c r="AZ165" s="139">
        <f t="shared" ref="AZ165:BI166" si="130">AZ$5*$G165</f>
        <v>27</v>
      </c>
      <c r="BA165" s="139">
        <f t="shared" si="130"/>
        <v>27</v>
      </c>
      <c r="BB165" s="139">
        <f t="shared" si="130"/>
        <v>30</v>
      </c>
      <c r="BC165" s="139">
        <f t="shared" si="130"/>
        <v>30</v>
      </c>
      <c r="BD165" s="139">
        <f t="shared" si="130"/>
        <v>30</v>
      </c>
      <c r="BE165" s="139">
        <f t="shared" si="130"/>
        <v>30</v>
      </c>
      <c r="BF165" s="139">
        <f t="shared" si="130"/>
        <v>30</v>
      </c>
      <c r="BG165" s="139">
        <f t="shared" si="130"/>
        <v>30</v>
      </c>
      <c r="BH165" s="139">
        <f t="shared" si="130"/>
        <v>30</v>
      </c>
      <c r="BI165" s="139">
        <f t="shared" si="130"/>
        <v>30</v>
      </c>
      <c r="BJ165" s="139">
        <f t="shared" ref="BJ165:BS166" si="131">BJ$5*$G165</f>
        <v>30</v>
      </c>
      <c r="BK165" s="139">
        <f t="shared" si="131"/>
        <v>30</v>
      </c>
      <c r="BL165" s="139">
        <f t="shared" si="131"/>
        <v>30</v>
      </c>
      <c r="BM165" s="139">
        <f t="shared" si="131"/>
        <v>30</v>
      </c>
      <c r="BN165" s="139">
        <f t="shared" si="131"/>
        <v>30</v>
      </c>
      <c r="BO165" s="139">
        <f t="shared" si="131"/>
        <v>30</v>
      </c>
      <c r="BP165" s="139">
        <f t="shared" si="131"/>
        <v>30</v>
      </c>
      <c r="BQ165" s="139">
        <f t="shared" si="131"/>
        <v>30</v>
      </c>
      <c r="BR165" s="139">
        <f t="shared" si="131"/>
        <v>30</v>
      </c>
      <c r="BS165" s="139">
        <f t="shared" si="131"/>
        <v>30</v>
      </c>
      <c r="BU165" s="139">
        <f t="shared" si="117"/>
        <v>72</v>
      </c>
      <c r="BV165" s="139">
        <f t="shared" si="118"/>
        <v>198</v>
      </c>
      <c r="BW165" s="139">
        <f t="shared" si="119"/>
        <v>270</v>
      </c>
      <c r="BX165" s="139">
        <f t="shared" si="120"/>
        <v>342</v>
      </c>
      <c r="BY165" s="139">
        <f t="shared" si="121"/>
        <v>360</v>
      </c>
    </row>
    <row r="166" spans="3:77">
      <c r="C166" s="155"/>
      <c r="E166" s="139" t="s">
        <v>504</v>
      </c>
      <c r="G166" s="359">
        <v>1</v>
      </c>
      <c r="H166" s="139" t="s">
        <v>1356</v>
      </c>
      <c r="I166" s="139" t="s">
        <v>1353</v>
      </c>
      <c r="J166" s="158"/>
      <c r="L166" s="139">
        <f t="shared" si="126"/>
        <v>0</v>
      </c>
      <c r="M166" s="139">
        <f t="shared" si="126"/>
        <v>0</v>
      </c>
      <c r="N166" s="139">
        <f t="shared" si="126"/>
        <v>0</v>
      </c>
      <c r="O166" s="139">
        <f t="shared" si="126"/>
        <v>0</v>
      </c>
      <c r="P166" s="139">
        <f t="shared" si="126"/>
        <v>0</v>
      </c>
      <c r="Q166" s="139">
        <f t="shared" si="126"/>
        <v>0</v>
      </c>
      <c r="R166" s="139">
        <f t="shared" si="126"/>
        <v>4</v>
      </c>
      <c r="S166" s="139">
        <f t="shared" si="126"/>
        <v>4</v>
      </c>
      <c r="T166" s="139">
        <f t="shared" si="126"/>
        <v>4</v>
      </c>
      <c r="U166" s="139">
        <f t="shared" si="126"/>
        <v>4</v>
      </c>
      <c r="V166" s="139">
        <f t="shared" si="127"/>
        <v>4</v>
      </c>
      <c r="W166" s="139">
        <f t="shared" si="127"/>
        <v>4</v>
      </c>
      <c r="X166" s="139">
        <f t="shared" si="127"/>
        <v>5</v>
      </c>
      <c r="Y166" s="139">
        <f t="shared" si="127"/>
        <v>5</v>
      </c>
      <c r="Z166" s="139">
        <f t="shared" si="127"/>
        <v>5</v>
      </c>
      <c r="AA166" s="139">
        <f t="shared" si="127"/>
        <v>5</v>
      </c>
      <c r="AB166" s="139">
        <f t="shared" si="127"/>
        <v>5</v>
      </c>
      <c r="AC166" s="139">
        <f t="shared" si="127"/>
        <v>5</v>
      </c>
      <c r="AD166" s="139">
        <f t="shared" si="127"/>
        <v>6</v>
      </c>
      <c r="AE166" s="139">
        <f t="shared" si="127"/>
        <v>6</v>
      </c>
      <c r="AF166" s="139">
        <f t="shared" si="128"/>
        <v>6</v>
      </c>
      <c r="AG166" s="139">
        <f t="shared" si="128"/>
        <v>6</v>
      </c>
      <c r="AH166" s="139">
        <f t="shared" si="128"/>
        <v>6</v>
      </c>
      <c r="AI166" s="139">
        <f t="shared" si="128"/>
        <v>6</v>
      </c>
      <c r="AJ166" s="139">
        <f t="shared" si="128"/>
        <v>7</v>
      </c>
      <c r="AK166" s="139">
        <f t="shared" si="128"/>
        <v>7</v>
      </c>
      <c r="AL166" s="139">
        <f t="shared" si="128"/>
        <v>7</v>
      </c>
      <c r="AM166" s="139">
        <f t="shared" si="128"/>
        <v>7</v>
      </c>
      <c r="AN166" s="139">
        <f t="shared" si="128"/>
        <v>7</v>
      </c>
      <c r="AO166" s="139">
        <f t="shared" si="128"/>
        <v>7</v>
      </c>
      <c r="AP166" s="139">
        <f t="shared" si="129"/>
        <v>8</v>
      </c>
      <c r="AQ166" s="139">
        <f t="shared" si="129"/>
        <v>8</v>
      </c>
      <c r="AR166" s="139">
        <f t="shared" si="129"/>
        <v>8</v>
      </c>
      <c r="AS166" s="139">
        <f t="shared" si="129"/>
        <v>8</v>
      </c>
      <c r="AT166" s="139">
        <f t="shared" si="129"/>
        <v>8</v>
      </c>
      <c r="AU166" s="139">
        <f t="shared" si="129"/>
        <v>8</v>
      </c>
      <c r="AV166" s="139">
        <f t="shared" si="129"/>
        <v>9</v>
      </c>
      <c r="AW166" s="139">
        <f t="shared" si="129"/>
        <v>9</v>
      </c>
      <c r="AX166" s="139">
        <f t="shared" si="129"/>
        <v>9</v>
      </c>
      <c r="AY166" s="139">
        <f t="shared" si="129"/>
        <v>9</v>
      </c>
      <c r="AZ166" s="139">
        <f t="shared" si="130"/>
        <v>9</v>
      </c>
      <c r="BA166" s="139">
        <f t="shared" si="130"/>
        <v>9</v>
      </c>
      <c r="BB166" s="139">
        <f t="shared" si="130"/>
        <v>10</v>
      </c>
      <c r="BC166" s="139">
        <f t="shared" si="130"/>
        <v>10</v>
      </c>
      <c r="BD166" s="139">
        <f t="shared" si="130"/>
        <v>10</v>
      </c>
      <c r="BE166" s="139">
        <f t="shared" si="130"/>
        <v>10</v>
      </c>
      <c r="BF166" s="139">
        <f t="shared" si="130"/>
        <v>10</v>
      </c>
      <c r="BG166" s="139">
        <f t="shared" si="130"/>
        <v>10</v>
      </c>
      <c r="BH166" s="139">
        <f t="shared" si="130"/>
        <v>10</v>
      </c>
      <c r="BI166" s="139">
        <f t="shared" si="130"/>
        <v>10</v>
      </c>
      <c r="BJ166" s="139">
        <f t="shared" si="131"/>
        <v>10</v>
      </c>
      <c r="BK166" s="139">
        <f t="shared" si="131"/>
        <v>10</v>
      </c>
      <c r="BL166" s="139">
        <f t="shared" si="131"/>
        <v>10</v>
      </c>
      <c r="BM166" s="139">
        <f t="shared" si="131"/>
        <v>10</v>
      </c>
      <c r="BN166" s="139">
        <f t="shared" si="131"/>
        <v>10</v>
      </c>
      <c r="BO166" s="139">
        <f t="shared" si="131"/>
        <v>10</v>
      </c>
      <c r="BP166" s="139">
        <f t="shared" si="131"/>
        <v>10</v>
      </c>
      <c r="BQ166" s="139">
        <f t="shared" si="131"/>
        <v>10</v>
      </c>
      <c r="BR166" s="139">
        <f t="shared" si="131"/>
        <v>10</v>
      </c>
      <c r="BS166" s="139">
        <f t="shared" si="131"/>
        <v>10</v>
      </c>
      <c r="BU166" s="139">
        <f t="shared" si="117"/>
        <v>24</v>
      </c>
      <c r="BV166" s="139">
        <f t="shared" si="118"/>
        <v>66</v>
      </c>
      <c r="BW166" s="139">
        <f t="shared" si="119"/>
        <v>90</v>
      </c>
      <c r="BX166" s="139">
        <f t="shared" si="120"/>
        <v>114</v>
      </c>
      <c r="BY166" s="139">
        <f t="shared" si="121"/>
        <v>120</v>
      </c>
    </row>
    <row r="167" spans="3:77">
      <c r="C167" s="155"/>
      <c r="E167" s="139" t="s">
        <v>505</v>
      </c>
      <c r="F167" s="139" t="s">
        <v>561</v>
      </c>
      <c r="G167" s="311"/>
      <c r="H167" s="139">
        <v>60</v>
      </c>
      <c r="I167" s="139" t="s">
        <v>555</v>
      </c>
      <c r="J167" s="139" t="s">
        <v>575</v>
      </c>
      <c r="L167" s="139">
        <v>1</v>
      </c>
      <c r="M167" s="139">
        <f>L167</f>
        <v>1</v>
      </c>
      <c r="N167" s="139">
        <f t="shared" ref="N167:BS167" si="132">M167</f>
        <v>1</v>
      </c>
      <c r="O167" s="139">
        <f t="shared" si="132"/>
        <v>1</v>
      </c>
      <c r="P167" s="139">
        <f t="shared" si="132"/>
        <v>1</v>
      </c>
      <c r="Q167" s="139">
        <f t="shared" si="132"/>
        <v>1</v>
      </c>
      <c r="R167" s="139">
        <f t="shared" si="132"/>
        <v>1</v>
      </c>
      <c r="S167" s="139">
        <f t="shared" si="132"/>
        <v>1</v>
      </c>
      <c r="T167" s="139">
        <f t="shared" si="132"/>
        <v>1</v>
      </c>
      <c r="U167" s="139">
        <f t="shared" si="132"/>
        <v>1</v>
      </c>
      <c r="V167" s="139">
        <f t="shared" si="132"/>
        <v>1</v>
      </c>
      <c r="W167" s="139">
        <f t="shared" si="132"/>
        <v>1</v>
      </c>
      <c r="X167" s="139">
        <f t="shared" si="132"/>
        <v>1</v>
      </c>
      <c r="Y167" s="139">
        <f t="shared" si="132"/>
        <v>1</v>
      </c>
      <c r="Z167" s="139">
        <f t="shared" si="132"/>
        <v>1</v>
      </c>
      <c r="AA167" s="139">
        <f t="shared" si="132"/>
        <v>1</v>
      </c>
      <c r="AB167" s="139">
        <f t="shared" si="132"/>
        <v>1</v>
      </c>
      <c r="AC167" s="139">
        <f t="shared" si="132"/>
        <v>1</v>
      </c>
      <c r="AD167" s="139">
        <f t="shared" si="132"/>
        <v>1</v>
      </c>
      <c r="AE167" s="139">
        <f t="shared" si="132"/>
        <v>1</v>
      </c>
      <c r="AF167" s="139">
        <f t="shared" si="132"/>
        <v>1</v>
      </c>
      <c r="AG167" s="139">
        <f t="shared" si="132"/>
        <v>1</v>
      </c>
      <c r="AH167" s="139">
        <f t="shared" si="132"/>
        <v>1</v>
      </c>
      <c r="AI167" s="139">
        <f t="shared" si="132"/>
        <v>1</v>
      </c>
      <c r="AJ167" s="139">
        <f t="shared" si="132"/>
        <v>1</v>
      </c>
      <c r="AK167" s="139">
        <f t="shared" si="132"/>
        <v>1</v>
      </c>
      <c r="AL167" s="139">
        <f t="shared" si="132"/>
        <v>1</v>
      </c>
      <c r="AM167" s="139">
        <f t="shared" si="132"/>
        <v>1</v>
      </c>
      <c r="AN167" s="139">
        <f t="shared" si="132"/>
        <v>1</v>
      </c>
      <c r="AO167" s="139">
        <f t="shared" si="132"/>
        <v>1</v>
      </c>
      <c r="AP167" s="139">
        <f t="shared" si="132"/>
        <v>1</v>
      </c>
      <c r="AQ167" s="139">
        <f t="shared" si="132"/>
        <v>1</v>
      </c>
      <c r="AR167" s="139">
        <f t="shared" si="132"/>
        <v>1</v>
      </c>
      <c r="AS167" s="139">
        <f t="shared" si="132"/>
        <v>1</v>
      </c>
      <c r="AT167" s="139">
        <f t="shared" si="132"/>
        <v>1</v>
      </c>
      <c r="AU167" s="139">
        <f t="shared" si="132"/>
        <v>1</v>
      </c>
      <c r="AV167" s="139">
        <f t="shared" si="132"/>
        <v>1</v>
      </c>
      <c r="AW167" s="139">
        <f t="shared" si="132"/>
        <v>1</v>
      </c>
      <c r="AX167" s="139">
        <f t="shared" si="132"/>
        <v>1</v>
      </c>
      <c r="AY167" s="139">
        <f t="shared" si="132"/>
        <v>1</v>
      </c>
      <c r="AZ167" s="139">
        <f t="shared" si="132"/>
        <v>1</v>
      </c>
      <c r="BA167" s="139">
        <f t="shared" si="132"/>
        <v>1</v>
      </c>
      <c r="BB167" s="139">
        <f t="shared" si="132"/>
        <v>1</v>
      </c>
      <c r="BC167" s="139">
        <f t="shared" si="132"/>
        <v>1</v>
      </c>
      <c r="BD167" s="139">
        <f t="shared" si="132"/>
        <v>1</v>
      </c>
      <c r="BE167" s="139">
        <f t="shared" si="132"/>
        <v>1</v>
      </c>
      <c r="BF167" s="139">
        <f t="shared" si="132"/>
        <v>1</v>
      </c>
      <c r="BG167" s="139">
        <f t="shared" si="132"/>
        <v>1</v>
      </c>
      <c r="BH167" s="139">
        <f t="shared" si="132"/>
        <v>1</v>
      </c>
      <c r="BI167" s="139">
        <f t="shared" si="132"/>
        <v>1</v>
      </c>
      <c r="BJ167" s="139">
        <f t="shared" si="132"/>
        <v>1</v>
      </c>
      <c r="BK167" s="139">
        <f t="shared" si="132"/>
        <v>1</v>
      </c>
      <c r="BL167" s="139">
        <f t="shared" si="132"/>
        <v>1</v>
      </c>
      <c r="BM167" s="139">
        <f t="shared" si="132"/>
        <v>1</v>
      </c>
      <c r="BN167" s="139">
        <f t="shared" si="132"/>
        <v>1</v>
      </c>
      <c r="BO167" s="139">
        <f t="shared" si="132"/>
        <v>1</v>
      </c>
      <c r="BP167" s="139">
        <f t="shared" si="132"/>
        <v>1</v>
      </c>
      <c r="BQ167" s="139">
        <f t="shared" si="132"/>
        <v>1</v>
      </c>
      <c r="BR167" s="139">
        <f t="shared" si="132"/>
        <v>1</v>
      </c>
      <c r="BS167" s="139">
        <f t="shared" si="132"/>
        <v>1</v>
      </c>
      <c r="BU167" s="139">
        <f t="shared" si="117"/>
        <v>12</v>
      </c>
      <c r="BV167" s="139">
        <f t="shared" si="118"/>
        <v>12</v>
      </c>
      <c r="BW167" s="139">
        <f t="shared" si="119"/>
        <v>12</v>
      </c>
      <c r="BX167" s="139">
        <f t="shared" si="120"/>
        <v>12</v>
      </c>
      <c r="BY167" s="139">
        <f t="shared" si="121"/>
        <v>12</v>
      </c>
    </row>
    <row r="168" spans="3:77">
      <c r="C168" s="155"/>
      <c r="E168" s="139" t="s">
        <v>506</v>
      </c>
      <c r="G168" s="311"/>
      <c r="H168" s="139">
        <v>40</v>
      </c>
      <c r="I168" s="139" t="s">
        <v>555</v>
      </c>
      <c r="J168" s="139" t="s">
        <v>579</v>
      </c>
      <c r="L168" s="139">
        <v>1</v>
      </c>
      <c r="M168" s="139">
        <v>1</v>
      </c>
      <c r="N168" s="139">
        <v>1</v>
      </c>
      <c r="O168" s="139">
        <v>1</v>
      </c>
      <c r="P168" s="139">
        <v>1</v>
      </c>
      <c r="Q168" s="139">
        <v>1</v>
      </c>
      <c r="R168" s="139">
        <v>1</v>
      </c>
      <c r="S168" s="139">
        <v>1</v>
      </c>
      <c r="T168" s="139">
        <v>1</v>
      </c>
      <c r="U168" s="139">
        <v>1</v>
      </c>
      <c r="V168" s="139">
        <v>1</v>
      </c>
      <c r="W168" s="139">
        <v>1</v>
      </c>
      <c r="X168" s="139">
        <v>2</v>
      </c>
      <c r="Y168" s="139">
        <v>2</v>
      </c>
      <c r="Z168" s="139">
        <v>2</v>
      </c>
      <c r="AA168" s="139">
        <v>2</v>
      </c>
      <c r="AB168" s="139">
        <v>2</v>
      </c>
      <c r="AC168" s="139">
        <v>2</v>
      </c>
      <c r="AD168" s="139">
        <v>2</v>
      </c>
      <c r="AE168" s="139">
        <v>2</v>
      </c>
      <c r="AF168" s="139">
        <v>2</v>
      </c>
      <c r="AG168" s="139">
        <v>2</v>
      </c>
      <c r="AH168" s="139">
        <v>2</v>
      </c>
      <c r="AI168" s="139">
        <v>2</v>
      </c>
      <c r="AJ168" s="139">
        <v>3</v>
      </c>
      <c r="AK168" s="139">
        <f>AJ168</f>
        <v>3</v>
      </c>
      <c r="AL168" s="139">
        <f t="shared" ref="AL168:BS168" si="133">AK168</f>
        <v>3</v>
      </c>
      <c r="AM168" s="139">
        <f t="shared" si="133"/>
        <v>3</v>
      </c>
      <c r="AN168" s="139">
        <f t="shared" si="133"/>
        <v>3</v>
      </c>
      <c r="AO168" s="139">
        <f t="shared" si="133"/>
        <v>3</v>
      </c>
      <c r="AP168" s="139">
        <f t="shared" si="133"/>
        <v>3</v>
      </c>
      <c r="AQ168" s="139">
        <f t="shared" si="133"/>
        <v>3</v>
      </c>
      <c r="AR168" s="139">
        <f t="shared" si="133"/>
        <v>3</v>
      </c>
      <c r="AS168" s="139">
        <f t="shared" si="133"/>
        <v>3</v>
      </c>
      <c r="AT168" s="139">
        <f t="shared" si="133"/>
        <v>3</v>
      </c>
      <c r="AU168" s="139">
        <f t="shared" si="133"/>
        <v>3</v>
      </c>
      <c r="AV168" s="139">
        <f t="shared" si="133"/>
        <v>3</v>
      </c>
      <c r="AW168" s="139">
        <f t="shared" si="133"/>
        <v>3</v>
      </c>
      <c r="AX168" s="139">
        <f t="shared" si="133"/>
        <v>3</v>
      </c>
      <c r="AY168" s="139">
        <f t="shared" si="133"/>
        <v>3</v>
      </c>
      <c r="AZ168" s="139">
        <f t="shared" si="133"/>
        <v>3</v>
      </c>
      <c r="BA168" s="139">
        <f t="shared" si="133"/>
        <v>3</v>
      </c>
      <c r="BB168" s="139">
        <f t="shared" si="133"/>
        <v>3</v>
      </c>
      <c r="BC168" s="139">
        <f t="shared" si="133"/>
        <v>3</v>
      </c>
      <c r="BD168" s="139">
        <f t="shared" si="133"/>
        <v>3</v>
      </c>
      <c r="BE168" s="139">
        <f t="shared" si="133"/>
        <v>3</v>
      </c>
      <c r="BF168" s="139">
        <f t="shared" si="133"/>
        <v>3</v>
      </c>
      <c r="BG168" s="139">
        <f t="shared" si="133"/>
        <v>3</v>
      </c>
      <c r="BH168" s="139">
        <f t="shared" si="133"/>
        <v>3</v>
      </c>
      <c r="BI168" s="139">
        <f t="shared" si="133"/>
        <v>3</v>
      </c>
      <c r="BJ168" s="139">
        <f t="shared" si="133"/>
        <v>3</v>
      </c>
      <c r="BK168" s="139">
        <f t="shared" si="133"/>
        <v>3</v>
      </c>
      <c r="BL168" s="139">
        <f t="shared" si="133"/>
        <v>3</v>
      </c>
      <c r="BM168" s="139">
        <f t="shared" si="133"/>
        <v>3</v>
      </c>
      <c r="BN168" s="139">
        <f t="shared" si="133"/>
        <v>3</v>
      </c>
      <c r="BO168" s="139">
        <f t="shared" si="133"/>
        <v>3</v>
      </c>
      <c r="BP168" s="139">
        <f t="shared" si="133"/>
        <v>3</v>
      </c>
      <c r="BQ168" s="139">
        <f t="shared" si="133"/>
        <v>3</v>
      </c>
      <c r="BR168" s="139">
        <f t="shared" si="133"/>
        <v>3</v>
      </c>
      <c r="BS168" s="139">
        <f t="shared" si="133"/>
        <v>3</v>
      </c>
      <c r="BU168" s="139">
        <f t="shared" si="117"/>
        <v>12</v>
      </c>
      <c r="BV168" s="139">
        <f t="shared" si="118"/>
        <v>24</v>
      </c>
      <c r="BW168" s="139">
        <f t="shared" si="119"/>
        <v>36</v>
      </c>
      <c r="BX168" s="139">
        <f t="shared" si="120"/>
        <v>36</v>
      </c>
      <c r="BY168" s="139">
        <f t="shared" si="121"/>
        <v>36</v>
      </c>
    </row>
    <row r="169" spans="3:77">
      <c r="C169" s="155"/>
      <c r="E169" s="139" t="s">
        <v>507</v>
      </c>
      <c r="G169" s="359">
        <v>0.5</v>
      </c>
      <c r="H169" s="165"/>
      <c r="I169" s="158" t="s">
        <v>1353</v>
      </c>
      <c r="J169" s="158"/>
      <c r="L169" s="139">
        <f t="shared" ref="L169:AQ169" si="134">L$5*$G169</f>
        <v>0</v>
      </c>
      <c r="M169" s="139">
        <f t="shared" si="134"/>
        <v>0</v>
      </c>
      <c r="N169" s="139">
        <f t="shared" si="134"/>
        <v>0</v>
      </c>
      <c r="O169" s="139">
        <f t="shared" si="134"/>
        <v>0</v>
      </c>
      <c r="P169" s="139">
        <f t="shared" si="134"/>
        <v>0</v>
      </c>
      <c r="Q169" s="139">
        <f t="shared" si="134"/>
        <v>0</v>
      </c>
      <c r="R169" s="139">
        <f t="shared" si="134"/>
        <v>2</v>
      </c>
      <c r="S169" s="139">
        <f t="shared" si="134"/>
        <v>2</v>
      </c>
      <c r="T169" s="139">
        <f t="shared" si="134"/>
        <v>2</v>
      </c>
      <c r="U169" s="139">
        <f t="shared" si="134"/>
        <v>2</v>
      </c>
      <c r="V169" s="139">
        <f t="shared" si="134"/>
        <v>2</v>
      </c>
      <c r="W169" s="139">
        <f t="shared" si="134"/>
        <v>2</v>
      </c>
      <c r="X169" s="139">
        <f t="shared" si="134"/>
        <v>2.5</v>
      </c>
      <c r="Y169" s="139">
        <f t="shared" si="134"/>
        <v>2.5</v>
      </c>
      <c r="Z169" s="139">
        <f t="shared" si="134"/>
        <v>2.5</v>
      </c>
      <c r="AA169" s="139">
        <f t="shared" si="134"/>
        <v>2.5</v>
      </c>
      <c r="AB169" s="139">
        <f t="shared" si="134"/>
        <v>2.5</v>
      </c>
      <c r="AC169" s="139">
        <f t="shared" si="134"/>
        <v>2.5</v>
      </c>
      <c r="AD169" s="139">
        <f t="shared" si="134"/>
        <v>3</v>
      </c>
      <c r="AE169" s="139">
        <f t="shared" si="134"/>
        <v>3</v>
      </c>
      <c r="AF169" s="139">
        <f t="shared" si="134"/>
        <v>3</v>
      </c>
      <c r="AG169" s="139">
        <f t="shared" si="134"/>
        <v>3</v>
      </c>
      <c r="AH169" s="139">
        <f t="shared" si="134"/>
        <v>3</v>
      </c>
      <c r="AI169" s="139">
        <f t="shared" si="134"/>
        <v>3</v>
      </c>
      <c r="AJ169" s="139">
        <f t="shared" si="134"/>
        <v>3.5</v>
      </c>
      <c r="AK169" s="139">
        <f t="shared" si="134"/>
        <v>3.5</v>
      </c>
      <c r="AL169" s="139">
        <f t="shared" si="134"/>
        <v>3.5</v>
      </c>
      <c r="AM169" s="139">
        <f t="shared" si="134"/>
        <v>3.5</v>
      </c>
      <c r="AN169" s="139">
        <f t="shared" si="134"/>
        <v>3.5</v>
      </c>
      <c r="AO169" s="139">
        <f t="shared" si="134"/>
        <v>3.5</v>
      </c>
      <c r="AP169" s="139">
        <f t="shared" si="134"/>
        <v>4</v>
      </c>
      <c r="AQ169" s="139">
        <f t="shared" si="134"/>
        <v>4</v>
      </c>
      <c r="AR169" s="139">
        <f t="shared" ref="AR169:BS169" si="135">AR$5*$G169</f>
        <v>4</v>
      </c>
      <c r="AS169" s="139">
        <f t="shared" si="135"/>
        <v>4</v>
      </c>
      <c r="AT169" s="139">
        <f t="shared" si="135"/>
        <v>4</v>
      </c>
      <c r="AU169" s="139">
        <f t="shared" si="135"/>
        <v>4</v>
      </c>
      <c r="AV169" s="139">
        <f t="shared" si="135"/>
        <v>4.5</v>
      </c>
      <c r="AW169" s="139">
        <f t="shared" si="135"/>
        <v>4.5</v>
      </c>
      <c r="AX169" s="139">
        <f t="shared" si="135"/>
        <v>4.5</v>
      </c>
      <c r="AY169" s="139">
        <f t="shared" si="135"/>
        <v>4.5</v>
      </c>
      <c r="AZ169" s="139">
        <f t="shared" si="135"/>
        <v>4.5</v>
      </c>
      <c r="BA169" s="139">
        <f t="shared" si="135"/>
        <v>4.5</v>
      </c>
      <c r="BB169" s="139">
        <f t="shared" si="135"/>
        <v>5</v>
      </c>
      <c r="BC169" s="139">
        <f t="shared" si="135"/>
        <v>5</v>
      </c>
      <c r="BD169" s="139">
        <f t="shared" si="135"/>
        <v>5</v>
      </c>
      <c r="BE169" s="139">
        <f t="shared" si="135"/>
        <v>5</v>
      </c>
      <c r="BF169" s="139">
        <f t="shared" si="135"/>
        <v>5</v>
      </c>
      <c r="BG169" s="139">
        <f t="shared" si="135"/>
        <v>5</v>
      </c>
      <c r="BH169" s="139">
        <f t="shared" si="135"/>
        <v>5</v>
      </c>
      <c r="BI169" s="139">
        <f t="shared" si="135"/>
        <v>5</v>
      </c>
      <c r="BJ169" s="139">
        <f t="shared" si="135"/>
        <v>5</v>
      </c>
      <c r="BK169" s="139">
        <f t="shared" si="135"/>
        <v>5</v>
      </c>
      <c r="BL169" s="139">
        <f t="shared" si="135"/>
        <v>5</v>
      </c>
      <c r="BM169" s="139">
        <f t="shared" si="135"/>
        <v>5</v>
      </c>
      <c r="BN169" s="139">
        <f t="shared" si="135"/>
        <v>5</v>
      </c>
      <c r="BO169" s="139">
        <f t="shared" si="135"/>
        <v>5</v>
      </c>
      <c r="BP169" s="139">
        <f t="shared" si="135"/>
        <v>5</v>
      </c>
      <c r="BQ169" s="139">
        <f t="shared" si="135"/>
        <v>5</v>
      </c>
      <c r="BR169" s="139">
        <f t="shared" si="135"/>
        <v>5</v>
      </c>
      <c r="BS169" s="139">
        <f t="shared" si="135"/>
        <v>5</v>
      </c>
      <c r="BU169" s="139">
        <f t="shared" si="117"/>
        <v>12</v>
      </c>
      <c r="BV169" s="139">
        <f t="shared" si="118"/>
        <v>33</v>
      </c>
      <c r="BW169" s="139">
        <f t="shared" si="119"/>
        <v>45</v>
      </c>
      <c r="BX169" s="139">
        <f t="shared" si="120"/>
        <v>57</v>
      </c>
      <c r="BY169" s="139">
        <f t="shared" si="121"/>
        <v>60</v>
      </c>
    </row>
    <row r="170" spans="3:77">
      <c r="C170" s="155"/>
      <c r="E170" s="139" t="s">
        <v>508</v>
      </c>
      <c r="F170" s="139" t="s">
        <v>561</v>
      </c>
      <c r="G170" s="311">
        <v>2</v>
      </c>
      <c r="H170" s="139">
        <v>35</v>
      </c>
      <c r="I170" s="139" t="s">
        <v>1353</v>
      </c>
      <c r="L170" s="139">
        <f t="shared" ref="L170:BS170" si="136">L$5*$G170</f>
        <v>0</v>
      </c>
      <c r="M170" s="139">
        <f t="shared" si="136"/>
        <v>0</v>
      </c>
      <c r="N170" s="139">
        <f t="shared" si="136"/>
        <v>0</v>
      </c>
      <c r="O170" s="139">
        <f t="shared" si="136"/>
        <v>0</v>
      </c>
      <c r="P170" s="139">
        <f t="shared" si="136"/>
        <v>0</v>
      </c>
      <c r="Q170" s="139">
        <f t="shared" si="136"/>
        <v>0</v>
      </c>
      <c r="R170" s="139">
        <f t="shared" si="136"/>
        <v>8</v>
      </c>
      <c r="S170" s="139">
        <f t="shared" si="136"/>
        <v>8</v>
      </c>
      <c r="T170" s="139">
        <f t="shared" si="136"/>
        <v>8</v>
      </c>
      <c r="U170" s="139">
        <f t="shared" si="136"/>
        <v>8</v>
      </c>
      <c r="V170" s="139">
        <f t="shared" si="136"/>
        <v>8</v>
      </c>
      <c r="W170" s="139">
        <f t="shared" si="136"/>
        <v>8</v>
      </c>
      <c r="X170" s="139">
        <f t="shared" si="136"/>
        <v>10</v>
      </c>
      <c r="Y170" s="139">
        <f t="shared" si="136"/>
        <v>10</v>
      </c>
      <c r="Z170" s="139">
        <f t="shared" si="136"/>
        <v>10</v>
      </c>
      <c r="AA170" s="139">
        <f t="shared" si="136"/>
        <v>10</v>
      </c>
      <c r="AB170" s="139">
        <f t="shared" si="136"/>
        <v>10</v>
      </c>
      <c r="AC170" s="139">
        <f t="shared" si="136"/>
        <v>10</v>
      </c>
      <c r="AD170" s="139">
        <f t="shared" si="136"/>
        <v>12</v>
      </c>
      <c r="AE170" s="139">
        <f t="shared" si="136"/>
        <v>12</v>
      </c>
      <c r="AF170" s="139">
        <f t="shared" si="136"/>
        <v>12</v>
      </c>
      <c r="AG170" s="139">
        <f t="shared" si="136"/>
        <v>12</v>
      </c>
      <c r="AH170" s="139">
        <f t="shared" si="136"/>
        <v>12</v>
      </c>
      <c r="AI170" s="139">
        <f t="shared" si="136"/>
        <v>12</v>
      </c>
      <c r="AJ170" s="139">
        <f t="shared" si="136"/>
        <v>14</v>
      </c>
      <c r="AK170" s="139">
        <f t="shared" si="136"/>
        <v>14</v>
      </c>
      <c r="AL170" s="139">
        <f t="shared" si="136"/>
        <v>14</v>
      </c>
      <c r="AM170" s="139">
        <f t="shared" si="136"/>
        <v>14</v>
      </c>
      <c r="AN170" s="139">
        <f t="shared" si="136"/>
        <v>14</v>
      </c>
      <c r="AO170" s="139">
        <f t="shared" si="136"/>
        <v>14</v>
      </c>
      <c r="AP170" s="139">
        <f t="shared" si="136"/>
        <v>16</v>
      </c>
      <c r="AQ170" s="139">
        <f t="shared" si="136"/>
        <v>16</v>
      </c>
      <c r="AR170" s="139">
        <f t="shared" si="136"/>
        <v>16</v>
      </c>
      <c r="AS170" s="139">
        <f t="shared" si="136"/>
        <v>16</v>
      </c>
      <c r="AT170" s="139">
        <f t="shared" si="136"/>
        <v>16</v>
      </c>
      <c r="AU170" s="139">
        <f t="shared" si="136"/>
        <v>16</v>
      </c>
      <c r="AV170" s="139">
        <f t="shared" si="136"/>
        <v>18</v>
      </c>
      <c r="AW170" s="139">
        <f t="shared" si="136"/>
        <v>18</v>
      </c>
      <c r="AX170" s="139">
        <f t="shared" si="136"/>
        <v>18</v>
      </c>
      <c r="AY170" s="139">
        <f t="shared" si="136"/>
        <v>18</v>
      </c>
      <c r="AZ170" s="139">
        <f t="shared" si="136"/>
        <v>18</v>
      </c>
      <c r="BA170" s="139">
        <f t="shared" si="136"/>
        <v>18</v>
      </c>
      <c r="BB170" s="139">
        <f t="shared" si="136"/>
        <v>20</v>
      </c>
      <c r="BC170" s="139">
        <f t="shared" si="136"/>
        <v>20</v>
      </c>
      <c r="BD170" s="139">
        <f t="shared" si="136"/>
        <v>20</v>
      </c>
      <c r="BE170" s="139">
        <f t="shared" si="136"/>
        <v>20</v>
      </c>
      <c r="BF170" s="139">
        <f t="shared" si="136"/>
        <v>20</v>
      </c>
      <c r="BG170" s="139">
        <f t="shared" si="136"/>
        <v>20</v>
      </c>
      <c r="BH170" s="139">
        <f t="shared" si="136"/>
        <v>20</v>
      </c>
      <c r="BI170" s="139">
        <f t="shared" si="136"/>
        <v>20</v>
      </c>
      <c r="BJ170" s="139">
        <f t="shared" si="136"/>
        <v>20</v>
      </c>
      <c r="BK170" s="139">
        <f t="shared" si="136"/>
        <v>20</v>
      </c>
      <c r="BL170" s="139">
        <f t="shared" si="136"/>
        <v>20</v>
      </c>
      <c r="BM170" s="139">
        <f t="shared" si="136"/>
        <v>20</v>
      </c>
      <c r="BN170" s="139">
        <f t="shared" si="136"/>
        <v>20</v>
      </c>
      <c r="BO170" s="139">
        <f t="shared" si="136"/>
        <v>20</v>
      </c>
      <c r="BP170" s="139">
        <f t="shared" si="136"/>
        <v>20</v>
      </c>
      <c r="BQ170" s="139">
        <f t="shared" si="136"/>
        <v>20</v>
      </c>
      <c r="BR170" s="139">
        <f t="shared" si="136"/>
        <v>20</v>
      </c>
      <c r="BS170" s="139">
        <f t="shared" si="136"/>
        <v>20</v>
      </c>
      <c r="BU170" s="139">
        <f t="shared" si="117"/>
        <v>48</v>
      </c>
      <c r="BV170" s="139">
        <f t="shared" si="118"/>
        <v>132</v>
      </c>
      <c r="BW170" s="139">
        <f t="shared" si="119"/>
        <v>180</v>
      </c>
      <c r="BX170" s="139">
        <f t="shared" si="120"/>
        <v>228</v>
      </c>
      <c r="BY170" s="139">
        <f t="shared" si="121"/>
        <v>240</v>
      </c>
    </row>
    <row r="171" spans="3:77" s="155" customFormat="1">
      <c r="D171" s="313" t="s">
        <v>216</v>
      </c>
      <c r="E171" s="313"/>
      <c r="F171" s="313"/>
      <c r="G171" s="313"/>
      <c r="H171" s="313"/>
      <c r="I171" s="313"/>
      <c r="J171" s="313"/>
      <c r="K171" s="313"/>
      <c r="L171" s="313">
        <f t="shared" ref="L171:BR171" si="137">SUBTOTAL(9,L172:L176)</f>
        <v>0</v>
      </c>
      <c r="M171" s="313">
        <f t="shared" si="137"/>
        <v>0</v>
      </c>
      <c r="N171" s="313">
        <f t="shared" si="137"/>
        <v>0</v>
      </c>
      <c r="O171" s="313">
        <f t="shared" si="137"/>
        <v>0</v>
      </c>
      <c r="P171" s="313">
        <f t="shared" si="137"/>
        <v>0</v>
      </c>
      <c r="Q171" s="313">
        <f t="shared" si="137"/>
        <v>0</v>
      </c>
      <c r="R171" s="313">
        <f t="shared" si="137"/>
        <v>40</v>
      </c>
      <c r="S171" s="313">
        <f t="shared" si="137"/>
        <v>40</v>
      </c>
      <c r="T171" s="313">
        <f t="shared" si="137"/>
        <v>40</v>
      </c>
      <c r="U171" s="313">
        <f t="shared" si="137"/>
        <v>40</v>
      </c>
      <c r="V171" s="313">
        <f t="shared" si="137"/>
        <v>40</v>
      </c>
      <c r="W171" s="313">
        <f t="shared" si="137"/>
        <v>40</v>
      </c>
      <c r="X171" s="313">
        <f t="shared" si="137"/>
        <v>50</v>
      </c>
      <c r="Y171" s="313">
        <f t="shared" si="137"/>
        <v>50</v>
      </c>
      <c r="Z171" s="313">
        <f t="shared" si="137"/>
        <v>50</v>
      </c>
      <c r="AA171" s="313">
        <f t="shared" si="137"/>
        <v>50</v>
      </c>
      <c r="AB171" s="313">
        <f t="shared" si="137"/>
        <v>50</v>
      </c>
      <c r="AC171" s="313">
        <f t="shared" si="137"/>
        <v>50</v>
      </c>
      <c r="AD171" s="313">
        <f t="shared" si="137"/>
        <v>60</v>
      </c>
      <c r="AE171" s="313">
        <f t="shared" si="137"/>
        <v>60</v>
      </c>
      <c r="AF171" s="313">
        <f t="shared" si="137"/>
        <v>60</v>
      </c>
      <c r="AG171" s="313">
        <f t="shared" si="137"/>
        <v>60</v>
      </c>
      <c r="AH171" s="313">
        <f t="shared" si="137"/>
        <v>60</v>
      </c>
      <c r="AI171" s="313">
        <f t="shared" si="137"/>
        <v>60</v>
      </c>
      <c r="AJ171" s="313">
        <f t="shared" si="137"/>
        <v>70</v>
      </c>
      <c r="AK171" s="313">
        <f t="shared" si="137"/>
        <v>70</v>
      </c>
      <c r="AL171" s="313">
        <f t="shared" si="137"/>
        <v>70</v>
      </c>
      <c r="AM171" s="313">
        <f t="shared" si="137"/>
        <v>70</v>
      </c>
      <c r="AN171" s="313">
        <f t="shared" si="137"/>
        <v>70</v>
      </c>
      <c r="AO171" s="313">
        <f t="shared" si="137"/>
        <v>70</v>
      </c>
      <c r="AP171" s="313">
        <f t="shared" si="137"/>
        <v>80</v>
      </c>
      <c r="AQ171" s="313">
        <f t="shared" si="137"/>
        <v>80</v>
      </c>
      <c r="AR171" s="313">
        <f t="shared" si="137"/>
        <v>80</v>
      </c>
      <c r="AS171" s="313">
        <f t="shared" si="137"/>
        <v>80</v>
      </c>
      <c r="AT171" s="313">
        <f t="shared" si="137"/>
        <v>80</v>
      </c>
      <c r="AU171" s="313">
        <f t="shared" si="137"/>
        <v>80</v>
      </c>
      <c r="AV171" s="313">
        <f t="shared" si="137"/>
        <v>90</v>
      </c>
      <c r="AW171" s="313">
        <f t="shared" si="137"/>
        <v>90</v>
      </c>
      <c r="AX171" s="313">
        <f t="shared" si="137"/>
        <v>90</v>
      </c>
      <c r="AY171" s="313">
        <f t="shared" si="137"/>
        <v>90</v>
      </c>
      <c r="AZ171" s="313">
        <f t="shared" si="137"/>
        <v>90</v>
      </c>
      <c r="BA171" s="313">
        <f t="shared" si="137"/>
        <v>90</v>
      </c>
      <c r="BB171" s="313">
        <f t="shared" si="137"/>
        <v>100</v>
      </c>
      <c r="BC171" s="313">
        <f t="shared" si="137"/>
        <v>100</v>
      </c>
      <c r="BD171" s="313">
        <f t="shared" si="137"/>
        <v>100</v>
      </c>
      <c r="BE171" s="313">
        <f t="shared" si="137"/>
        <v>100</v>
      </c>
      <c r="BF171" s="313">
        <f t="shared" si="137"/>
        <v>100</v>
      </c>
      <c r="BG171" s="313">
        <f t="shared" si="137"/>
        <v>100</v>
      </c>
      <c r="BH171" s="313">
        <f t="shared" si="137"/>
        <v>100</v>
      </c>
      <c r="BI171" s="313">
        <f t="shared" si="137"/>
        <v>100</v>
      </c>
      <c r="BJ171" s="313">
        <f t="shared" si="137"/>
        <v>100</v>
      </c>
      <c r="BK171" s="313">
        <f t="shared" si="137"/>
        <v>100</v>
      </c>
      <c r="BL171" s="313">
        <f t="shared" si="137"/>
        <v>100</v>
      </c>
      <c r="BM171" s="313">
        <f t="shared" si="137"/>
        <v>100</v>
      </c>
      <c r="BN171" s="313">
        <f t="shared" si="137"/>
        <v>100</v>
      </c>
      <c r="BO171" s="313">
        <f t="shared" si="137"/>
        <v>100</v>
      </c>
      <c r="BP171" s="313">
        <f t="shared" si="137"/>
        <v>100</v>
      </c>
      <c r="BQ171" s="313">
        <f t="shared" si="137"/>
        <v>100</v>
      </c>
      <c r="BR171" s="313">
        <f t="shared" si="137"/>
        <v>100</v>
      </c>
      <c r="BS171" s="313">
        <f>SUBTOTAL(9,BS172:BS176)</f>
        <v>100</v>
      </c>
      <c r="BU171" s="139">
        <f t="shared" si="117"/>
        <v>240</v>
      </c>
      <c r="BV171" s="139">
        <f t="shared" si="118"/>
        <v>660</v>
      </c>
      <c r="BW171" s="139">
        <f t="shared" si="119"/>
        <v>900</v>
      </c>
      <c r="BX171" s="139">
        <f t="shared" si="120"/>
        <v>1140</v>
      </c>
      <c r="BY171" s="139">
        <f t="shared" si="121"/>
        <v>1200</v>
      </c>
    </row>
    <row r="172" spans="3:77">
      <c r="C172" s="155"/>
      <c r="E172" s="139" t="s">
        <v>498</v>
      </c>
      <c r="G172" s="165" t="s">
        <v>562</v>
      </c>
      <c r="H172" s="165"/>
      <c r="I172" s="158" t="s">
        <v>557</v>
      </c>
      <c r="J172" s="165"/>
      <c r="BU172" s="139">
        <f t="shared" si="117"/>
        <v>0</v>
      </c>
      <c r="BV172" s="139">
        <f t="shared" si="118"/>
        <v>0</v>
      </c>
      <c r="BW172" s="139">
        <f t="shared" si="119"/>
        <v>0</v>
      </c>
      <c r="BX172" s="139">
        <f t="shared" si="120"/>
        <v>0</v>
      </c>
      <c r="BY172" s="139">
        <f t="shared" si="121"/>
        <v>0</v>
      </c>
    </row>
    <row r="173" spans="3:77">
      <c r="C173" s="155"/>
      <c r="E173" s="139" t="s">
        <v>512</v>
      </c>
      <c r="F173" s="139" t="s">
        <v>566</v>
      </c>
      <c r="G173" s="311">
        <v>1</v>
      </c>
      <c r="H173" s="139" t="s">
        <v>1355</v>
      </c>
      <c r="I173" s="139" t="s">
        <v>113</v>
      </c>
      <c r="J173" s="139" t="s">
        <v>492</v>
      </c>
      <c r="L173" s="139">
        <f t="shared" ref="L173:U175" si="138">L$5*$G173</f>
        <v>0</v>
      </c>
      <c r="M173" s="139">
        <f t="shared" si="138"/>
        <v>0</v>
      </c>
      <c r="N173" s="139">
        <f t="shared" si="138"/>
        <v>0</v>
      </c>
      <c r="O173" s="139">
        <f t="shared" si="138"/>
        <v>0</v>
      </c>
      <c r="P173" s="139">
        <f t="shared" si="138"/>
        <v>0</v>
      </c>
      <c r="Q173" s="139">
        <f t="shared" si="138"/>
        <v>0</v>
      </c>
      <c r="R173" s="139">
        <f t="shared" si="138"/>
        <v>4</v>
      </c>
      <c r="S173" s="139">
        <f t="shared" si="138"/>
        <v>4</v>
      </c>
      <c r="T173" s="139">
        <f t="shared" si="138"/>
        <v>4</v>
      </c>
      <c r="U173" s="139">
        <f t="shared" si="138"/>
        <v>4</v>
      </c>
      <c r="V173" s="139">
        <f t="shared" ref="V173:AE175" si="139">V$5*$G173</f>
        <v>4</v>
      </c>
      <c r="W173" s="139">
        <f t="shared" si="139"/>
        <v>4</v>
      </c>
      <c r="X173" s="139">
        <f t="shared" si="139"/>
        <v>5</v>
      </c>
      <c r="Y173" s="139">
        <f t="shared" si="139"/>
        <v>5</v>
      </c>
      <c r="Z173" s="139">
        <f t="shared" si="139"/>
        <v>5</v>
      </c>
      <c r="AA173" s="139">
        <f t="shared" si="139"/>
        <v>5</v>
      </c>
      <c r="AB173" s="139">
        <f t="shared" si="139"/>
        <v>5</v>
      </c>
      <c r="AC173" s="139">
        <f t="shared" si="139"/>
        <v>5</v>
      </c>
      <c r="AD173" s="139">
        <f t="shared" si="139"/>
        <v>6</v>
      </c>
      <c r="AE173" s="139">
        <f t="shared" si="139"/>
        <v>6</v>
      </c>
      <c r="AF173" s="139">
        <f t="shared" ref="AF173:AO175" si="140">AF$5*$G173</f>
        <v>6</v>
      </c>
      <c r="AG173" s="139">
        <f t="shared" si="140"/>
        <v>6</v>
      </c>
      <c r="AH173" s="139">
        <f t="shared" si="140"/>
        <v>6</v>
      </c>
      <c r="AI173" s="139">
        <f t="shared" si="140"/>
        <v>6</v>
      </c>
      <c r="AJ173" s="139">
        <f t="shared" si="140"/>
        <v>7</v>
      </c>
      <c r="AK173" s="139">
        <f t="shared" si="140"/>
        <v>7</v>
      </c>
      <c r="AL173" s="139">
        <f t="shared" si="140"/>
        <v>7</v>
      </c>
      <c r="AM173" s="139">
        <f t="shared" si="140"/>
        <v>7</v>
      </c>
      <c r="AN173" s="139">
        <f t="shared" si="140"/>
        <v>7</v>
      </c>
      <c r="AO173" s="139">
        <f t="shared" si="140"/>
        <v>7</v>
      </c>
      <c r="AP173" s="139">
        <f t="shared" ref="AP173:AY175" si="141">AP$5*$G173</f>
        <v>8</v>
      </c>
      <c r="AQ173" s="139">
        <f t="shared" si="141"/>
        <v>8</v>
      </c>
      <c r="AR173" s="139">
        <f t="shared" si="141"/>
        <v>8</v>
      </c>
      <c r="AS173" s="139">
        <f t="shared" si="141"/>
        <v>8</v>
      </c>
      <c r="AT173" s="139">
        <f t="shared" si="141"/>
        <v>8</v>
      </c>
      <c r="AU173" s="139">
        <f t="shared" si="141"/>
        <v>8</v>
      </c>
      <c r="AV173" s="139">
        <f t="shared" si="141"/>
        <v>9</v>
      </c>
      <c r="AW173" s="139">
        <f t="shared" si="141"/>
        <v>9</v>
      </c>
      <c r="AX173" s="139">
        <f t="shared" si="141"/>
        <v>9</v>
      </c>
      <c r="AY173" s="139">
        <f t="shared" si="141"/>
        <v>9</v>
      </c>
      <c r="AZ173" s="139">
        <f t="shared" ref="AZ173:BI175" si="142">AZ$5*$G173</f>
        <v>9</v>
      </c>
      <c r="BA173" s="139">
        <f t="shared" si="142"/>
        <v>9</v>
      </c>
      <c r="BB173" s="139">
        <f t="shared" si="142"/>
        <v>10</v>
      </c>
      <c r="BC173" s="139">
        <f t="shared" si="142"/>
        <v>10</v>
      </c>
      <c r="BD173" s="139">
        <f t="shared" si="142"/>
        <v>10</v>
      </c>
      <c r="BE173" s="139">
        <f t="shared" si="142"/>
        <v>10</v>
      </c>
      <c r="BF173" s="139">
        <f t="shared" si="142"/>
        <v>10</v>
      </c>
      <c r="BG173" s="139">
        <f t="shared" si="142"/>
        <v>10</v>
      </c>
      <c r="BH173" s="139">
        <f t="shared" si="142"/>
        <v>10</v>
      </c>
      <c r="BI173" s="139">
        <f t="shared" si="142"/>
        <v>10</v>
      </c>
      <c r="BJ173" s="139">
        <f t="shared" ref="BJ173:BS175" si="143">BJ$5*$G173</f>
        <v>10</v>
      </c>
      <c r="BK173" s="139">
        <f t="shared" si="143"/>
        <v>10</v>
      </c>
      <c r="BL173" s="139">
        <f t="shared" si="143"/>
        <v>10</v>
      </c>
      <c r="BM173" s="139">
        <f t="shared" si="143"/>
        <v>10</v>
      </c>
      <c r="BN173" s="139">
        <f t="shared" si="143"/>
        <v>10</v>
      </c>
      <c r="BO173" s="139">
        <f t="shared" si="143"/>
        <v>10</v>
      </c>
      <c r="BP173" s="139">
        <f t="shared" si="143"/>
        <v>10</v>
      </c>
      <c r="BQ173" s="139">
        <f t="shared" si="143"/>
        <v>10</v>
      </c>
      <c r="BR173" s="139">
        <f t="shared" si="143"/>
        <v>10</v>
      </c>
      <c r="BS173" s="139">
        <f t="shared" si="143"/>
        <v>10</v>
      </c>
      <c r="BU173" s="139">
        <f t="shared" si="117"/>
        <v>24</v>
      </c>
      <c r="BV173" s="139">
        <f t="shared" si="118"/>
        <v>66</v>
      </c>
      <c r="BW173" s="139">
        <f t="shared" si="119"/>
        <v>90</v>
      </c>
      <c r="BX173" s="139">
        <f t="shared" si="120"/>
        <v>114</v>
      </c>
      <c r="BY173" s="139">
        <f t="shared" si="121"/>
        <v>120</v>
      </c>
    </row>
    <row r="174" spans="3:77">
      <c r="C174" s="155"/>
      <c r="E174" s="139" t="s">
        <v>513</v>
      </c>
      <c r="F174" s="139" t="s">
        <v>561</v>
      </c>
      <c r="G174" s="311">
        <v>3</v>
      </c>
      <c r="H174" s="139" t="s">
        <v>1355</v>
      </c>
      <c r="I174" s="139" t="s">
        <v>113</v>
      </c>
      <c r="J174" s="139" t="s">
        <v>492</v>
      </c>
      <c r="L174" s="139">
        <f t="shared" si="138"/>
        <v>0</v>
      </c>
      <c r="M174" s="139">
        <f t="shared" si="138"/>
        <v>0</v>
      </c>
      <c r="N174" s="139">
        <f t="shared" si="138"/>
        <v>0</v>
      </c>
      <c r="O174" s="139">
        <f t="shared" si="138"/>
        <v>0</v>
      </c>
      <c r="P174" s="139">
        <f t="shared" si="138"/>
        <v>0</v>
      </c>
      <c r="Q174" s="139">
        <f t="shared" si="138"/>
        <v>0</v>
      </c>
      <c r="R174" s="139">
        <f t="shared" si="138"/>
        <v>12</v>
      </c>
      <c r="S174" s="139">
        <f t="shared" si="138"/>
        <v>12</v>
      </c>
      <c r="T174" s="139">
        <f t="shared" si="138"/>
        <v>12</v>
      </c>
      <c r="U174" s="139">
        <f t="shared" si="138"/>
        <v>12</v>
      </c>
      <c r="V174" s="139">
        <f t="shared" si="139"/>
        <v>12</v>
      </c>
      <c r="W174" s="139">
        <f t="shared" si="139"/>
        <v>12</v>
      </c>
      <c r="X174" s="139">
        <f t="shared" si="139"/>
        <v>15</v>
      </c>
      <c r="Y174" s="139">
        <f t="shared" si="139"/>
        <v>15</v>
      </c>
      <c r="Z174" s="139">
        <f t="shared" si="139"/>
        <v>15</v>
      </c>
      <c r="AA174" s="139">
        <f t="shared" si="139"/>
        <v>15</v>
      </c>
      <c r="AB174" s="139">
        <f t="shared" si="139"/>
        <v>15</v>
      </c>
      <c r="AC174" s="139">
        <f t="shared" si="139"/>
        <v>15</v>
      </c>
      <c r="AD174" s="139">
        <f t="shared" si="139"/>
        <v>18</v>
      </c>
      <c r="AE174" s="139">
        <f t="shared" si="139"/>
        <v>18</v>
      </c>
      <c r="AF174" s="139">
        <f t="shared" si="140"/>
        <v>18</v>
      </c>
      <c r="AG174" s="139">
        <f t="shared" si="140"/>
        <v>18</v>
      </c>
      <c r="AH174" s="139">
        <f t="shared" si="140"/>
        <v>18</v>
      </c>
      <c r="AI174" s="139">
        <f t="shared" si="140"/>
        <v>18</v>
      </c>
      <c r="AJ174" s="139">
        <f t="shared" si="140"/>
        <v>21</v>
      </c>
      <c r="AK174" s="139">
        <f t="shared" si="140"/>
        <v>21</v>
      </c>
      <c r="AL174" s="139">
        <f t="shared" si="140"/>
        <v>21</v>
      </c>
      <c r="AM174" s="139">
        <f t="shared" si="140"/>
        <v>21</v>
      </c>
      <c r="AN174" s="139">
        <f t="shared" si="140"/>
        <v>21</v>
      </c>
      <c r="AO174" s="139">
        <f t="shared" si="140"/>
        <v>21</v>
      </c>
      <c r="AP174" s="139">
        <f t="shared" si="141"/>
        <v>24</v>
      </c>
      <c r="AQ174" s="139">
        <f t="shared" si="141"/>
        <v>24</v>
      </c>
      <c r="AR174" s="139">
        <f t="shared" si="141"/>
        <v>24</v>
      </c>
      <c r="AS174" s="139">
        <f t="shared" si="141"/>
        <v>24</v>
      </c>
      <c r="AT174" s="139">
        <f t="shared" si="141"/>
        <v>24</v>
      </c>
      <c r="AU174" s="139">
        <f t="shared" si="141"/>
        <v>24</v>
      </c>
      <c r="AV174" s="139">
        <f t="shared" si="141"/>
        <v>27</v>
      </c>
      <c r="AW174" s="139">
        <f t="shared" si="141"/>
        <v>27</v>
      </c>
      <c r="AX174" s="139">
        <f t="shared" si="141"/>
        <v>27</v>
      </c>
      <c r="AY174" s="139">
        <f t="shared" si="141"/>
        <v>27</v>
      </c>
      <c r="AZ174" s="139">
        <f t="shared" si="142"/>
        <v>27</v>
      </c>
      <c r="BA174" s="139">
        <f t="shared" si="142"/>
        <v>27</v>
      </c>
      <c r="BB174" s="139">
        <f t="shared" si="142"/>
        <v>30</v>
      </c>
      <c r="BC174" s="139">
        <f t="shared" si="142"/>
        <v>30</v>
      </c>
      <c r="BD174" s="139">
        <f t="shared" si="142"/>
        <v>30</v>
      </c>
      <c r="BE174" s="139">
        <f t="shared" si="142"/>
        <v>30</v>
      </c>
      <c r="BF174" s="139">
        <f t="shared" si="142"/>
        <v>30</v>
      </c>
      <c r="BG174" s="139">
        <f t="shared" si="142"/>
        <v>30</v>
      </c>
      <c r="BH174" s="139">
        <f t="shared" si="142"/>
        <v>30</v>
      </c>
      <c r="BI174" s="139">
        <f t="shared" si="142"/>
        <v>30</v>
      </c>
      <c r="BJ174" s="139">
        <f t="shared" si="143"/>
        <v>30</v>
      </c>
      <c r="BK174" s="139">
        <f t="shared" si="143"/>
        <v>30</v>
      </c>
      <c r="BL174" s="139">
        <f t="shared" si="143"/>
        <v>30</v>
      </c>
      <c r="BM174" s="139">
        <f t="shared" si="143"/>
        <v>30</v>
      </c>
      <c r="BN174" s="139">
        <f t="shared" si="143"/>
        <v>30</v>
      </c>
      <c r="BO174" s="139">
        <f t="shared" si="143"/>
        <v>30</v>
      </c>
      <c r="BP174" s="139">
        <f t="shared" si="143"/>
        <v>30</v>
      </c>
      <c r="BQ174" s="139">
        <f t="shared" si="143"/>
        <v>30</v>
      </c>
      <c r="BR174" s="139">
        <f t="shared" si="143"/>
        <v>30</v>
      </c>
      <c r="BS174" s="139">
        <f t="shared" si="143"/>
        <v>30</v>
      </c>
      <c r="BU174" s="139">
        <f t="shared" si="117"/>
        <v>72</v>
      </c>
      <c r="BV174" s="139">
        <f t="shared" si="118"/>
        <v>198</v>
      </c>
      <c r="BW174" s="139">
        <f t="shared" si="119"/>
        <v>270</v>
      </c>
      <c r="BX174" s="139">
        <f t="shared" si="120"/>
        <v>342</v>
      </c>
      <c r="BY174" s="139">
        <f t="shared" si="121"/>
        <v>360</v>
      </c>
    </row>
    <row r="175" spans="3:77">
      <c r="C175" s="155"/>
      <c r="E175" s="139" t="s">
        <v>514</v>
      </c>
      <c r="F175" s="139" t="s">
        <v>567</v>
      </c>
      <c r="G175" s="311">
        <v>6</v>
      </c>
      <c r="H175" s="139" t="s">
        <v>1355</v>
      </c>
      <c r="I175" s="139" t="s">
        <v>113</v>
      </c>
      <c r="J175" s="139" t="s">
        <v>492</v>
      </c>
      <c r="L175" s="139">
        <f t="shared" si="138"/>
        <v>0</v>
      </c>
      <c r="M175" s="139">
        <f t="shared" si="138"/>
        <v>0</v>
      </c>
      <c r="N175" s="139">
        <f t="shared" si="138"/>
        <v>0</v>
      </c>
      <c r="O175" s="139">
        <f t="shared" si="138"/>
        <v>0</v>
      </c>
      <c r="P175" s="139">
        <f t="shared" si="138"/>
        <v>0</v>
      </c>
      <c r="Q175" s="139">
        <f t="shared" si="138"/>
        <v>0</v>
      </c>
      <c r="R175" s="139">
        <f t="shared" si="138"/>
        <v>24</v>
      </c>
      <c r="S175" s="139">
        <f t="shared" si="138"/>
        <v>24</v>
      </c>
      <c r="T175" s="139">
        <f t="shared" si="138"/>
        <v>24</v>
      </c>
      <c r="U175" s="139">
        <f t="shared" si="138"/>
        <v>24</v>
      </c>
      <c r="V175" s="139">
        <f t="shared" si="139"/>
        <v>24</v>
      </c>
      <c r="W175" s="139">
        <f t="shared" si="139"/>
        <v>24</v>
      </c>
      <c r="X175" s="139">
        <f t="shared" si="139"/>
        <v>30</v>
      </c>
      <c r="Y175" s="139">
        <f t="shared" si="139"/>
        <v>30</v>
      </c>
      <c r="Z175" s="139">
        <f t="shared" si="139"/>
        <v>30</v>
      </c>
      <c r="AA175" s="139">
        <f t="shared" si="139"/>
        <v>30</v>
      </c>
      <c r="AB175" s="139">
        <f t="shared" si="139"/>
        <v>30</v>
      </c>
      <c r="AC175" s="139">
        <f t="shared" si="139"/>
        <v>30</v>
      </c>
      <c r="AD175" s="139">
        <f t="shared" si="139"/>
        <v>36</v>
      </c>
      <c r="AE175" s="139">
        <f t="shared" si="139"/>
        <v>36</v>
      </c>
      <c r="AF175" s="139">
        <f t="shared" si="140"/>
        <v>36</v>
      </c>
      <c r="AG175" s="139">
        <f t="shared" si="140"/>
        <v>36</v>
      </c>
      <c r="AH175" s="139">
        <f t="shared" si="140"/>
        <v>36</v>
      </c>
      <c r="AI175" s="139">
        <f t="shared" si="140"/>
        <v>36</v>
      </c>
      <c r="AJ175" s="139">
        <f t="shared" si="140"/>
        <v>42</v>
      </c>
      <c r="AK175" s="139">
        <f t="shared" si="140"/>
        <v>42</v>
      </c>
      <c r="AL175" s="139">
        <f t="shared" si="140"/>
        <v>42</v>
      </c>
      <c r="AM175" s="139">
        <f t="shared" si="140"/>
        <v>42</v>
      </c>
      <c r="AN175" s="139">
        <f t="shared" si="140"/>
        <v>42</v>
      </c>
      <c r="AO175" s="139">
        <f t="shared" si="140"/>
        <v>42</v>
      </c>
      <c r="AP175" s="139">
        <f t="shared" si="141"/>
        <v>48</v>
      </c>
      <c r="AQ175" s="139">
        <f t="shared" si="141"/>
        <v>48</v>
      </c>
      <c r="AR175" s="139">
        <f t="shared" si="141"/>
        <v>48</v>
      </c>
      <c r="AS175" s="139">
        <f t="shared" si="141"/>
        <v>48</v>
      </c>
      <c r="AT175" s="139">
        <f t="shared" si="141"/>
        <v>48</v>
      </c>
      <c r="AU175" s="139">
        <f t="shared" si="141"/>
        <v>48</v>
      </c>
      <c r="AV175" s="139">
        <f t="shared" si="141"/>
        <v>54</v>
      </c>
      <c r="AW175" s="139">
        <f t="shared" si="141"/>
        <v>54</v>
      </c>
      <c r="AX175" s="139">
        <f t="shared" si="141"/>
        <v>54</v>
      </c>
      <c r="AY175" s="139">
        <f t="shared" si="141"/>
        <v>54</v>
      </c>
      <c r="AZ175" s="139">
        <f t="shared" si="142"/>
        <v>54</v>
      </c>
      <c r="BA175" s="139">
        <f t="shared" si="142"/>
        <v>54</v>
      </c>
      <c r="BB175" s="139">
        <f t="shared" si="142"/>
        <v>60</v>
      </c>
      <c r="BC175" s="139">
        <f t="shared" si="142"/>
        <v>60</v>
      </c>
      <c r="BD175" s="139">
        <f t="shared" si="142"/>
        <v>60</v>
      </c>
      <c r="BE175" s="139">
        <f t="shared" si="142"/>
        <v>60</v>
      </c>
      <c r="BF175" s="139">
        <f t="shared" si="142"/>
        <v>60</v>
      </c>
      <c r="BG175" s="139">
        <f t="shared" si="142"/>
        <v>60</v>
      </c>
      <c r="BH175" s="139">
        <f t="shared" si="142"/>
        <v>60</v>
      </c>
      <c r="BI175" s="139">
        <f t="shared" si="142"/>
        <v>60</v>
      </c>
      <c r="BJ175" s="139">
        <f t="shared" si="143"/>
        <v>60</v>
      </c>
      <c r="BK175" s="139">
        <f t="shared" si="143"/>
        <v>60</v>
      </c>
      <c r="BL175" s="139">
        <f t="shared" si="143"/>
        <v>60</v>
      </c>
      <c r="BM175" s="139">
        <f t="shared" si="143"/>
        <v>60</v>
      </c>
      <c r="BN175" s="139">
        <f t="shared" si="143"/>
        <v>60</v>
      </c>
      <c r="BO175" s="139">
        <f t="shared" si="143"/>
        <v>60</v>
      </c>
      <c r="BP175" s="139">
        <f t="shared" si="143"/>
        <v>60</v>
      </c>
      <c r="BQ175" s="139">
        <f t="shared" si="143"/>
        <v>60</v>
      </c>
      <c r="BR175" s="139">
        <f t="shared" si="143"/>
        <v>60</v>
      </c>
      <c r="BS175" s="139">
        <f t="shared" si="143"/>
        <v>60</v>
      </c>
      <c r="BU175" s="139">
        <f t="shared" si="117"/>
        <v>144</v>
      </c>
      <c r="BV175" s="139">
        <f t="shared" si="118"/>
        <v>396</v>
      </c>
      <c r="BW175" s="139">
        <f t="shared" si="119"/>
        <v>540</v>
      </c>
      <c r="BX175" s="139">
        <f t="shared" si="120"/>
        <v>684</v>
      </c>
      <c r="BY175" s="139">
        <f t="shared" si="121"/>
        <v>720</v>
      </c>
    </row>
    <row r="176" spans="3:77">
      <c r="C176" s="155"/>
      <c r="E176" s="139" t="s">
        <v>515</v>
      </c>
      <c r="G176" s="165" t="s">
        <v>562</v>
      </c>
      <c r="H176" s="165"/>
      <c r="I176" s="165"/>
      <c r="K176" s="311"/>
      <c r="BU176" s="139">
        <f t="shared" si="117"/>
        <v>0</v>
      </c>
      <c r="BV176" s="139">
        <f t="shared" si="118"/>
        <v>0</v>
      </c>
      <c r="BW176" s="139">
        <f t="shared" si="119"/>
        <v>0</v>
      </c>
      <c r="BX176" s="139">
        <f t="shared" si="120"/>
        <v>0</v>
      </c>
      <c r="BY176" s="139">
        <f t="shared" si="121"/>
        <v>0</v>
      </c>
    </row>
    <row r="177" spans="3:77" s="155" customFormat="1">
      <c r="D177" s="313" t="s">
        <v>157</v>
      </c>
      <c r="E177" s="313"/>
      <c r="F177" s="313" t="s">
        <v>561</v>
      </c>
      <c r="G177" s="313"/>
      <c r="H177" s="313"/>
      <c r="I177" s="313"/>
      <c r="J177" s="313"/>
      <c r="K177" s="355"/>
      <c r="L177" s="313">
        <f t="shared" ref="L177:BR177" si="144">SUBTOTAL(9,L178:L185)</f>
        <v>1</v>
      </c>
      <c r="M177" s="313">
        <f t="shared" si="144"/>
        <v>1</v>
      </c>
      <c r="N177" s="313">
        <f t="shared" si="144"/>
        <v>1</v>
      </c>
      <c r="O177" s="313">
        <f t="shared" si="144"/>
        <v>1</v>
      </c>
      <c r="P177" s="313">
        <f t="shared" si="144"/>
        <v>1</v>
      </c>
      <c r="Q177" s="313">
        <f t="shared" si="144"/>
        <v>1</v>
      </c>
      <c r="R177" s="313">
        <f t="shared" si="144"/>
        <v>17</v>
      </c>
      <c r="S177" s="313">
        <f t="shared" si="144"/>
        <v>17</v>
      </c>
      <c r="T177" s="313">
        <f t="shared" si="144"/>
        <v>17</v>
      </c>
      <c r="U177" s="313">
        <f t="shared" si="144"/>
        <v>17</v>
      </c>
      <c r="V177" s="313">
        <f t="shared" si="144"/>
        <v>17</v>
      </c>
      <c r="W177" s="313">
        <f t="shared" si="144"/>
        <v>17</v>
      </c>
      <c r="X177" s="313">
        <f t="shared" si="144"/>
        <v>22</v>
      </c>
      <c r="Y177" s="313">
        <f t="shared" si="144"/>
        <v>22</v>
      </c>
      <c r="Z177" s="313">
        <f t="shared" si="144"/>
        <v>22</v>
      </c>
      <c r="AA177" s="313">
        <f t="shared" si="144"/>
        <v>22</v>
      </c>
      <c r="AB177" s="313">
        <f t="shared" si="144"/>
        <v>22</v>
      </c>
      <c r="AC177" s="313">
        <f t="shared" si="144"/>
        <v>22</v>
      </c>
      <c r="AD177" s="313">
        <f t="shared" si="144"/>
        <v>26</v>
      </c>
      <c r="AE177" s="313">
        <f t="shared" si="144"/>
        <v>26</v>
      </c>
      <c r="AF177" s="313">
        <f t="shared" si="144"/>
        <v>26</v>
      </c>
      <c r="AG177" s="313">
        <f t="shared" si="144"/>
        <v>26</v>
      </c>
      <c r="AH177" s="313">
        <f t="shared" si="144"/>
        <v>26</v>
      </c>
      <c r="AI177" s="313">
        <f t="shared" si="144"/>
        <v>26</v>
      </c>
      <c r="AJ177" s="313">
        <f t="shared" si="144"/>
        <v>30</v>
      </c>
      <c r="AK177" s="313">
        <f t="shared" si="144"/>
        <v>30</v>
      </c>
      <c r="AL177" s="313">
        <f t="shared" si="144"/>
        <v>30</v>
      </c>
      <c r="AM177" s="313">
        <f t="shared" si="144"/>
        <v>30</v>
      </c>
      <c r="AN177" s="313">
        <f t="shared" si="144"/>
        <v>30</v>
      </c>
      <c r="AO177" s="313">
        <f t="shared" si="144"/>
        <v>30</v>
      </c>
      <c r="AP177" s="313">
        <f t="shared" si="144"/>
        <v>34</v>
      </c>
      <c r="AQ177" s="313">
        <f t="shared" si="144"/>
        <v>34</v>
      </c>
      <c r="AR177" s="313">
        <f t="shared" si="144"/>
        <v>34</v>
      </c>
      <c r="AS177" s="313">
        <f t="shared" si="144"/>
        <v>34</v>
      </c>
      <c r="AT177" s="313">
        <f t="shared" si="144"/>
        <v>34</v>
      </c>
      <c r="AU177" s="313">
        <f t="shared" si="144"/>
        <v>34</v>
      </c>
      <c r="AV177" s="313">
        <f t="shared" si="144"/>
        <v>38</v>
      </c>
      <c r="AW177" s="313">
        <f t="shared" si="144"/>
        <v>38</v>
      </c>
      <c r="AX177" s="313">
        <f t="shared" si="144"/>
        <v>38</v>
      </c>
      <c r="AY177" s="313">
        <f t="shared" si="144"/>
        <v>38</v>
      </c>
      <c r="AZ177" s="313">
        <f t="shared" si="144"/>
        <v>38</v>
      </c>
      <c r="BA177" s="313">
        <f t="shared" si="144"/>
        <v>38</v>
      </c>
      <c r="BB177" s="313">
        <f t="shared" si="144"/>
        <v>42</v>
      </c>
      <c r="BC177" s="313">
        <f t="shared" si="144"/>
        <v>42</v>
      </c>
      <c r="BD177" s="313">
        <f t="shared" si="144"/>
        <v>42</v>
      </c>
      <c r="BE177" s="313">
        <f t="shared" si="144"/>
        <v>42</v>
      </c>
      <c r="BF177" s="313">
        <f t="shared" si="144"/>
        <v>42</v>
      </c>
      <c r="BG177" s="313">
        <f t="shared" si="144"/>
        <v>42</v>
      </c>
      <c r="BH177" s="313">
        <f t="shared" si="144"/>
        <v>42</v>
      </c>
      <c r="BI177" s="313">
        <f t="shared" si="144"/>
        <v>42</v>
      </c>
      <c r="BJ177" s="313">
        <f t="shared" si="144"/>
        <v>42</v>
      </c>
      <c r="BK177" s="313">
        <f t="shared" si="144"/>
        <v>42</v>
      </c>
      <c r="BL177" s="313">
        <f t="shared" si="144"/>
        <v>42</v>
      </c>
      <c r="BM177" s="313">
        <f t="shared" si="144"/>
        <v>42</v>
      </c>
      <c r="BN177" s="313">
        <f t="shared" si="144"/>
        <v>42</v>
      </c>
      <c r="BO177" s="313">
        <f t="shared" si="144"/>
        <v>42</v>
      </c>
      <c r="BP177" s="313">
        <f t="shared" si="144"/>
        <v>42</v>
      </c>
      <c r="BQ177" s="313">
        <f t="shared" si="144"/>
        <v>42</v>
      </c>
      <c r="BR177" s="313">
        <f t="shared" si="144"/>
        <v>42</v>
      </c>
      <c r="BS177" s="313">
        <f>SUBTOTAL(9,BS178:BS185)</f>
        <v>42</v>
      </c>
      <c r="BU177" s="139">
        <f t="shared" si="117"/>
        <v>108</v>
      </c>
      <c r="BV177" s="139">
        <f t="shared" si="118"/>
        <v>288</v>
      </c>
      <c r="BW177" s="139">
        <f t="shared" si="119"/>
        <v>384</v>
      </c>
      <c r="BX177" s="139">
        <f t="shared" si="120"/>
        <v>480</v>
      </c>
      <c r="BY177" s="139">
        <f t="shared" si="121"/>
        <v>504</v>
      </c>
    </row>
    <row r="178" spans="3:77">
      <c r="C178" s="155"/>
      <c r="E178" s="139" t="s">
        <v>498</v>
      </c>
      <c r="G178" s="311">
        <v>1</v>
      </c>
      <c r="H178" s="139" t="s">
        <v>1355</v>
      </c>
      <c r="I178" s="158" t="s">
        <v>1357</v>
      </c>
      <c r="K178" s="311"/>
      <c r="L178" s="139">
        <v>0</v>
      </c>
      <c r="M178" s="139">
        <v>0</v>
      </c>
      <c r="N178" s="139">
        <v>0</v>
      </c>
      <c r="O178" s="139">
        <v>0</v>
      </c>
      <c r="P178" s="139">
        <v>0</v>
      </c>
      <c r="Q178" s="139">
        <v>0</v>
      </c>
      <c r="R178" s="139">
        <v>0</v>
      </c>
      <c r="S178" s="139">
        <v>0</v>
      </c>
      <c r="T178" s="139">
        <v>0</v>
      </c>
      <c r="U178" s="139">
        <v>0</v>
      </c>
      <c r="V178" s="139">
        <v>0</v>
      </c>
      <c r="W178" s="139">
        <v>0</v>
      </c>
      <c r="X178" s="139">
        <v>1</v>
      </c>
      <c r="Y178" s="139">
        <v>1</v>
      </c>
      <c r="Z178" s="139">
        <v>1</v>
      </c>
      <c r="AA178" s="139">
        <v>1</v>
      </c>
      <c r="AB178" s="139">
        <v>1</v>
      </c>
      <c r="AC178" s="139">
        <v>1</v>
      </c>
      <c r="AD178" s="139">
        <v>1</v>
      </c>
      <c r="AE178" s="139">
        <v>1</v>
      </c>
      <c r="AF178" s="139">
        <v>1</v>
      </c>
      <c r="AG178" s="139">
        <v>1</v>
      </c>
      <c r="AH178" s="139">
        <v>1</v>
      </c>
      <c r="AI178" s="139">
        <v>1</v>
      </c>
      <c r="AJ178" s="139">
        <v>1</v>
      </c>
      <c r="AK178" s="139">
        <v>1</v>
      </c>
      <c r="AL178" s="139">
        <v>1</v>
      </c>
      <c r="AM178" s="139">
        <v>1</v>
      </c>
      <c r="AN178" s="139">
        <v>1</v>
      </c>
      <c r="AO178" s="139">
        <v>1</v>
      </c>
      <c r="AP178" s="139">
        <v>1</v>
      </c>
      <c r="AQ178" s="139">
        <v>1</v>
      </c>
      <c r="AR178" s="139">
        <v>1</v>
      </c>
      <c r="AS178" s="139">
        <v>1</v>
      </c>
      <c r="AT178" s="139">
        <v>1</v>
      </c>
      <c r="AU178" s="139">
        <v>1</v>
      </c>
      <c r="AV178" s="139">
        <v>1</v>
      </c>
      <c r="AW178" s="139">
        <v>1</v>
      </c>
      <c r="AX178" s="139">
        <v>1</v>
      </c>
      <c r="AY178" s="139">
        <v>1</v>
      </c>
      <c r="AZ178" s="139">
        <v>1</v>
      </c>
      <c r="BA178" s="139">
        <v>1</v>
      </c>
      <c r="BB178" s="139">
        <v>1</v>
      </c>
      <c r="BC178" s="139">
        <v>1</v>
      </c>
      <c r="BD178" s="139">
        <v>1</v>
      </c>
      <c r="BE178" s="139">
        <v>1</v>
      </c>
      <c r="BF178" s="139">
        <v>1</v>
      </c>
      <c r="BG178" s="139">
        <v>1</v>
      </c>
      <c r="BH178" s="139">
        <v>1</v>
      </c>
      <c r="BI178" s="139">
        <v>1</v>
      </c>
      <c r="BJ178" s="139">
        <v>1</v>
      </c>
      <c r="BK178" s="139">
        <v>1</v>
      </c>
      <c r="BL178" s="139">
        <v>1</v>
      </c>
      <c r="BM178" s="139">
        <v>1</v>
      </c>
      <c r="BN178" s="139">
        <v>1</v>
      </c>
      <c r="BO178" s="139">
        <v>1</v>
      </c>
      <c r="BP178" s="139">
        <v>1</v>
      </c>
      <c r="BQ178" s="139">
        <v>1</v>
      </c>
      <c r="BR178" s="139">
        <v>1</v>
      </c>
      <c r="BS178" s="139">
        <v>1</v>
      </c>
      <c r="BU178" s="139">
        <f t="shared" si="117"/>
        <v>0</v>
      </c>
      <c r="BV178" s="139">
        <f t="shared" si="118"/>
        <v>12</v>
      </c>
      <c r="BW178" s="139">
        <f t="shared" si="119"/>
        <v>12</v>
      </c>
      <c r="BX178" s="139">
        <f t="shared" si="120"/>
        <v>12</v>
      </c>
      <c r="BY178" s="139">
        <f t="shared" si="121"/>
        <v>12</v>
      </c>
    </row>
    <row r="179" spans="3:77">
      <c r="C179" s="155"/>
      <c r="E179" s="139" t="s">
        <v>517</v>
      </c>
      <c r="G179" s="311">
        <v>1</v>
      </c>
      <c r="J179" s="139" t="s">
        <v>575</v>
      </c>
      <c r="K179" s="311"/>
      <c r="L179" s="139">
        <v>1</v>
      </c>
      <c r="M179" s="139">
        <v>1</v>
      </c>
      <c r="N179" s="139">
        <v>1</v>
      </c>
      <c r="O179" s="139">
        <v>1</v>
      </c>
      <c r="P179" s="139">
        <v>1</v>
      </c>
      <c r="Q179" s="139">
        <v>1</v>
      </c>
      <c r="R179" s="139">
        <v>1</v>
      </c>
      <c r="S179" s="139">
        <v>1</v>
      </c>
      <c r="T179" s="139">
        <v>1</v>
      </c>
      <c r="U179" s="139">
        <v>1</v>
      </c>
      <c r="V179" s="139">
        <v>1</v>
      </c>
      <c r="W179" s="139">
        <v>1</v>
      </c>
      <c r="X179" s="139">
        <v>1</v>
      </c>
      <c r="Y179" s="139">
        <v>1</v>
      </c>
      <c r="Z179" s="139">
        <v>1</v>
      </c>
      <c r="AA179" s="139">
        <v>1</v>
      </c>
      <c r="AB179" s="139">
        <v>1</v>
      </c>
      <c r="AC179" s="139">
        <v>1</v>
      </c>
      <c r="AD179" s="139">
        <v>1</v>
      </c>
      <c r="AE179" s="139">
        <v>1</v>
      </c>
      <c r="AF179" s="139">
        <v>1</v>
      </c>
      <c r="AG179" s="139">
        <v>1</v>
      </c>
      <c r="AH179" s="139">
        <v>1</v>
      </c>
      <c r="AI179" s="139">
        <v>1</v>
      </c>
      <c r="AJ179" s="139">
        <v>1</v>
      </c>
      <c r="AK179" s="139">
        <v>1</v>
      </c>
      <c r="AL179" s="139">
        <v>1</v>
      </c>
      <c r="AM179" s="139">
        <v>1</v>
      </c>
      <c r="AN179" s="139">
        <v>1</v>
      </c>
      <c r="AO179" s="139">
        <v>1</v>
      </c>
      <c r="AP179" s="139">
        <v>1</v>
      </c>
      <c r="AQ179" s="139">
        <v>1</v>
      </c>
      <c r="AR179" s="139">
        <v>1</v>
      </c>
      <c r="AS179" s="139">
        <v>1</v>
      </c>
      <c r="AT179" s="139">
        <v>1</v>
      </c>
      <c r="AU179" s="139">
        <v>1</v>
      </c>
      <c r="AV179" s="139">
        <v>1</v>
      </c>
      <c r="AW179" s="139">
        <v>1</v>
      </c>
      <c r="AX179" s="139">
        <v>1</v>
      </c>
      <c r="AY179" s="139">
        <v>1</v>
      </c>
      <c r="AZ179" s="139">
        <v>1</v>
      </c>
      <c r="BA179" s="139">
        <v>1</v>
      </c>
      <c r="BB179" s="139">
        <v>1</v>
      </c>
      <c r="BC179" s="139">
        <v>1</v>
      </c>
      <c r="BD179" s="139">
        <v>1</v>
      </c>
      <c r="BE179" s="139">
        <v>1</v>
      </c>
      <c r="BF179" s="139">
        <v>1</v>
      </c>
      <c r="BG179" s="139">
        <v>1</v>
      </c>
      <c r="BH179" s="139">
        <v>1</v>
      </c>
      <c r="BI179" s="139">
        <v>1</v>
      </c>
      <c r="BJ179" s="139">
        <v>1</v>
      </c>
      <c r="BK179" s="139">
        <v>1</v>
      </c>
      <c r="BL179" s="139">
        <v>1</v>
      </c>
      <c r="BM179" s="139">
        <v>1</v>
      </c>
      <c r="BN179" s="139">
        <v>1</v>
      </c>
      <c r="BO179" s="139">
        <v>1</v>
      </c>
      <c r="BP179" s="139">
        <v>1</v>
      </c>
      <c r="BQ179" s="139">
        <v>1</v>
      </c>
      <c r="BR179" s="139">
        <v>1</v>
      </c>
      <c r="BS179" s="139">
        <v>1</v>
      </c>
      <c r="BU179" s="139">
        <f t="shared" si="117"/>
        <v>12</v>
      </c>
      <c r="BV179" s="139">
        <f t="shared" si="118"/>
        <v>12</v>
      </c>
      <c r="BW179" s="139">
        <f t="shared" si="119"/>
        <v>12</v>
      </c>
      <c r="BX179" s="139">
        <f t="shared" si="120"/>
        <v>12</v>
      </c>
      <c r="BY179" s="139">
        <f t="shared" si="121"/>
        <v>12</v>
      </c>
    </row>
    <row r="180" spans="3:77">
      <c r="C180" s="155"/>
      <c r="E180" s="356" t="s">
        <v>518</v>
      </c>
      <c r="F180" s="356"/>
      <c r="G180" s="356"/>
      <c r="H180" s="356"/>
      <c r="I180" s="357" t="s">
        <v>1353</v>
      </c>
      <c r="J180" s="356"/>
      <c r="K180" s="358"/>
      <c r="L180" s="356"/>
      <c r="M180" s="356"/>
      <c r="N180" s="356"/>
      <c r="O180" s="356"/>
      <c r="P180" s="356"/>
      <c r="Q180" s="356"/>
      <c r="R180" s="356"/>
      <c r="S180" s="356"/>
      <c r="T180" s="356"/>
      <c r="U180" s="356"/>
      <c r="V180" s="356"/>
      <c r="W180" s="356"/>
      <c r="X180" s="356"/>
      <c r="Y180" s="356"/>
      <c r="Z180" s="356"/>
      <c r="AA180" s="356"/>
      <c r="AB180" s="356"/>
      <c r="AC180" s="356"/>
      <c r="AD180" s="356"/>
      <c r="AE180" s="356"/>
      <c r="AF180" s="356"/>
      <c r="AG180" s="356"/>
      <c r="AH180" s="356"/>
      <c r="AI180" s="356"/>
      <c r="AJ180" s="356"/>
      <c r="AK180" s="356"/>
      <c r="AL180" s="356"/>
      <c r="AM180" s="356"/>
      <c r="AN180" s="356"/>
      <c r="AO180" s="356"/>
      <c r="AP180" s="356"/>
      <c r="AQ180" s="356"/>
      <c r="AR180" s="356"/>
      <c r="AS180" s="356"/>
      <c r="AT180" s="356"/>
      <c r="AU180" s="356"/>
      <c r="AV180" s="356"/>
      <c r="AW180" s="356"/>
      <c r="AX180" s="356"/>
      <c r="AY180" s="356"/>
      <c r="AZ180" s="356"/>
      <c r="BA180" s="356"/>
      <c r="BB180" s="356"/>
      <c r="BC180" s="356"/>
      <c r="BD180" s="356"/>
      <c r="BE180" s="356"/>
      <c r="BF180" s="356"/>
      <c r="BG180" s="356"/>
      <c r="BH180" s="356"/>
      <c r="BI180" s="356"/>
      <c r="BJ180" s="356"/>
      <c r="BK180" s="356"/>
      <c r="BL180" s="356"/>
      <c r="BM180" s="356"/>
      <c r="BN180" s="356"/>
      <c r="BO180" s="356"/>
      <c r="BP180" s="356"/>
      <c r="BQ180" s="356"/>
      <c r="BR180" s="356"/>
      <c r="BS180" s="356"/>
      <c r="BU180" s="139">
        <f t="shared" si="117"/>
        <v>0</v>
      </c>
      <c r="BV180" s="139">
        <f t="shared" si="118"/>
        <v>0</v>
      </c>
      <c r="BW180" s="139">
        <f t="shared" si="119"/>
        <v>0</v>
      </c>
      <c r="BX180" s="139">
        <f t="shared" si="120"/>
        <v>0</v>
      </c>
      <c r="BY180" s="139">
        <f t="shared" si="121"/>
        <v>0</v>
      </c>
    </row>
    <row r="181" spans="3:77">
      <c r="C181" s="155"/>
      <c r="E181" s="139" t="s">
        <v>519</v>
      </c>
      <c r="G181" s="311">
        <v>0.5</v>
      </c>
      <c r="H181" s="139" t="s">
        <v>1355</v>
      </c>
      <c r="I181" s="139" t="s">
        <v>113</v>
      </c>
      <c r="J181" s="139" t="s">
        <v>1354</v>
      </c>
      <c r="L181" s="139">
        <f t="shared" ref="L181:U184" si="145">L$5*$G181</f>
        <v>0</v>
      </c>
      <c r="M181" s="139">
        <f t="shared" si="145"/>
        <v>0</v>
      </c>
      <c r="N181" s="139">
        <f t="shared" si="145"/>
        <v>0</v>
      </c>
      <c r="O181" s="139">
        <f t="shared" si="145"/>
        <v>0</v>
      </c>
      <c r="P181" s="139">
        <f t="shared" si="145"/>
        <v>0</v>
      </c>
      <c r="Q181" s="139">
        <f t="shared" si="145"/>
        <v>0</v>
      </c>
      <c r="R181" s="139">
        <f t="shared" si="145"/>
        <v>2</v>
      </c>
      <c r="S181" s="139">
        <f t="shared" si="145"/>
        <v>2</v>
      </c>
      <c r="T181" s="139">
        <f t="shared" si="145"/>
        <v>2</v>
      </c>
      <c r="U181" s="139">
        <f t="shared" si="145"/>
        <v>2</v>
      </c>
      <c r="V181" s="139">
        <f t="shared" ref="V181:AE184" si="146">V$5*$G181</f>
        <v>2</v>
      </c>
      <c r="W181" s="139">
        <f t="shared" si="146"/>
        <v>2</v>
      </c>
      <c r="X181" s="139">
        <f t="shared" si="146"/>
        <v>2.5</v>
      </c>
      <c r="Y181" s="139">
        <f t="shared" si="146"/>
        <v>2.5</v>
      </c>
      <c r="Z181" s="139">
        <f t="shared" si="146"/>
        <v>2.5</v>
      </c>
      <c r="AA181" s="139">
        <f t="shared" si="146"/>
        <v>2.5</v>
      </c>
      <c r="AB181" s="139">
        <f t="shared" si="146"/>
        <v>2.5</v>
      </c>
      <c r="AC181" s="139">
        <f t="shared" si="146"/>
        <v>2.5</v>
      </c>
      <c r="AD181" s="139">
        <f t="shared" si="146"/>
        <v>3</v>
      </c>
      <c r="AE181" s="139">
        <f t="shared" si="146"/>
        <v>3</v>
      </c>
      <c r="AF181" s="139">
        <f t="shared" ref="AF181:AO184" si="147">AF$5*$G181</f>
        <v>3</v>
      </c>
      <c r="AG181" s="139">
        <f t="shared" si="147"/>
        <v>3</v>
      </c>
      <c r="AH181" s="139">
        <f t="shared" si="147"/>
        <v>3</v>
      </c>
      <c r="AI181" s="139">
        <f t="shared" si="147"/>
        <v>3</v>
      </c>
      <c r="AJ181" s="139">
        <f t="shared" si="147"/>
        <v>3.5</v>
      </c>
      <c r="AK181" s="139">
        <f t="shared" si="147"/>
        <v>3.5</v>
      </c>
      <c r="AL181" s="139">
        <f t="shared" si="147"/>
        <v>3.5</v>
      </c>
      <c r="AM181" s="139">
        <f t="shared" si="147"/>
        <v>3.5</v>
      </c>
      <c r="AN181" s="139">
        <f t="shared" si="147"/>
        <v>3.5</v>
      </c>
      <c r="AO181" s="139">
        <f t="shared" si="147"/>
        <v>3.5</v>
      </c>
      <c r="AP181" s="139">
        <f t="shared" ref="AP181:AY184" si="148">AP$5*$G181</f>
        <v>4</v>
      </c>
      <c r="AQ181" s="139">
        <f t="shared" si="148"/>
        <v>4</v>
      </c>
      <c r="AR181" s="139">
        <f t="shared" si="148"/>
        <v>4</v>
      </c>
      <c r="AS181" s="139">
        <f t="shared" si="148"/>
        <v>4</v>
      </c>
      <c r="AT181" s="139">
        <f t="shared" si="148"/>
        <v>4</v>
      </c>
      <c r="AU181" s="139">
        <f t="shared" si="148"/>
        <v>4</v>
      </c>
      <c r="AV181" s="139">
        <f t="shared" si="148"/>
        <v>4.5</v>
      </c>
      <c r="AW181" s="139">
        <f t="shared" si="148"/>
        <v>4.5</v>
      </c>
      <c r="AX181" s="139">
        <f t="shared" si="148"/>
        <v>4.5</v>
      </c>
      <c r="AY181" s="139">
        <f t="shared" si="148"/>
        <v>4.5</v>
      </c>
      <c r="AZ181" s="139">
        <f t="shared" ref="AZ181:BI184" si="149">AZ$5*$G181</f>
        <v>4.5</v>
      </c>
      <c r="BA181" s="139">
        <f t="shared" si="149"/>
        <v>4.5</v>
      </c>
      <c r="BB181" s="139">
        <f t="shared" si="149"/>
        <v>5</v>
      </c>
      <c r="BC181" s="139">
        <f t="shared" si="149"/>
        <v>5</v>
      </c>
      <c r="BD181" s="139">
        <f t="shared" si="149"/>
        <v>5</v>
      </c>
      <c r="BE181" s="139">
        <f t="shared" si="149"/>
        <v>5</v>
      </c>
      <c r="BF181" s="139">
        <f t="shared" si="149"/>
        <v>5</v>
      </c>
      <c r="BG181" s="139">
        <f t="shared" si="149"/>
        <v>5</v>
      </c>
      <c r="BH181" s="139">
        <f t="shared" si="149"/>
        <v>5</v>
      </c>
      <c r="BI181" s="139">
        <f t="shared" si="149"/>
        <v>5</v>
      </c>
      <c r="BJ181" s="139">
        <f t="shared" ref="BJ181:BS184" si="150">BJ$5*$G181</f>
        <v>5</v>
      </c>
      <c r="BK181" s="139">
        <f t="shared" si="150"/>
        <v>5</v>
      </c>
      <c r="BL181" s="139">
        <f t="shared" si="150"/>
        <v>5</v>
      </c>
      <c r="BM181" s="139">
        <f t="shared" si="150"/>
        <v>5</v>
      </c>
      <c r="BN181" s="139">
        <f t="shared" si="150"/>
        <v>5</v>
      </c>
      <c r="BO181" s="139">
        <f t="shared" si="150"/>
        <v>5</v>
      </c>
      <c r="BP181" s="139">
        <f t="shared" si="150"/>
        <v>5</v>
      </c>
      <c r="BQ181" s="139">
        <f t="shared" si="150"/>
        <v>5</v>
      </c>
      <c r="BR181" s="139">
        <f t="shared" si="150"/>
        <v>5</v>
      </c>
      <c r="BS181" s="139">
        <f t="shared" si="150"/>
        <v>5</v>
      </c>
      <c r="BU181" s="139">
        <f t="shared" si="117"/>
        <v>12</v>
      </c>
      <c r="BV181" s="139">
        <f t="shared" si="118"/>
        <v>33</v>
      </c>
      <c r="BW181" s="139">
        <f t="shared" si="119"/>
        <v>45</v>
      </c>
      <c r="BX181" s="139">
        <f t="shared" si="120"/>
        <v>57</v>
      </c>
      <c r="BY181" s="139">
        <f t="shared" si="121"/>
        <v>60</v>
      </c>
    </row>
    <row r="182" spans="3:77">
      <c r="C182" s="155"/>
      <c r="E182" s="139" t="s">
        <v>520</v>
      </c>
      <c r="G182" s="311">
        <v>0.5</v>
      </c>
      <c r="H182" s="139" t="s">
        <v>1355</v>
      </c>
      <c r="I182" s="139" t="s">
        <v>113</v>
      </c>
      <c r="J182" s="139" t="s">
        <v>1354</v>
      </c>
      <c r="L182" s="139">
        <f t="shared" si="145"/>
        <v>0</v>
      </c>
      <c r="M182" s="139">
        <f t="shared" si="145"/>
        <v>0</v>
      </c>
      <c r="N182" s="139">
        <f t="shared" si="145"/>
        <v>0</v>
      </c>
      <c r="O182" s="139">
        <f t="shared" si="145"/>
        <v>0</v>
      </c>
      <c r="P182" s="139">
        <f t="shared" si="145"/>
        <v>0</v>
      </c>
      <c r="Q182" s="139">
        <f t="shared" si="145"/>
        <v>0</v>
      </c>
      <c r="R182" s="139">
        <f t="shared" si="145"/>
        <v>2</v>
      </c>
      <c r="S182" s="139">
        <f t="shared" si="145"/>
        <v>2</v>
      </c>
      <c r="T182" s="139">
        <f t="shared" si="145"/>
        <v>2</v>
      </c>
      <c r="U182" s="139">
        <f t="shared" si="145"/>
        <v>2</v>
      </c>
      <c r="V182" s="139">
        <f t="shared" si="146"/>
        <v>2</v>
      </c>
      <c r="W182" s="139">
        <f t="shared" si="146"/>
        <v>2</v>
      </c>
      <c r="X182" s="139">
        <f t="shared" si="146"/>
        <v>2.5</v>
      </c>
      <c r="Y182" s="139">
        <f t="shared" si="146"/>
        <v>2.5</v>
      </c>
      <c r="Z182" s="139">
        <f t="shared" si="146"/>
        <v>2.5</v>
      </c>
      <c r="AA182" s="139">
        <f t="shared" si="146"/>
        <v>2.5</v>
      </c>
      <c r="AB182" s="139">
        <f t="shared" si="146"/>
        <v>2.5</v>
      </c>
      <c r="AC182" s="139">
        <f t="shared" si="146"/>
        <v>2.5</v>
      </c>
      <c r="AD182" s="139">
        <f t="shared" si="146"/>
        <v>3</v>
      </c>
      <c r="AE182" s="139">
        <f t="shared" si="146"/>
        <v>3</v>
      </c>
      <c r="AF182" s="139">
        <f t="shared" si="147"/>
        <v>3</v>
      </c>
      <c r="AG182" s="139">
        <f t="shared" si="147"/>
        <v>3</v>
      </c>
      <c r="AH182" s="139">
        <f t="shared" si="147"/>
        <v>3</v>
      </c>
      <c r="AI182" s="139">
        <f t="shared" si="147"/>
        <v>3</v>
      </c>
      <c r="AJ182" s="139">
        <f t="shared" si="147"/>
        <v>3.5</v>
      </c>
      <c r="AK182" s="139">
        <f t="shared" si="147"/>
        <v>3.5</v>
      </c>
      <c r="AL182" s="139">
        <f t="shared" si="147"/>
        <v>3.5</v>
      </c>
      <c r="AM182" s="139">
        <f t="shared" si="147"/>
        <v>3.5</v>
      </c>
      <c r="AN182" s="139">
        <f t="shared" si="147"/>
        <v>3.5</v>
      </c>
      <c r="AO182" s="139">
        <f t="shared" si="147"/>
        <v>3.5</v>
      </c>
      <c r="AP182" s="139">
        <f t="shared" si="148"/>
        <v>4</v>
      </c>
      <c r="AQ182" s="139">
        <f t="shared" si="148"/>
        <v>4</v>
      </c>
      <c r="AR182" s="139">
        <f t="shared" si="148"/>
        <v>4</v>
      </c>
      <c r="AS182" s="139">
        <f t="shared" si="148"/>
        <v>4</v>
      </c>
      <c r="AT182" s="139">
        <f t="shared" si="148"/>
        <v>4</v>
      </c>
      <c r="AU182" s="139">
        <f t="shared" si="148"/>
        <v>4</v>
      </c>
      <c r="AV182" s="139">
        <f t="shared" si="148"/>
        <v>4.5</v>
      </c>
      <c r="AW182" s="139">
        <f t="shared" si="148"/>
        <v>4.5</v>
      </c>
      <c r="AX182" s="139">
        <f t="shared" si="148"/>
        <v>4.5</v>
      </c>
      <c r="AY182" s="139">
        <f t="shared" si="148"/>
        <v>4.5</v>
      </c>
      <c r="AZ182" s="139">
        <f t="shared" si="149"/>
        <v>4.5</v>
      </c>
      <c r="BA182" s="139">
        <f t="shared" si="149"/>
        <v>4.5</v>
      </c>
      <c r="BB182" s="139">
        <f t="shared" si="149"/>
        <v>5</v>
      </c>
      <c r="BC182" s="139">
        <f t="shared" si="149"/>
        <v>5</v>
      </c>
      <c r="BD182" s="139">
        <f t="shared" si="149"/>
        <v>5</v>
      </c>
      <c r="BE182" s="139">
        <f t="shared" si="149"/>
        <v>5</v>
      </c>
      <c r="BF182" s="139">
        <f t="shared" si="149"/>
        <v>5</v>
      </c>
      <c r="BG182" s="139">
        <f t="shared" si="149"/>
        <v>5</v>
      </c>
      <c r="BH182" s="139">
        <f t="shared" si="149"/>
        <v>5</v>
      </c>
      <c r="BI182" s="139">
        <f t="shared" si="149"/>
        <v>5</v>
      </c>
      <c r="BJ182" s="139">
        <f t="shared" si="150"/>
        <v>5</v>
      </c>
      <c r="BK182" s="139">
        <f t="shared" si="150"/>
        <v>5</v>
      </c>
      <c r="BL182" s="139">
        <f t="shared" si="150"/>
        <v>5</v>
      </c>
      <c r="BM182" s="139">
        <f t="shared" si="150"/>
        <v>5</v>
      </c>
      <c r="BN182" s="139">
        <f t="shared" si="150"/>
        <v>5</v>
      </c>
      <c r="BO182" s="139">
        <f t="shared" si="150"/>
        <v>5</v>
      </c>
      <c r="BP182" s="139">
        <f t="shared" si="150"/>
        <v>5</v>
      </c>
      <c r="BQ182" s="139">
        <f t="shared" si="150"/>
        <v>5</v>
      </c>
      <c r="BR182" s="139">
        <f t="shared" si="150"/>
        <v>5</v>
      </c>
      <c r="BS182" s="139">
        <f t="shared" si="150"/>
        <v>5</v>
      </c>
      <c r="BU182" s="139">
        <f t="shared" si="117"/>
        <v>12</v>
      </c>
      <c r="BV182" s="139">
        <f t="shared" si="118"/>
        <v>33</v>
      </c>
      <c r="BW182" s="139">
        <f t="shared" si="119"/>
        <v>45</v>
      </c>
      <c r="BX182" s="139">
        <f t="shared" si="120"/>
        <v>57</v>
      </c>
      <c r="BY182" s="139">
        <f t="shared" si="121"/>
        <v>60</v>
      </c>
    </row>
    <row r="183" spans="3:77">
      <c r="C183" s="155"/>
      <c r="E183" s="139" t="s">
        <v>521</v>
      </c>
      <c r="G183" s="311">
        <v>1</v>
      </c>
      <c r="H183" s="139" t="s">
        <v>1355</v>
      </c>
      <c r="I183" s="139" t="s">
        <v>113</v>
      </c>
      <c r="J183" s="139" t="s">
        <v>1354</v>
      </c>
      <c r="L183" s="139">
        <f t="shared" si="145"/>
        <v>0</v>
      </c>
      <c r="M183" s="139">
        <f t="shared" si="145"/>
        <v>0</v>
      </c>
      <c r="N183" s="139">
        <f t="shared" si="145"/>
        <v>0</v>
      </c>
      <c r="O183" s="139">
        <f t="shared" si="145"/>
        <v>0</v>
      </c>
      <c r="P183" s="139">
        <f t="shared" si="145"/>
        <v>0</v>
      </c>
      <c r="Q183" s="139">
        <f t="shared" si="145"/>
        <v>0</v>
      </c>
      <c r="R183" s="139">
        <f t="shared" si="145"/>
        <v>4</v>
      </c>
      <c r="S183" s="139">
        <f t="shared" si="145"/>
        <v>4</v>
      </c>
      <c r="T183" s="139">
        <f t="shared" si="145"/>
        <v>4</v>
      </c>
      <c r="U183" s="139">
        <f t="shared" si="145"/>
        <v>4</v>
      </c>
      <c r="V183" s="139">
        <f t="shared" si="146"/>
        <v>4</v>
      </c>
      <c r="W183" s="139">
        <f t="shared" si="146"/>
        <v>4</v>
      </c>
      <c r="X183" s="139">
        <f t="shared" si="146"/>
        <v>5</v>
      </c>
      <c r="Y183" s="139">
        <f t="shared" si="146"/>
        <v>5</v>
      </c>
      <c r="Z183" s="139">
        <f t="shared" si="146"/>
        <v>5</v>
      </c>
      <c r="AA183" s="139">
        <f t="shared" si="146"/>
        <v>5</v>
      </c>
      <c r="AB183" s="139">
        <f t="shared" si="146"/>
        <v>5</v>
      </c>
      <c r="AC183" s="139">
        <f t="shared" si="146"/>
        <v>5</v>
      </c>
      <c r="AD183" s="139">
        <f t="shared" si="146"/>
        <v>6</v>
      </c>
      <c r="AE183" s="139">
        <f t="shared" si="146"/>
        <v>6</v>
      </c>
      <c r="AF183" s="139">
        <f t="shared" si="147"/>
        <v>6</v>
      </c>
      <c r="AG183" s="139">
        <f t="shared" si="147"/>
        <v>6</v>
      </c>
      <c r="AH183" s="139">
        <f t="shared" si="147"/>
        <v>6</v>
      </c>
      <c r="AI183" s="139">
        <f t="shared" si="147"/>
        <v>6</v>
      </c>
      <c r="AJ183" s="139">
        <f t="shared" si="147"/>
        <v>7</v>
      </c>
      <c r="AK183" s="139">
        <f t="shared" si="147"/>
        <v>7</v>
      </c>
      <c r="AL183" s="139">
        <f t="shared" si="147"/>
        <v>7</v>
      </c>
      <c r="AM183" s="139">
        <f t="shared" si="147"/>
        <v>7</v>
      </c>
      <c r="AN183" s="139">
        <f t="shared" si="147"/>
        <v>7</v>
      </c>
      <c r="AO183" s="139">
        <f t="shared" si="147"/>
        <v>7</v>
      </c>
      <c r="AP183" s="139">
        <f t="shared" si="148"/>
        <v>8</v>
      </c>
      <c r="AQ183" s="139">
        <f t="shared" si="148"/>
        <v>8</v>
      </c>
      <c r="AR183" s="139">
        <f t="shared" si="148"/>
        <v>8</v>
      </c>
      <c r="AS183" s="139">
        <f t="shared" si="148"/>
        <v>8</v>
      </c>
      <c r="AT183" s="139">
        <f t="shared" si="148"/>
        <v>8</v>
      </c>
      <c r="AU183" s="139">
        <f t="shared" si="148"/>
        <v>8</v>
      </c>
      <c r="AV183" s="139">
        <f t="shared" si="148"/>
        <v>9</v>
      </c>
      <c r="AW183" s="139">
        <f t="shared" si="148"/>
        <v>9</v>
      </c>
      <c r="AX183" s="139">
        <f t="shared" si="148"/>
        <v>9</v>
      </c>
      <c r="AY183" s="139">
        <f t="shared" si="148"/>
        <v>9</v>
      </c>
      <c r="AZ183" s="139">
        <f t="shared" si="149"/>
        <v>9</v>
      </c>
      <c r="BA183" s="139">
        <f t="shared" si="149"/>
        <v>9</v>
      </c>
      <c r="BB183" s="139">
        <f t="shared" si="149"/>
        <v>10</v>
      </c>
      <c r="BC183" s="139">
        <f t="shared" si="149"/>
        <v>10</v>
      </c>
      <c r="BD183" s="139">
        <f t="shared" si="149"/>
        <v>10</v>
      </c>
      <c r="BE183" s="139">
        <f t="shared" si="149"/>
        <v>10</v>
      </c>
      <c r="BF183" s="139">
        <f t="shared" si="149"/>
        <v>10</v>
      </c>
      <c r="BG183" s="139">
        <f t="shared" si="149"/>
        <v>10</v>
      </c>
      <c r="BH183" s="139">
        <f t="shared" si="149"/>
        <v>10</v>
      </c>
      <c r="BI183" s="139">
        <f t="shared" si="149"/>
        <v>10</v>
      </c>
      <c r="BJ183" s="139">
        <f t="shared" si="150"/>
        <v>10</v>
      </c>
      <c r="BK183" s="139">
        <f t="shared" si="150"/>
        <v>10</v>
      </c>
      <c r="BL183" s="139">
        <f t="shared" si="150"/>
        <v>10</v>
      </c>
      <c r="BM183" s="139">
        <f t="shared" si="150"/>
        <v>10</v>
      </c>
      <c r="BN183" s="139">
        <f t="shared" si="150"/>
        <v>10</v>
      </c>
      <c r="BO183" s="139">
        <f t="shared" si="150"/>
        <v>10</v>
      </c>
      <c r="BP183" s="139">
        <f t="shared" si="150"/>
        <v>10</v>
      </c>
      <c r="BQ183" s="139">
        <f t="shared" si="150"/>
        <v>10</v>
      </c>
      <c r="BR183" s="139">
        <f t="shared" si="150"/>
        <v>10</v>
      </c>
      <c r="BS183" s="139">
        <f t="shared" si="150"/>
        <v>10</v>
      </c>
      <c r="BU183" s="139">
        <f t="shared" si="117"/>
        <v>24</v>
      </c>
      <c r="BV183" s="139">
        <f t="shared" si="118"/>
        <v>66</v>
      </c>
      <c r="BW183" s="139">
        <f t="shared" si="119"/>
        <v>90</v>
      </c>
      <c r="BX183" s="139">
        <f t="shared" si="120"/>
        <v>114</v>
      </c>
      <c r="BY183" s="139">
        <f t="shared" si="121"/>
        <v>120</v>
      </c>
    </row>
    <row r="184" spans="3:77">
      <c r="C184" s="155"/>
      <c r="E184" s="139" t="s">
        <v>522</v>
      </c>
      <c r="G184" s="311">
        <v>2</v>
      </c>
      <c r="H184" s="139" t="s">
        <v>1355</v>
      </c>
      <c r="I184" s="139" t="s">
        <v>113</v>
      </c>
      <c r="J184" s="139" t="s">
        <v>1354</v>
      </c>
      <c r="L184" s="139">
        <f t="shared" si="145"/>
        <v>0</v>
      </c>
      <c r="M184" s="139">
        <f t="shared" si="145"/>
        <v>0</v>
      </c>
      <c r="N184" s="139">
        <f t="shared" si="145"/>
        <v>0</v>
      </c>
      <c r="O184" s="139">
        <f t="shared" si="145"/>
        <v>0</v>
      </c>
      <c r="P184" s="139">
        <f t="shared" si="145"/>
        <v>0</v>
      </c>
      <c r="Q184" s="139">
        <f t="shared" si="145"/>
        <v>0</v>
      </c>
      <c r="R184" s="139">
        <f t="shared" si="145"/>
        <v>8</v>
      </c>
      <c r="S184" s="139">
        <f t="shared" si="145"/>
        <v>8</v>
      </c>
      <c r="T184" s="139">
        <f t="shared" si="145"/>
        <v>8</v>
      </c>
      <c r="U184" s="139">
        <f t="shared" si="145"/>
        <v>8</v>
      </c>
      <c r="V184" s="139">
        <f t="shared" si="146"/>
        <v>8</v>
      </c>
      <c r="W184" s="139">
        <f t="shared" si="146"/>
        <v>8</v>
      </c>
      <c r="X184" s="139">
        <f t="shared" si="146"/>
        <v>10</v>
      </c>
      <c r="Y184" s="139">
        <f t="shared" si="146"/>
        <v>10</v>
      </c>
      <c r="Z184" s="139">
        <f t="shared" si="146"/>
        <v>10</v>
      </c>
      <c r="AA184" s="139">
        <f t="shared" si="146"/>
        <v>10</v>
      </c>
      <c r="AB184" s="139">
        <f t="shared" si="146"/>
        <v>10</v>
      </c>
      <c r="AC184" s="139">
        <f t="shared" si="146"/>
        <v>10</v>
      </c>
      <c r="AD184" s="139">
        <f t="shared" si="146"/>
        <v>12</v>
      </c>
      <c r="AE184" s="139">
        <f t="shared" si="146"/>
        <v>12</v>
      </c>
      <c r="AF184" s="139">
        <f t="shared" si="147"/>
        <v>12</v>
      </c>
      <c r="AG184" s="139">
        <f t="shared" si="147"/>
        <v>12</v>
      </c>
      <c r="AH184" s="139">
        <f t="shared" si="147"/>
        <v>12</v>
      </c>
      <c r="AI184" s="139">
        <f t="shared" si="147"/>
        <v>12</v>
      </c>
      <c r="AJ184" s="139">
        <f t="shared" si="147"/>
        <v>14</v>
      </c>
      <c r="AK184" s="139">
        <f t="shared" si="147"/>
        <v>14</v>
      </c>
      <c r="AL184" s="139">
        <f t="shared" si="147"/>
        <v>14</v>
      </c>
      <c r="AM184" s="139">
        <f t="shared" si="147"/>
        <v>14</v>
      </c>
      <c r="AN184" s="139">
        <f t="shared" si="147"/>
        <v>14</v>
      </c>
      <c r="AO184" s="139">
        <f t="shared" si="147"/>
        <v>14</v>
      </c>
      <c r="AP184" s="139">
        <f t="shared" si="148"/>
        <v>16</v>
      </c>
      <c r="AQ184" s="139">
        <f t="shared" si="148"/>
        <v>16</v>
      </c>
      <c r="AR184" s="139">
        <f t="shared" si="148"/>
        <v>16</v>
      </c>
      <c r="AS184" s="139">
        <f t="shared" si="148"/>
        <v>16</v>
      </c>
      <c r="AT184" s="139">
        <f t="shared" si="148"/>
        <v>16</v>
      </c>
      <c r="AU184" s="139">
        <f t="shared" si="148"/>
        <v>16</v>
      </c>
      <c r="AV184" s="139">
        <f t="shared" si="148"/>
        <v>18</v>
      </c>
      <c r="AW184" s="139">
        <f t="shared" si="148"/>
        <v>18</v>
      </c>
      <c r="AX184" s="139">
        <f t="shared" si="148"/>
        <v>18</v>
      </c>
      <c r="AY184" s="139">
        <f t="shared" si="148"/>
        <v>18</v>
      </c>
      <c r="AZ184" s="139">
        <f t="shared" si="149"/>
        <v>18</v>
      </c>
      <c r="BA184" s="139">
        <f t="shared" si="149"/>
        <v>18</v>
      </c>
      <c r="BB184" s="139">
        <f t="shared" si="149"/>
        <v>20</v>
      </c>
      <c r="BC184" s="139">
        <f t="shared" si="149"/>
        <v>20</v>
      </c>
      <c r="BD184" s="139">
        <f t="shared" si="149"/>
        <v>20</v>
      </c>
      <c r="BE184" s="139">
        <f t="shared" si="149"/>
        <v>20</v>
      </c>
      <c r="BF184" s="139">
        <f t="shared" si="149"/>
        <v>20</v>
      </c>
      <c r="BG184" s="139">
        <f t="shared" si="149"/>
        <v>20</v>
      </c>
      <c r="BH184" s="139">
        <f t="shared" si="149"/>
        <v>20</v>
      </c>
      <c r="BI184" s="139">
        <f t="shared" si="149"/>
        <v>20</v>
      </c>
      <c r="BJ184" s="139">
        <f t="shared" si="150"/>
        <v>20</v>
      </c>
      <c r="BK184" s="139">
        <f t="shared" si="150"/>
        <v>20</v>
      </c>
      <c r="BL184" s="139">
        <f t="shared" si="150"/>
        <v>20</v>
      </c>
      <c r="BM184" s="139">
        <f t="shared" si="150"/>
        <v>20</v>
      </c>
      <c r="BN184" s="139">
        <f t="shared" si="150"/>
        <v>20</v>
      </c>
      <c r="BO184" s="139">
        <f t="shared" si="150"/>
        <v>20</v>
      </c>
      <c r="BP184" s="139">
        <f t="shared" si="150"/>
        <v>20</v>
      </c>
      <c r="BQ184" s="139">
        <f t="shared" si="150"/>
        <v>20</v>
      </c>
      <c r="BR184" s="139">
        <f t="shared" si="150"/>
        <v>20</v>
      </c>
      <c r="BS184" s="139">
        <f t="shared" si="150"/>
        <v>20</v>
      </c>
      <c r="BU184" s="139">
        <f t="shared" si="117"/>
        <v>48</v>
      </c>
      <c r="BV184" s="139">
        <f t="shared" si="118"/>
        <v>132</v>
      </c>
      <c r="BW184" s="139">
        <f t="shared" si="119"/>
        <v>180</v>
      </c>
      <c r="BX184" s="139">
        <f t="shared" si="120"/>
        <v>228</v>
      </c>
      <c r="BY184" s="139">
        <f t="shared" si="121"/>
        <v>240</v>
      </c>
    </row>
    <row r="185" spans="3:77">
      <c r="C185" s="155"/>
      <c r="E185" s="139" t="s">
        <v>523</v>
      </c>
      <c r="J185" s="139" t="s">
        <v>575</v>
      </c>
      <c r="L185" s="139">
        <v>0</v>
      </c>
      <c r="M185" s="139">
        <v>0</v>
      </c>
      <c r="N185" s="139">
        <v>0</v>
      </c>
      <c r="O185" s="139">
        <v>0</v>
      </c>
      <c r="P185" s="139">
        <v>0</v>
      </c>
      <c r="Q185" s="139">
        <v>0</v>
      </c>
      <c r="R185" s="139">
        <v>0</v>
      </c>
      <c r="S185" s="139">
        <v>0</v>
      </c>
      <c r="T185" s="139">
        <v>0</v>
      </c>
      <c r="U185" s="139">
        <v>0</v>
      </c>
      <c r="V185" s="139">
        <v>0</v>
      </c>
      <c r="W185" s="139">
        <v>0</v>
      </c>
      <c r="X185" s="139">
        <v>0</v>
      </c>
      <c r="Y185" s="139">
        <v>0</v>
      </c>
      <c r="Z185" s="139">
        <v>0</v>
      </c>
      <c r="AA185" s="139">
        <v>0</v>
      </c>
      <c r="AB185" s="139">
        <v>0</v>
      </c>
      <c r="AC185" s="139">
        <v>0</v>
      </c>
      <c r="AD185" s="139">
        <v>0</v>
      </c>
      <c r="AE185" s="139">
        <v>0</v>
      </c>
      <c r="AF185" s="139">
        <v>0</v>
      </c>
      <c r="AG185" s="139">
        <v>0</v>
      </c>
      <c r="AH185" s="139">
        <v>0</v>
      </c>
      <c r="AI185" s="139">
        <v>0</v>
      </c>
      <c r="AJ185" s="139">
        <v>0</v>
      </c>
      <c r="AK185" s="139">
        <v>0</v>
      </c>
      <c r="AL185" s="139">
        <v>0</v>
      </c>
      <c r="AM185" s="139">
        <v>0</v>
      </c>
      <c r="AN185" s="139">
        <v>0</v>
      </c>
      <c r="AO185" s="139">
        <v>0</v>
      </c>
      <c r="AP185" s="139">
        <v>0</v>
      </c>
      <c r="AQ185" s="139">
        <v>0</v>
      </c>
      <c r="AR185" s="139">
        <v>0</v>
      </c>
      <c r="AS185" s="139">
        <v>0</v>
      </c>
      <c r="AT185" s="139">
        <v>0</v>
      </c>
      <c r="AU185" s="139">
        <v>0</v>
      </c>
      <c r="AV185" s="139">
        <v>0</v>
      </c>
      <c r="AW185" s="139">
        <v>0</v>
      </c>
      <c r="AX185" s="139">
        <v>0</v>
      </c>
      <c r="AY185" s="139">
        <v>0</v>
      </c>
      <c r="AZ185" s="139">
        <v>0</v>
      </c>
      <c r="BA185" s="139">
        <v>0</v>
      </c>
      <c r="BB185" s="139">
        <v>0</v>
      </c>
      <c r="BC185" s="139">
        <v>0</v>
      </c>
      <c r="BD185" s="139">
        <v>0</v>
      </c>
      <c r="BE185" s="139">
        <v>0</v>
      </c>
      <c r="BF185" s="139">
        <v>0</v>
      </c>
      <c r="BG185" s="139">
        <v>0</v>
      </c>
      <c r="BH185" s="139">
        <v>0</v>
      </c>
      <c r="BI185" s="139">
        <v>0</v>
      </c>
      <c r="BJ185" s="139">
        <v>0</v>
      </c>
      <c r="BK185" s="139">
        <v>0</v>
      </c>
      <c r="BL185" s="139">
        <v>0</v>
      </c>
      <c r="BM185" s="139">
        <v>0</v>
      </c>
      <c r="BN185" s="139">
        <v>0</v>
      </c>
      <c r="BO185" s="139">
        <v>0</v>
      </c>
      <c r="BP185" s="139">
        <v>0</v>
      </c>
      <c r="BQ185" s="139">
        <v>0</v>
      </c>
      <c r="BR185" s="139">
        <v>0</v>
      </c>
      <c r="BS185" s="139">
        <v>0</v>
      </c>
      <c r="BT185" s="139">
        <v>0</v>
      </c>
      <c r="BU185" s="139">
        <v>0</v>
      </c>
      <c r="BV185" s="139">
        <f t="shared" si="118"/>
        <v>0</v>
      </c>
      <c r="BW185" s="139">
        <f t="shared" si="119"/>
        <v>0</v>
      </c>
      <c r="BX185" s="139">
        <f t="shared" si="120"/>
        <v>0</v>
      </c>
      <c r="BY185" s="139">
        <f t="shared" si="121"/>
        <v>0</v>
      </c>
    </row>
    <row r="186" spans="3:77" s="155" customFormat="1">
      <c r="D186" s="313" t="s">
        <v>158</v>
      </c>
      <c r="E186" s="313"/>
      <c r="F186" s="313" t="s">
        <v>561</v>
      </c>
      <c r="G186" s="313"/>
      <c r="H186" s="313"/>
      <c r="I186" s="313"/>
      <c r="J186" s="313"/>
      <c r="K186" s="313"/>
      <c r="L186" s="313">
        <f t="shared" ref="L186:BR186" si="151">SUBTOTAL(9,L187:L194)</f>
        <v>0</v>
      </c>
      <c r="M186" s="313">
        <f t="shared" si="151"/>
        <v>0</v>
      </c>
      <c r="N186" s="313">
        <f t="shared" si="151"/>
        <v>0</v>
      </c>
      <c r="O186" s="313">
        <f t="shared" si="151"/>
        <v>0</v>
      </c>
      <c r="P186" s="313">
        <f t="shared" si="151"/>
        <v>0</v>
      </c>
      <c r="Q186" s="313">
        <f t="shared" si="151"/>
        <v>0</v>
      </c>
      <c r="R186" s="313">
        <f t="shared" si="151"/>
        <v>18</v>
      </c>
      <c r="S186" s="313">
        <f t="shared" si="151"/>
        <v>18</v>
      </c>
      <c r="T186" s="313">
        <f t="shared" si="151"/>
        <v>18</v>
      </c>
      <c r="U186" s="313">
        <f t="shared" si="151"/>
        <v>18</v>
      </c>
      <c r="V186" s="313">
        <f t="shared" si="151"/>
        <v>18</v>
      </c>
      <c r="W186" s="313">
        <f t="shared" si="151"/>
        <v>18</v>
      </c>
      <c r="X186" s="313">
        <f t="shared" si="151"/>
        <v>22.5</v>
      </c>
      <c r="Y186" s="313">
        <f t="shared" si="151"/>
        <v>22.5</v>
      </c>
      <c r="Z186" s="313">
        <f t="shared" si="151"/>
        <v>22.5</v>
      </c>
      <c r="AA186" s="313">
        <f t="shared" si="151"/>
        <v>22.5</v>
      </c>
      <c r="AB186" s="313">
        <f t="shared" si="151"/>
        <v>22.5</v>
      </c>
      <c r="AC186" s="313">
        <f t="shared" si="151"/>
        <v>22.5</v>
      </c>
      <c r="AD186" s="313">
        <f t="shared" si="151"/>
        <v>27</v>
      </c>
      <c r="AE186" s="313">
        <f t="shared" si="151"/>
        <v>27</v>
      </c>
      <c r="AF186" s="313">
        <f t="shared" si="151"/>
        <v>27</v>
      </c>
      <c r="AG186" s="313">
        <f t="shared" si="151"/>
        <v>27</v>
      </c>
      <c r="AH186" s="313">
        <f t="shared" si="151"/>
        <v>27</v>
      </c>
      <c r="AI186" s="313">
        <f t="shared" si="151"/>
        <v>27</v>
      </c>
      <c r="AJ186" s="313">
        <f t="shared" si="151"/>
        <v>33.5</v>
      </c>
      <c r="AK186" s="313">
        <f t="shared" si="151"/>
        <v>33.5</v>
      </c>
      <c r="AL186" s="313">
        <f t="shared" si="151"/>
        <v>33.5</v>
      </c>
      <c r="AM186" s="313">
        <f t="shared" si="151"/>
        <v>33.5</v>
      </c>
      <c r="AN186" s="313">
        <f t="shared" si="151"/>
        <v>33.5</v>
      </c>
      <c r="AO186" s="313">
        <f t="shared" si="151"/>
        <v>33.5</v>
      </c>
      <c r="AP186" s="313">
        <f t="shared" si="151"/>
        <v>38</v>
      </c>
      <c r="AQ186" s="313">
        <f t="shared" si="151"/>
        <v>38</v>
      </c>
      <c r="AR186" s="313">
        <f t="shared" si="151"/>
        <v>38</v>
      </c>
      <c r="AS186" s="313">
        <f t="shared" si="151"/>
        <v>38</v>
      </c>
      <c r="AT186" s="313">
        <f t="shared" si="151"/>
        <v>38</v>
      </c>
      <c r="AU186" s="313">
        <f t="shared" si="151"/>
        <v>38</v>
      </c>
      <c r="AV186" s="313">
        <f t="shared" si="151"/>
        <v>42.5</v>
      </c>
      <c r="AW186" s="313">
        <f t="shared" si="151"/>
        <v>42.5</v>
      </c>
      <c r="AX186" s="313">
        <f t="shared" si="151"/>
        <v>42.5</v>
      </c>
      <c r="AY186" s="313">
        <f t="shared" si="151"/>
        <v>42.5</v>
      </c>
      <c r="AZ186" s="313">
        <f t="shared" si="151"/>
        <v>42.5</v>
      </c>
      <c r="BA186" s="313">
        <f t="shared" si="151"/>
        <v>42.5</v>
      </c>
      <c r="BB186" s="313">
        <f t="shared" si="151"/>
        <v>47</v>
      </c>
      <c r="BC186" s="313">
        <f t="shared" si="151"/>
        <v>47</v>
      </c>
      <c r="BD186" s="313">
        <f t="shared" si="151"/>
        <v>47</v>
      </c>
      <c r="BE186" s="313">
        <f t="shared" si="151"/>
        <v>47</v>
      </c>
      <c r="BF186" s="313">
        <f t="shared" si="151"/>
        <v>47</v>
      </c>
      <c r="BG186" s="313">
        <f t="shared" si="151"/>
        <v>47</v>
      </c>
      <c r="BH186" s="313">
        <f t="shared" si="151"/>
        <v>47</v>
      </c>
      <c r="BI186" s="313">
        <f t="shared" si="151"/>
        <v>47</v>
      </c>
      <c r="BJ186" s="313">
        <f t="shared" si="151"/>
        <v>47</v>
      </c>
      <c r="BK186" s="313">
        <f t="shared" si="151"/>
        <v>47</v>
      </c>
      <c r="BL186" s="313">
        <f t="shared" si="151"/>
        <v>47</v>
      </c>
      <c r="BM186" s="313">
        <f t="shared" si="151"/>
        <v>47</v>
      </c>
      <c r="BN186" s="313">
        <f t="shared" si="151"/>
        <v>47</v>
      </c>
      <c r="BO186" s="313">
        <f t="shared" si="151"/>
        <v>47</v>
      </c>
      <c r="BP186" s="313">
        <f t="shared" si="151"/>
        <v>47</v>
      </c>
      <c r="BQ186" s="313">
        <f t="shared" si="151"/>
        <v>47</v>
      </c>
      <c r="BR186" s="313">
        <f t="shared" si="151"/>
        <v>47</v>
      </c>
      <c r="BS186" s="313">
        <f>SUBTOTAL(9,BS187:BS194)</f>
        <v>47</v>
      </c>
      <c r="BU186" s="139">
        <f t="shared" si="117"/>
        <v>108</v>
      </c>
      <c r="BV186" s="139">
        <f t="shared" si="118"/>
        <v>297</v>
      </c>
      <c r="BW186" s="139">
        <f t="shared" si="119"/>
        <v>429</v>
      </c>
      <c r="BX186" s="139">
        <f t="shared" si="120"/>
        <v>537</v>
      </c>
      <c r="BY186" s="139">
        <f t="shared" si="121"/>
        <v>564</v>
      </c>
    </row>
    <row r="187" spans="3:77">
      <c r="C187" s="155"/>
      <c r="E187" s="139" t="s">
        <v>498</v>
      </c>
      <c r="G187" s="139">
        <v>1</v>
      </c>
      <c r="H187" s="139" t="s">
        <v>1355</v>
      </c>
      <c r="I187" s="139" t="s">
        <v>111</v>
      </c>
      <c r="J187" s="139" t="s">
        <v>575</v>
      </c>
      <c r="AJ187" s="139">
        <v>1</v>
      </c>
      <c r="AK187" s="139">
        <v>1</v>
      </c>
      <c r="AL187" s="139">
        <v>1</v>
      </c>
      <c r="AM187" s="139">
        <v>1</v>
      </c>
      <c r="AN187" s="139">
        <v>1</v>
      </c>
      <c r="AO187" s="139">
        <v>1</v>
      </c>
      <c r="AP187" s="139">
        <v>1</v>
      </c>
      <c r="AQ187" s="139">
        <v>1</v>
      </c>
      <c r="AR187" s="139">
        <v>1</v>
      </c>
      <c r="AS187" s="139">
        <v>1</v>
      </c>
      <c r="AT187" s="139">
        <v>1</v>
      </c>
      <c r="AU187" s="139">
        <v>1</v>
      </c>
      <c r="AV187" s="139">
        <v>1</v>
      </c>
      <c r="AW187" s="139">
        <v>1</v>
      </c>
      <c r="AX187" s="139">
        <v>1</v>
      </c>
      <c r="AY187" s="139">
        <v>1</v>
      </c>
      <c r="AZ187" s="139">
        <v>1</v>
      </c>
      <c r="BA187" s="139">
        <v>1</v>
      </c>
      <c r="BB187" s="139">
        <v>1</v>
      </c>
      <c r="BC187" s="139">
        <v>1</v>
      </c>
      <c r="BD187" s="139">
        <v>1</v>
      </c>
      <c r="BE187" s="139">
        <v>1</v>
      </c>
      <c r="BF187" s="139">
        <v>1</v>
      </c>
      <c r="BG187" s="139">
        <v>1</v>
      </c>
      <c r="BH187" s="139">
        <v>1</v>
      </c>
      <c r="BI187" s="139">
        <v>1</v>
      </c>
      <c r="BJ187" s="139">
        <v>1</v>
      </c>
      <c r="BK187" s="139">
        <v>1</v>
      </c>
      <c r="BL187" s="139">
        <v>1</v>
      </c>
      <c r="BM187" s="139">
        <v>1</v>
      </c>
      <c r="BN187" s="139">
        <v>1</v>
      </c>
      <c r="BO187" s="139">
        <v>1</v>
      </c>
      <c r="BP187" s="139">
        <v>1</v>
      </c>
      <c r="BQ187" s="139">
        <v>1</v>
      </c>
      <c r="BR187" s="139">
        <v>1</v>
      </c>
      <c r="BS187" s="139">
        <v>1</v>
      </c>
      <c r="BU187" s="139">
        <f t="shared" si="117"/>
        <v>0</v>
      </c>
      <c r="BV187" s="139">
        <f t="shared" si="118"/>
        <v>0</v>
      </c>
      <c r="BW187" s="139">
        <f t="shared" si="119"/>
        <v>12</v>
      </c>
      <c r="BX187" s="139">
        <f t="shared" si="120"/>
        <v>12</v>
      </c>
      <c r="BY187" s="139">
        <f t="shared" si="121"/>
        <v>12</v>
      </c>
    </row>
    <row r="188" spans="3:77">
      <c r="C188" s="155"/>
      <c r="E188" s="139" t="s">
        <v>517</v>
      </c>
      <c r="G188" s="139">
        <v>1</v>
      </c>
      <c r="H188" s="139" t="s">
        <v>1355</v>
      </c>
      <c r="I188" s="139" t="s">
        <v>111</v>
      </c>
      <c r="J188" s="139" t="s">
        <v>559</v>
      </c>
      <c r="AJ188" s="139">
        <v>1</v>
      </c>
      <c r="AK188" s="139">
        <v>1</v>
      </c>
      <c r="AL188" s="139">
        <v>1</v>
      </c>
      <c r="AM188" s="139">
        <v>1</v>
      </c>
      <c r="AN188" s="139">
        <v>1</v>
      </c>
      <c r="AO188" s="139">
        <v>1</v>
      </c>
      <c r="AP188" s="139">
        <v>1</v>
      </c>
      <c r="AQ188" s="139">
        <v>1</v>
      </c>
      <c r="AR188" s="139">
        <v>1</v>
      </c>
      <c r="AS188" s="139">
        <v>1</v>
      </c>
      <c r="AT188" s="139">
        <v>1</v>
      </c>
      <c r="AU188" s="139">
        <v>1</v>
      </c>
      <c r="AV188" s="139">
        <v>1</v>
      </c>
      <c r="AW188" s="139">
        <v>1</v>
      </c>
      <c r="AX188" s="139">
        <v>1</v>
      </c>
      <c r="AY188" s="139">
        <v>1</v>
      </c>
      <c r="AZ188" s="139">
        <v>1</v>
      </c>
      <c r="BA188" s="139">
        <v>1</v>
      </c>
      <c r="BB188" s="139">
        <v>1</v>
      </c>
      <c r="BC188" s="139">
        <v>1</v>
      </c>
      <c r="BD188" s="139">
        <v>1</v>
      </c>
      <c r="BE188" s="139">
        <v>1</v>
      </c>
      <c r="BF188" s="139">
        <v>1</v>
      </c>
      <c r="BG188" s="139">
        <v>1</v>
      </c>
      <c r="BH188" s="139">
        <v>1</v>
      </c>
      <c r="BI188" s="139">
        <v>1</v>
      </c>
      <c r="BJ188" s="139">
        <v>1</v>
      </c>
      <c r="BK188" s="139">
        <v>1</v>
      </c>
      <c r="BL188" s="139">
        <v>1</v>
      </c>
      <c r="BM188" s="139">
        <v>1</v>
      </c>
      <c r="BN188" s="139">
        <v>1</v>
      </c>
      <c r="BO188" s="139">
        <v>1</v>
      </c>
      <c r="BP188" s="139">
        <v>1</v>
      </c>
      <c r="BQ188" s="139">
        <v>1</v>
      </c>
      <c r="BR188" s="139">
        <v>1</v>
      </c>
      <c r="BS188" s="139">
        <v>1</v>
      </c>
      <c r="BU188" s="139">
        <f t="shared" si="117"/>
        <v>0</v>
      </c>
      <c r="BV188" s="139">
        <f t="shared" si="118"/>
        <v>0</v>
      </c>
      <c r="BW188" s="139">
        <f t="shared" si="119"/>
        <v>12</v>
      </c>
      <c r="BX188" s="139">
        <f t="shared" si="120"/>
        <v>12</v>
      </c>
      <c r="BY188" s="139">
        <f t="shared" si="121"/>
        <v>12</v>
      </c>
    </row>
    <row r="189" spans="3:77">
      <c r="C189" s="155"/>
      <c r="E189" s="139" t="s">
        <v>518</v>
      </c>
      <c r="G189" s="311">
        <v>0.5</v>
      </c>
      <c r="H189" s="139" t="s">
        <v>1355</v>
      </c>
      <c r="I189" s="139" t="s">
        <v>113</v>
      </c>
      <c r="J189" s="139" t="s">
        <v>1354</v>
      </c>
      <c r="L189" s="139">
        <f t="shared" ref="L189:U190" si="152">L$5*$G189</f>
        <v>0</v>
      </c>
      <c r="M189" s="139">
        <f t="shared" si="152"/>
        <v>0</v>
      </c>
      <c r="N189" s="139">
        <f t="shared" si="152"/>
        <v>0</v>
      </c>
      <c r="O189" s="139">
        <f t="shared" si="152"/>
        <v>0</v>
      </c>
      <c r="P189" s="139">
        <f t="shared" si="152"/>
        <v>0</v>
      </c>
      <c r="Q189" s="139">
        <f t="shared" si="152"/>
        <v>0</v>
      </c>
      <c r="R189" s="139">
        <f t="shared" si="152"/>
        <v>2</v>
      </c>
      <c r="S189" s="139">
        <f t="shared" si="152"/>
        <v>2</v>
      </c>
      <c r="T189" s="139">
        <f t="shared" si="152"/>
        <v>2</v>
      </c>
      <c r="U189" s="139">
        <f t="shared" si="152"/>
        <v>2</v>
      </c>
      <c r="V189" s="139">
        <f t="shared" ref="V189:AE190" si="153">V$5*$G189</f>
        <v>2</v>
      </c>
      <c r="W189" s="139">
        <f t="shared" si="153"/>
        <v>2</v>
      </c>
      <c r="X189" s="139">
        <f t="shared" si="153"/>
        <v>2.5</v>
      </c>
      <c r="Y189" s="139">
        <f t="shared" si="153"/>
        <v>2.5</v>
      </c>
      <c r="Z189" s="139">
        <f t="shared" si="153"/>
        <v>2.5</v>
      </c>
      <c r="AA189" s="139">
        <f t="shared" si="153"/>
        <v>2.5</v>
      </c>
      <c r="AB189" s="139">
        <f t="shared" si="153"/>
        <v>2.5</v>
      </c>
      <c r="AC189" s="139">
        <f t="shared" si="153"/>
        <v>2.5</v>
      </c>
      <c r="AD189" s="139">
        <f t="shared" si="153"/>
        <v>3</v>
      </c>
      <c r="AE189" s="139">
        <f t="shared" si="153"/>
        <v>3</v>
      </c>
      <c r="AF189" s="139">
        <f t="shared" ref="AF189:AO190" si="154">AF$5*$G189</f>
        <v>3</v>
      </c>
      <c r="AG189" s="139">
        <f t="shared" si="154"/>
        <v>3</v>
      </c>
      <c r="AH189" s="139">
        <f t="shared" si="154"/>
        <v>3</v>
      </c>
      <c r="AI189" s="139">
        <f t="shared" si="154"/>
        <v>3</v>
      </c>
      <c r="AJ189" s="139">
        <f t="shared" si="154"/>
        <v>3.5</v>
      </c>
      <c r="AK189" s="139">
        <f t="shared" si="154"/>
        <v>3.5</v>
      </c>
      <c r="AL189" s="139">
        <f t="shared" si="154"/>
        <v>3.5</v>
      </c>
      <c r="AM189" s="139">
        <f t="shared" si="154"/>
        <v>3.5</v>
      </c>
      <c r="AN189" s="139">
        <f t="shared" si="154"/>
        <v>3.5</v>
      </c>
      <c r="AO189" s="139">
        <f t="shared" si="154"/>
        <v>3.5</v>
      </c>
      <c r="AP189" s="139">
        <f t="shared" ref="AP189:AY190" si="155">AP$5*$G189</f>
        <v>4</v>
      </c>
      <c r="AQ189" s="139">
        <f t="shared" si="155"/>
        <v>4</v>
      </c>
      <c r="AR189" s="139">
        <f t="shared" si="155"/>
        <v>4</v>
      </c>
      <c r="AS189" s="139">
        <f t="shared" si="155"/>
        <v>4</v>
      </c>
      <c r="AT189" s="139">
        <f t="shared" si="155"/>
        <v>4</v>
      </c>
      <c r="AU189" s="139">
        <f t="shared" si="155"/>
        <v>4</v>
      </c>
      <c r="AV189" s="139">
        <f t="shared" si="155"/>
        <v>4.5</v>
      </c>
      <c r="AW189" s="139">
        <f t="shared" si="155"/>
        <v>4.5</v>
      </c>
      <c r="AX189" s="139">
        <f t="shared" si="155"/>
        <v>4.5</v>
      </c>
      <c r="AY189" s="139">
        <f t="shared" si="155"/>
        <v>4.5</v>
      </c>
      <c r="AZ189" s="139">
        <f t="shared" ref="AZ189:BI190" si="156">AZ$5*$G189</f>
        <v>4.5</v>
      </c>
      <c r="BA189" s="139">
        <f t="shared" si="156"/>
        <v>4.5</v>
      </c>
      <c r="BB189" s="139">
        <f t="shared" si="156"/>
        <v>5</v>
      </c>
      <c r="BC189" s="139">
        <f t="shared" si="156"/>
        <v>5</v>
      </c>
      <c r="BD189" s="139">
        <f t="shared" si="156"/>
        <v>5</v>
      </c>
      <c r="BE189" s="139">
        <f t="shared" si="156"/>
        <v>5</v>
      </c>
      <c r="BF189" s="139">
        <f t="shared" si="156"/>
        <v>5</v>
      </c>
      <c r="BG189" s="139">
        <f t="shared" si="156"/>
        <v>5</v>
      </c>
      <c r="BH189" s="139">
        <f t="shared" si="156"/>
        <v>5</v>
      </c>
      <c r="BI189" s="139">
        <f t="shared" si="156"/>
        <v>5</v>
      </c>
      <c r="BJ189" s="139">
        <f t="shared" ref="BJ189:BS190" si="157">BJ$5*$G189</f>
        <v>5</v>
      </c>
      <c r="BK189" s="139">
        <f t="shared" si="157"/>
        <v>5</v>
      </c>
      <c r="BL189" s="139">
        <f t="shared" si="157"/>
        <v>5</v>
      </c>
      <c r="BM189" s="139">
        <f t="shared" si="157"/>
        <v>5</v>
      </c>
      <c r="BN189" s="139">
        <f t="shared" si="157"/>
        <v>5</v>
      </c>
      <c r="BO189" s="139">
        <f t="shared" si="157"/>
        <v>5</v>
      </c>
      <c r="BP189" s="139">
        <f t="shared" si="157"/>
        <v>5</v>
      </c>
      <c r="BQ189" s="139">
        <f t="shared" si="157"/>
        <v>5</v>
      </c>
      <c r="BR189" s="139">
        <f t="shared" si="157"/>
        <v>5</v>
      </c>
      <c r="BS189" s="139">
        <f t="shared" si="157"/>
        <v>5</v>
      </c>
      <c r="BU189" s="139">
        <f t="shared" si="117"/>
        <v>12</v>
      </c>
      <c r="BV189" s="139">
        <f t="shared" si="118"/>
        <v>33</v>
      </c>
      <c r="BW189" s="139">
        <f t="shared" si="119"/>
        <v>45</v>
      </c>
      <c r="BX189" s="139">
        <f t="shared" si="120"/>
        <v>57</v>
      </c>
      <c r="BY189" s="139">
        <f t="shared" si="121"/>
        <v>60</v>
      </c>
    </row>
    <row r="190" spans="3:77">
      <c r="C190" s="155"/>
      <c r="E190" s="139" t="s">
        <v>519</v>
      </c>
      <c r="G190" s="311">
        <v>0.5</v>
      </c>
      <c r="H190" s="139" t="s">
        <v>1355</v>
      </c>
      <c r="I190" s="139" t="s">
        <v>113</v>
      </c>
      <c r="J190" s="139" t="s">
        <v>1354</v>
      </c>
      <c r="L190" s="139">
        <f t="shared" si="152"/>
        <v>0</v>
      </c>
      <c r="M190" s="139">
        <f t="shared" si="152"/>
        <v>0</v>
      </c>
      <c r="N190" s="139">
        <f t="shared" si="152"/>
        <v>0</v>
      </c>
      <c r="O190" s="139">
        <f t="shared" si="152"/>
        <v>0</v>
      </c>
      <c r="P190" s="139">
        <f t="shared" si="152"/>
        <v>0</v>
      </c>
      <c r="Q190" s="139">
        <f t="shared" si="152"/>
        <v>0</v>
      </c>
      <c r="R190" s="139">
        <f t="shared" si="152"/>
        <v>2</v>
      </c>
      <c r="S190" s="139">
        <f t="shared" si="152"/>
        <v>2</v>
      </c>
      <c r="T190" s="139">
        <f t="shared" si="152"/>
        <v>2</v>
      </c>
      <c r="U190" s="139">
        <f t="shared" si="152"/>
        <v>2</v>
      </c>
      <c r="V190" s="139">
        <f t="shared" si="153"/>
        <v>2</v>
      </c>
      <c r="W190" s="139">
        <f t="shared" si="153"/>
        <v>2</v>
      </c>
      <c r="X190" s="139">
        <f t="shared" si="153"/>
        <v>2.5</v>
      </c>
      <c r="Y190" s="139">
        <f t="shared" si="153"/>
        <v>2.5</v>
      </c>
      <c r="Z190" s="139">
        <f t="shared" si="153"/>
        <v>2.5</v>
      </c>
      <c r="AA190" s="139">
        <f t="shared" si="153"/>
        <v>2.5</v>
      </c>
      <c r="AB190" s="139">
        <f t="shared" si="153"/>
        <v>2.5</v>
      </c>
      <c r="AC190" s="139">
        <f t="shared" si="153"/>
        <v>2.5</v>
      </c>
      <c r="AD190" s="139">
        <f t="shared" si="153"/>
        <v>3</v>
      </c>
      <c r="AE190" s="139">
        <f t="shared" si="153"/>
        <v>3</v>
      </c>
      <c r="AF190" s="139">
        <f t="shared" si="154"/>
        <v>3</v>
      </c>
      <c r="AG190" s="139">
        <f t="shared" si="154"/>
        <v>3</v>
      </c>
      <c r="AH190" s="139">
        <f t="shared" si="154"/>
        <v>3</v>
      </c>
      <c r="AI190" s="139">
        <f t="shared" si="154"/>
        <v>3</v>
      </c>
      <c r="AJ190" s="139">
        <f t="shared" si="154"/>
        <v>3.5</v>
      </c>
      <c r="AK190" s="139">
        <f t="shared" si="154"/>
        <v>3.5</v>
      </c>
      <c r="AL190" s="139">
        <f t="shared" si="154"/>
        <v>3.5</v>
      </c>
      <c r="AM190" s="139">
        <f t="shared" si="154"/>
        <v>3.5</v>
      </c>
      <c r="AN190" s="139">
        <f t="shared" si="154"/>
        <v>3.5</v>
      </c>
      <c r="AO190" s="139">
        <f t="shared" si="154"/>
        <v>3.5</v>
      </c>
      <c r="AP190" s="139">
        <f t="shared" si="155"/>
        <v>4</v>
      </c>
      <c r="AQ190" s="139">
        <f t="shared" si="155"/>
        <v>4</v>
      </c>
      <c r="AR190" s="139">
        <f t="shared" si="155"/>
        <v>4</v>
      </c>
      <c r="AS190" s="139">
        <f t="shared" si="155"/>
        <v>4</v>
      </c>
      <c r="AT190" s="139">
        <f t="shared" si="155"/>
        <v>4</v>
      </c>
      <c r="AU190" s="139">
        <f t="shared" si="155"/>
        <v>4</v>
      </c>
      <c r="AV190" s="139">
        <f t="shared" si="155"/>
        <v>4.5</v>
      </c>
      <c r="AW190" s="139">
        <f t="shared" si="155"/>
        <v>4.5</v>
      </c>
      <c r="AX190" s="139">
        <f t="shared" si="155"/>
        <v>4.5</v>
      </c>
      <c r="AY190" s="139">
        <f t="shared" si="155"/>
        <v>4.5</v>
      </c>
      <c r="AZ190" s="139">
        <f t="shared" si="156"/>
        <v>4.5</v>
      </c>
      <c r="BA190" s="139">
        <f t="shared" si="156"/>
        <v>4.5</v>
      </c>
      <c r="BB190" s="139">
        <f t="shared" si="156"/>
        <v>5</v>
      </c>
      <c r="BC190" s="139">
        <f t="shared" si="156"/>
        <v>5</v>
      </c>
      <c r="BD190" s="139">
        <f t="shared" si="156"/>
        <v>5</v>
      </c>
      <c r="BE190" s="139">
        <f t="shared" si="156"/>
        <v>5</v>
      </c>
      <c r="BF190" s="139">
        <f t="shared" si="156"/>
        <v>5</v>
      </c>
      <c r="BG190" s="139">
        <f t="shared" si="156"/>
        <v>5</v>
      </c>
      <c r="BH190" s="139">
        <f t="shared" si="156"/>
        <v>5</v>
      </c>
      <c r="BI190" s="139">
        <f t="shared" si="156"/>
        <v>5</v>
      </c>
      <c r="BJ190" s="139">
        <f t="shared" si="157"/>
        <v>5</v>
      </c>
      <c r="BK190" s="139">
        <f t="shared" si="157"/>
        <v>5</v>
      </c>
      <c r="BL190" s="139">
        <f t="shared" si="157"/>
        <v>5</v>
      </c>
      <c r="BM190" s="139">
        <f t="shared" si="157"/>
        <v>5</v>
      </c>
      <c r="BN190" s="139">
        <f t="shared" si="157"/>
        <v>5</v>
      </c>
      <c r="BO190" s="139">
        <f t="shared" si="157"/>
        <v>5</v>
      </c>
      <c r="BP190" s="139">
        <f t="shared" si="157"/>
        <v>5</v>
      </c>
      <c r="BQ190" s="139">
        <f t="shared" si="157"/>
        <v>5</v>
      </c>
      <c r="BR190" s="139">
        <f t="shared" si="157"/>
        <v>5</v>
      </c>
      <c r="BS190" s="139">
        <f t="shared" si="157"/>
        <v>5</v>
      </c>
      <c r="BU190" s="139">
        <f t="shared" si="117"/>
        <v>12</v>
      </c>
      <c r="BV190" s="139">
        <f t="shared" si="118"/>
        <v>33</v>
      </c>
      <c r="BW190" s="139">
        <f t="shared" si="119"/>
        <v>45</v>
      </c>
      <c r="BX190" s="139">
        <f t="shared" si="120"/>
        <v>57</v>
      </c>
      <c r="BY190" s="139">
        <f t="shared" si="121"/>
        <v>60</v>
      </c>
    </row>
    <row r="191" spans="3:77">
      <c r="C191" s="155"/>
      <c r="E191" s="139" t="s">
        <v>520</v>
      </c>
      <c r="G191" s="311">
        <v>0.5</v>
      </c>
      <c r="H191" s="139" t="s">
        <v>1355</v>
      </c>
      <c r="I191" s="139" t="s">
        <v>113</v>
      </c>
      <c r="J191" s="139" t="s">
        <v>1354</v>
      </c>
      <c r="L191" s="139">
        <f t="shared" ref="L191:AA193" si="158">L$5*$G191</f>
        <v>0</v>
      </c>
      <c r="M191" s="139">
        <f t="shared" si="158"/>
        <v>0</v>
      </c>
      <c r="N191" s="139">
        <f t="shared" si="158"/>
        <v>0</v>
      </c>
      <c r="O191" s="139">
        <f t="shared" si="158"/>
        <v>0</v>
      </c>
      <c r="P191" s="139">
        <f t="shared" si="158"/>
        <v>0</v>
      </c>
      <c r="Q191" s="139">
        <f t="shared" si="158"/>
        <v>0</v>
      </c>
      <c r="R191" s="139">
        <f t="shared" si="158"/>
        <v>2</v>
      </c>
      <c r="S191" s="139">
        <f t="shared" si="158"/>
        <v>2</v>
      </c>
      <c r="T191" s="139">
        <f t="shared" si="158"/>
        <v>2</v>
      </c>
      <c r="U191" s="139">
        <f t="shared" si="158"/>
        <v>2</v>
      </c>
      <c r="V191" s="139">
        <f t="shared" si="158"/>
        <v>2</v>
      </c>
      <c r="W191" s="139">
        <f t="shared" si="158"/>
        <v>2</v>
      </c>
      <c r="X191" s="139">
        <f t="shared" si="158"/>
        <v>2.5</v>
      </c>
      <c r="Y191" s="139">
        <f t="shared" si="158"/>
        <v>2.5</v>
      </c>
      <c r="Z191" s="139">
        <f t="shared" si="158"/>
        <v>2.5</v>
      </c>
      <c r="AA191" s="139">
        <f t="shared" si="158"/>
        <v>2.5</v>
      </c>
      <c r="AB191" s="139">
        <f t="shared" ref="AB191:AQ193" si="159">AB$5*$G191</f>
        <v>2.5</v>
      </c>
      <c r="AC191" s="139">
        <f t="shared" si="159"/>
        <v>2.5</v>
      </c>
      <c r="AD191" s="139">
        <f t="shared" si="159"/>
        <v>3</v>
      </c>
      <c r="AE191" s="139">
        <f t="shared" si="159"/>
        <v>3</v>
      </c>
      <c r="AF191" s="139">
        <f t="shared" si="159"/>
        <v>3</v>
      </c>
      <c r="AG191" s="139">
        <f t="shared" si="159"/>
        <v>3</v>
      </c>
      <c r="AH191" s="139">
        <f t="shared" si="159"/>
        <v>3</v>
      </c>
      <c r="AI191" s="139">
        <f t="shared" si="159"/>
        <v>3</v>
      </c>
      <c r="AJ191" s="139">
        <f t="shared" si="159"/>
        <v>3.5</v>
      </c>
      <c r="AK191" s="139">
        <f t="shared" si="159"/>
        <v>3.5</v>
      </c>
      <c r="AL191" s="139">
        <f t="shared" si="159"/>
        <v>3.5</v>
      </c>
      <c r="AM191" s="139">
        <f t="shared" si="159"/>
        <v>3.5</v>
      </c>
      <c r="AN191" s="139">
        <f t="shared" si="159"/>
        <v>3.5</v>
      </c>
      <c r="AO191" s="139">
        <f t="shared" si="159"/>
        <v>3.5</v>
      </c>
      <c r="AP191" s="139">
        <f t="shared" si="159"/>
        <v>4</v>
      </c>
      <c r="AQ191" s="139">
        <f t="shared" si="159"/>
        <v>4</v>
      </c>
      <c r="AR191" s="139">
        <f t="shared" ref="AR191:BG193" si="160">AR$5*$G191</f>
        <v>4</v>
      </c>
      <c r="AS191" s="139">
        <f t="shared" si="160"/>
        <v>4</v>
      </c>
      <c r="AT191" s="139">
        <f t="shared" si="160"/>
        <v>4</v>
      </c>
      <c r="AU191" s="139">
        <f t="shared" si="160"/>
        <v>4</v>
      </c>
      <c r="AV191" s="139">
        <f t="shared" si="160"/>
        <v>4.5</v>
      </c>
      <c r="AW191" s="139">
        <f t="shared" si="160"/>
        <v>4.5</v>
      </c>
      <c r="AX191" s="139">
        <f t="shared" si="160"/>
        <v>4.5</v>
      </c>
      <c r="AY191" s="139">
        <f t="shared" si="160"/>
        <v>4.5</v>
      </c>
      <c r="AZ191" s="139">
        <f t="shared" si="160"/>
        <v>4.5</v>
      </c>
      <c r="BA191" s="139">
        <f t="shared" si="160"/>
        <v>4.5</v>
      </c>
      <c r="BB191" s="139">
        <f t="shared" si="160"/>
        <v>5</v>
      </c>
      <c r="BC191" s="139">
        <f t="shared" si="160"/>
        <v>5</v>
      </c>
      <c r="BD191" s="139">
        <f t="shared" si="160"/>
        <v>5</v>
      </c>
      <c r="BE191" s="139">
        <f t="shared" si="160"/>
        <v>5</v>
      </c>
      <c r="BF191" s="139">
        <f t="shared" si="160"/>
        <v>5</v>
      </c>
      <c r="BG191" s="139">
        <f t="shared" si="160"/>
        <v>5</v>
      </c>
      <c r="BH191" s="139">
        <f t="shared" ref="BH191:BS193" si="161">BH$5*$G191</f>
        <v>5</v>
      </c>
      <c r="BI191" s="139">
        <f t="shared" si="161"/>
        <v>5</v>
      </c>
      <c r="BJ191" s="139">
        <f t="shared" si="161"/>
        <v>5</v>
      </c>
      <c r="BK191" s="139">
        <f t="shared" si="161"/>
        <v>5</v>
      </c>
      <c r="BL191" s="139">
        <f t="shared" si="161"/>
        <v>5</v>
      </c>
      <c r="BM191" s="139">
        <f t="shared" si="161"/>
        <v>5</v>
      </c>
      <c r="BN191" s="139">
        <f t="shared" si="161"/>
        <v>5</v>
      </c>
      <c r="BO191" s="139">
        <f t="shared" si="161"/>
        <v>5</v>
      </c>
      <c r="BP191" s="139">
        <f t="shared" si="161"/>
        <v>5</v>
      </c>
      <c r="BQ191" s="139">
        <f t="shared" si="161"/>
        <v>5</v>
      </c>
      <c r="BR191" s="139">
        <f t="shared" si="161"/>
        <v>5</v>
      </c>
      <c r="BS191" s="139">
        <f t="shared" si="161"/>
        <v>5</v>
      </c>
      <c r="BU191" s="139">
        <f t="shared" si="117"/>
        <v>12</v>
      </c>
      <c r="BV191" s="139">
        <f t="shared" si="118"/>
        <v>33</v>
      </c>
      <c r="BW191" s="139">
        <f t="shared" si="119"/>
        <v>45</v>
      </c>
      <c r="BX191" s="139">
        <f t="shared" si="120"/>
        <v>57</v>
      </c>
      <c r="BY191" s="139">
        <f t="shared" si="121"/>
        <v>60</v>
      </c>
    </row>
    <row r="192" spans="3:77">
      <c r="C192" s="155"/>
      <c r="E192" s="139" t="s">
        <v>521</v>
      </c>
      <c r="G192" s="311">
        <v>1</v>
      </c>
      <c r="H192" s="139" t="s">
        <v>1355</v>
      </c>
      <c r="I192" s="139" t="s">
        <v>113</v>
      </c>
      <c r="J192" s="139" t="s">
        <v>1354</v>
      </c>
      <c r="L192" s="139">
        <f t="shared" si="158"/>
        <v>0</v>
      </c>
      <c r="M192" s="139">
        <f t="shared" si="158"/>
        <v>0</v>
      </c>
      <c r="N192" s="139">
        <f t="shared" si="158"/>
        <v>0</v>
      </c>
      <c r="O192" s="139">
        <f t="shared" si="158"/>
        <v>0</v>
      </c>
      <c r="P192" s="139">
        <f t="shared" si="158"/>
        <v>0</v>
      </c>
      <c r="Q192" s="139">
        <f t="shared" si="158"/>
        <v>0</v>
      </c>
      <c r="R192" s="139">
        <f t="shared" si="158"/>
        <v>4</v>
      </c>
      <c r="S192" s="139">
        <f t="shared" si="158"/>
        <v>4</v>
      </c>
      <c r="T192" s="139">
        <f t="shared" si="158"/>
        <v>4</v>
      </c>
      <c r="U192" s="139">
        <f t="shared" si="158"/>
        <v>4</v>
      </c>
      <c r="V192" s="139">
        <f t="shared" si="158"/>
        <v>4</v>
      </c>
      <c r="W192" s="139">
        <f t="shared" si="158"/>
        <v>4</v>
      </c>
      <c r="X192" s="139">
        <f t="shared" si="158"/>
        <v>5</v>
      </c>
      <c r="Y192" s="139">
        <f t="shared" si="158"/>
        <v>5</v>
      </c>
      <c r="Z192" s="139">
        <f t="shared" si="158"/>
        <v>5</v>
      </c>
      <c r="AA192" s="139">
        <f t="shared" si="158"/>
        <v>5</v>
      </c>
      <c r="AB192" s="139">
        <f t="shared" si="159"/>
        <v>5</v>
      </c>
      <c r="AC192" s="139">
        <f t="shared" si="159"/>
        <v>5</v>
      </c>
      <c r="AD192" s="139">
        <f t="shared" si="159"/>
        <v>6</v>
      </c>
      <c r="AE192" s="139">
        <f t="shared" si="159"/>
        <v>6</v>
      </c>
      <c r="AF192" s="139">
        <f t="shared" si="159"/>
        <v>6</v>
      </c>
      <c r="AG192" s="139">
        <f t="shared" si="159"/>
        <v>6</v>
      </c>
      <c r="AH192" s="139">
        <f t="shared" si="159"/>
        <v>6</v>
      </c>
      <c r="AI192" s="139">
        <f t="shared" si="159"/>
        <v>6</v>
      </c>
      <c r="AJ192" s="139">
        <f t="shared" si="159"/>
        <v>7</v>
      </c>
      <c r="AK192" s="139">
        <f t="shared" si="159"/>
        <v>7</v>
      </c>
      <c r="AL192" s="139">
        <f t="shared" si="159"/>
        <v>7</v>
      </c>
      <c r="AM192" s="139">
        <f t="shared" si="159"/>
        <v>7</v>
      </c>
      <c r="AN192" s="139">
        <f t="shared" si="159"/>
        <v>7</v>
      </c>
      <c r="AO192" s="139">
        <f t="shared" si="159"/>
        <v>7</v>
      </c>
      <c r="AP192" s="139">
        <f t="shared" si="159"/>
        <v>8</v>
      </c>
      <c r="AQ192" s="139">
        <f t="shared" si="159"/>
        <v>8</v>
      </c>
      <c r="AR192" s="139">
        <f t="shared" si="160"/>
        <v>8</v>
      </c>
      <c r="AS192" s="139">
        <f t="shared" si="160"/>
        <v>8</v>
      </c>
      <c r="AT192" s="139">
        <f t="shared" si="160"/>
        <v>8</v>
      </c>
      <c r="AU192" s="139">
        <f t="shared" si="160"/>
        <v>8</v>
      </c>
      <c r="AV192" s="139">
        <f t="shared" si="160"/>
        <v>9</v>
      </c>
      <c r="AW192" s="139">
        <f t="shared" si="160"/>
        <v>9</v>
      </c>
      <c r="AX192" s="139">
        <f t="shared" si="160"/>
        <v>9</v>
      </c>
      <c r="AY192" s="139">
        <f t="shared" si="160"/>
        <v>9</v>
      </c>
      <c r="AZ192" s="139">
        <f t="shared" si="160"/>
        <v>9</v>
      </c>
      <c r="BA192" s="139">
        <f t="shared" si="160"/>
        <v>9</v>
      </c>
      <c r="BB192" s="139">
        <f t="shared" si="160"/>
        <v>10</v>
      </c>
      <c r="BC192" s="139">
        <f t="shared" si="160"/>
        <v>10</v>
      </c>
      <c r="BD192" s="139">
        <f t="shared" si="160"/>
        <v>10</v>
      </c>
      <c r="BE192" s="139">
        <f t="shared" si="160"/>
        <v>10</v>
      </c>
      <c r="BF192" s="139">
        <f t="shared" si="160"/>
        <v>10</v>
      </c>
      <c r="BG192" s="139">
        <f t="shared" si="160"/>
        <v>10</v>
      </c>
      <c r="BH192" s="139">
        <f t="shared" si="161"/>
        <v>10</v>
      </c>
      <c r="BI192" s="139">
        <f t="shared" si="161"/>
        <v>10</v>
      </c>
      <c r="BJ192" s="139">
        <f t="shared" si="161"/>
        <v>10</v>
      </c>
      <c r="BK192" s="139">
        <f t="shared" si="161"/>
        <v>10</v>
      </c>
      <c r="BL192" s="139">
        <f t="shared" si="161"/>
        <v>10</v>
      </c>
      <c r="BM192" s="139">
        <f t="shared" si="161"/>
        <v>10</v>
      </c>
      <c r="BN192" s="139">
        <f t="shared" si="161"/>
        <v>10</v>
      </c>
      <c r="BO192" s="139">
        <f t="shared" si="161"/>
        <v>10</v>
      </c>
      <c r="BP192" s="139">
        <f t="shared" si="161"/>
        <v>10</v>
      </c>
      <c r="BQ192" s="139">
        <f t="shared" si="161"/>
        <v>10</v>
      </c>
      <c r="BR192" s="139">
        <f t="shared" si="161"/>
        <v>10</v>
      </c>
      <c r="BS192" s="139">
        <f t="shared" si="161"/>
        <v>10</v>
      </c>
      <c r="BU192" s="139">
        <f t="shared" si="117"/>
        <v>24</v>
      </c>
      <c r="BV192" s="139">
        <f t="shared" si="118"/>
        <v>66</v>
      </c>
      <c r="BW192" s="139">
        <f t="shared" si="119"/>
        <v>90</v>
      </c>
      <c r="BX192" s="139">
        <f t="shared" si="120"/>
        <v>114</v>
      </c>
      <c r="BY192" s="139">
        <f t="shared" si="121"/>
        <v>120</v>
      </c>
    </row>
    <row r="193" spans="2:77">
      <c r="C193" s="155"/>
      <c r="E193" s="139" t="s">
        <v>522</v>
      </c>
      <c r="G193" s="311">
        <v>2</v>
      </c>
      <c r="H193" s="139" t="s">
        <v>1355</v>
      </c>
      <c r="I193" s="139" t="s">
        <v>113</v>
      </c>
      <c r="J193" s="139" t="s">
        <v>1354</v>
      </c>
      <c r="L193" s="139">
        <f t="shared" si="158"/>
        <v>0</v>
      </c>
      <c r="M193" s="139">
        <f t="shared" si="158"/>
        <v>0</v>
      </c>
      <c r="N193" s="139">
        <f t="shared" si="158"/>
        <v>0</v>
      </c>
      <c r="O193" s="139">
        <f t="shared" si="158"/>
        <v>0</v>
      </c>
      <c r="P193" s="139">
        <f t="shared" si="158"/>
        <v>0</v>
      </c>
      <c r="Q193" s="139">
        <f t="shared" si="158"/>
        <v>0</v>
      </c>
      <c r="R193" s="139">
        <f t="shared" si="158"/>
        <v>8</v>
      </c>
      <c r="S193" s="139">
        <f t="shared" si="158"/>
        <v>8</v>
      </c>
      <c r="T193" s="139">
        <f t="shared" si="158"/>
        <v>8</v>
      </c>
      <c r="U193" s="139">
        <f t="shared" si="158"/>
        <v>8</v>
      </c>
      <c r="V193" s="139">
        <f t="shared" si="158"/>
        <v>8</v>
      </c>
      <c r="W193" s="139">
        <f t="shared" si="158"/>
        <v>8</v>
      </c>
      <c r="X193" s="139">
        <f t="shared" si="158"/>
        <v>10</v>
      </c>
      <c r="Y193" s="139">
        <f t="shared" si="158"/>
        <v>10</v>
      </c>
      <c r="Z193" s="139">
        <f t="shared" si="158"/>
        <v>10</v>
      </c>
      <c r="AA193" s="139">
        <f t="shared" si="158"/>
        <v>10</v>
      </c>
      <c r="AB193" s="139">
        <f t="shared" si="159"/>
        <v>10</v>
      </c>
      <c r="AC193" s="139">
        <f t="shared" si="159"/>
        <v>10</v>
      </c>
      <c r="AD193" s="139">
        <f t="shared" si="159"/>
        <v>12</v>
      </c>
      <c r="AE193" s="139">
        <f t="shared" si="159"/>
        <v>12</v>
      </c>
      <c r="AF193" s="139">
        <f t="shared" si="159"/>
        <v>12</v>
      </c>
      <c r="AG193" s="139">
        <f t="shared" si="159"/>
        <v>12</v>
      </c>
      <c r="AH193" s="139">
        <f t="shared" si="159"/>
        <v>12</v>
      </c>
      <c r="AI193" s="139">
        <f t="shared" si="159"/>
        <v>12</v>
      </c>
      <c r="AJ193" s="139">
        <f t="shared" si="159"/>
        <v>14</v>
      </c>
      <c r="AK193" s="139">
        <f t="shared" si="159"/>
        <v>14</v>
      </c>
      <c r="AL193" s="139">
        <f t="shared" si="159"/>
        <v>14</v>
      </c>
      <c r="AM193" s="139">
        <f t="shared" si="159"/>
        <v>14</v>
      </c>
      <c r="AN193" s="139">
        <f t="shared" si="159"/>
        <v>14</v>
      </c>
      <c r="AO193" s="139">
        <f t="shared" si="159"/>
        <v>14</v>
      </c>
      <c r="AP193" s="139">
        <f t="shared" si="159"/>
        <v>16</v>
      </c>
      <c r="AQ193" s="139">
        <f t="shared" si="159"/>
        <v>16</v>
      </c>
      <c r="AR193" s="139">
        <f t="shared" si="160"/>
        <v>16</v>
      </c>
      <c r="AS193" s="139">
        <f t="shared" si="160"/>
        <v>16</v>
      </c>
      <c r="AT193" s="139">
        <f t="shared" si="160"/>
        <v>16</v>
      </c>
      <c r="AU193" s="139">
        <f t="shared" si="160"/>
        <v>16</v>
      </c>
      <c r="AV193" s="139">
        <f t="shared" si="160"/>
        <v>18</v>
      </c>
      <c r="AW193" s="139">
        <f t="shared" si="160"/>
        <v>18</v>
      </c>
      <c r="AX193" s="139">
        <f t="shared" si="160"/>
        <v>18</v>
      </c>
      <c r="AY193" s="139">
        <f t="shared" si="160"/>
        <v>18</v>
      </c>
      <c r="AZ193" s="139">
        <f t="shared" si="160"/>
        <v>18</v>
      </c>
      <c r="BA193" s="139">
        <f t="shared" si="160"/>
        <v>18</v>
      </c>
      <c r="BB193" s="139">
        <f t="shared" si="160"/>
        <v>20</v>
      </c>
      <c r="BC193" s="139">
        <f t="shared" si="160"/>
        <v>20</v>
      </c>
      <c r="BD193" s="139">
        <f t="shared" si="160"/>
        <v>20</v>
      </c>
      <c r="BE193" s="139">
        <f t="shared" si="160"/>
        <v>20</v>
      </c>
      <c r="BF193" s="139">
        <f t="shared" si="160"/>
        <v>20</v>
      </c>
      <c r="BG193" s="139">
        <f t="shared" si="160"/>
        <v>20</v>
      </c>
      <c r="BH193" s="139">
        <f t="shared" si="161"/>
        <v>20</v>
      </c>
      <c r="BI193" s="139">
        <f t="shared" si="161"/>
        <v>20</v>
      </c>
      <c r="BJ193" s="139">
        <f t="shared" si="161"/>
        <v>20</v>
      </c>
      <c r="BK193" s="139">
        <f t="shared" si="161"/>
        <v>20</v>
      </c>
      <c r="BL193" s="139">
        <f t="shared" si="161"/>
        <v>20</v>
      </c>
      <c r="BM193" s="139">
        <f t="shared" si="161"/>
        <v>20</v>
      </c>
      <c r="BN193" s="139">
        <f t="shared" si="161"/>
        <v>20</v>
      </c>
      <c r="BO193" s="139">
        <f t="shared" si="161"/>
        <v>20</v>
      </c>
      <c r="BP193" s="139">
        <f t="shared" si="161"/>
        <v>20</v>
      </c>
      <c r="BQ193" s="139">
        <f t="shared" si="161"/>
        <v>20</v>
      </c>
      <c r="BR193" s="139">
        <f t="shared" si="161"/>
        <v>20</v>
      </c>
      <c r="BS193" s="139">
        <f t="shared" si="161"/>
        <v>20</v>
      </c>
      <c r="BU193" s="139">
        <f t="shared" si="117"/>
        <v>48</v>
      </c>
      <c r="BV193" s="139">
        <f t="shared" si="118"/>
        <v>132</v>
      </c>
      <c r="BW193" s="139">
        <f t="shared" si="119"/>
        <v>180</v>
      </c>
      <c r="BX193" s="139">
        <f t="shared" si="120"/>
        <v>228</v>
      </c>
      <c r="BY193" s="139">
        <f t="shared" si="121"/>
        <v>240</v>
      </c>
    </row>
    <row r="194" spans="2:77">
      <c r="B194" s="221"/>
      <c r="C194" s="310"/>
      <c r="D194" s="221"/>
      <c r="E194" s="221" t="s">
        <v>524</v>
      </c>
      <c r="F194" s="221"/>
      <c r="G194" s="221" t="s">
        <v>568</v>
      </c>
      <c r="H194" s="221"/>
      <c r="I194" s="221"/>
      <c r="J194" s="221"/>
      <c r="K194" s="221"/>
      <c r="L194" s="221"/>
      <c r="M194" s="221"/>
      <c r="N194" s="221"/>
      <c r="O194" s="221"/>
      <c r="P194" s="221"/>
      <c r="Q194" s="221"/>
      <c r="R194" s="221"/>
      <c r="S194" s="221"/>
      <c r="T194" s="221"/>
      <c r="U194" s="221"/>
      <c r="V194" s="221"/>
      <c r="W194" s="221"/>
      <c r="X194" s="221"/>
      <c r="Y194" s="221"/>
      <c r="Z194" s="221"/>
      <c r="AA194" s="221"/>
      <c r="AB194" s="221"/>
      <c r="AC194" s="221"/>
      <c r="AD194" s="221"/>
      <c r="AE194" s="221"/>
      <c r="AF194" s="221"/>
      <c r="AG194" s="221"/>
      <c r="AH194" s="221"/>
      <c r="AI194" s="221"/>
      <c r="AJ194" s="221"/>
      <c r="AK194" s="221"/>
      <c r="AL194" s="221"/>
      <c r="AM194" s="221"/>
      <c r="AN194" s="221"/>
      <c r="AO194" s="221"/>
      <c r="AP194" s="221"/>
      <c r="AQ194" s="221"/>
      <c r="AR194" s="221"/>
      <c r="AS194" s="221"/>
      <c r="AT194" s="221"/>
      <c r="AU194" s="221"/>
      <c r="AV194" s="221"/>
      <c r="AW194" s="221"/>
      <c r="AX194" s="221"/>
      <c r="AY194" s="221"/>
      <c r="AZ194" s="221"/>
      <c r="BA194" s="221"/>
      <c r="BB194" s="221"/>
      <c r="BC194" s="221"/>
      <c r="BD194" s="221"/>
      <c r="BE194" s="221"/>
      <c r="BF194" s="221"/>
      <c r="BG194" s="221"/>
      <c r="BH194" s="221"/>
      <c r="BI194" s="221"/>
      <c r="BJ194" s="221"/>
      <c r="BK194" s="221"/>
      <c r="BL194" s="221"/>
      <c r="BM194" s="221"/>
      <c r="BN194" s="221"/>
      <c r="BO194" s="221"/>
      <c r="BP194" s="221"/>
      <c r="BQ194" s="221"/>
      <c r="BR194" s="221"/>
      <c r="BS194" s="221"/>
      <c r="BU194" s="139">
        <f t="shared" si="117"/>
        <v>0</v>
      </c>
      <c r="BV194" s="139">
        <f t="shared" si="118"/>
        <v>0</v>
      </c>
      <c r="BW194" s="139">
        <f t="shared" si="119"/>
        <v>0</v>
      </c>
      <c r="BX194" s="139">
        <f t="shared" si="120"/>
        <v>0</v>
      </c>
      <c r="BY194" s="139">
        <f t="shared" si="121"/>
        <v>0</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ignoredErrors>
    <ignoredError sqref="BU130:BY134 BU136:BY139 BU146:BY147 BU141:BY144" formulaRange="1"/>
  </ignoredErrors>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B0F0"/>
    <pageSetUpPr fitToPage="1"/>
  </sheetPr>
  <dimension ref="A1:BT61"/>
  <sheetViews>
    <sheetView tabSelected="1" workbookViewId="0">
      <selection activeCell="R17" sqref="R17"/>
    </sheetView>
  </sheetViews>
  <sheetFormatPr defaultColWidth="0" defaultRowHeight="13.2" zeroHeight="1" outlineLevelCol="1"/>
  <cols>
    <col min="1" max="1" width="2" style="139" customWidth="1"/>
    <col min="2" max="2" width="2.25" style="139" customWidth="1"/>
    <col min="3" max="6" width="9.125" style="139" customWidth="1"/>
    <col min="7" max="11" width="0" style="139" hidden="1" customWidth="1" outlineLevel="1"/>
    <col min="12" max="12" width="9.125" style="139" customWidth="1" collapsed="1"/>
    <col min="13" max="72" width="9.125" style="139" customWidth="1"/>
    <col min="73" max="16384" width="9.125" style="139" hidden="1"/>
  </cols>
  <sheetData>
    <row r="1" spans="2:71" ht="17.399999999999999">
      <c r="B1" s="153" t="s">
        <v>1424</v>
      </c>
    </row>
    <row r="2" spans="2:71"/>
    <row r="3" spans="2:71">
      <c r="L3" s="298" t="s">
        <v>379</v>
      </c>
      <c r="M3" s="298"/>
      <c r="N3" s="298"/>
      <c r="O3" s="298"/>
      <c r="P3" s="298"/>
      <c r="Q3" s="298"/>
      <c r="R3" s="298"/>
      <c r="S3" s="298"/>
      <c r="T3" s="298"/>
      <c r="U3" s="298"/>
      <c r="V3" s="298"/>
      <c r="W3" s="298"/>
      <c r="X3" s="192" t="s">
        <v>380</v>
      </c>
      <c r="Y3" s="192"/>
      <c r="Z3" s="192"/>
      <c r="AA3" s="192"/>
      <c r="AB3" s="192"/>
      <c r="AC3" s="192"/>
      <c r="AD3" s="192"/>
      <c r="AE3" s="192"/>
      <c r="AF3" s="192"/>
      <c r="AG3" s="192"/>
      <c r="AH3" s="192"/>
      <c r="AI3" s="192"/>
      <c r="AJ3" s="299" t="s">
        <v>381</v>
      </c>
      <c r="AK3" s="299"/>
      <c r="AL3" s="299"/>
      <c r="AM3" s="299"/>
      <c r="AN3" s="299"/>
      <c r="AO3" s="299"/>
      <c r="AP3" s="299"/>
      <c r="AQ3" s="299"/>
      <c r="AR3" s="299"/>
      <c r="AS3" s="299"/>
      <c r="AT3" s="299"/>
      <c r="AU3" s="299"/>
      <c r="AV3" s="300" t="s">
        <v>382</v>
      </c>
      <c r="AW3" s="300"/>
      <c r="AX3" s="300"/>
      <c r="AY3" s="300"/>
      <c r="AZ3" s="300"/>
      <c r="BA3" s="300"/>
      <c r="BB3" s="300"/>
      <c r="BC3" s="300"/>
      <c r="BD3" s="300"/>
      <c r="BE3" s="300"/>
      <c r="BF3" s="300"/>
      <c r="BG3" s="300"/>
      <c r="BH3" s="301" t="s">
        <v>383</v>
      </c>
      <c r="BI3" s="302"/>
      <c r="BJ3" s="302"/>
      <c r="BK3" s="302"/>
      <c r="BL3" s="302"/>
      <c r="BM3" s="302"/>
      <c r="BN3" s="302"/>
      <c r="BO3" s="302"/>
      <c r="BP3" s="302"/>
      <c r="BQ3" s="302"/>
      <c r="BR3" s="302"/>
      <c r="BS3" s="302"/>
    </row>
    <row r="4" spans="2:71" ht="13.8" thickBot="1">
      <c r="B4" s="409" t="s">
        <v>554</v>
      </c>
      <c r="C4" s="409"/>
      <c r="D4" s="409"/>
      <c r="E4" s="409"/>
      <c r="F4" s="409"/>
      <c r="G4" s="409"/>
      <c r="H4" s="410"/>
      <c r="I4" s="410"/>
      <c r="J4" s="410"/>
      <c r="K4" s="410"/>
      <c r="L4" s="411" t="s">
        <v>367</v>
      </c>
      <c r="M4" s="411" t="s">
        <v>368</v>
      </c>
      <c r="N4" s="411" t="s">
        <v>369</v>
      </c>
      <c r="O4" s="411" t="s">
        <v>370</v>
      </c>
      <c r="P4" s="411" t="s">
        <v>371</v>
      </c>
      <c r="Q4" s="411" t="s">
        <v>372</v>
      </c>
      <c r="R4" s="411" t="s">
        <v>373</v>
      </c>
      <c r="S4" s="411" t="s">
        <v>374</v>
      </c>
      <c r="T4" s="411" t="s">
        <v>375</v>
      </c>
      <c r="U4" s="411" t="s">
        <v>376</v>
      </c>
      <c r="V4" s="411" t="s">
        <v>377</v>
      </c>
      <c r="W4" s="411" t="s">
        <v>378</v>
      </c>
      <c r="X4" s="411" t="s">
        <v>385</v>
      </c>
      <c r="Y4" s="411" t="s">
        <v>386</v>
      </c>
      <c r="Z4" s="411" t="s">
        <v>387</v>
      </c>
      <c r="AA4" s="411" t="s">
        <v>388</v>
      </c>
      <c r="AB4" s="411" t="s">
        <v>389</v>
      </c>
      <c r="AC4" s="411" t="s">
        <v>390</v>
      </c>
      <c r="AD4" s="411" t="s">
        <v>391</v>
      </c>
      <c r="AE4" s="411" t="s">
        <v>392</v>
      </c>
      <c r="AF4" s="411" t="s">
        <v>393</v>
      </c>
      <c r="AG4" s="411" t="s">
        <v>394</v>
      </c>
      <c r="AH4" s="411" t="s">
        <v>395</v>
      </c>
      <c r="AI4" s="411" t="s">
        <v>396</v>
      </c>
      <c r="AJ4" s="411" t="s">
        <v>397</v>
      </c>
      <c r="AK4" s="411" t="s">
        <v>398</v>
      </c>
      <c r="AL4" s="411" t="s">
        <v>399</v>
      </c>
      <c r="AM4" s="411" t="s">
        <v>400</v>
      </c>
      <c r="AN4" s="411" t="s">
        <v>401</v>
      </c>
      <c r="AO4" s="411" t="s">
        <v>402</v>
      </c>
      <c r="AP4" s="411" t="s">
        <v>403</v>
      </c>
      <c r="AQ4" s="411" t="s">
        <v>404</v>
      </c>
      <c r="AR4" s="411" t="s">
        <v>405</v>
      </c>
      <c r="AS4" s="411" t="s">
        <v>406</v>
      </c>
      <c r="AT4" s="411" t="s">
        <v>407</v>
      </c>
      <c r="AU4" s="411" t="s">
        <v>408</v>
      </c>
      <c r="AV4" s="411" t="s">
        <v>409</v>
      </c>
      <c r="AW4" s="411" t="s">
        <v>410</v>
      </c>
      <c r="AX4" s="411" t="s">
        <v>411</v>
      </c>
      <c r="AY4" s="411" t="s">
        <v>412</v>
      </c>
      <c r="AZ4" s="411" t="s">
        <v>413</v>
      </c>
      <c r="BA4" s="411" t="s">
        <v>414</v>
      </c>
      <c r="BB4" s="411" t="s">
        <v>415</v>
      </c>
      <c r="BC4" s="411" t="s">
        <v>416</v>
      </c>
      <c r="BD4" s="411" t="s">
        <v>417</v>
      </c>
      <c r="BE4" s="411" t="s">
        <v>418</v>
      </c>
      <c r="BF4" s="411" t="s">
        <v>419</v>
      </c>
      <c r="BG4" s="411" t="s">
        <v>420</v>
      </c>
      <c r="BH4" s="411" t="s">
        <v>421</v>
      </c>
      <c r="BI4" s="411" t="s">
        <v>422</v>
      </c>
      <c r="BJ4" s="411" t="s">
        <v>423</v>
      </c>
      <c r="BK4" s="411" t="s">
        <v>424</v>
      </c>
      <c r="BL4" s="411" t="s">
        <v>425</v>
      </c>
      <c r="BM4" s="411" t="s">
        <v>426</v>
      </c>
      <c r="BN4" s="411" t="s">
        <v>427</v>
      </c>
      <c r="BO4" s="411" t="s">
        <v>428</v>
      </c>
      <c r="BP4" s="411" t="s">
        <v>429</v>
      </c>
      <c r="BQ4" s="411" t="s">
        <v>430</v>
      </c>
      <c r="BR4" s="411" t="s">
        <v>431</v>
      </c>
      <c r="BS4" s="411" t="s">
        <v>432</v>
      </c>
    </row>
    <row r="5" spans="2:71" s="155" customFormat="1">
      <c r="B5" s="155" t="s">
        <v>605</v>
      </c>
      <c r="D5" s="286" t="s">
        <v>606</v>
      </c>
    </row>
    <row r="6" spans="2:71" ht="13.8" thickBot="1">
      <c r="C6" s="154" t="s">
        <v>0</v>
      </c>
      <c r="D6" s="154" t="s">
        <v>141</v>
      </c>
      <c r="E6" s="412" t="s">
        <v>433</v>
      </c>
      <c r="F6" s="413"/>
      <c r="G6" s="224"/>
      <c r="H6" s="224"/>
      <c r="I6" s="224"/>
      <c r="J6" s="224"/>
      <c r="K6" s="224"/>
      <c r="L6" s="224"/>
      <c r="M6" s="224"/>
      <c r="N6" s="224"/>
      <c r="O6" s="224"/>
      <c r="P6" s="224"/>
      <c r="Q6" s="224"/>
      <c r="R6" s="224"/>
      <c r="S6" s="224"/>
      <c r="T6" s="224"/>
      <c r="U6" s="224"/>
      <c r="V6" s="224"/>
      <c r="W6" s="224"/>
      <c r="X6" s="224"/>
      <c r="Y6" s="224"/>
      <c r="Z6" s="224"/>
      <c r="AA6" s="224"/>
      <c r="AB6" s="224"/>
      <c r="AC6" s="224"/>
      <c r="AD6" s="224"/>
      <c r="AE6" s="224"/>
      <c r="AF6" s="224"/>
      <c r="AG6" s="224"/>
      <c r="AH6" s="224"/>
      <c r="AI6" s="224"/>
      <c r="AJ6" s="224"/>
      <c r="AK6" s="224"/>
      <c r="AL6" s="224"/>
      <c r="AM6" s="224"/>
      <c r="AN6" s="224"/>
      <c r="AO6" s="224"/>
      <c r="AP6" s="224"/>
      <c r="AQ6" s="224"/>
      <c r="AR6" s="224"/>
      <c r="AS6" s="224"/>
      <c r="AT6" s="224"/>
      <c r="AU6" s="224"/>
      <c r="AV6" s="224"/>
      <c r="AW6" s="224"/>
      <c r="AX6" s="224"/>
      <c r="AY6" s="224"/>
      <c r="AZ6" s="224"/>
      <c r="BA6" s="224"/>
      <c r="BB6" s="224"/>
      <c r="BC6" s="224"/>
      <c r="BD6" s="224"/>
      <c r="BE6" s="224"/>
      <c r="BF6" s="224"/>
      <c r="BG6" s="224"/>
      <c r="BH6" s="224"/>
      <c r="BI6" s="224"/>
      <c r="BJ6" s="224"/>
      <c r="BK6" s="224"/>
      <c r="BL6" s="224"/>
      <c r="BM6" s="224"/>
      <c r="BN6" s="224"/>
      <c r="BO6" s="224"/>
      <c r="BP6" s="224"/>
      <c r="BQ6" s="224"/>
      <c r="BR6" s="224"/>
      <c r="BS6" s="224"/>
    </row>
    <row r="7" spans="2:71">
      <c r="C7" s="139">
        <f>노선구성!B48</f>
        <v>1</v>
      </c>
      <c r="D7" s="139">
        <f>노선구성!C48</f>
        <v>737</v>
      </c>
      <c r="E7" s="139" t="str">
        <f>노선구성!D48</f>
        <v>M7</v>
      </c>
      <c r="L7" s="139">
        <f t="shared" ref="L7:L16" si="0">IF($E7=L$4,1,0)</f>
        <v>0</v>
      </c>
      <c r="M7" s="139">
        <f t="shared" ref="M7:M10" si="1">IF(L7=1,1,IF($E7=M$4,1,0))</f>
        <v>0</v>
      </c>
      <c r="N7" s="139">
        <f t="shared" ref="N7:BR10" si="2">IF(M7=1,1,IF($E7=N$4,1,0))</f>
        <v>0</v>
      </c>
      <c r="O7" s="139">
        <f t="shared" si="2"/>
        <v>0</v>
      </c>
      <c r="P7" s="139">
        <f t="shared" si="2"/>
        <v>0</v>
      </c>
      <c r="Q7" s="139">
        <f t="shared" si="2"/>
        <v>0</v>
      </c>
      <c r="R7" s="139">
        <f t="shared" si="2"/>
        <v>1</v>
      </c>
      <c r="S7" s="139">
        <f t="shared" si="2"/>
        <v>1</v>
      </c>
      <c r="T7" s="139">
        <f t="shared" si="2"/>
        <v>1</v>
      </c>
      <c r="U7" s="139">
        <f t="shared" si="2"/>
        <v>1</v>
      </c>
      <c r="V7" s="139">
        <f t="shared" si="2"/>
        <v>1</v>
      </c>
      <c r="W7" s="139">
        <f t="shared" si="2"/>
        <v>1</v>
      </c>
      <c r="X7" s="139">
        <f t="shared" si="2"/>
        <v>1</v>
      </c>
      <c r="Y7" s="139">
        <f t="shared" si="2"/>
        <v>1</v>
      </c>
      <c r="Z7" s="139">
        <f t="shared" si="2"/>
        <v>1</v>
      </c>
      <c r="AA7" s="139">
        <f t="shared" si="2"/>
        <v>1</v>
      </c>
      <c r="AB7" s="139">
        <f t="shared" si="2"/>
        <v>1</v>
      </c>
      <c r="AC7" s="139">
        <f t="shared" si="2"/>
        <v>1</v>
      </c>
      <c r="AD7" s="139">
        <f t="shared" si="2"/>
        <v>1</v>
      </c>
      <c r="AE7" s="139">
        <f t="shared" si="2"/>
        <v>1</v>
      </c>
      <c r="AF7" s="139">
        <f t="shared" si="2"/>
        <v>1</v>
      </c>
      <c r="AG7" s="139">
        <f t="shared" si="2"/>
        <v>1</v>
      </c>
      <c r="AH7" s="139">
        <f t="shared" si="2"/>
        <v>1</v>
      </c>
      <c r="AI7" s="139">
        <f t="shared" si="2"/>
        <v>1</v>
      </c>
      <c r="AJ7" s="139">
        <f t="shared" si="2"/>
        <v>1</v>
      </c>
      <c r="AK7" s="139">
        <f t="shared" si="2"/>
        <v>1</v>
      </c>
      <c r="AL7" s="139">
        <f t="shared" si="2"/>
        <v>1</v>
      </c>
      <c r="AM7" s="139">
        <f t="shared" si="2"/>
        <v>1</v>
      </c>
      <c r="AN7" s="139">
        <f t="shared" si="2"/>
        <v>1</v>
      </c>
      <c r="AO7" s="139">
        <f t="shared" si="2"/>
        <v>1</v>
      </c>
      <c r="AP7" s="139">
        <f t="shared" si="2"/>
        <v>1</v>
      </c>
      <c r="AQ7" s="139">
        <f t="shared" si="2"/>
        <v>1</v>
      </c>
      <c r="AR7" s="139">
        <f t="shared" si="2"/>
        <v>1</v>
      </c>
      <c r="AS7" s="139">
        <f t="shared" si="2"/>
        <v>1</v>
      </c>
      <c r="AT7" s="139">
        <f t="shared" si="2"/>
        <v>1</v>
      </c>
      <c r="AU7" s="139">
        <f t="shared" si="2"/>
        <v>1</v>
      </c>
      <c r="AV7" s="139">
        <f t="shared" si="2"/>
        <v>1</v>
      </c>
      <c r="AW7" s="139">
        <f t="shared" si="2"/>
        <v>1</v>
      </c>
      <c r="AX7" s="139">
        <f t="shared" si="2"/>
        <v>1</v>
      </c>
      <c r="AY7" s="139">
        <f t="shared" si="2"/>
        <v>1</v>
      </c>
      <c r="AZ7" s="139">
        <f t="shared" si="2"/>
        <v>1</v>
      </c>
      <c r="BA7" s="139">
        <f t="shared" si="2"/>
        <v>1</v>
      </c>
      <c r="BB7" s="139">
        <f t="shared" si="2"/>
        <v>1</v>
      </c>
      <c r="BC7" s="139">
        <f t="shared" si="2"/>
        <v>1</v>
      </c>
      <c r="BD7" s="139">
        <f t="shared" si="2"/>
        <v>1</v>
      </c>
      <c r="BE7" s="139">
        <f t="shared" si="2"/>
        <v>1</v>
      </c>
      <c r="BF7" s="139">
        <f t="shared" si="2"/>
        <v>1</v>
      </c>
      <c r="BG7" s="139">
        <f t="shared" si="2"/>
        <v>1</v>
      </c>
      <c r="BH7" s="139">
        <f t="shared" si="2"/>
        <v>1</v>
      </c>
      <c r="BI7" s="139">
        <f t="shared" si="2"/>
        <v>1</v>
      </c>
      <c r="BJ7" s="139">
        <f t="shared" si="2"/>
        <v>1</v>
      </c>
      <c r="BK7" s="139">
        <f t="shared" si="2"/>
        <v>1</v>
      </c>
      <c r="BL7" s="139">
        <f t="shared" si="2"/>
        <v>1</v>
      </c>
      <c r="BM7" s="139">
        <f t="shared" si="2"/>
        <v>1</v>
      </c>
      <c r="BN7" s="139">
        <f t="shared" si="2"/>
        <v>1</v>
      </c>
      <c r="BO7" s="139">
        <f t="shared" si="2"/>
        <v>1</v>
      </c>
      <c r="BP7" s="139">
        <f t="shared" si="2"/>
        <v>1</v>
      </c>
      <c r="BQ7" s="139">
        <f t="shared" si="2"/>
        <v>1</v>
      </c>
      <c r="BR7" s="139">
        <f t="shared" si="2"/>
        <v>1</v>
      </c>
      <c r="BS7" s="139">
        <f t="shared" ref="BS7:BS10" si="3">IF(BR7=1,1,IF($E7=BS$4,1,0))</f>
        <v>1</v>
      </c>
    </row>
    <row r="8" spans="2:71">
      <c r="C8" s="139">
        <f>노선구성!B49</f>
        <v>2</v>
      </c>
      <c r="D8" s="139">
        <f>노선구성!C49</f>
        <v>737</v>
      </c>
      <c r="E8" s="139" t="str">
        <f>노선구성!D49</f>
        <v>M7</v>
      </c>
      <c r="L8" s="139">
        <f t="shared" si="0"/>
        <v>0</v>
      </c>
      <c r="M8" s="139">
        <f t="shared" si="1"/>
        <v>0</v>
      </c>
      <c r="N8" s="139">
        <f t="shared" si="2"/>
        <v>0</v>
      </c>
      <c r="O8" s="139">
        <f t="shared" si="2"/>
        <v>0</v>
      </c>
      <c r="P8" s="139">
        <f t="shared" si="2"/>
        <v>0</v>
      </c>
      <c r="Q8" s="139">
        <f t="shared" si="2"/>
        <v>0</v>
      </c>
      <c r="R8" s="139">
        <f t="shared" si="2"/>
        <v>1</v>
      </c>
      <c r="S8" s="139">
        <f t="shared" si="2"/>
        <v>1</v>
      </c>
      <c r="T8" s="139">
        <f t="shared" si="2"/>
        <v>1</v>
      </c>
      <c r="U8" s="139">
        <f t="shared" si="2"/>
        <v>1</v>
      </c>
      <c r="V8" s="139">
        <f t="shared" si="2"/>
        <v>1</v>
      </c>
      <c r="W8" s="139">
        <f t="shared" si="2"/>
        <v>1</v>
      </c>
      <c r="X8" s="139">
        <f t="shared" si="2"/>
        <v>1</v>
      </c>
      <c r="Y8" s="139">
        <f t="shared" si="2"/>
        <v>1</v>
      </c>
      <c r="Z8" s="139">
        <f t="shared" si="2"/>
        <v>1</v>
      </c>
      <c r="AA8" s="139">
        <f t="shared" si="2"/>
        <v>1</v>
      </c>
      <c r="AB8" s="139">
        <f t="shared" si="2"/>
        <v>1</v>
      </c>
      <c r="AC8" s="139">
        <f t="shared" si="2"/>
        <v>1</v>
      </c>
      <c r="AD8" s="139">
        <f t="shared" si="2"/>
        <v>1</v>
      </c>
      <c r="AE8" s="139">
        <f t="shared" si="2"/>
        <v>1</v>
      </c>
      <c r="AF8" s="139">
        <f t="shared" si="2"/>
        <v>1</v>
      </c>
      <c r="AG8" s="139">
        <f t="shared" si="2"/>
        <v>1</v>
      </c>
      <c r="AH8" s="139">
        <f t="shared" si="2"/>
        <v>1</v>
      </c>
      <c r="AI8" s="139">
        <f t="shared" si="2"/>
        <v>1</v>
      </c>
      <c r="AJ8" s="139">
        <f t="shared" si="2"/>
        <v>1</v>
      </c>
      <c r="AK8" s="139">
        <f t="shared" si="2"/>
        <v>1</v>
      </c>
      <c r="AL8" s="139">
        <f t="shared" si="2"/>
        <v>1</v>
      </c>
      <c r="AM8" s="139">
        <f t="shared" si="2"/>
        <v>1</v>
      </c>
      <c r="AN8" s="139">
        <f t="shared" si="2"/>
        <v>1</v>
      </c>
      <c r="AO8" s="139">
        <f t="shared" si="2"/>
        <v>1</v>
      </c>
      <c r="AP8" s="139">
        <f t="shared" si="2"/>
        <v>1</v>
      </c>
      <c r="AQ8" s="139">
        <f t="shared" si="2"/>
        <v>1</v>
      </c>
      <c r="AR8" s="139">
        <f t="shared" si="2"/>
        <v>1</v>
      </c>
      <c r="AS8" s="139">
        <f t="shared" si="2"/>
        <v>1</v>
      </c>
      <c r="AT8" s="139">
        <f t="shared" si="2"/>
        <v>1</v>
      </c>
      <c r="AU8" s="139">
        <f t="shared" si="2"/>
        <v>1</v>
      </c>
      <c r="AV8" s="139">
        <f t="shared" si="2"/>
        <v>1</v>
      </c>
      <c r="AW8" s="139">
        <f t="shared" si="2"/>
        <v>1</v>
      </c>
      <c r="AX8" s="139">
        <f t="shared" si="2"/>
        <v>1</v>
      </c>
      <c r="AY8" s="139">
        <f t="shared" si="2"/>
        <v>1</v>
      </c>
      <c r="AZ8" s="139">
        <f t="shared" si="2"/>
        <v>1</v>
      </c>
      <c r="BA8" s="139">
        <f t="shared" si="2"/>
        <v>1</v>
      </c>
      <c r="BB8" s="139">
        <f t="shared" si="2"/>
        <v>1</v>
      </c>
      <c r="BC8" s="139">
        <f t="shared" si="2"/>
        <v>1</v>
      </c>
      <c r="BD8" s="139">
        <f t="shared" si="2"/>
        <v>1</v>
      </c>
      <c r="BE8" s="139">
        <f t="shared" si="2"/>
        <v>1</v>
      </c>
      <c r="BF8" s="139">
        <f t="shared" si="2"/>
        <v>1</v>
      </c>
      <c r="BG8" s="139">
        <f t="shared" si="2"/>
        <v>1</v>
      </c>
      <c r="BH8" s="139">
        <f t="shared" si="2"/>
        <v>1</v>
      </c>
      <c r="BI8" s="139">
        <f t="shared" si="2"/>
        <v>1</v>
      </c>
      <c r="BJ8" s="139">
        <f t="shared" si="2"/>
        <v>1</v>
      </c>
      <c r="BK8" s="139">
        <f t="shared" si="2"/>
        <v>1</v>
      </c>
      <c r="BL8" s="139">
        <f t="shared" si="2"/>
        <v>1</v>
      </c>
      <c r="BM8" s="139">
        <f t="shared" si="2"/>
        <v>1</v>
      </c>
      <c r="BN8" s="139">
        <f t="shared" si="2"/>
        <v>1</v>
      </c>
      <c r="BO8" s="139">
        <f t="shared" si="2"/>
        <v>1</v>
      </c>
      <c r="BP8" s="139">
        <f t="shared" si="2"/>
        <v>1</v>
      </c>
      <c r="BQ8" s="139">
        <f t="shared" si="2"/>
        <v>1</v>
      </c>
      <c r="BR8" s="139">
        <f t="shared" si="2"/>
        <v>1</v>
      </c>
      <c r="BS8" s="139">
        <f t="shared" si="3"/>
        <v>1</v>
      </c>
    </row>
    <row r="9" spans="2:71">
      <c r="C9" s="139">
        <f>노선구성!B50</f>
        <v>3</v>
      </c>
      <c r="D9" s="139">
        <f>노선구성!C50</f>
        <v>737</v>
      </c>
      <c r="E9" s="139" t="str">
        <f>노선구성!D50</f>
        <v>M7</v>
      </c>
      <c r="L9" s="139">
        <f t="shared" si="0"/>
        <v>0</v>
      </c>
      <c r="M9" s="139">
        <f t="shared" si="1"/>
        <v>0</v>
      </c>
      <c r="N9" s="139">
        <f t="shared" si="2"/>
        <v>0</v>
      </c>
      <c r="O9" s="139">
        <f t="shared" si="2"/>
        <v>0</v>
      </c>
      <c r="P9" s="139">
        <f t="shared" si="2"/>
        <v>0</v>
      </c>
      <c r="Q9" s="139">
        <f t="shared" si="2"/>
        <v>0</v>
      </c>
      <c r="R9" s="139">
        <f t="shared" si="2"/>
        <v>1</v>
      </c>
      <c r="S9" s="139">
        <f t="shared" si="2"/>
        <v>1</v>
      </c>
      <c r="T9" s="139">
        <f t="shared" si="2"/>
        <v>1</v>
      </c>
      <c r="U9" s="139">
        <f t="shared" si="2"/>
        <v>1</v>
      </c>
      <c r="V9" s="139">
        <f t="shared" si="2"/>
        <v>1</v>
      </c>
      <c r="W9" s="139">
        <f t="shared" si="2"/>
        <v>1</v>
      </c>
      <c r="X9" s="139">
        <f t="shared" si="2"/>
        <v>1</v>
      </c>
      <c r="Y9" s="139">
        <f t="shared" si="2"/>
        <v>1</v>
      </c>
      <c r="Z9" s="139">
        <f t="shared" si="2"/>
        <v>1</v>
      </c>
      <c r="AA9" s="139">
        <f t="shared" si="2"/>
        <v>1</v>
      </c>
      <c r="AB9" s="139">
        <f t="shared" si="2"/>
        <v>1</v>
      </c>
      <c r="AC9" s="139">
        <f t="shared" si="2"/>
        <v>1</v>
      </c>
      <c r="AD9" s="139">
        <f t="shared" si="2"/>
        <v>1</v>
      </c>
      <c r="AE9" s="139">
        <f t="shared" si="2"/>
        <v>1</v>
      </c>
      <c r="AF9" s="139">
        <f t="shared" si="2"/>
        <v>1</v>
      </c>
      <c r="AG9" s="139">
        <f t="shared" si="2"/>
        <v>1</v>
      </c>
      <c r="AH9" s="139">
        <f t="shared" si="2"/>
        <v>1</v>
      </c>
      <c r="AI9" s="139">
        <f t="shared" si="2"/>
        <v>1</v>
      </c>
      <c r="AJ9" s="139">
        <f t="shared" si="2"/>
        <v>1</v>
      </c>
      <c r="AK9" s="139">
        <f t="shared" si="2"/>
        <v>1</v>
      </c>
      <c r="AL9" s="139">
        <f t="shared" si="2"/>
        <v>1</v>
      </c>
      <c r="AM9" s="139">
        <f t="shared" si="2"/>
        <v>1</v>
      </c>
      <c r="AN9" s="139">
        <f t="shared" si="2"/>
        <v>1</v>
      </c>
      <c r="AO9" s="139">
        <f t="shared" si="2"/>
        <v>1</v>
      </c>
      <c r="AP9" s="139">
        <f t="shared" si="2"/>
        <v>1</v>
      </c>
      <c r="AQ9" s="139">
        <f t="shared" si="2"/>
        <v>1</v>
      </c>
      <c r="AR9" s="139">
        <f t="shared" si="2"/>
        <v>1</v>
      </c>
      <c r="AS9" s="139">
        <f t="shared" si="2"/>
        <v>1</v>
      </c>
      <c r="AT9" s="139">
        <f t="shared" si="2"/>
        <v>1</v>
      </c>
      <c r="AU9" s="139">
        <f t="shared" si="2"/>
        <v>1</v>
      </c>
      <c r="AV9" s="139">
        <f t="shared" si="2"/>
        <v>1</v>
      </c>
      <c r="AW9" s="139">
        <f t="shared" si="2"/>
        <v>1</v>
      </c>
      <c r="AX9" s="139">
        <f t="shared" si="2"/>
        <v>1</v>
      </c>
      <c r="AY9" s="139">
        <f t="shared" si="2"/>
        <v>1</v>
      </c>
      <c r="AZ9" s="139">
        <f t="shared" si="2"/>
        <v>1</v>
      </c>
      <c r="BA9" s="139">
        <f t="shared" si="2"/>
        <v>1</v>
      </c>
      <c r="BB9" s="139">
        <f t="shared" si="2"/>
        <v>1</v>
      </c>
      <c r="BC9" s="139">
        <f t="shared" si="2"/>
        <v>1</v>
      </c>
      <c r="BD9" s="139">
        <f t="shared" si="2"/>
        <v>1</v>
      </c>
      <c r="BE9" s="139">
        <f t="shared" si="2"/>
        <v>1</v>
      </c>
      <c r="BF9" s="139">
        <f t="shared" si="2"/>
        <v>1</v>
      </c>
      <c r="BG9" s="139">
        <f t="shared" si="2"/>
        <v>1</v>
      </c>
      <c r="BH9" s="139">
        <f t="shared" si="2"/>
        <v>1</v>
      </c>
      <c r="BI9" s="139">
        <f t="shared" si="2"/>
        <v>1</v>
      </c>
      <c r="BJ9" s="139">
        <f t="shared" si="2"/>
        <v>1</v>
      </c>
      <c r="BK9" s="139">
        <f t="shared" si="2"/>
        <v>1</v>
      </c>
      <c r="BL9" s="139">
        <f t="shared" si="2"/>
        <v>1</v>
      </c>
      <c r="BM9" s="139">
        <f t="shared" si="2"/>
        <v>1</v>
      </c>
      <c r="BN9" s="139">
        <f t="shared" si="2"/>
        <v>1</v>
      </c>
      <c r="BO9" s="139">
        <f t="shared" si="2"/>
        <v>1</v>
      </c>
      <c r="BP9" s="139">
        <f t="shared" si="2"/>
        <v>1</v>
      </c>
      <c r="BQ9" s="139">
        <f t="shared" si="2"/>
        <v>1</v>
      </c>
      <c r="BR9" s="139">
        <f t="shared" si="2"/>
        <v>1</v>
      </c>
      <c r="BS9" s="139">
        <f t="shared" si="3"/>
        <v>1</v>
      </c>
    </row>
    <row r="10" spans="2:71">
      <c r="C10" s="139">
        <f>노선구성!B51</f>
        <v>4</v>
      </c>
      <c r="D10" s="139">
        <f>노선구성!C51</f>
        <v>767</v>
      </c>
      <c r="E10" s="139" t="str">
        <f>노선구성!D51</f>
        <v>M7</v>
      </c>
      <c r="L10" s="139">
        <f t="shared" si="0"/>
        <v>0</v>
      </c>
      <c r="M10" s="139">
        <f t="shared" si="1"/>
        <v>0</v>
      </c>
      <c r="N10" s="139">
        <f t="shared" si="2"/>
        <v>0</v>
      </c>
      <c r="O10" s="139">
        <f t="shared" si="2"/>
        <v>0</v>
      </c>
      <c r="P10" s="139">
        <f t="shared" si="2"/>
        <v>0</v>
      </c>
      <c r="Q10" s="139">
        <f t="shared" si="2"/>
        <v>0</v>
      </c>
      <c r="R10" s="139">
        <f t="shared" si="2"/>
        <v>1</v>
      </c>
      <c r="S10" s="139">
        <f t="shared" si="2"/>
        <v>1</v>
      </c>
      <c r="T10" s="139">
        <f t="shared" si="2"/>
        <v>1</v>
      </c>
      <c r="U10" s="139">
        <f t="shared" si="2"/>
        <v>1</v>
      </c>
      <c r="V10" s="139">
        <f t="shared" si="2"/>
        <v>1</v>
      </c>
      <c r="W10" s="139">
        <f t="shared" si="2"/>
        <v>1</v>
      </c>
      <c r="X10" s="139">
        <f t="shared" si="2"/>
        <v>1</v>
      </c>
      <c r="Y10" s="139">
        <f t="shared" si="2"/>
        <v>1</v>
      </c>
      <c r="Z10" s="139">
        <f t="shared" si="2"/>
        <v>1</v>
      </c>
      <c r="AA10" s="139">
        <f t="shared" si="2"/>
        <v>1</v>
      </c>
      <c r="AB10" s="139">
        <f t="shared" si="2"/>
        <v>1</v>
      </c>
      <c r="AC10" s="139">
        <f t="shared" si="2"/>
        <v>1</v>
      </c>
      <c r="AD10" s="139">
        <f t="shared" si="2"/>
        <v>1</v>
      </c>
      <c r="AE10" s="139">
        <f t="shared" si="2"/>
        <v>1</v>
      </c>
      <c r="AF10" s="139">
        <f t="shared" si="2"/>
        <v>1</v>
      </c>
      <c r="AG10" s="139">
        <f t="shared" si="2"/>
        <v>1</v>
      </c>
      <c r="AH10" s="139">
        <f t="shared" si="2"/>
        <v>1</v>
      </c>
      <c r="AI10" s="139">
        <f t="shared" si="2"/>
        <v>1</v>
      </c>
      <c r="AJ10" s="139">
        <f t="shared" si="2"/>
        <v>1</v>
      </c>
      <c r="AK10" s="139">
        <f t="shared" si="2"/>
        <v>1</v>
      </c>
      <c r="AL10" s="139">
        <f t="shared" si="2"/>
        <v>1</v>
      </c>
      <c r="AM10" s="139">
        <f t="shared" si="2"/>
        <v>1</v>
      </c>
      <c r="AN10" s="139">
        <f t="shared" si="2"/>
        <v>1</v>
      </c>
      <c r="AO10" s="139">
        <f t="shared" si="2"/>
        <v>1</v>
      </c>
      <c r="AP10" s="139">
        <f t="shared" si="2"/>
        <v>1</v>
      </c>
      <c r="AQ10" s="139">
        <f t="shared" si="2"/>
        <v>1</v>
      </c>
      <c r="AR10" s="139">
        <f t="shared" si="2"/>
        <v>1</v>
      </c>
      <c r="AS10" s="139">
        <f t="shared" si="2"/>
        <v>1</v>
      </c>
      <c r="AT10" s="139">
        <f t="shared" si="2"/>
        <v>1</v>
      </c>
      <c r="AU10" s="139">
        <f t="shared" si="2"/>
        <v>1</v>
      </c>
      <c r="AV10" s="139">
        <f t="shared" si="2"/>
        <v>1</v>
      </c>
      <c r="AW10" s="139">
        <f t="shared" si="2"/>
        <v>1</v>
      </c>
      <c r="AX10" s="139">
        <f t="shared" si="2"/>
        <v>1</v>
      </c>
      <c r="AY10" s="139">
        <f t="shared" si="2"/>
        <v>1</v>
      </c>
      <c r="AZ10" s="139">
        <f t="shared" si="2"/>
        <v>1</v>
      </c>
      <c r="BA10" s="139">
        <f t="shared" si="2"/>
        <v>1</v>
      </c>
      <c r="BB10" s="139">
        <f t="shared" si="2"/>
        <v>1</v>
      </c>
      <c r="BC10" s="139">
        <f t="shared" si="2"/>
        <v>1</v>
      </c>
      <c r="BD10" s="139">
        <f t="shared" si="2"/>
        <v>1</v>
      </c>
      <c r="BE10" s="139">
        <f t="shared" si="2"/>
        <v>1</v>
      </c>
      <c r="BF10" s="139">
        <f t="shared" si="2"/>
        <v>1</v>
      </c>
      <c r="BG10" s="139">
        <f t="shared" si="2"/>
        <v>1</v>
      </c>
      <c r="BH10" s="139">
        <f t="shared" si="2"/>
        <v>1</v>
      </c>
      <c r="BI10" s="139">
        <f t="shared" si="2"/>
        <v>1</v>
      </c>
      <c r="BJ10" s="139">
        <f t="shared" si="2"/>
        <v>1</v>
      </c>
      <c r="BK10" s="139">
        <f t="shared" si="2"/>
        <v>1</v>
      </c>
      <c r="BL10" s="139">
        <f t="shared" si="2"/>
        <v>1</v>
      </c>
      <c r="BM10" s="139">
        <f t="shared" si="2"/>
        <v>1</v>
      </c>
      <c r="BN10" s="139">
        <f t="shared" si="2"/>
        <v>1</v>
      </c>
      <c r="BO10" s="139">
        <f t="shared" si="2"/>
        <v>1</v>
      </c>
      <c r="BP10" s="139">
        <f t="shared" si="2"/>
        <v>1</v>
      </c>
      <c r="BQ10" s="139">
        <f t="shared" si="2"/>
        <v>1</v>
      </c>
      <c r="BR10" s="139">
        <f t="shared" si="2"/>
        <v>1</v>
      </c>
      <c r="BS10" s="139">
        <f t="shared" si="3"/>
        <v>1</v>
      </c>
    </row>
    <row r="11" spans="2:71">
      <c r="C11" s="139">
        <f>노선구성!B52</f>
        <v>5</v>
      </c>
      <c r="D11" s="139">
        <f>노선구성!C52</f>
        <v>737</v>
      </c>
      <c r="E11" s="139" t="str">
        <f>노선구성!D52</f>
        <v>M13</v>
      </c>
      <c r="L11" s="139">
        <f t="shared" si="0"/>
        <v>0</v>
      </c>
      <c r="M11" s="139">
        <f t="shared" ref="M11:M16" si="4">IF(L11=1,1,IF($E11=M$4,1,0))</f>
        <v>0</v>
      </c>
      <c r="N11" s="139">
        <f t="shared" ref="N11:N16" si="5">IF(M11=1,1,IF($E11=N$4,1,0))</f>
        <v>0</v>
      </c>
      <c r="O11" s="139">
        <f t="shared" ref="O11:O16" si="6">IF(N11=1,1,IF($E11=O$4,1,0))</f>
        <v>0</v>
      </c>
      <c r="P11" s="139">
        <f t="shared" ref="P11:P16" si="7">IF(O11=1,1,IF($E11=P$4,1,0))</f>
        <v>0</v>
      </c>
      <c r="Q11" s="139">
        <f t="shared" ref="Q11:Q16" si="8">IF(P11=1,1,IF($E11=Q$4,1,0))</f>
        <v>0</v>
      </c>
      <c r="R11" s="139">
        <f t="shared" ref="R11:R16" si="9">IF(Q11=1,1,IF($E11=R$4,1,0))</f>
        <v>0</v>
      </c>
      <c r="S11" s="139">
        <f t="shared" ref="S11:S16" si="10">IF(R11=1,1,IF($E11=S$4,1,0))</f>
        <v>0</v>
      </c>
      <c r="T11" s="139">
        <f t="shared" ref="T11:T16" si="11">IF(S11=1,1,IF($E11=T$4,1,0))</f>
        <v>0</v>
      </c>
      <c r="U11" s="139">
        <f t="shared" ref="U11:U16" si="12">IF(T11=1,1,IF($E11=U$4,1,0))</f>
        <v>0</v>
      </c>
      <c r="V11" s="139">
        <f t="shared" ref="V11:V16" si="13">IF(U11=1,1,IF($E11=V$4,1,0))</f>
        <v>0</v>
      </c>
      <c r="W11" s="139">
        <f t="shared" ref="W11:W16" si="14">IF(V11=1,1,IF($E11=W$4,1,0))</f>
        <v>0</v>
      </c>
      <c r="X11" s="139">
        <f t="shared" ref="X11:X16" si="15">IF(W11=1,1,IF($E11=X$4,1,0))</f>
        <v>1</v>
      </c>
      <c r="Y11" s="139">
        <f t="shared" ref="Y11:Y16" si="16">IF(X11=1,1,IF($E11=Y$4,1,0))</f>
        <v>1</v>
      </c>
      <c r="Z11" s="139">
        <f t="shared" ref="Z11:Z16" si="17">IF(Y11=1,1,IF($E11=Z$4,1,0))</f>
        <v>1</v>
      </c>
      <c r="AA11" s="139">
        <f t="shared" ref="AA11:AA16" si="18">IF(Z11=1,1,IF($E11=AA$4,1,0))</f>
        <v>1</v>
      </c>
      <c r="AB11" s="139">
        <f t="shared" ref="AB11:AB16" si="19">IF(AA11=1,1,IF($E11=AB$4,1,0))</f>
        <v>1</v>
      </c>
      <c r="AC11" s="139">
        <f t="shared" ref="AC11:AC16" si="20">IF(AB11=1,1,IF($E11=AC$4,1,0))</f>
        <v>1</v>
      </c>
      <c r="AD11" s="139">
        <f t="shared" ref="AD11:AD16" si="21">IF(AC11=1,1,IF($E11=AD$4,1,0))</f>
        <v>1</v>
      </c>
      <c r="AE11" s="139">
        <f t="shared" ref="AE11:AE16" si="22">IF(AD11=1,1,IF($E11=AE$4,1,0))</f>
        <v>1</v>
      </c>
      <c r="AF11" s="139">
        <f t="shared" ref="AF11:AF16" si="23">IF(AE11=1,1,IF($E11=AF$4,1,0))</f>
        <v>1</v>
      </c>
      <c r="AG11" s="139">
        <f t="shared" ref="AG11:AG16" si="24">IF(AF11=1,1,IF($E11=AG$4,1,0))</f>
        <v>1</v>
      </c>
      <c r="AH11" s="139">
        <f t="shared" ref="AH11:AH16" si="25">IF(AG11=1,1,IF($E11=AH$4,1,0))</f>
        <v>1</v>
      </c>
      <c r="AI11" s="139">
        <f t="shared" ref="AI11:AI16" si="26">IF(AH11=1,1,IF($E11=AI$4,1,0))</f>
        <v>1</v>
      </c>
      <c r="AJ11" s="139">
        <f t="shared" ref="AJ11:AJ16" si="27">IF(AI11=1,1,IF($E11=AJ$4,1,0))</f>
        <v>1</v>
      </c>
      <c r="AK11" s="139">
        <f t="shared" ref="AK11:AK16" si="28">IF(AJ11=1,1,IF($E11=AK$4,1,0))</f>
        <v>1</v>
      </c>
      <c r="AL11" s="139">
        <f t="shared" ref="AL11:AL16" si="29">IF(AK11=1,1,IF($E11=AL$4,1,0))</f>
        <v>1</v>
      </c>
      <c r="AM11" s="139">
        <f t="shared" ref="AM11:AM16" si="30">IF(AL11=1,1,IF($E11=AM$4,1,0))</f>
        <v>1</v>
      </c>
      <c r="AN11" s="139">
        <f t="shared" ref="AN11:AN16" si="31">IF(AM11=1,1,IF($E11=AN$4,1,0))</f>
        <v>1</v>
      </c>
      <c r="AO11" s="139">
        <f t="shared" ref="AO11:AO16" si="32">IF(AN11=1,1,IF($E11=AO$4,1,0))</f>
        <v>1</v>
      </c>
      <c r="AP11" s="139">
        <f t="shared" ref="AP11:AP16" si="33">IF(AO11=1,1,IF($E11=AP$4,1,0))</f>
        <v>1</v>
      </c>
      <c r="AQ11" s="139">
        <f t="shared" ref="AQ11:AQ16" si="34">IF(AP11=1,1,IF($E11=AQ$4,1,0))</f>
        <v>1</v>
      </c>
      <c r="AR11" s="139">
        <f t="shared" ref="AR11:AR16" si="35">IF(AQ11=1,1,IF($E11=AR$4,1,0))</f>
        <v>1</v>
      </c>
      <c r="AS11" s="139">
        <f t="shared" ref="AS11:AS16" si="36">IF(AR11=1,1,IF($E11=AS$4,1,0))</f>
        <v>1</v>
      </c>
      <c r="AT11" s="139">
        <f t="shared" ref="AT11:AT16" si="37">IF(AS11=1,1,IF($E11=AT$4,1,0))</f>
        <v>1</v>
      </c>
      <c r="AU11" s="139">
        <f t="shared" ref="AU11:AU16" si="38">IF(AT11=1,1,IF($E11=AU$4,1,0))</f>
        <v>1</v>
      </c>
      <c r="AV11" s="139">
        <f t="shared" ref="AV11:AV16" si="39">IF(AU11=1,1,IF($E11=AV$4,1,0))</f>
        <v>1</v>
      </c>
      <c r="AW11" s="139">
        <f t="shared" ref="AW11:AW16" si="40">IF(AV11=1,1,IF($E11=AW$4,1,0))</f>
        <v>1</v>
      </c>
      <c r="AX11" s="139">
        <f t="shared" ref="AX11:AX16" si="41">IF(AW11=1,1,IF($E11=AX$4,1,0))</f>
        <v>1</v>
      </c>
      <c r="AY11" s="139">
        <f t="shared" ref="AY11:AY16" si="42">IF(AX11=1,1,IF($E11=AY$4,1,0))</f>
        <v>1</v>
      </c>
      <c r="AZ11" s="139">
        <f t="shared" ref="AZ11:AZ16" si="43">IF(AY11=1,1,IF($E11=AZ$4,1,0))</f>
        <v>1</v>
      </c>
      <c r="BA11" s="139">
        <f t="shared" ref="BA11:BA16" si="44">IF(AZ11=1,1,IF($E11=BA$4,1,0))</f>
        <v>1</v>
      </c>
      <c r="BB11" s="139">
        <f t="shared" ref="BB11:BB16" si="45">IF(BA11=1,1,IF($E11=BB$4,1,0))</f>
        <v>1</v>
      </c>
      <c r="BC11" s="139">
        <f t="shared" ref="BC11:BC16" si="46">IF(BB11=1,1,IF($E11=BC$4,1,0))</f>
        <v>1</v>
      </c>
      <c r="BD11" s="139">
        <f t="shared" ref="BD11:BD16" si="47">IF(BC11=1,1,IF($E11=BD$4,1,0))</f>
        <v>1</v>
      </c>
      <c r="BE11" s="139">
        <f t="shared" ref="BE11:BE16" si="48">IF(BD11=1,1,IF($E11=BE$4,1,0))</f>
        <v>1</v>
      </c>
      <c r="BF11" s="139">
        <f t="shared" ref="BF11:BF16" si="49">IF(BE11=1,1,IF($E11=BF$4,1,0))</f>
        <v>1</v>
      </c>
      <c r="BG11" s="139">
        <f t="shared" ref="BG11:BG16" si="50">IF(BF11=1,1,IF($E11=BG$4,1,0))</f>
        <v>1</v>
      </c>
      <c r="BH11" s="139">
        <f t="shared" ref="BH11:BH16" si="51">IF(BG11=1,1,IF($E11=BH$4,1,0))</f>
        <v>1</v>
      </c>
      <c r="BI11" s="139">
        <f t="shared" ref="BI11:BI16" si="52">IF(BH11=1,1,IF($E11=BI$4,1,0))</f>
        <v>1</v>
      </c>
      <c r="BJ11" s="139">
        <f t="shared" ref="BJ11:BJ16" si="53">IF(BI11=1,1,IF($E11=BJ$4,1,0))</f>
        <v>1</v>
      </c>
      <c r="BK11" s="139">
        <f t="shared" ref="BK11:BK16" si="54">IF(BJ11=1,1,IF($E11=BK$4,1,0))</f>
        <v>1</v>
      </c>
      <c r="BL11" s="139">
        <f t="shared" ref="BL11:BL16" si="55">IF(BK11=1,1,IF($E11=BL$4,1,0))</f>
        <v>1</v>
      </c>
      <c r="BM11" s="139">
        <f t="shared" ref="BM11:BM16" si="56">IF(BL11=1,1,IF($E11=BM$4,1,0))</f>
        <v>1</v>
      </c>
      <c r="BN11" s="139">
        <f t="shared" ref="BN11:BN16" si="57">IF(BM11=1,1,IF($E11=BN$4,1,0))</f>
        <v>1</v>
      </c>
      <c r="BO11" s="139">
        <f t="shared" ref="BO11:BO16" si="58">IF(BN11=1,1,IF($E11=BO$4,1,0))</f>
        <v>1</v>
      </c>
      <c r="BP11" s="139">
        <f t="shared" ref="BP11:BP16" si="59">IF(BO11=1,1,IF($E11=BP$4,1,0))</f>
        <v>1</v>
      </c>
      <c r="BQ11" s="139">
        <f t="shared" ref="BQ11:BQ16" si="60">IF(BP11=1,1,IF($E11=BQ$4,1,0))</f>
        <v>1</v>
      </c>
      <c r="BR11" s="139">
        <f t="shared" ref="BR11:BR16" si="61">IF(BQ11=1,1,IF($E11=BR$4,1,0))</f>
        <v>1</v>
      </c>
      <c r="BS11" s="139">
        <f t="shared" ref="BS11:BS16" si="62">IF(BR11=1,1,IF($E11=BS$4,1,0))</f>
        <v>1</v>
      </c>
    </row>
    <row r="12" spans="2:71">
      <c r="C12" s="139">
        <f>노선구성!B53</f>
        <v>6</v>
      </c>
      <c r="D12" s="139">
        <f>노선구성!C53</f>
        <v>767</v>
      </c>
      <c r="E12" s="139" t="str">
        <f>노선구성!D53</f>
        <v>M19</v>
      </c>
      <c r="L12" s="139">
        <f t="shared" si="0"/>
        <v>0</v>
      </c>
      <c r="M12" s="139">
        <f t="shared" si="4"/>
        <v>0</v>
      </c>
      <c r="N12" s="139">
        <f t="shared" si="5"/>
        <v>0</v>
      </c>
      <c r="O12" s="139">
        <f t="shared" si="6"/>
        <v>0</v>
      </c>
      <c r="P12" s="139">
        <f t="shared" si="7"/>
        <v>0</v>
      </c>
      <c r="Q12" s="139">
        <f t="shared" si="8"/>
        <v>0</v>
      </c>
      <c r="R12" s="139">
        <f t="shared" si="9"/>
        <v>0</v>
      </c>
      <c r="S12" s="139">
        <f t="shared" si="10"/>
        <v>0</v>
      </c>
      <c r="T12" s="139">
        <f t="shared" si="11"/>
        <v>0</v>
      </c>
      <c r="U12" s="139">
        <f t="shared" si="12"/>
        <v>0</v>
      </c>
      <c r="V12" s="139">
        <f t="shared" si="13"/>
        <v>0</v>
      </c>
      <c r="W12" s="139">
        <f t="shared" si="14"/>
        <v>0</v>
      </c>
      <c r="X12" s="139">
        <f t="shared" si="15"/>
        <v>0</v>
      </c>
      <c r="Y12" s="139">
        <f t="shared" si="16"/>
        <v>0</v>
      </c>
      <c r="Z12" s="139">
        <f t="shared" si="17"/>
        <v>0</v>
      </c>
      <c r="AA12" s="139">
        <f t="shared" si="18"/>
        <v>0</v>
      </c>
      <c r="AB12" s="139">
        <f t="shared" si="19"/>
        <v>0</v>
      </c>
      <c r="AC12" s="139">
        <f t="shared" si="20"/>
        <v>0</v>
      </c>
      <c r="AD12" s="139">
        <f t="shared" si="21"/>
        <v>1</v>
      </c>
      <c r="AE12" s="139">
        <f t="shared" si="22"/>
        <v>1</v>
      </c>
      <c r="AF12" s="139">
        <f t="shared" si="23"/>
        <v>1</v>
      </c>
      <c r="AG12" s="139">
        <f t="shared" si="24"/>
        <v>1</v>
      </c>
      <c r="AH12" s="139">
        <f t="shared" si="25"/>
        <v>1</v>
      </c>
      <c r="AI12" s="139">
        <f t="shared" si="26"/>
        <v>1</v>
      </c>
      <c r="AJ12" s="139">
        <f t="shared" si="27"/>
        <v>1</v>
      </c>
      <c r="AK12" s="139">
        <f t="shared" si="28"/>
        <v>1</v>
      </c>
      <c r="AL12" s="139">
        <f t="shared" si="29"/>
        <v>1</v>
      </c>
      <c r="AM12" s="139">
        <f t="shared" si="30"/>
        <v>1</v>
      </c>
      <c r="AN12" s="139">
        <f t="shared" si="31"/>
        <v>1</v>
      </c>
      <c r="AO12" s="139">
        <f t="shared" si="32"/>
        <v>1</v>
      </c>
      <c r="AP12" s="139">
        <f t="shared" si="33"/>
        <v>1</v>
      </c>
      <c r="AQ12" s="139">
        <f t="shared" si="34"/>
        <v>1</v>
      </c>
      <c r="AR12" s="139">
        <f t="shared" si="35"/>
        <v>1</v>
      </c>
      <c r="AS12" s="139">
        <f t="shared" si="36"/>
        <v>1</v>
      </c>
      <c r="AT12" s="139">
        <f t="shared" si="37"/>
        <v>1</v>
      </c>
      <c r="AU12" s="139">
        <f t="shared" si="38"/>
        <v>1</v>
      </c>
      <c r="AV12" s="139">
        <f t="shared" si="39"/>
        <v>1</v>
      </c>
      <c r="AW12" s="139">
        <f t="shared" si="40"/>
        <v>1</v>
      </c>
      <c r="AX12" s="139">
        <f t="shared" si="41"/>
        <v>1</v>
      </c>
      <c r="AY12" s="139">
        <f t="shared" si="42"/>
        <v>1</v>
      </c>
      <c r="AZ12" s="139">
        <f t="shared" si="43"/>
        <v>1</v>
      </c>
      <c r="BA12" s="139">
        <f t="shared" si="44"/>
        <v>1</v>
      </c>
      <c r="BB12" s="139">
        <f t="shared" si="45"/>
        <v>1</v>
      </c>
      <c r="BC12" s="139">
        <f t="shared" si="46"/>
        <v>1</v>
      </c>
      <c r="BD12" s="139">
        <f t="shared" si="47"/>
        <v>1</v>
      </c>
      <c r="BE12" s="139">
        <f t="shared" si="48"/>
        <v>1</v>
      </c>
      <c r="BF12" s="139">
        <f t="shared" si="49"/>
        <v>1</v>
      </c>
      <c r="BG12" s="139">
        <f t="shared" si="50"/>
        <v>1</v>
      </c>
      <c r="BH12" s="139">
        <f t="shared" si="51"/>
        <v>1</v>
      </c>
      <c r="BI12" s="139">
        <f t="shared" si="52"/>
        <v>1</v>
      </c>
      <c r="BJ12" s="139">
        <f t="shared" si="53"/>
        <v>1</v>
      </c>
      <c r="BK12" s="139">
        <f t="shared" si="54"/>
        <v>1</v>
      </c>
      <c r="BL12" s="139">
        <f t="shared" si="55"/>
        <v>1</v>
      </c>
      <c r="BM12" s="139">
        <f t="shared" si="56"/>
        <v>1</v>
      </c>
      <c r="BN12" s="139">
        <f t="shared" si="57"/>
        <v>1</v>
      </c>
      <c r="BO12" s="139">
        <f t="shared" si="58"/>
        <v>1</v>
      </c>
      <c r="BP12" s="139">
        <f t="shared" si="59"/>
        <v>1</v>
      </c>
      <c r="BQ12" s="139">
        <f t="shared" si="60"/>
        <v>1</v>
      </c>
      <c r="BR12" s="139">
        <f t="shared" si="61"/>
        <v>1</v>
      </c>
      <c r="BS12" s="139">
        <f t="shared" si="62"/>
        <v>1</v>
      </c>
    </row>
    <row r="13" spans="2:71">
      <c r="C13" s="139">
        <f>노선구성!B54</f>
        <v>7</v>
      </c>
      <c r="D13" s="139">
        <f>노선구성!C54</f>
        <v>737</v>
      </c>
      <c r="E13" s="139" t="str">
        <f>노선구성!D54</f>
        <v>M25</v>
      </c>
      <c r="L13" s="139">
        <f t="shared" si="0"/>
        <v>0</v>
      </c>
      <c r="M13" s="139">
        <f t="shared" si="4"/>
        <v>0</v>
      </c>
      <c r="N13" s="139">
        <f t="shared" si="5"/>
        <v>0</v>
      </c>
      <c r="O13" s="139">
        <f t="shared" si="6"/>
        <v>0</v>
      </c>
      <c r="P13" s="139">
        <f t="shared" si="7"/>
        <v>0</v>
      </c>
      <c r="Q13" s="139">
        <f t="shared" si="8"/>
        <v>0</v>
      </c>
      <c r="R13" s="139">
        <f t="shared" si="9"/>
        <v>0</v>
      </c>
      <c r="S13" s="139">
        <f t="shared" si="10"/>
        <v>0</v>
      </c>
      <c r="T13" s="139">
        <f t="shared" si="11"/>
        <v>0</v>
      </c>
      <c r="U13" s="139">
        <f t="shared" si="12"/>
        <v>0</v>
      </c>
      <c r="V13" s="139">
        <f t="shared" si="13"/>
        <v>0</v>
      </c>
      <c r="W13" s="139">
        <f t="shared" si="14"/>
        <v>0</v>
      </c>
      <c r="X13" s="139">
        <f t="shared" si="15"/>
        <v>0</v>
      </c>
      <c r="Y13" s="139">
        <f t="shared" si="16"/>
        <v>0</v>
      </c>
      <c r="Z13" s="139">
        <f t="shared" si="17"/>
        <v>0</v>
      </c>
      <c r="AA13" s="139">
        <f t="shared" si="18"/>
        <v>0</v>
      </c>
      <c r="AB13" s="139">
        <f t="shared" si="19"/>
        <v>0</v>
      </c>
      <c r="AC13" s="139">
        <f t="shared" si="20"/>
        <v>0</v>
      </c>
      <c r="AD13" s="139">
        <f t="shared" si="21"/>
        <v>0</v>
      </c>
      <c r="AE13" s="139">
        <f t="shared" si="22"/>
        <v>0</v>
      </c>
      <c r="AF13" s="139">
        <f t="shared" si="23"/>
        <v>0</v>
      </c>
      <c r="AG13" s="139">
        <f t="shared" si="24"/>
        <v>0</v>
      </c>
      <c r="AH13" s="139">
        <f t="shared" si="25"/>
        <v>0</v>
      </c>
      <c r="AI13" s="139">
        <f t="shared" si="26"/>
        <v>0</v>
      </c>
      <c r="AJ13" s="139">
        <f t="shared" si="27"/>
        <v>1</v>
      </c>
      <c r="AK13" s="139">
        <f t="shared" si="28"/>
        <v>1</v>
      </c>
      <c r="AL13" s="139">
        <f t="shared" si="29"/>
        <v>1</v>
      </c>
      <c r="AM13" s="139">
        <f t="shared" si="30"/>
        <v>1</v>
      </c>
      <c r="AN13" s="139">
        <f t="shared" si="31"/>
        <v>1</v>
      </c>
      <c r="AO13" s="139">
        <f t="shared" si="32"/>
        <v>1</v>
      </c>
      <c r="AP13" s="139">
        <f t="shared" si="33"/>
        <v>1</v>
      </c>
      <c r="AQ13" s="139">
        <f t="shared" si="34"/>
        <v>1</v>
      </c>
      <c r="AR13" s="139">
        <f t="shared" si="35"/>
        <v>1</v>
      </c>
      <c r="AS13" s="139">
        <f t="shared" si="36"/>
        <v>1</v>
      </c>
      <c r="AT13" s="139">
        <f t="shared" si="37"/>
        <v>1</v>
      </c>
      <c r="AU13" s="139">
        <f t="shared" si="38"/>
        <v>1</v>
      </c>
      <c r="AV13" s="139">
        <f t="shared" si="39"/>
        <v>1</v>
      </c>
      <c r="AW13" s="139">
        <f t="shared" si="40"/>
        <v>1</v>
      </c>
      <c r="AX13" s="139">
        <f t="shared" si="41"/>
        <v>1</v>
      </c>
      <c r="AY13" s="139">
        <f t="shared" si="42"/>
        <v>1</v>
      </c>
      <c r="AZ13" s="139">
        <f t="shared" si="43"/>
        <v>1</v>
      </c>
      <c r="BA13" s="139">
        <f t="shared" si="44"/>
        <v>1</v>
      </c>
      <c r="BB13" s="139">
        <f t="shared" si="45"/>
        <v>1</v>
      </c>
      <c r="BC13" s="139">
        <f t="shared" si="46"/>
        <v>1</v>
      </c>
      <c r="BD13" s="139">
        <f t="shared" si="47"/>
        <v>1</v>
      </c>
      <c r="BE13" s="139">
        <f t="shared" si="48"/>
        <v>1</v>
      </c>
      <c r="BF13" s="139">
        <f t="shared" si="49"/>
        <v>1</v>
      </c>
      <c r="BG13" s="139">
        <f t="shared" si="50"/>
        <v>1</v>
      </c>
      <c r="BH13" s="139">
        <f t="shared" si="51"/>
        <v>1</v>
      </c>
      <c r="BI13" s="139">
        <f t="shared" si="52"/>
        <v>1</v>
      </c>
      <c r="BJ13" s="139">
        <f t="shared" si="53"/>
        <v>1</v>
      </c>
      <c r="BK13" s="139">
        <f t="shared" si="54"/>
        <v>1</v>
      </c>
      <c r="BL13" s="139">
        <f t="shared" si="55"/>
        <v>1</v>
      </c>
      <c r="BM13" s="139">
        <f t="shared" si="56"/>
        <v>1</v>
      </c>
      <c r="BN13" s="139">
        <f t="shared" si="57"/>
        <v>1</v>
      </c>
      <c r="BO13" s="139">
        <f t="shared" si="58"/>
        <v>1</v>
      </c>
      <c r="BP13" s="139">
        <f t="shared" si="59"/>
        <v>1</v>
      </c>
      <c r="BQ13" s="139">
        <f t="shared" si="60"/>
        <v>1</v>
      </c>
      <c r="BR13" s="139">
        <f t="shared" si="61"/>
        <v>1</v>
      </c>
      <c r="BS13" s="139">
        <f t="shared" si="62"/>
        <v>1</v>
      </c>
    </row>
    <row r="14" spans="2:71">
      <c r="C14" s="139">
        <f>노선구성!B55</f>
        <v>8</v>
      </c>
      <c r="D14" s="139">
        <f>노선구성!C55</f>
        <v>767</v>
      </c>
      <c r="E14" s="139" t="str">
        <f>노선구성!D55</f>
        <v>M31</v>
      </c>
      <c r="L14" s="139">
        <f t="shared" si="0"/>
        <v>0</v>
      </c>
      <c r="M14" s="139">
        <f t="shared" si="4"/>
        <v>0</v>
      </c>
      <c r="N14" s="139">
        <f t="shared" si="5"/>
        <v>0</v>
      </c>
      <c r="O14" s="139">
        <f t="shared" si="6"/>
        <v>0</v>
      </c>
      <c r="P14" s="139">
        <f t="shared" si="7"/>
        <v>0</v>
      </c>
      <c r="Q14" s="139">
        <f t="shared" si="8"/>
        <v>0</v>
      </c>
      <c r="R14" s="139">
        <f t="shared" si="9"/>
        <v>0</v>
      </c>
      <c r="S14" s="139">
        <f t="shared" si="10"/>
        <v>0</v>
      </c>
      <c r="T14" s="139">
        <f t="shared" si="11"/>
        <v>0</v>
      </c>
      <c r="U14" s="139">
        <f t="shared" si="12"/>
        <v>0</v>
      </c>
      <c r="V14" s="139">
        <f t="shared" si="13"/>
        <v>0</v>
      </c>
      <c r="W14" s="139">
        <f t="shared" si="14"/>
        <v>0</v>
      </c>
      <c r="X14" s="139">
        <f t="shared" si="15"/>
        <v>0</v>
      </c>
      <c r="Y14" s="139">
        <f t="shared" si="16"/>
        <v>0</v>
      </c>
      <c r="Z14" s="139">
        <f t="shared" si="17"/>
        <v>0</v>
      </c>
      <c r="AA14" s="139">
        <f t="shared" si="18"/>
        <v>0</v>
      </c>
      <c r="AB14" s="139">
        <f t="shared" si="19"/>
        <v>0</v>
      </c>
      <c r="AC14" s="139">
        <f t="shared" si="20"/>
        <v>0</v>
      </c>
      <c r="AD14" s="139">
        <f t="shared" si="21"/>
        <v>0</v>
      </c>
      <c r="AE14" s="139">
        <f t="shared" si="22"/>
        <v>0</v>
      </c>
      <c r="AF14" s="139">
        <f t="shared" si="23"/>
        <v>0</v>
      </c>
      <c r="AG14" s="139">
        <f t="shared" si="24"/>
        <v>0</v>
      </c>
      <c r="AH14" s="139">
        <f t="shared" si="25"/>
        <v>0</v>
      </c>
      <c r="AI14" s="139">
        <f t="shared" si="26"/>
        <v>0</v>
      </c>
      <c r="AJ14" s="139">
        <f t="shared" si="27"/>
        <v>0</v>
      </c>
      <c r="AK14" s="139">
        <f t="shared" si="28"/>
        <v>0</v>
      </c>
      <c r="AL14" s="139">
        <f t="shared" si="29"/>
        <v>0</v>
      </c>
      <c r="AM14" s="139">
        <f t="shared" si="30"/>
        <v>0</v>
      </c>
      <c r="AN14" s="139">
        <f t="shared" si="31"/>
        <v>0</v>
      </c>
      <c r="AO14" s="139">
        <f t="shared" si="32"/>
        <v>0</v>
      </c>
      <c r="AP14" s="139">
        <f t="shared" si="33"/>
        <v>1</v>
      </c>
      <c r="AQ14" s="139">
        <f t="shared" si="34"/>
        <v>1</v>
      </c>
      <c r="AR14" s="139">
        <f t="shared" si="35"/>
        <v>1</v>
      </c>
      <c r="AS14" s="139">
        <f t="shared" si="36"/>
        <v>1</v>
      </c>
      <c r="AT14" s="139">
        <f t="shared" si="37"/>
        <v>1</v>
      </c>
      <c r="AU14" s="139">
        <f t="shared" si="38"/>
        <v>1</v>
      </c>
      <c r="AV14" s="139">
        <f t="shared" si="39"/>
        <v>1</v>
      </c>
      <c r="AW14" s="139">
        <f t="shared" si="40"/>
        <v>1</v>
      </c>
      <c r="AX14" s="139">
        <f t="shared" si="41"/>
        <v>1</v>
      </c>
      <c r="AY14" s="139">
        <f t="shared" si="42"/>
        <v>1</v>
      </c>
      <c r="AZ14" s="139">
        <f t="shared" si="43"/>
        <v>1</v>
      </c>
      <c r="BA14" s="139">
        <f t="shared" si="44"/>
        <v>1</v>
      </c>
      <c r="BB14" s="139">
        <f t="shared" si="45"/>
        <v>1</v>
      </c>
      <c r="BC14" s="139">
        <f t="shared" si="46"/>
        <v>1</v>
      </c>
      <c r="BD14" s="139">
        <f t="shared" si="47"/>
        <v>1</v>
      </c>
      <c r="BE14" s="139">
        <f t="shared" si="48"/>
        <v>1</v>
      </c>
      <c r="BF14" s="139">
        <f t="shared" si="49"/>
        <v>1</v>
      </c>
      <c r="BG14" s="139">
        <f t="shared" si="50"/>
        <v>1</v>
      </c>
      <c r="BH14" s="139">
        <f t="shared" si="51"/>
        <v>1</v>
      </c>
      <c r="BI14" s="139">
        <f t="shared" si="52"/>
        <v>1</v>
      </c>
      <c r="BJ14" s="139">
        <f t="shared" si="53"/>
        <v>1</v>
      </c>
      <c r="BK14" s="139">
        <f t="shared" si="54"/>
        <v>1</v>
      </c>
      <c r="BL14" s="139">
        <f t="shared" si="55"/>
        <v>1</v>
      </c>
      <c r="BM14" s="139">
        <f t="shared" si="56"/>
        <v>1</v>
      </c>
      <c r="BN14" s="139">
        <f t="shared" si="57"/>
        <v>1</v>
      </c>
      <c r="BO14" s="139">
        <f t="shared" si="58"/>
        <v>1</v>
      </c>
      <c r="BP14" s="139">
        <f t="shared" si="59"/>
        <v>1</v>
      </c>
      <c r="BQ14" s="139">
        <f t="shared" si="60"/>
        <v>1</v>
      </c>
      <c r="BR14" s="139">
        <f t="shared" si="61"/>
        <v>1</v>
      </c>
      <c r="BS14" s="139">
        <f t="shared" si="62"/>
        <v>1</v>
      </c>
    </row>
    <row r="15" spans="2:71">
      <c r="C15" s="139">
        <f>노선구성!B56</f>
        <v>9</v>
      </c>
      <c r="D15" s="139">
        <f>노선구성!C56</f>
        <v>767</v>
      </c>
      <c r="E15" s="139" t="str">
        <f>노선구성!D56</f>
        <v>M37</v>
      </c>
      <c r="L15" s="139">
        <f t="shared" si="0"/>
        <v>0</v>
      </c>
      <c r="M15" s="139">
        <f t="shared" si="4"/>
        <v>0</v>
      </c>
      <c r="N15" s="139">
        <f t="shared" si="5"/>
        <v>0</v>
      </c>
      <c r="O15" s="139">
        <f t="shared" si="6"/>
        <v>0</v>
      </c>
      <c r="P15" s="139">
        <f t="shared" si="7"/>
        <v>0</v>
      </c>
      <c r="Q15" s="139">
        <f t="shared" si="8"/>
        <v>0</v>
      </c>
      <c r="R15" s="139">
        <f t="shared" si="9"/>
        <v>0</v>
      </c>
      <c r="S15" s="139">
        <f t="shared" si="10"/>
        <v>0</v>
      </c>
      <c r="T15" s="139">
        <f t="shared" si="11"/>
        <v>0</v>
      </c>
      <c r="U15" s="139">
        <f t="shared" si="12"/>
        <v>0</v>
      </c>
      <c r="V15" s="139">
        <f t="shared" si="13"/>
        <v>0</v>
      </c>
      <c r="W15" s="139">
        <f t="shared" si="14"/>
        <v>0</v>
      </c>
      <c r="X15" s="139">
        <f t="shared" si="15"/>
        <v>0</v>
      </c>
      <c r="Y15" s="139">
        <f t="shared" si="16"/>
        <v>0</v>
      </c>
      <c r="Z15" s="139">
        <f t="shared" si="17"/>
        <v>0</v>
      </c>
      <c r="AA15" s="139">
        <f t="shared" si="18"/>
        <v>0</v>
      </c>
      <c r="AB15" s="139">
        <f t="shared" si="19"/>
        <v>0</v>
      </c>
      <c r="AC15" s="139">
        <f t="shared" si="20"/>
        <v>0</v>
      </c>
      <c r="AD15" s="139">
        <f t="shared" si="21"/>
        <v>0</v>
      </c>
      <c r="AE15" s="139">
        <f t="shared" si="22"/>
        <v>0</v>
      </c>
      <c r="AF15" s="139">
        <f t="shared" si="23"/>
        <v>0</v>
      </c>
      <c r="AG15" s="139">
        <f t="shared" si="24"/>
        <v>0</v>
      </c>
      <c r="AH15" s="139">
        <f t="shared" si="25"/>
        <v>0</v>
      </c>
      <c r="AI15" s="139">
        <f t="shared" si="26"/>
        <v>0</v>
      </c>
      <c r="AJ15" s="139">
        <f t="shared" si="27"/>
        <v>0</v>
      </c>
      <c r="AK15" s="139">
        <f t="shared" si="28"/>
        <v>0</v>
      </c>
      <c r="AL15" s="139">
        <f t="shared" si="29"/>
        <v>0</v>
      </c>
      <c r="AM15" s="139">
        <f t="shared" si="30"/>
        <v>0</v>
      </c>
      <c r="AN15" s="139">
        <f t="shared" si="31"/>
        <v>0</v>
      </c>
      <c r="AO15" s="139">
        <f t="shared" si="32"/>
        <v>0</v>
      </c>
      <c r="AP15" s="139">
        <f t="shared" si="33"/>
        <v>0</v>
      </c>
      <c r="AQ15" s="139">
        <f t="shared" si="34"/>
        <v>0</v>
      </c>
      <c r="AR15" s="139">
        <f t="shared" si="35"/>
        <v>0</v>
      </c>
      <c r="AS15" s="139">
        <f t="shared" si="36"/>
        <v>0</v>
      </c>
      <c r="AT15" s="139">
        <f t="shared" si="37"/>
        <v>0</v>
      </c>
      <c r="AU15" s="139">
        <f t="shared" si="38"/>
        <v>0</v>
      </c>
      <c r="AV15" s="139">
        <f t="shared" si="39"/>
        <v>1</v>
      </c>
      <c r="AW15" s="139">
        <f t="shared" si="40"/>
        <v>1</v>
      </c>
      <c r="AX15" s="139">
        <f t="shared" si="41"/>
        <v>1</v>
      </c>
      <c r="AY15" s="139">
        <f t="shared" si="42"/>
        <v>1</v>
      </c>
      <c r="AZ15" s="139">
        <f t="shared" si="43"/>
        <v>1</v>
      </c>
      <c r="BA15" s="139">
        <f t="shared" si="44"/>
        <v>1</v>
      </c>
      <c r="BB15" s="139">
        <f t="shared" si="45"/>
        <v>1</v>
      </c>
      <c r="BC15" s="139">
        <f t="shared" si="46"/>
        <v>1</v>
      </c>
      <c r="BD15" s="139">
        <f t="shared" si="47"/>
        <v>1</v>
      </c>
      <c r="BE15" s="139">
        <f t="shared" si="48"/>
        <v>1</v>
      </c>
      <c r="BF15" s="139">
        <f t="shared" si="49"/>
        <v>1</v>
      </c>
      <c r="BG15" s="139">
        <f t="shared" si="50"/>
        <v>1</v>
      </c>
      <c r="BH15" s="139">
        <f t="shared" si="51"/>
        <v>1</v>
      </c>
      <c r="BI15" s="139">
        <f t="shared" si="52"/>
        <v>1</v>
      </c>
      <c r="BJ15" s="139">
        <f t="shared" si="53"/>
        <v>1</v>
      </c>
      <c r="BK15" s="139">
        <f t="shared" si="54"/>
        <v>1</v>
      </c>
      <c r="BL15" s="139">
        <f t="shared" si="55"/>
        <v>1</v>
      </c>
      <c r="BM15" s="139">
        <f t="shared" si="56"/>
        <v>1</v>
      </c>
      <c r="BN15" s="139">
        <f t="shared" si="57"/>
        <v>1</v>
      </c>
      <c r="BO15" s="139">
        <f t="shared" si="58"/>
        <v>1</v>
      </c>
      <c r="BP15" s="139">
        <f t="shared" si="59"/>
        <v>1</v>
      </c>
      <c r="BQ15" s="139">
        <f t="shared" si="60"/>
        <v>1</v>
      </c>
      <c r="BR15" s="139">
        <f t="shared" si="61"/>
        <v>1</v>
      </c>
      <c r="BS15" s="139">
        <f t="shared" si="62"/>
        <v>1</v>
      </c>
    </row>
    <row r="16" spans="2:71">
      <c r="C16" s="139">
        <f>노선구성!B57</f>
        <v>10</v>
      </c>
      <c r="D16" s="139">
        <f>노선구성!C57</f>
        <v>767</v>
      </c>
      <c r="E16" s="139" t="str">
        <f>노선구성!D57</f>
        <v>M43</v>
      </c>
      <c r="L16" s="139">
        <f t="shared" si="0"/>
        <v>0</v>
      </c>
      <c r="M16" s="139">
        <f t="shared" si="4"/>
        <v>0</v>
      </c>
      <c r="N16" s="139">
        <f t="shared" si="5"/>
        <v>0</v>
      </c>
      <c r="O16" s="139">
        <f t="shared" si="6"/>
        <v>0</v>
      </c>
      <c r="P16" s="139">
        <f t="shared" si="7"/>
        <v>0</v>
      </c>
      <c r="Q16" s="139">
        <f t="shared" si="8"/>
        <v>0</v>
      </c>
      <c r="R16" s="139">
        <f t="shared" si="9"/>
        <v>0</v>
      </c>
      <c r="S16" s="139">
        <f t="shared" si="10"/>
        <v>0</v>
      </c>
      <c r="T16" s="139">
        <f t="shared" si="11"/>
        <v>0</v>
      </c>
      <c r="U16" s="139">
        <f t="shared" si="12"/>
        <v>0</v>
      </c>
      <c r="V16" s="139">
        <f t="shared" si="13"/>
        <v>0</v>
      </c>
      <c r="W16" s="139">
        <f t="shared" si="14"/>
        <v>0</v>
      </c>
      <c r="X16" s="139">
        <f t="shared" si="15"/>
        <v>0</v>
      </c>
      <c r="Y16" s="139">
        <f t="shared" si="16"/>
        <v>0</v>
      </c>
      <c r="Z16" s="139">
        <f t="shared" si="17"/>
        <v>0</v>
      </c>
      <c r="AA16" s="139">
        <f t="shared" si="18"/>
        <v>0</v>
      </c>
      <c r="AB16" s="139">
        <f t="shared" si="19"/>
        <v>0</v>
      </c>
      <c r="AC16" s="139">
        <f t="shared" si="20"/>
        <v>0</v>
      </c>
      <c r="AD16" s="139">
        <f t="shared" si="21"/>
        <v>0</v>
      </c>
      <c r="AE16" s="139">
        <f t="shared" si="22"/>
        <v>0</v>
      </c>
      <c r="AF16" s="139">
        <f t="shared" si="23"/>
        <v>0</v>
      </c>
      <c r="AG16" s="139">
        <f t="shared" si="24"/>
        <v>0</v>
      </c>
      <c r="AH16" s="139">
        <f t="shared" si="25"/>
        <v>0</v>
      </c>
      <c r="AI16" s="139">
        <f t="shared" si="26"/>
        <v>0</v>
      </c>
      <c r="AJ16" s="139">
        <f t="shared" si="27"/>
        <v>0</v>
      </c>
      <c r="AK16" s="139">
        <f t="shared" si="28"/>
        <v>0</v>
      </c>
      <c r="AL16" s="139">
        <f t="shared" si="29"/>
        <v>0</v>
      </c>
      <c r="AM16" s="139">
        <f t="shared" si="30"/>
        <v>0</v>
      </c>
      <c r="AN16" s="139">
        <f t="shared" si="31"/>
        <v>0</v>
      </c>
      <c r="AO16" s="139">
        <f t="shared" si="32"/>
        <v>0</v>
      </c>
      <c r="AP16" s="139">
        <f t="shared" si="33"/>
        <v>0</v>
      </c>
      <c r="AQ16" s="139">
        <f t="shared" si="34"/>
        <v>0</v>
      </c>
      <c r="AR16" s="139">
        <f t="shared" si="35"/>
        <v>0</v>
      </c>
      <c r="AS16" s="139">
        <f t="shared" si="36"/>
        <v>0</v>
      </c>
      <c r="AT16" s="139">
        <f t="shared" si="37"/>
        <v>0</v>
      </c>
      <c r="AU16" s="139">
        <f t="shared" si="38"/>
        <v>0</v>
      </c>
      <c r="AV16" s="139">
        <f t="shared" si="39"/>
        <v>0</v>
      </c>
      <c r="AW16" s="139">
        <f t="shared" si="40"/>
        <v>0</v>
      </c>
      <c r="AX16" s="139">
        <f t="shared" si="41"/>
        <v>0</v>
      </c>
      <c r="AY16" s="139">
        <f t="shared" si="42"/>
        <v>0</v>
      </c>
      <c r="AZ16" s="139">
        <f t="shared" si="43"/>
        <v>0</v>
      </c>
      <c r="BA16" s="139">
        <f t="shared" si="44"/>
        <v>0</v>
      </c>
      <c r="BB16" s="139">
        <f t="shared" si="45"/>
        <v>1</v>
      </c>
      <c r="BC16" s="139">
        <f t="shared" si="46"/>
        <v>1</v>
      </c>
      <c r="BD16" s="139">
        <f t="shared" si="47"/>
        <v>1</v>
      </c>
      <c r="BE16" s="139">
        <f t="shared" si="48"/>
        <v>1</v>
      </c>
      <c r="BF16" s="139">
        <f t="shared" si="49"/>
        <v>1</v>
      </c>
      <c r="BG16" s="139">
        <f t="shared" si="50"/>
        <v>1</v>
      </c>
      <c r="BH16" s="139">
        <f t="shared" si="51"/>
        <v>1</v>
      </c>
      <c r="BI16" s="139">
        <f t="shared" si="52"/>
        <v>1</v>
      </c>
      <c r="BJ16" s="139">
        <f t="shared" si="53"/>
        <v>1</v>
      </c>
      <c r="BK16" s="139">
        <f t="shared" si="54"/>
        <v>1</v>
      </c>
      <c r="BL16" s="139">
        <f t="shared" si="55"/>
        <v>1</v>
      </c>
      <c r="BM16" s="139">
        <f t="shared" si="56"/>
        <v>1</v>
      </c>
      <c r="BN16" s="139">
        <f t="shared" si="57"/>
        <v>1</v>
      </c>
      <c r="BO16" s="139">
        <f t="shared" si="58"/>
        <v>1</v>
      </c>
      <c r="BP16" s="139">
        <f t="shared" si="59"/>
        <v>1</v>
      </c>
      <c r="BQ16" s="139">
        <f t="shared" si="60"/>
        <v>1</v>
      </c>
      <c r="BR16" s="139">
        <f t="shared" si="61"/>
        <v>1</v>
      </c>
      <c r="BS16" s="139">
        <f t="shared" si="62"/>
        <v>1</v>
      </c>
    </row>
    <row r="17" spans="2:71" ht="13.8" thickBot="1">
      <c r="C17" s="224"/>
      <c r="D17" s="224"/>
      <c r="E17" s="224"/>
      <c r="F17" s="224"/>
      <c r="G17" s="224"/>
      <c r="H17" s="224"/>
      <c r="I17" s="224"/>
      <c r="J17" s="224"/>
      <c r="K17" s="224"/>
      <c r="L17" s="224"/>
      <c r="M17" s="224"/>
      <c r="N17" s="224"/>
      <c r="O17" s="224"/>
      <c r="P17" s="224"/>
      <c r="Q17" s="224"/>
      <c r="R17" s="224"/>
      <c r="S17" s="224"/>
      <c r="T17" s="224"/>
      <c r="U17" s="224"/>
      <c r="V17" s="224"/>
      <c r="W17" s="224"/>
      <c r="X17" s="224"/>
      <c r="Y17" s="224"/>
      <c r="Z17" s="224"/>
      <c r="AA17" s="224"/>
      <c r="AB17" s="224"/>
      <c r="AC17" s="224"/>
      <c r="AD17" s="224"/>
      <c r="AE17" s="224"/>
      <c r="AF17" s="224"/>
      <c r="AG17" s="224"/>
      <c r="AH17" s="224"/>
      <c r="AI17" s="224"/>
      <c r="AJ17" s="224"/>
      <c r="AK17" s="224"/>
      <c r="AL17" s="224"/>
      <c r="AM17" s="224"/>
      <c r="AN17" s="224"/>
      <c r="AO17" s="224"/>
      <c r="AP17" s="224"/>
      <c r="AQ17" s="224"/>
      <c r="AR17" s="224"/>
      <c r="AS17" s="224"/>
      <c r="AT17" s="224"/>
      <c r="AU17" s="224"/>
      <c r="AV17" s="224"/>
      <c r="AW17" s="224"/>
      <c r="AX17" s="224"/>
      <c r="AY17" s="224"/>
      <c r="AZ17" s="224"/>
      <c r="BA17" s="224"/>
      <c r="BB17" s="224"/>
      <c r="BC17" s="224"/>
      <c r="BD17" s="224"/>
      <c r="BE17" s="224"/>
      <c r="BF17" s="224"/>
      <c r="BG17" s="224"/>
      <c r="BH17" s="224"/>
      <c r="BI17" s="224"/>
      <c r="BJ17" s="224"/>
      <c r="BK17" s="224"/>
      <c r="BL17" s="224"/>
      <c r="BM17" s="224"/>
      <c r="BN17" s="224"/>
      <c r="BO17" s="224"/>
      <c r="BP17" s="224"/>
      <c r="BQ17" s="224"/>
      <c r="BR17" s="224"/>
      <c r="BS17" s="224"/>
    </row>
    <row r="18" spans="2:71"/>
    <row r="19" spans="2:71"/>
    <row r="20" spans="2:71">
      <c r="B20" s="155" t="s">
        <v>622</v>
      </c>
    </row>
    <row r="21" spans="2:71" ht="13.8" thickBot="1">
      <c r="C21" s="224"/>
      <c r="D21" s="412" t="s">
        <v>141</v>
      </c>
      <c r="E21" s="224"/>
      <c r="F21" s="224"/>
      <c r="G21" s="224"/>
      <c r="H21" s="224"/>
      <c r="I21" s="224"/>
      <c r="J21" s="224"/>
      <c r="K21" s="224"/>
      <c r="L21" s="224"/>
      <c r="M21" s="224"/>
      <c r="N21" s="224"/>
      <c r="O21" s="224"/>
      <c r="P21" s="224"/>
      <c r="Q21" s="224"/>
      <c r="R21" s="224"/>
      <c r="S21" s="224"/>
      <c r="T21" s="224"/>
      <c r="U21" s="224"/>
      <c r="V21" s="224"/>
      <c r="W21" s="224"/>
      <c r="X21" s="224"/>
      <c r="Y21" s="224"/>
      <c r="Z21" s="224"/>
      <c r="AA21" s="224"/>
      <c r="AB21" s="224"/>
      <c r="AC21" s="224"/>
      <c r="AD21" s="224"/>
      <c r="AE21" s="224"/>
      <c r="AF21" s="224"/>
      <c r="AG21" s="224"/>
      <c r="AH21" s="224"/>
      <c r="AI21" s="224"/>
      <c r="AJ21" s="224"/>
      <c r="AK21" s="224"/>
      <c r="AL21" s="224"/>
      <c r="AM21" s="224"/>
      <c r="AN21" s="224"/>
      <c r="AO21" s="224"/>
      <c r="AP21" s="224"/>
      <c r="AQ21" s="224"/>
      <c r="AR21" s="224"/>
      <c r="AS21" s="224"/>
      <c r="AT21" s="224"/>
      <c r="AU21" s="224"/>
      <c r="AV21" s="224"/>
      <c r="AW21" s="224"/>
      <c r="AX21" s="224"/>
      <c r="AY21" s="224"/>
      <c r="AZ21" s="224"/>
      <c r="BA21" s="224"/>
      <c r="BB21" s="224"/>
      <c r="BC21" s="224"/>
      <c r="BD21" s="224"/>
      <c r="BE21" s="224"/>
      <c r="BF21" s="224"/>
      <c r="BG21" s="224"/>
      <c r="BH21" s="224"/>
      <c r="BI21" s="224"/>
      <c r="BJ21" s="224"/>
      <c r="BK21" s="224"/>
      <c r="BL21" s="224"/>
      <c r="BM21" s="224"/>
      <c r="BN21" s="224"/>
      <c r="BO21" s="224"/>
      <c r="BP21" s="224"/>
      <c r="BQ21" s="224"/>
      <c r="BR21" s="224"/>
      <c r="BS21" s="224"/>
    </row>
    <row r="22" spans="2:71">
      <c r="D22" s="139">
        <v>737</v>
      </c>
      <c r="L22" s="139">
        <f>SUMIFS(L$30:L$40,$D$30:$D$40,$D22)</f>
        <v>0</v>
      </c>
      <c r="M22" s="139">
        <f t="shared" ref="M22:BS24" si="63">SUMIFS(M$30:M$40,$D$30:$D$40,$D22)</f>
        <v>0</v>
      </c>
      <c r="N22" s="139">
        <f t="shared" si="63"/>
        <v>0</v>
      </c>
      <c r="O22" s="139">
        <f t="shared" si="63"/>
        <v>0</v>
      </c>
      <c r="P22" s="139">
        <f t="shared" si="63"/>
        <v>0</v>
      </c>
      <c r="Q22" s="139">
        <f t="shared" si="63"/>
        <v>0</v>
      </c>
      <c r="R22" s="139">
        <f t="shared" si="63"/>
        <v>3</v>
      </c>
      <c r="S22" s="139">
        <f t="shared" si="63"/>
        <v>0</v>
      </c>
      <c r="T22" s="139">
        <f t="shared" si="63"/>
        <v>0</v>
      </c>
      <c r="U22" s="139">
        <f t="shared" si="63"/>
        <v>0</v>
      </c>
      <c r="V22" s="139">
        <f t="shared" si="63"/>
        <v>0</v>
      </c>
      <c r="W22" s="139">
        <f t="shared" si="63"/>
        <v>0</v>
      </c>
      <c r="X22" s="139">
        <f t="shared" si="63"/>
        <v>1</v>
      </c>
      <c r="Y22" s="139">
        <f t="shared" si="63"/>
        <v>0</v>
      </c>
      <c r="Z22" s="139">
        <f t="shared" si="63"/>
        <v>0</v>
      </c>
      <c r="AA22" s="139">
        <f t="shared" si="63"/>
        <v>0</v>
      </c>
      <c r="AB22" s="139">
        <f t="shared" si="63"/>
        <v>0</v>
      </c>
      <c r="AC22" s="139">
        <f t="shared" si="63"/>
        <v>0</v>
      </c>
      <c r="AD22" s="139">
        <f t="shared" si="63"/>
        <v>0</v>
      </c>
      <c r="AE22" s="139">
        <f t="shared" si="63"/>
        <v>0</v>
      </c>
      <c r="AF22" s="139">
        <f t="shared" si="63"/>
        <v>0</v>
      </c>
      <c r="AG22" s="139">
        <f t="shared" si="63"/>
        <v>0</v>
      </c>
      <c r="AH22" s="139">
        <f t="shared" si="63"/>
        <v>0</v>
      </c>
      <c r="AI22" s="139">
        <f t="shared" si="63"/>
        <v>0</v>
      </c>
      <c r="AJ22" s="139">
        <f t="shared" si="63"/>
        <v>1</v>
      </c>
      <c r="AK22" s="139">
        <f t="shared" si="63"/>
        <v>0</v>
      </c>
      <c r="AL22" s="139">
        <f t="shared" si="63"/>
        <v>0</v>
      </c>
      <c r="AM22" s="139">
        <f t="shared" si="63"/>
        <v>0</v>
      </c>
      <c r="AN22" s="139">
        <f t="shared" si="63"/>
        <v>0</v>
      </c>
      <c r="AO22" s="139">
        <f t="shared" si="63"/>
        <v>0</v>
      </c>
      <c r="AP22" s="139">
        <f t="shared" si="63"/>
        <v>0</v>
      </c>
      <c r="AQ22" s="139">
        <f t="shared" si="63"/>
        <v>0</v>
      </c>
      <c r="AR22" s="139">
        <f t="shared" si="63"/>
        <v>0</v>
      </c>
      <c r="AS22" s="139">
        <f t="shared" si="63"/>
        <v>0</v>
      </c>
      <c r="AT22" s="139">
        <f t="shared" si="63"/>
        <v>0</v>
      </c>
      <c r="AU22" s="139">
        <f t="shared" si="63"/>
        <v>0</v>
      </c>
      <c r="AV22" s="139">
        <f t="shared" si="63"/>
        <v>0</v>
      </c>
      <c r="AW22" s="139">
        <f t="shared" si="63"/>
        <v>0</v>
      </c>
      <c r="AX22" s="139">
        <f t="shared" si="63"/>
        <v>0</v>
      </c>
      <c r="AY22" s="139">
        <f t="shared" si="63"/>
        <v>0</v>
      </c>
      <c r="AZ22" s="139">
        <f t="shared" si="63"/>
        <v>0</v>
      </c>
      <c r="BA22" s="139">
        <f t="shared" si="63"/>
        <v>0</v>
      </c>
      <c r="BB22" s="139">
        <f t="shared" si="63"/>
        <v>0</v>
      </c>
      <c r="BC22" s="139">
        <f t="shared" si="63"/>
        <v>0</v>
      </c>
      <c r="BD22" s="139">
        <f t="shared" si="63"/>
        <v>0</v>
      </c>
      <c r="BE22" s="139">
        <f t="shared" si="63"/>
        <v>0</v>
      </c>
      <c r="BF22" s="139">
        <f t="shared" si="63"/>
        <v>0</v>
      </c>
      <c r="BG22" s="139">
        <f t="shared" si="63"/>
        <v>0</v>
      </c>
      <c r="BH22" s="139">
        <f t="shared" si="63"/>
        <v>0</v>
      </c>
      <c r="BI22" s="139">
        <f t="shared" si="63"/>
        <v>0</v>
      </c>
      <c r="BJ22" s="139">
        <f t="shared" si="63"/>
        <v>0</v>
      </c>
      <c r="BK22" s="139">
        <f t="shared" si="63"/>
        <v>0</v>
      </c>
      <c r="BL22" s="139">
        <f t="shared" si="63"/>
        <v>0</v>
      </c>
      <c r="BM22" s="139">
        <f t="shared" si="63"/>
        <v>0</v>
      </c>
      <c r="BN22" s="139">
        <f t="shared" si="63"/>
        <v>0</v>
      </c>
      <c r="BO22" s="139">
        <f t="shared" si="63"/>
        <v>0</v>
      </c>
      <c r="BP22" s="139">
        <f t="shared" si="63"/>
        <v>0</v>
      </c>
      <c r="BQ22" s="139">
        <f t="shared" si="63"/>
        <v>0</v>
      </c>
      <c r="BR22" s="139">
        <f t="shared" si="63"/>
        <v>0</v>
      </c>
      <c r="BS22" s="139">
        <f t="shared" si="63"/>
        <v>0</v>
      </c>
    </row>
    <row r="23" spans="2:71">
      <c r="D23" s="139">
        <v>767</v>
      </c>
      <c r="L23" s="139">
        <f>SUMIFS(L$30:L$40,$D$30:$D$40,$D23)</f>
        <v>0</v>
      </c>
      <c r="M23" s="139">
        <f t="shared" si="63"/>
        <v>0</v>
      </c>
      <c r="N23" s="139">
        <f t="shared" si="63"/>
        <v>0</v>
      </c>
      <c r="O23" s="139">
        <f t="shared" si="63"/>
        <v>0</v>
      </c>
      <c r="P23" s="139">
        <f t="shared" si="63"/>
        <v>0</v>
      </c>
      <c r="Q23" s="139">
        <f t="shared" si="63"/>
        <v>0</v>
      </c>
      <c r="R23" s="139">
        <f t="shared" si="63"/>
        <v>1</v>
      </c>
      <c r="S23" s="139">
        <f t="shared" si="63"/>
        <v>0</v>
      </c>
      <c r="T23" s="139">
        <f t="shared" si="63"/>
        <v>0</v>
      </c>
      <c r="U23" s="139">
        <f t="shared" si="63"/>
        <v>0</v>
      </c>
      <c r="V23" s="139">
        <f t="shared" si="63"/>
        <v>0</v>
      </c>
      <c r="W23" s="139">
        <f t="shared" si="63"/>
        <v>0</v>
      </c>
      <c r="X23" s="139">
        <f t="shared" si="63"/>
        <v>0</v>
      </c>
      <c r="Y23" s="139">
        <f t="shared" si="63"/>
        <v>0</v>
      </c>
      <c r="Z23" s="139">
        <f t="shared" si="63"/>
        <v>0</v>
      </c>
      <c r="AA23" s="139">
        <f t="shared" si="63"/>
        <v>0</v>
      </c>
      <c r="AB23" s="139">
        <f t="shared" si="63"/>
        <v>0</v>
      </c>
      <c r="AC23" s="139">
        <f t="shared" si="63"/>
        <v>0</v>
      </c>
      <c r="AD23" s="139">
        <f t="shared" si="63"/>
        <v>1</v>
      </c>
      <c r="AE23" s="139">
        <f t="shared" si="63"/>
        <v>0</v>
      </c>
      <c r="AF23" s="139">
        <f t="shared" si="63"/>
        <v>0</v>
      </c>
      <c r="AG23" s="139">
        <f t="shared" si="63"/>
        <v>0</v>
      </c>
      <c r="AH23" s="139">
        <f t="shared" si="63"/>
        <v>0</v>
      </c>
      <c r="AI23" s="139">
        <f t="shared" si="63"/>
        <v>0</v>
      </c>
      <c r="AJ23" s="139">
        <f t="shared" si="63"/>
        <v>0</v>
      </c>
      <c r="AK23" s="139">
        <f t="shared" si="63"/>
        <v>0</v>
      </c>
      <c r="AL23" s="139">
        <f t="shared" si="63"/>
        <v>0</v>
      </c>
      <c r="AM23" s="139">
        <f t="shared" si="63"/>
        <v>0</v>
      </c>
      <c r="AN23" s="139">
        <f t="shared" si="63"/>
        <v>0</v>
      </c>
      <c r="AO23" s="139">
        <f t="shared" si="63"/>
        <v>0</v>
      </c>
      <c r="AP23" s="139">
        <f t="shared" si="63"/>
        <v>1</v>
      </c>
      <c r="AQ23" s="139">
        <f t="shared" si="63"/>
        <v>0</v>
      </c>
      <c r="AR23" s="139">
        <f t="shared" si="63"/>
        <v>0</v>
      </c>
      <c r="AS23" s="139">
        <f t="shared" si="63"/>
        <v>0</v>
      </c>
      <c r="AT23" s="139">
        <f t="shared" si="63"/>
        <v>0</v>
      </c>
      <c r="AU23" s="139">
        <f t="shared" si="63"/>
        <v>0</v>
      </c>
      <c r="AV23" s="139">
        <f t="shared" si="63"/>
        <v>1</v>
      </c>
      <c r="AW23" s="139">
        <f t="shared" si="63"/>
        <v>0</v>
      </c>
      <c r="AX23" s="139">
        <f t="shared" si="63"/>
        <v>0</v>
      </c>
      <c r="AY23" s="139">
        <f t="shared" si="63"/>
        <v>0</v>
      </c>
      <c r="AZ23" s="139">
        <f t="shared" si="63"/>
        <v>0</v>
      </c>
      <c r="BA23" s="139">
        <f t="shared" si="63"/>
        <v>0</v>
      </c>
      <c r="BB23" s="139">
        <f t="shared" si="63"/>
        <v>1</v>
      </c>
      <c r="BC23" s="139">
        <f t="shared" si="63"/>
        <v>0</v>
      </c>
      <c r="BD23" s="139">
        <f t="shared" si="63"/>
        <v>0</v>
      </c>
      <c r="BE23" s="139">
        <f t="shared" si="63"/>
        <v>0</v>
      </c>
      <c r="BF23" s="139">
        <f t="shared" si="63"/>
        <v>0</v>
      </c>
      <c r="BG23" s="139">
        <f t="shared" si="63"/>
        <v>0</v>
      </c>
      <c r="BH23" s="139">
        <f t="shared" si="63"/>
        <v>0</v>
      </c>
      <c r="BI23" s="139">
        <f t="shared" si="63"/>
        <v>0</v>
      </c>
      <c r="BJ23" s="139">
        <f t="shared" si="63"/>
        <v>0</v>
      </c>
      <c r="BK23" s="139">
        <f t="shared" si="63"/>
        <v>0</v>
      </c>
      <c r="BL23" s="139">
        <f t="shared" si="63"/>
        <v>0</v>
      </c>
      <c r="BM23" s="139">
        <f t="shared" si="63"/>
        <v>0</v>
      </c>
      <c r="BN23" s="139">
        <f t="shared" si="63"/>
        <v>0</v>
      </c>
      <c r="BO23" s="139">
        <f t="shared" si="63"/>
        <v>0</v>
      </c>
      <c r="BP23" s="139">
        <f t="shared" si="63"/>
        <v>0</v>
      </c>
      <c r="BQ23" s="139">
        <f t="shared" si="63"/>
        <v>0</v>
      </c>
      <c r="BR23" s="139">
        <f t="shared" si="63"/>
        <v>0</v>
      </c>
      <c r="BS23" s="139">
        <f t="shared" si="63"/>
        <v>0</v>
      </c>
    </row>
    <row r="24" spans="2:71">
      <c r="D24" s="139">
        <v>777</v>
      </c>
      <c r="L24" s="139">
        <f>SUMIFS(L$30:L$40,$D$30:$D$40,$D24)</f>
        <v>0</v>
      </c>
      <c r="M24" s="139">
        <f t="shared" si="63"/>
        <v>0</v>
      </c>
      <c r="N24" s="139">
        <f t="shared" si="63"/>
        <v>0</v>
      </c>
      <c r="O24" s="139">
        <f t="shared" si="63"/>
        <v>0</v>
      </c>
      <c r="P24" s="139">
        <f t="shared" si="63"/>
        <v>0</v>
      </c>
      <c r="Q24" s="139">
        <f t="shared" si="63"/>
        <v>0</v>
      </c>
      <c r="R24" s="139">
        <f t="shared" si="63"/>
        <v>0</v>
      </c>
      <c r="S24" s="139">
        <f t="shared" si="63"/>
        <v>0</v>
      </c>
      <c r="T24" s="139">
        <f t="shared" si="63"/>
        <v>0</v>
      </c>
      <c r="U24" s="139">
        <f t="shared" si="63"/>
        <v>0</v>
      </c>
      <c r="V24" s="139">
        <f t="shared" si="63"/>
        <v>0</v>
      </c>
      <c r="W24" s="139">
        <f t="shared" si="63"/>
        <v>0</v>
      </c>
      <c r="X24" s="139">
        <f t="shared" si="63"/>
        <v>0</v>
      </c>
      <c r="Y24" s="139">
        <f t="shared" si="63"/>
        <v>0</v>
      </c>
      <c r="Z24" s="139">
        <f t="shared" si="63"/>
        <v>0</v>
      </c>
      <c r="AA24" s="139">
        <f t="shared" si="63"/>
        <v>0</v>
      </c>
      <c r="AB24" s="139">
        <f t="shared" si="63"/>
        <v>0</v>
      </c>
      <c r="AC24" s="139">
        <f t="shared" si="63"/>
        <v>0</v>
      </c>
      <c r="AD24" s="139">
        <f t="shared" si="63"/>
        <v>0</v>
      </c>
      <c r="AE24" s="139">
        <f t="shared" si="63"/>
        <v>0</v>
      </c>
      <c r="AF24" s="139">
        <f t="shared" si="63"/>
        <v>0</v>
      </c>
      <c r="AG24" s="139">
        <f t="shared" si="63"/>
        <v>0</v>
      </c>
      <c r="AH24" s="139">
        <f t="shared" si="63"/>
        <v>0</v>
      </c>
      <c r="AI24" s="139">
        <f t="shared" si="63"/>
        <v>0</v>
      </c>
      <c r="AJ24" s="139">
        <f t="shared" si="63"/>
        <v>0</v>
      </c>
      <c r="AK24" s="139">
        <f t="shared" si="63"/>
        <v>0</v>
      </c>
      <c r="AL24" s="139">
        <f t="shared" si="63"/>
        <v>0</v>
      </c>
      <c r="AM24" s="139">
        <f t="shared" si="63"/>
        <v>0</v>
      </c>
      <c r="AN24" s="139">
        <f t="shared" si="63"/>
        <v>0</v>
      </c>
      <c r="AO24" s="139">
        <f t="shared" si="63"/>
        <v>0</v>
      </c>
      <c r="AP24" s="139">
        <f t="shared" si="63"/>
        <v>0</v>
      </c>
      <c r="AQ24" s="139">
        <f t="shared" si="63"/>
        <v>0</v>
      </c>
      <c r="AR24" s="139">
        <f t="shared" si="63"/>
        <v>0</v>
      </c>
      <c r="AS24" s="139">
        <f t="shared" si="63"/>
        <v>0</v>
      </c>
      <c r="AT24" s="139">
        <f t="shared" si="63"/>
        <v>0</v>
      </c>
      <c r="AU24" s="139">
        <f t="shared" si="63"/>
        <v>0</v>
      </c>
      <c r="AV24" s="139">
        <f t="shared" si="63"/>
        <v>0</v>
      </c>
      <c r="AW24" s="139">
        <f t="shared" si="63"/>
        <v>0</v>
      </c>
      <c r="AX24" s="139">
        <f t="shared" si="63"/>
        <v>0</v>
      </c>
      <c r="AY24" s="139">
        <f t="shared" si="63"/>
        <v>0</v>
      </c>
      <c r="AZ24" s="139">
        <f t="shared" si="63"/>
        <v>0</v>
      </c>
      <c r="BA24" s="139">
        <f t="shared" si="63"/>
        <v>0</v>
      </c>
      <c r="BB24" s="139">
        <f t="shared" si="63"/>
        <v>0</v>
      </c>
      <c r="BC24" s="139">
        <f t="shared" si="63"/>
        <v>0</v>
      </c>
      <c r="BD24" s="139">
        <f t="shared" si="63"/>
        <v>0</v>
      </c>
      <c r="BE24" s="139">
        <f t="shared" si="63"/>
        <v>0</v>
      </c>
      <c r="BF24" s="139">
        <f t="shared" si="63"/>
        <v>0</v>
      </c>
      <c r="BG24" s="139">
        <f t="shared" si="63"/>
        <v>0</v>
      </c>
      <c r="BH24" s="139">
        <f t="shared" si="63"/>
        <v>0</v>
      </c>
      <c r="BI24" s="139">
        <f t="shared" si="63"/>
        <v>0</v>
      </c>
      <c r="BJ24" s="139">
        <f t="shared" si="63"/>
        <v>0</v>
      </c>
      <c r="BK24" s="139">
        <f t="shared" si="63"/>
        <v>0</v>
      </c>
      <c r="BL24" s="139">
        <f t="shared" si="63"/>
        <v>0</v>
      </c>
      <c r="BM24" s="139">
        <f t="shared" si="63"/>
        <v>0</v>
      </c>
      <c r="BN24" s="139">
        <f t="shared" si="63"/>
        <v>0</v>
      </c>
      <c r="BO24" s="139">
        <f t="shared" si="63"/>
        <v>0</v>
      </c>
      <c r="BP24" s="139">
        <f t="shared" si="63"/>
        <v>0</v>
      </c>
      <c r="BQ24" s="139">
        <f t="shared" si="63"/>
        <v>0</v>
      </c>
      <c r="BR24" s="139">
        <f t="shared" si="63"/>
        <v>0</v>
      </c>
      <c r="BS24" s="139">
        <f t="shared" si="63"/>
        <v>0</v>
      </c>
    </row>
    <row r="25" spans="2:71" ht="13.8" thickBot="1">
      <c r="C25" s="224"/>
      <c r="D25" s="224"/>
      <c r="E25" s="224"/>
      <c r="F25" s="224"/>
      <c r="G25" s="224"/>
      <c r="H25" s="224"/>
      <c r="I25" s="224"/>
      <c r="J25" s="224"/>
      <c r="K25" s="224"/>
      <c r="L25" s="224"/>
      <c r="M25" s="224"/>
      <c r="N25" s="224"/>
      <c r="O25" s="224"/>
      <c r="P25" s="224"/>
      <c r="Q25" s="224"/>
      <c r="R25" s="224"/>
      <c r="S25" s="224"/>
      <c r="T25" s="224"/>
      <c r="U25" s="224"/>
      <c r="V25" s="224"/>
      <c r="W25" s="224"/>
      <c r="X25" s="224"/>
      <c r="Y25" s="224"/>
      <c r="Z25" s="224"/>
      <c r="AA25" s="224"/>
      <c r="AB25" s="224"/>
      <c r="AC25" s="224"/>
      <c r="AD25" s="224"/>
      <c r="AE25" s="224"/>
      <c r="AF25" s="224"/>
      <c r="AG25" s="224"/>
      <c r="AH25" s="224"/>
      <c r="AI25" s="224"/>
      <c r="AJ25" s="224"/>
      <c r="AK25" s="224"/>
      <c r="AL25" s="224"/>
      <c r="AM25" s="224"/>
      <c r="AN25" s="224"/>
      <c r="AO25" s="224"/>
      <c r="AP25" s="224"/>
      <c r="AQ25" s="224"/>
      <c r="AR25" s="224"/>
      <c r="AS25" s="224"/>
      <c r="AT25" s="224"/>
      <c r="AU25" s="224"/>
      <c r="AV25" s="224"/>
      <c r="AW25" s="224"/>
      <c r="AX25" s="224"/>
      <c r="AY25" s="224"/>
      <c r="AZ25" s="224"/>
      <c r="BA25" s="224"/>
      <c r="BB25" s="224"/>
      <c r="BC25" s="224"/>
      <c r="BD25" s="224"/>
      <c r="BE25" s="224"/>
      <c r="BF25" s="224"/>
      <c r="BG25" s="224"/>
      <c r="BH25" s="224"/>
      <c r="BI25" s="224"/>
      <c r="BJ25" s="224"/>
      <c r="BK25" s="224"/>
      <c r="BL25" s="224"/>
      <c r="BM25" s="224"/>
      <c r="BN25" s="224"/>
      <c r="BO25" s="224"/>
      <c r="BP25" s="224"/>
      <c r="BQ25" s="224"/>
      <c r="BR25" s="224"/>
      <c r="BS25" s="224"/>
    </row>
    <row r="26" spans="2:71"/>
    <row r="27" spans="2:71"/>
    <row r="28" spans="2:71">
      <c r="B28" s="155" t="s">
        <v>621</v>
      </c>
    </row>
    <row r="29" spans="2:71" ht="13.8" thickBot="1">
      <c r="C29" s="154" t="s">
        <v>0</v>
      </c>
      <c r="D29" s="154" t="s">
        <v>141</v>
      </c>
      <c r="E29" s="412" t="s">
        <v>433</v>
      </c>
      <c r="F29" s="224"/>
      <c r="G29" s="224"/>
      <c r="H29" s="224"/>
      <c r="I29" s="224"/>
      <c r="J29" s="224"/>
      <c r="K29" s="224"/>
      <c r="L29" s="224"/>
      <c r="M29" s="224"/>
      <c r="N29" s="224"/>
      <c r="O29" s="224"/>
      <c r="P29" s="224"/>
      <c r="Q29" s="224"/>
      <c r="R29" s="224"/>
      <c r="S29" s="224"/>
      <c r="T29" s="224"/>
      <c r="U29" s="224"/>
      <c r="V29" s="224"/>
      <c r="W29" s="224"/>
      <c r="X29" s="224"/>
      <c r="Y29" s="224"/>
      <c r="Z29" s="224"/>
      <c r="AA29" s="224"/>
      <c r="AB29" s="224"/>
      <c r="AC29" s="224"/>
      <c r="AD29" s="224"/>
      <c r="AE29" s="224"/>
      <c r="AF29" s="224"/>
      <c r="AG29" s="224"/>
      <c r="AH29" s="224"/>
      <c r="AI29" s="224"/>
      <c r="AJ29" s="224"/>
      <c r="AK29" s="224"/>
      <c r="AL29" s="224"/>
      <c r="AM29" s="224"/>
      <c r="AN29" s="224"/>
      <c r="AO29" s="224"/>
      <c r="AP29" s="224"/>
      <c r="AQ29" s="224"/>
      <c r="AR29" s="224"/>
      <c r="AS29" s="224"/>
      <c r="AT29" s="224"/>
      <c r="AU29" s="224"/>
      <c r="AV29" s="224"/>
      <c r="AW29" s="224"/>
      <c r="AX29" s="224"/>
      <c r="AY29" s="224"/>
      <c r="AZ29" s="224"/>
      <c r="BA29" s="224"/>
      <c r="BB29" s="224"/>
      <c r="BC29" s="224"/>
      <c r="BD29" s="224"/>
      <c r="BE29" s="224"/>
      <c r="BF29" s="224"/>
      <c r="BG29" s="224"/>
      <c r="BH29" s="224"/>
      <c r="BI29" s="224"/>
      <c r="BJ29" s="224"/>
      <c r="BK29" s="224"/>
      <c r="BL29" s="224"/>
      <c r="BM29" s="224"/>
      <c r="BN29" s="224"/>
      <c r="BO29" s="224"/>
      <c r="BP29" s="224"/>
      <c r="BQ29" s="224"/>
      <c r="BR29" s="224"/>
      <c r="BS29" s="224"/>
    </row>
    <row r="30" spans="2:71">
      <c r="C30" s="139">
        <f>노선구성!B48</f>
        <v>1</v>
      </c>
      <c r="D30" s="139">
        <f>노선구성!C48</f>
        <v>737</v>
      </c>
      <c r="E30" s="139" t="str">
        <f>노선구성!D48</f>
        <v>M7</v>
      </c>
      <c r="L30" s="139">
        <f>IF($E30=L$4,1,0)</f>
        <v>0</v>
      </c>
      <c r="M30" s="139">
        <f t="shared" ref="M30:BS34" si="64">IF($E30=M$4,1,0)</f>
        <v>0</v>
      </c>
      <c r="N30" s="139">
        <f t="shared" si="64"/>
        <v>0</v>
      </c>
      <c r="O30" s="139">
        <f t="shared" si="64"/>
        <v>0</v>
      </c>
      <c r="P30" s="139">
        <f t="shared" si="64"/>
        <v>0</v>
      </c>
      <c r="Q30" s="139">
        <f t="shared" si="64"/>
        <v>0</v>
      </c>
      <c r="R30" s="139">
        <f t="shared" si="64"/>
        <v>1</v>
      </c>
      <c r="S30" s="139">
        <f t="shared" si="64"/>
        <v>0</v>
      </c>
      <c r="T30" s="139">
        <f t="shared" si="64"/>
        <v>0</v>
      </c>
      <c r="U30" s="139">
        <f t="shared" si="64"/>
        <v>0</v>
      </c>
      <c r="V30" s="139">
        <f t="shared" si="64"/>
        <v>0</v>
      </c>
      <c r="W30" s="139">
        <f t="shared" si="64"/>
        <v>0</v>
      </c>
      <c r="X30" s="139">
        <f t="shared" si="64"/>
        <v>0</v>
      </c>
      <c r="Y30" s="139">
        <f t="shared" si="64"/>
        <v>0</v>
      </c>
      <c r="Z30" s="139">
        <f t="shared" si="64"/>
        <v>0</v>
      </c>
      <c r="AA30" s="139">
        <f t="shared" si="64"/>
        <v>0</v>
      </c>
      <c r="AB30" s="139">
        <f t="shared" si="64"/>
        <v>0</v>
      </c>
      <c r="AC30" s="139">
        <f t="shared" si="64"/>
        <v>0</v>
      </c>
      <c r="AD30" s="139">
        <f t="shared" si="64"/>
        <v>0</v>
      </c>
      <c r="AE30" s="139">
        <f t="shared" si="64"/>
        <v>0</v>
      </c>
      <c r="AF30" s="139">
        <f t="shared" si="64"/>
        <v>0</v>
      </c>
      <c r="AG30" s="139">
        <f t="shared" si="64"/>
        <v>0</v>
      </c>
      <c r="AH30" s="139">
        <f t="shared" si="64"/>
        <v>0</v>
      </c>
      <c r="AI30" s="139">
        <f t="shared" si="64"/>
        <v>0</v>
      </c>
      <c r="AJ30" s="139">
        <f t="shared" si="64"/>
        <v>0</v>
      </c>
      <c r="AK30" s="139">
        <f t="shared" si="64"/>
        <v>0</v>
      </c>
      <c r="AL30" s="139">
        <f t="shared" si="64"/>
        <v>0</v>
      </c>
      <c r="AM30" s="139">
        <f t="shared" si="64"/>
        <v>0</v>
      </c>
      <c r="AN30" s="139">
        <f t="shared" si="64"/>
        <v>0</v>
      </c>
      <c r="AO30" s="139">
        <f t="shared" si="64"/>
        <v>0</v>
      </c>
      <c r="AP30" s="139">
        <f t="shared" si="64"/>
        <v>0</v>
      </c>
      <c r="AQ30" s="139">
        <f t="shared" si="64"/>
        <v>0</v>
      </c>
      <c r="AR30" s="139">
        <f t="shared" si="64"/>
        <v>0</v>
      </c>
      <c r="AS30" s="139">
        <f t="shared" si="64"/>
        <v>0</v>
      </c>
      <c r="AT30" s="139">
        <f t="shared" si="64"/>
        <v>0</v>
      </c>
      <c r="AU30" s="139">
        <f t="shared" si="64"/>
        <v>0</v>
      </c>
      <c r="AV30" s="139">
        <f t="shared" si="64"/>
        <v>0</v>
      </c>
      <c r="AW30" s="139">
        <f t="shared" si="64"/>
        <v>0</v>
      </c>
      <c r="AX30" s="139">
        <f t="shared" si="64"/>
        <v>0</v>
      </c>
      <c r="AY30" s="139">
        <f t="shared" si="64"/>
        <v>0</v>
      </c>
      <c r="AZ30" s="139">
        <f t="shared" si="64"/>
        <v>0</v>
      </c>
      <c r="BA30" s="139">
        <f t="shared" si="64"/>
        <v>0</v>
      </c>
      <c r="BB30" s="139">
        <f t="shared" si="64"/>
        <v>0</v>
      </c>
      <c r="BC30" s="139">
        <f t="shared" si="64"/>
        <v>0</v>
      </c>
      <c r="BD30" s="139">
        <f t="shared" si="64"/>
        <v>0</v>
      </c>
      <c r="BE30" s="139">
        <f t="shared" si="64"/>
        <v>0</v>
      </c>
      <c r="BF30" s="139">
        <f t="shared" si="64"/>
        <v>0</v>
      </c>
      <c r="BG30" s="139">
        <f t="shared" si="64"/>
        <v>0</v>
      </c>
      <c r="BH30" s="139">
        <f t="shared" si="64"/>
        <v>0</v>
      </c>
      <c r="BI30" s="139">
        <f t="shared" si="64"/>
        <v>0</v>
      </c>
      <c r="BJ30" s="139">
        <f t="shared" si="64"/>
        <v>0</v>
      </c>
      <c r="BK30" s="139">
        <f t="shared" si="64"/>
        <v>0</v>
      </c>
      <c r="BL30" s="139">
        <f t="shared" si="64"/>
        <v>0</v>
      </c>
      <c r="BM30" s="139">
        <f t="shared" si="64"/>
        <v>0</v>
      </c>
      <c r="BN30" s="139">
        <f t="shared" si="64"/>
        <v>0</v>
      </c>
      <c r="BO30" s="139">
        <f t="shared" si="64"/>
        <v>0</v>
      </c>
      <c r="BP30" s="139">
        <f t="shared" si="64"/>
        <v>0</v>
      </c>
      <c r="BQ30" s="139">
        <f t="shared" si="64"/>
        <v>0</v>
      </c>
      <c r="BR30" s="139">
        <f t="shared" si="64"/>
        <v>0</v>
      </c>
      <c r="BS30" s="139">
        <f t="shared" si="64"/>
        <v>0</v>
      </c>
    </row>
    <row r="31" spans="2:71">
      <c r="C31" s="139">
        <f>노선구성!B49</f>
        <v>2</v>
      </c>
      <c r="D31" s="139">
        <f>노선구성!C49</f>
        <v>737</v>
      </c>
      <c r="E31" s="139" t="str">
        <f>노선구성!D49</f>
        <v>M7</v>
      </c>
      <c r="L31" s="139">
        <f>IF($E31=L$4,1,0)</f>
        <v>0</v>
      </c>
      <c r="M31" s="139">
        <f t="shared" si="64"/>
        <v>0</v>
      </c>
      <c r="N31" s="139">
        <f t="shared" si="64"/>
        <v>0</v>
      </c>
      <c r="O31" s="139">
        <f t="shared" si="64"/>
        <v>0</v>
      </c>
      <c r="P31" s="139">
        <f t="shared" si="64"/>
        <v>0</v>
      </c>
      <c r="Q31" s="139">
        <f t="shared" si="64"/>
        <v>0</v>
      </c>
      <c r="R31" s="139">
        <f t="shared" si="64"/>
        <v>1</v>
      </c>
      <c r="S31" s="139">
        <f t="shared" si="64"/>
        <v>0</v>
      </c>
      <c r="T31" s="139">
        <f t="shared" si="64"/>
        <v>0</v>
      </c>
      <c r="U31" s="139">
        <f t="shared" si="64"/>
        <v>0</v>
      </c>
      <c r="V31" s="139">
        <f t="shared" si="64"/>
        <v>0</v>
      </c>
      <c r="W31" s="139">
        <f t="shared" si="64"/>
        <v>0</v>
      </c>
      <c r="X31" s="139">
        <f t="shared" si="64"/>
        <v>0</v>
      </c>
      <c r="Y31" s="139">
        <f t="shared" si="64"/>
        <v>0</v>
      </c>
      <c r="Z31" s="139">
        <f t="shared" si="64"/>
        <v>0</v>
      </c>
      <c r="AA31" s="139">
        <f t="shared" si="64"/>
        <v>0</v>
      </c>
      <c r="AB31" s="139">
        <f t="shared" si="64"/>
        <v>0</v>
      </c>
      <c r="AC31" s="139">
        <f t="shared" si="64"/>
        <v>0</v>
      </c>
      <c r="AD31" s="139">
        <f t="shared" si="64"/>
        <v>0</v>
      </c>
      <c r="AE31" s="139">
        <f t="shared" si="64"/>
        <v>0</v>
      </c>
      <c r="AF31" s="139">
        <f t="shared" si="64"/>
        <v>0</v>
      </c>
      <c r="AG31" s="139">
        <f t="shared" si="64"/>
        <v>0</v>
      </c>
      <c r="AH31" s="139">
        <f t="shared" si="64"/>
        <v>0</v>
      </c>
      <c r="AI31" s="139">
        <f t="shared" si="64"/>
        <v>0</v>
      </c>
      <c r="AJ31" s="139">
        <f t="shared" si="64"/>
        <v>0</v>
      </c>
      <c r="AK31" s="139">
        <f t="shared" si="64"/>
        <v>0</v>
      </c>
      <c r="AL31" s="139">
        <f t="shared" si="64"/>
        <v>0</v>
      </c>
      <c r="AM31" s="139">
        <f t="shared" si="64"/>
        <v>0</v>
      </c>
      <c r="AN31" s="139">
        <f t="shared" si="64"/>
        <v>0</v>
      </c>
      <c r="AO31" s="139">
        <f t="shared" si="64"/>
        <v>0</v>
      </c>
      <c r="AP31" s="139">
        <f t="shared" si="64"/>
        <v>0</v>
      </c>
      <c r="AQ31" s="139">
        <f t="shared" si="64"/>
        <v>0</v>
      </c>
      <c r="AR31" s="139">
        <f t="shared" si="64"/>
        <v>0</v>
      </c>
      <c r="AS31" s="139">
        <f t="shared" si="64"/>
        <v>0</v>
      </c>
      <c r="AT31" s="139">
        <f t="shared" si="64"/>
        <v>0</v>
      </c>
      <c r="AU31" s="139">
        <f t="shared" si="64"/>
        <v>0</v>
      </c>
      <c r="AV31" s="139">
        <f t="shared" si="64"/>
        <v>0</v>
      </c>
      <c r="AW31" s="139">
        <f t="shared" si="64"/>
        <v>0</v>
      </c>
      <c r="AX31" s="139">
        <f t="shared" si="64"/>
        <v>0</v>
      </c>
      <c r="AY31" s="139">
        <f t="shared" si="64"/>
        <v>0</v>
      </c>
      <c r="AZ31" s="139">
        <f t="shared" si="64"/>
        <v>0</v>
      </c>
      <c r="BA31" s="139">
        <f t="shared" si="64"/>
        <v>0</v>
      </c>
      <c r="BB31" s="139">
        <f t="shared" si="64"/>
        <v>0</v>
      </c>
      <c r="BC31" s="139">
        <f t="shared" si="64"/>
        <v>0</v>
      </c>
      <c r="BD31" s="139">
        <f t="shared" si="64"/>
        <v>0</v>
      </c>
      <c r="BE31" s="139">
        <f t="shared" si="64"/>
        <v>0</v>
      </c>
      <c r="BF31" s="139">
        <f t="shared" si="64"/>
        <v>0</v>
      </c>
      <c r="BG31" s="139">
        <f t="shared" si="64"/>
        <v>0</v>
      </c>
      <c r="BH31" s="139">
        <f t="shared" si="64"/>
        <v>0</v>
      </c>
      <c r="BI31" s="139">
        <f t="shared" si="64"/>
        <v>0</v>
      </c>
      <c r="BJ31" s="139">
        <f t="shared" si="64"/>
        <v>0</v>
      </c>
      <c r="BK31" s="139">
        <f t="shared" si="64"/>
        <v>0</v>
      </c>
      <c r="BL31" s="139">
        <f t="shared" si="64"/>
        <v>0</v>
      </c>
      <c r="BM31" s="139">
        <f t="shared" si="64"/>
        <v>0</v>
      </c>
      <c r="BN31" s="139">
        <f t="shared" si="64"/>
        <v>0</v>
      </c>
      <c r="BO31" s="139">
        <f t="shared" si="64"/>
        <v>0</v>
      </c>
      <c r="BP31" s="139">
        <f t="shared" si="64"/>
        <v>0</v>
      </c>
      <c r="BQ31" s="139">
        <f t="shared" si="64"/>
        <v>0</v>
      </c>
      <c r="BR31" s="139">
        <f t="shared" si="64"/>
        <v>0</v>
      </c>
      <c r="BS31" s="139">
        <f t="shared" si="64"/>
        <v>0</v>
      </c>
    </row>
    <row r="32" spans="2:71">
      <c r="C32" s="139">
        <f>노선구성!B50</f>
        <v>3</v>
      </c>
      <c r="D32" s="139">
        <f>노선구성!C50</f>
        <v>737</v>
      </c>
      <c r="E32" s="139" t="str">
        <f>노선구성!D50</f>
        <v>M7</v>
      </c>
      <c r="L32" s="139">
        <f>IF($E32=L$4,1,0)</f>
        <v>0</v>
      </c>
      <c r="M32" s="139">
        <f t="shared" si="64"/>
        <v>0</v>
      </c>
      <c r="N32" s="139">
        <f t="shared" si="64"/>
        <v>0</v>
      </c>
      <c r="O32" s="139">
        <f t="shared" si="64"/>
        <v>0</v>
      </c>
      <c r="P32" s="139">
        <f t="shared" si="64"/>
        <v>0</v>
      </c>
      <c r="Q32" s="139">
        <f t="shared" si="64"/>
        <v>0</v>
      </c>
      <c r="R32" s="139">
        <f t="shared" si="64"/>
        <v>1</v>
      </c>
      <c r="S32" s="139">
        <f t="shared" si="64"/>
        <v>0</v>
      </c>
      <c r="T32" s="139">
        <f t="shared" si="64"/>
        <v>0</v>
      </c>
      <c r="U32" s="139">
        <f t="shared" si="64"/>
        <v>0</v>
      </c>
      <c r="V32" s="139">
        <f t="shared" si="64"/>
        <v>0</v>
      </c>
      <c r="W32" s="139">
        <f t="shared" si="64"/>
        <v>0</v>
      </c>
      <c r="X32" s="139">
        <f t="shared" si="64"/>
        <v>0</v>
      </c>
      <c r="Y32" s="139">
        <f t="shared" si="64"/>
        <v>0</v>
      </c>
      <c r="Z32" s="139">
        <f t="shared" si="64"/>
        <v>0</v>
      </c>
      <c r="AA32" s="139">
        <f t="shared" si="64"/>
        <v>0</v>
      </c>
      <c r="AB32" s="139">
        <f t="shared" si="64"/>
        <v>0</v>
      </c>
      <c r="AC32" s="139">
        <f t="shared" si="64"/>
        <v>0</v>
      </c>
      <c r="AD32" s="139">
        <f t="shared" si="64"/>
        <v>0</v>
      </c>
      <c r="AE32" s="139">
        <f t="shared" si="64"/>
        <v>0</v>
      </c>
      <c r="AF32" s="139">
        <f t="shared" si="64"/>
        <v>0</v>
      </c>
      <c r="AG32" s="139">
        <f t="shared" si="64"/>
        <v>0</v>
      </c>
      <c r="AH32" s="139">
        <f t="shared" si="64"/>
        <v>0</v>
      </c>
      <c r="AI32" s="139">
        <f t="shared" si="64"/>
        <v>0</v>
      </c>
      <c r="AJ32" s="139">
        <f t="shared" si="64"/>
        <v>0</v>
      </c>
      <c r="AK32" s="139">
        <f t="shared" si="64"/>
        <v>0</v>
      </c>
      <c r="AL32" s="139">
        <f t="shared" si="64"/>
        <v>0</v>
      </c>
      <c r="AM32" s="139">
        <f t="shared" si="64"/>
        <v>0</v>
      </c>
      <c r="AN32" s="139">
        <f t="shared" si="64"/>
        <v>0</v>
      </c>
      <c r="AO32" s="139">
        <f t="shared" si="64"/>
        <v>0</v>
      </c>
      <c r="AP32" s="139">
        <f t="shared" si="64"/>
        <v>0</v>
      </c>
      <c r="AQ32" s="139">
        <f t="shared" si="64"/>
        <v>0</v>
      </c>
      <c r="AR32" s="139">
        <f t="shared" si="64"/>
        <v>0</v>
      </c>
      <c r="AS32" s="139">
        <f t="shared" si="64"/>
        <v>0</v>
      </c>
      <c r="AT32" s="139">
        <f t="shared" si="64"/>
        <v>0</v>
      </c>
      <c r="AU32" s="139">
        <f t="shared" si="64"/>
        <v>0</v>
      </c>
      <c r="AV32" s="139">
        <f t="shared" si="64"/>
        <v>0</v>
      </c>
      <c r="AW32" s="139">
        <f t="shared" si="64"/>
        <v>0</v>
      </c>
      <c r="AX32" s="139">
        <f t="shared" si="64"/>
        <v>0</v>
      </c>
      <c r="AY32" s="139">
        <f t="shared" si="64"/>
        <v>0</v>
      </c>
      <c r="AZ32" s="139">
        <f t="shared" si="64"/>
        <v>0</v>
      </c>
      <c r="BA32" s="139">
        <f t="shared" si="64"/>
        <v>0</v>
      </c>
      <c r="BB32" s="139">
        <f t="shared" si="64"/>
        <v>0</v>
      </c>
      <c r="BC32" s="139">
        <f t="shared" si="64"/>
        <v>0</v>
      </c>
      <c r="BD32" s="139">
        <f t="shared" si="64"/>
        <v>0</v>
      </c>
      <c r="BE32" s="139">
        <f t="shared" si="64"/>
        <v>0</v>
      </c>
      <c r="BF32" s="139">
        <f t="shared" si="64"/>
        <v>0</v>
      </c>
      <c r="BG32" s="139">
        <f t="shared" si="64"/>
        <v>0</v>
      </c>
      <c r="BH32" s="139">
        <f t="shared" si="64"/>
        <v>0</v>
      </c>
      <c r="BI32" s="139">
        <f t="shared" si="64"/>
        <v>0</v>
      </c>
      <c r="BJ32" s="139">
        <f t="shared" si="64"/>
        <v>0</v>
      </c>
      <c r="BK32" s="139">
        <f t="shared" si="64"/>
        <v>0</v>
      </c>
      <c r="BL32" s="139">
        <f t="shared" si="64"/>
        <v>0</v>
      </c>
      <c r="BM32" s="139">
        <f t="shared" si="64"/>
        <v>0</v>
      </c>
      <c r="BN32" s="139">
        <f t="shared" si="64"/>
        <v>0</v>
      </c>
      <c r="BO32" s="139">
        <f t="shared" si="64"/>
        <v>0</v>
      </c>
      <c r="BP32" s="139">
        <f t="shared" si="64"/>
        <v>0</v>
      </c>
      <c r="BQ32" s="139">
        <f t="shared" si="64"/>
        <v>0</v>
      </c>
      <c r="BR32" s="139">
        <f t="shared" si="64"/>
        <v>0</v>
      </c>
      <c r="BS32" s="139">
        <f t="shared" si="64"/>
        <v>0</v>
      </c>
    </row>
    <row r="33" spans="3:71">
      <c r="C33" s="139">
        <f>노선구성!B51</f>
        <v>4</v>
      </c>
      <c r="D33" s="139">
        <f>노선구성!C51</f>
        <v>767</v>
      </c>
      <c r="E33" s="139" t="str">
        <f>노선구성!D51</f>
        <v>M7</v>
      </c>
      <c r="L33" s="139">
        <f>IF($E33=L$4,1,0)</f>
        <v>0</v>
      </c>
      <c r="M33" s="139">
        <f t="shared" si="64"/>
        <v>0</v>
      </c>
      <c r="N33" s="139">
        <f t="shared" si="64"/>
        <v>0</v>
      </c>
      <c r="O33" s="139">
        <f t="shared" si="64"/>
        <v>0</v>
      </c>
      <c r="P33" s="139">
        <f t="shared" si="64"/>
        <v>0</v>
      </c>
      <c r="Q33" s="139">
        <f t="shared" si="64"/>
        <v>0</v>
      </c>
      <c r="R33" s="139">
        <f t="shared" si="64"/>
        <v>1</v>
      </c>
      <c r="S33" s="139">
        <f t="shared" si="64"/>
        <v>0</v>
      </c>
      <c r="T33" s="139">
        <f t="shared" si="64"/>
        <v>0</v>
      </c>
      <c r="U33" s="139">
        <f t="shared" si="64"/>
        <v>0</v>
      </c>
      <c r="V33" s="139">
        <f t="shared" si="64"/>
        <v>0</v>
      </c>
      <c r="W33" s="139">
        <f t="shared" si="64"/>
        <v>0</v>
      </c>
      <c r="X33" s="139">
        <f t="shared" si="64"/>
        <v>0</v>
      </c>
      <c r="Y33" s="139">
        <f t="shared" si="64"/>
        <v>0</v>
      </c>
      <c r="Z33" s="139">
        <f t="shared" si="64"/>
        <v>0</v>
      </c>
      <c r="AA33" s="139">
        <f t="shared" si="64"/>
        <v>0</v>
      </c>
      <c r="AB33" s="139">
        <f t="shared" si="64"/>
        <v>0</v>
      </c>
      <c r="AC33" s="139">
        <f t="shared" si="64"/>
        <v>0</v>
      </c>
      <c r="AD33" s="139">
        <f t="shared" si="64"/>
        <v>0</v>
      </c>
      <c r="AE33" s="139">
        <f t="shared" si="64"/>
        <v>0</v>
      </c>
      <c r="AF33" s="139">
        <f t="shared" si="64"/>
        <v>0</v>
      </c>
      <c r="AG33" s="139">
        <f t="shared" si="64"/>
        <v>0</v>
      </c>
      <c r="AH33" s="139">
        <f t="shared" si="64"/>
        <v>0</v>
      </c>
      <c r="AI33" s="139">
        <f t="shared" si="64"/>
        <v>0</v>
      </c>
      <c r="AJ33" s="139">
        <f t="shared" si="64"/>
        <v>0</v>
      </c>
      <c r="AK33" s="139">
        <f t="shared" si="64"/>
        <v>0</v>
      </c>
      <c r="AL33" s="139">
        <f t="shared" si="64"/>
        <v>0</v>
      </c>
      <c r="AM33" s="139">
        <f t="shared" si="64"/>
        <v>0</v>
      </c>
      <c r="AN33" s="139">
        <f t="shared" si="64"/>
        <v>0</v>
      </c>
      <c r="AO33" s="139">
        <f t="shared" si="64"/>
        <v>0</v>
      </c>
      <c r="AP33" s="139">
        <f t="shared" si="64"/>
        <v>0</v>
      </c>
      <c r="AQ33" s="139">
        <f t="shared" si="64"/>
        <v>0</v>
      </c>
      <c r="AR33" s="139">
        <f t="shared" si="64"/>
        <v>0</v>
      </c>
      <c r="AS33" s="139">
        <f t="shared" si="64"/>
        <v>0</v>
      </c>
      <c r="AT33" s="139">
        <f t="shared" si="64"/>
        <v>0</v>
      </c>
      <c r="AU33" s="139">
        <f t="shared" si="64"/>
        <v>0</v>
      </c>
      <c r="AV33" s="139">
        <f t="shared" si="64"/>
        <v>0</v>
      </c>
      <c r="AW33" s="139">
        <f t="shared" si="64"/>
        <v>0</v>
      </c>
      <c r="AX33" s="139">
        <f t="shared" si="64"/>
        <v>0</v>
      </c>
      <c r="AY33" s="139">
        <f t="shared" si="64"/>
        <v>0</v>
      </c>
      <c r="AZ33" s="139">
        <f t="shared" si="64"/>
        <v>0</v>
      </c>
      <c r="BA33" s="139">
        <f t="shared" si="64"/>
        <v>0</v>
      </c>
      <c r="BB33" s="139">
        <f t="shared" si="64"/>
        <v>0</v>
      </c>
      <c r="BC33" s="139">
        <f t="shared" si="64"/>
        <v>0</v>
      </c>
      <c r="BD33" s="139">
        <f t="shared" si="64"/>
        <v>0</v>
      </c>
      <c r="BE33" s="139">
        <f t="shared" si="64"/>
        <v>0</v>
      </c>
      <c r="BF33" s="139">
        <f t="shared" si="64"/>
        <v>0</v>
      </c>
      <c r="BG33" s="139">
        <f t="shared" si="64"/>
        <v>0</v>
      </c>
      <c r="BH33" s="139">
        <f t="shared" si="64"/>
        <v>0</v>
      </c>
      <c r="BI33" s="139">
        <f t="shared" si="64"/>
        <v>0</v>
      </c>
      <c r="BJ33" s="139">
        <f t="shared" si="64"/>
        <v>0</v>
      </c>
      <c r="BK33" s="139">
        <f t="shared" si="64"/>
        <v>0</v>
      </c>
      <c r="BL33" s="139">
        <f t="shared" si="64"/>
        <v>0</v>
      </c>
      <c r="BM33" s="139">
        <f t="shared" si="64"/>
        <v>0</v>
      </c>
      <c r="BN33" s="139">
        <f t="shared" si="64"/>
        <v>0</v>
      </c>
      <c r="BO33" s="139">
        <f t="shared" si="64"/>
        <v>0</v>
      </c>
      <c r="BP33" s="139">
        <f t="shared" si="64"/>
        <v>0</v>
      </c>
      <c r="BQ33" s="139">
        <f t="shared" si="64"/>
        <v>0</v>
      </c>
      <c r="BR33" s="139">
        <f t="shared" si="64"/>
        <v>0</v>
      </c>
      <c r="BS33" s="139">
        <f t="shared" si="64"/>
        <v>0</v>
      </c>
    </row>
    <row r="34" spans="3:71">
      <c r="C34" s="139">
        <f>노선구성!B52</f>
        <v>5</v>
      </c>
      <c r="D34" s="139">
        <f>노선구성!C52</f>
        <v>737</v>
      </c>
      <c r="E34" s="139" t="str">
        <f>노선구성!D52</f>
        <v>M13</v>
      </c>
      <c r="L34" s="139">
        <f t="shared" ref="L34:AA39" si="65">IF($E34=L$4,1,0)</f>
        <v>0</v>
      </c>
      <c r="M34" s="139">
        <f t="shared" si="64"/>
        <v>0</v>
      </c>
      <c r="N34" s="139">
        <f t="shared" si="64"/>
        <v>0</v>
      </c>
      <c r="O34" s="139">
        <f t="shared" si="64"/>
        <v>0</v>
      </c>
      <c r="P34" s="139">
        <f t="shared" si="64"/>
        <v>0</v>
      </c>
      <c r="Q34" s="139">
        <f t="shared" si="64"/>
        <v>0</v>
      </c>
      <c r="R34" s="139">
        <f t="shared" si="64"/>
        <v>0</v>
      </c>
      <c r="S34" s="139">
        <f t="shared" si="64"/>
        <v>0</v>
      </c>
      <c r="T34" s="139">
        <f t="shared" si="64"/>
        <v>0</v>
      </c>
      <c r="U34" s="139">
        <f t="shared" si="64"/>
        <v>0</v>
      </c>
      <c r="V34" s="139">
        <f t="shared" si="64"/>
        <v>0</v>
      </c>
      <c r="W34" s="139">
        <f t="shared" si="64"/>
        <v>0</v>
      </c>
      <c r="X34" s="139">
        <f t="shared" si="64"/>
        <v>1</v>
      </c>
      <c r="Y34" s="139">
        <f t="shared" si="64"/>
        <v>0</v>
      </c>
      <c r="Z34" s="139">
        <f t="shared" si="64"/>
        <v>0</v>
      </c>
      <c r="AA34" s="139">
        <f t="shared" si="64"/>
        <v>0</v>
      </c>
      <c r="AB34" s="139">
        <f t="shared" si="64"/>
        <v>0</v>
      </c>
      <c r="AC34" s="139">
        <f t="shared" si="64"/>
        <v>0</v>
      </c>
      <c r="AD34" s="139">
        <f t="shared" si="64"/>
        <v>0</v>
      </c>
      <c r="AE34" s="139">
        <f t="shared" ref="AE34:AT34" si="66">IF($E34=AE$4,1,0)</f>
        <v>0</v>
      </c>
      <c r="AF34" s="139">
        <f t="shared" si="66"/>
        <v>0</v>
      </c>
      <c r="AG34" s="139">
        <f t="shared" si="66"/>
        <v>0</v>
      </c>
      <c r="AH34" s="139">
        <f t="shared" si="66"/>
        <v>0</v>
      </c>
      <c r="AI34" s="139">
        <f t="shared" si="66"/>
        <v>0</v>
      </c>
      <c r="AJ34" s="139">
        <f t="shared" si="66"/>
        <v>0</v>
      </c>
      <c r="AK34" s="139">
        <f t="shared" si="66"/>
        <v>0</v>
      </c>
      <c r="AL34" s="139">
        <f t="shared" si="66"/>
        <v>0</v>
      </c>
      <c r="AM34" s="139">
        <f t="shared" si="66"/>
        <v>0</v>
      </c>
      <c r="AN34" s="139">
        <f t="shared" si="66"/>
        <v>0</v>
      </c>
      <c r="AO34" s="139">
        <f t="shared" si="66"/>
        <v>0</v>
      </c>
      <c r="AP34" s="139">
        <f t="shared" si="66"/>
        <v>0</v>
      </c>
      <c r="AQ34" s="139">
        <f t="shared" si="66"/>
        <v>0</v>
      </c>
      <c r="AR34" s="139">
        <f t="shared" si="66"/>
        <v>0</v>
      </c>
      <c r="AS34" s="139">
        <f t="shared" si="66"/>
        <v>0</v>
      </c>
      <c r="AT34" s="139">
        <f t="shared" si="66"/>
        <v>0</v>
      </c>
      <c r="AU34" s="139">
        <f t="shared" ref="AU34:BJ39" si="67">IF($E34=AU$4,1,0)</f>
        <v>0</v>
      </c>
      <c r="AV34" s="139">
        <f t="shared" si="67"/>
        <v>0</v>
      </c>
      <c r="AW34" s="139">
        <f t="shared" si="67"/>
        <v>0</v>
      </c>
      <c r="AX34" s="139">
        <f t="shared" si="67"/>
        <v>0</v>
      </c>
      <c r="AY34" s="139">
        <f t="shared" si="67"/>
        <v>0</v>
      </c>
      <c r="AZ34" s="139">
        <f t="shared" si="67"/>
        <v>0</v>
      </c>
      <c r="BA34" s="139">
        <f t="shared" si="67"/>
        <v>0</v>
      </c>
      <c r="BB34" s="139">
        <f t="shared" si="67"/>
        <v>0</v>
      </c>
      <c r="BC34" s="139">
        <f t="shared" si="67"/>
        <v>0</v>
      </c>
      <c r="BD34" s="139">
        <f t="shared" si="67"/>
        <v>0</v>
      </c>
      <c r="BE34" s="139">
        <f t="shared" si="67"/>
        <v>0</v>
      </c>
      <c r="BF34" s="139">
        <f t="shared" si="67"/>
        <v>0</v>
      </c>
      <c r="BG34" s="139">
        <f t="shared" si="67"/>
        <v>0</v>
      </c>
      <c r="BH34" s="139">
        <f t="shared" si="67"/>
        <v>0</v>
      </c>
      <c r="BI34" s="139">
        <f t="shared" si="67"/>
        <v>0</v>
      </c>
      <c r="BJ34" s="139">
        <f t="shared" si="67"/>
        <v>0</v>
      </c>
      <c r="BK34" s="139">
        <f t="shared" ref="BK34:BS39" si="68">IF($E34=BK$4,1,0)</f>
        <v>0</v>
      </c>
      <c r="BL34" s="139">
        <f t="shared" si="68"/>
        <v>0</v>
      </c>
      <c r="BM34" s="139">
        <f t="shared" si="68"/>
        <v>0</v>
      </c>
      <c r="BN34" s="139">
        <f t="shared" si="68"/>
        <v>0</v>
      </c>
      <c r="BO34" s="139">
        <f t="shared" si="68"/>
        <v>0</v>
      </c>
      <c r="BP34" s="139">
        <f t="shared" si="68"/>
        <v>0</v>
      </c>
      <c r="BQ34" s="139">
        <f t="shared" si="68"/>
        <v>0</v>
      </c>
      <c r="BR34" s="139">
        <f t="shared" si="68"/>
        <v>0</v>
      </c>
      <c r="BS34" s="139">
        <f t="shared" si="68"/>
        <v>0</v>
      </c>
    </row>
    <row r="35" spans="3:71">
      <c r="C35" s="139">
        <f>노선구성!B53</f>
        <v>6</v>
      </c>
      <c r="D35" s="139">
        <f>노선구성!C53</f>
        <v>767</v>
      </c>
      <c r="E35" s="139" t="str">
        <f>노선구성!D53</f>
        <v>M19</v>
      </c>
      <c r="L35" s="139">
        <f t="shared" si="65"/>
        <v>0</v>
      </c>
      <c r="M35" s="139">
        <f t="shared" si="65"/>
        <v>0</v>
      </c>
      <c r="N35" s="139">
        <f t="shared" si="65"/>
        <v>0</v>
      </c>
      <c r="O35" s="139">
        <f t="shared" si="65"/>
        <v>0</v>
      </c>
      <c r="P35" s="139">
        <f t="shared" si="65"/>
        <v>0</v>
      </c>
      <c r="Q35" s="139">
        <f t="shared" si="65"/>
        <v>0</v>
      </c>
      <c r="R35" s="139">
        <f t="shared" si="65"/>
        <v>0</v>
      </c>
      <c r="S35" s="139">
        <f t="shared" si="65"/>
        <v>0</v>
      </c>
      <c r="T35" s="139">
        <f t="shared" si="65"/>
        <v>0</v>
      </c>
      <c r="U35" s="139">
        <f t="shared" si="65"/>
        <v>0</v>
      </c>
      <c r="V35" s="139">
        <f t="shared" si="65"/>
        <v>0</v>
      </c>
      <c r="W35" s="139">
        <f t="shared" si="65"/>
        <v>0</v>
      </c>
      <c r="X35" s="139">
        <f t="shared" si="65"/>
        <v>0</v>
      </c>
      <c r="Y35" s="139">
        <f t="shared" si="65"/>
        <v>0</v>
      </c>
      <c r="Z35" s="139">
        <f t="shared" si="65"/>
        <v>0</v>
      </c>
      <c r="AA35" s="139">
        <f t="shared" si="65"/>
        <v>0</v>
      </c>
      <c r="AB35" s="139">
        <f t="shared" ref="AB35:AQ39" si="69">IF($E35=AB$4,1,0)</f>
        <v>0</v>
      </c>
      <c r="AC35" s="139">
        <f t="shared" si="69"/>
        <v>0</v>
      </c>
      <c r="AD35" s="139">
        <f t="shared" si="69"/>
        <v>1</v>
      </c>
      <c r="AE35" s="139">
        <f t="shared" si="69"/>
        <v>0</v>
      </c>
      <c r="AF35" s="139">
        <f t="shared" si="69"/>
        <v>0</v>
      </c>
      <c r="AG35" s="139">
        <f t="shared" si="69"/>
        <v>0</v>
      </c>
      <c r="AH35" s="139">
        <f t="shared" si="69"/>
        <v>0</v>
      </c>
      <c r="AI35" s="139">
        <f t="shared" si="69"/>
        <v>0</v>
      </c>
      <c r="AJ35" s="139">
        <f t="shared" si="69"/>
        <v>0</v>
      </c>
      <c r="AK35" s="139">
        <f t="shared" si="69"/>
        <v>0</v>
      </c>
      <c r="AL35" s="139">
        <f t="shared" si="69"/>
        <v>0</v>
      </c>
      <c r="AM35" s="139">
        <f t="shared" si="69"/>
        <v>0</v>
      </c>
      <c r="AN35" s="139">
        <f t="shared" si="69"/>
        <v>0</v>
      </c>
      <c r="AO35" s="139">
        <f t="shared" si="69"/>
        <v>0</v>
      </c>
      <c r="AP35" s="139">
        <f t="shared" si="69"/>
        <v>0</v>
      </c>
      <c r="AQ35" s="139">
        <f t="shared" si="69"/>
        <v>0</v>
      </c>
      <c r="AR35" s="139">
        <f t="shared" ref="AR35:AT39" si="70">IF($E35=AR$4,1,0)</f>
        <v>0</v>
      </c>
      <c r="AS35" s="139">
        <f t="shared" si="70"/>
        <v>0</v>
      </c>
      <c r="AT35" s="139">
        <f t="shared" si="70"/>
        <v>0</v>
      </c>
      <c r="AU35" s="139">
        <f t="shared" si="67"/>
        <v>0</v>
      </c>
      <c r="AV35" s="139">
        <f t="shared" si="67"/>
        <v>0</v>
      </c>
      <c r="AW35" s="139">
        <f t="shared" si="67"/>
        <v>0</v>
      </c>
      <c r="AX35" s="139">
        <f t="shared" si="67"/>
        <v>0</v>
      </c>
      <c r="AY35" s="139">
        <f t="shared" si="67"/>
        <v>0</v>
      </c>
      <c r="AZ35" s="139">
        <f t="shared" si="67"/>
        <v>0</v>
      </c>
      <c r="BA35" s="139">
        <f t="shared" si="67"/>
        <v>0</v>
      </c>
      <c r="BB35" s="139">
        <f t="shared" si="67"/>
        <v>0</v>
      </c>
      <c r="BC35" s="139">
        <f t="shared" si="67"/>
        <v>0</v>
      </c>
      <c r="BD35" s="139">
        <f t="shared" si="67"/>
        <v>0</v>
      </c>
      <c r="BE35" s="139">
        <f t="shared" si="67"/>
        <v>0</v>
      </c>
      <c r="BF35" s="139">
        <f t="shared" si="67"/>
        <v>0</v>
      </c>
      <c r="BG35" s="139">
        <f t="shared" si="67"/>
        <v>0</v>
      </c>
      <c r="BH35" s="139">
        <f t="shared" si="67"/>
        <v>0</v>
      </c>
      <c r="BI35" s="139">
        <f t="shared" si="67"/>
        <v>0</v>
      </c>
      <c r="BJ35" s="139">
        <f t="shared" si="67"/>
        <v>0</v>
      </c>
      <c r="BK35" s="139">
        <f t="shared" si="68"/>
        <v>0</v>
      </c>
      <c r="BL35" s="139">
        <f t="shared" si="68"/>
        <v>0</v>
      </c>
      <c r="BM35" s="139">
        <f t="shared" si="68"/>
        <v>0</v>
      </c>
      <c r="BN35" s="139">
        <f t="shared" si="68"/>
        <v>0</v>
      </c>
      <c r="BO35" s="139">
        <f t="shared" si="68"/>
        <v>0</v>
      </c>
      <c r="BP35" s="139">
        <f t="shared" si="68"/>
        <v>0</v>
      </c>
      <c r="BQ35" s="139">
        <f t="shared" si="68"/>
        <v>0</v>
      </c>
      <c r="BR35" s="139">
        <f t="shared" si="68"/>
        <v>0</v>
      </c>
      <c r="BS35" s="139">
        <f t="shared" si="68"/>
        <v>0</v>
      </c>
    </row>
    <row r="36" spans="3:71">
      <c r="C36" s="139">
        <f>노선구성!B54</f>
        <v>7</v>
      </c>
      <c r="D36" s="139">
        <f>노선구성!C54</f>
        <v>737</v>
      </c>
      <c r="E36" s="139" t="str">
        <f>노선구성!D54</f>
        <v>M25</v>
      </c>
      <c r="L36" s="139">
        <f t="shared" si="65"/>
        <v>0</v>
      </c>
      <c r="M36" s="139">
        <f t="shared" si="65"/>
        <v>0</v>
      </c>
      <c r="N36" s="139">
        <f t="shared" si="65"/>
        <v>0</v>
      </c>
      <c r="O36" s="139">
        <f t="shared" si="65"/>
        <v>0</v>
      </c>
      <c r="P36" s="139">
        <f t="shared" si="65"/>
        <v>0</v>
      </c>
      <c r="Q36" s="139">
        <f t="shared" si="65"/>
        <v>0</v>
      </c>
      <c r="R36" s="139">
        <f t="shared" si="65"/>
        <v>0</v>
      </c>
      <c r="S36" s="139">
        <f t="shared" si="65"/>
        <v>0</v>
      </c>
      <c r="T36" s="139">
        <f t="shared" si="65"/>
        <v>0</v>
      </c>
      <c r="U36" s="139">
        <f t="shared" si="65"/>
        <v>0</v>
      </c>
      <c r="V36" s="139">
        <f t="shared" si="65"/>
        <v>0</v>
      </c>
      <c r="W36" s="139">
        <f t="shared" si="65"/>
        <v>0</v>
      </c>
      <c r="X36" s="139">
        <f t="shared" si="65"/>
        <v>0</v>
      </c>
      <c r="Y36" s="139">
        <f t="shared" si="65"/>
        <v>0</v>
      </c>
      <c r="Z36" s="139">
        <f t="shared" si="65"/>
        <v>0</v>
      </c>
      <c r="AA36" s="139">
        <f t="shared" si="65"/>
        <v>0</v>
      </c>
      <c r="AB36" s="139">
        <f t="shared" si="69"/>
        <v>0</v>
      </c>
      <c r="AC36" s="139">
        <f t="shared" si="69"/>
        <v>0</v>
      </c>
      <c r="AD36" s="139">
        <f t="shared" si="69"/>
        <v>0</v>
      </c>
      <c r="AE36" s="139">
        <f t="shared" si="69"/>
        <v>0</v>
      </c>
      <c r="AF36" s="139">
        <f t="shared" si="69"/>
        <v>0</v>
      </c>
      <c r="AG36" s="139">
        <f t="shared" si="69"/>
        <v>0</v>
      </c>
      <c r="AH36" s="139">
        <f t="shared" si="69"/>
        <v>0</v>
      </c>
      <c r="AI36" s="139">
        <f t="shared" si="69"/>
        <v>0</v>
      </c>
      <c r="AJ36" s="139">
        <f t="shared" si="69"/>
        <v>1</v>
      </c>
      <c r="AK36" s="139">
        <f t="shared" si="69"/>
        <v>0</v>
      </c>
      <c r="AL36" s="139">
        <f t="shared" si="69"/>
        <v>0</v>
      </c>
      <c r="AM36" s="139">
        <f t="shared" si="69"/>
        <v>0</v>
      </c>
      <c r="AN36" s="139">
        <f t="shared" si="69"/>
        <v>0</v>
      </c>
      <c r="AO36" s="139">
        <f t="shared" si="69"/>
        <v>0</v>
      </c>
      <c r="AP36" s="139">
        <f t="shared" si="69"/>
        <v>0</v>
      </c>
      <c r="AQ36" s="139">
        <f t="shared" si="69"/>
        <v>0</v>
      </c>
      <c r="AR36" s="139">
        <f t="shared" si="70"/>
        <v>0</v>
      </c>
      <c r="AS36" s="139">
        <f t="shared" si="70"/>
        <v>0</v>
      </c>
      <c r="AT36" s="139">
        <f t="shared" si="70"/>
        <v>0</v>
      </c>
      <c r="AU36" s="139">
        <f t="shared" si="67"/>
        <v>0</v>
      </c>
      <c r="AV36" s="139">
        <f t="shared" si="67"/>
        <v>0</v>
      </c>
      <c r="AW36" s="139">
        <f t="shared" si="67"/>
        <v>0</v>
      </c>
      <c r="AX36" s="139">
        <f t="shared" si="67"/>
        <v>0</v>
      </c>
      <c r="AY36" s="139">
        <f t="shared" si="67"/>
        <v>0</v>
      </c>
      <c r="AZ36" s="139">
        <f t="shared" si="67"/>
        <v>0</v>
      </c>
      <c r="BA36" s="139">
        <f t="shared" si="67"/>
        <v>0</v>
      </c>
      <c r="BB36" s="139">
        <f t="shared" si="67"/>
        <v>0</v>
      </c>
      <c r="BC36" s="139">
        <f t="shared" si="67"/>
        <v>0</v>
      </c>
      <c r="BD36" s="139">
        <f t="shared" si="67"/>
        <v>0</v>
      </c>
      <c r="BE36" s="139">
        <f t="shared" si="67"/>
        <v>0</v>
      </c>
      <c r="BF36" s="139">
        <f t="shared" si="67"/>
        <v>0</v>
      </c>
      <c r="BG36" s="139">
        <f t="shared" si="67"/>
        <v>0</v>
      </c>
      <c r="BH36" s="139">
        <f t="shared" si="67"/>
        <v>0</v>
      </c>
      <c r="BI36" s="139">
        <f t="shared" si="67"/>
        <v>0</v>
      </c>
      <c r="BJ36" s="139">
        <f t="shared" si="67"/>
        <v>0</v>
      </c>
      <c r="BK36" s="139">
        <f t="shared" si="68"/>
        <v>0</v>
      </c>
      <c r="BL36" s="139">
        <f t="shared" si="68"/>
        <v>0</v>
      </c>
      <c r="BM36" s="139">
        <f t="shared" si="68"/>
        <v>0</v>
      </c>
      <c r="BN36" s="139">
        <f t="shared" si="68"/>
        <v>0</v>
      </c>
      <c r="BO36" s="139">
        <f t="shared" si="68"/>
        <v>0</v>
      </c>
      <c r="BP36" s="139">
        <f t="shared" si="68"/>
        <v>0</v>
      </c>
      <c r="BQ36" s="139">
        <f t="shared" si="68"/>
        <v>0</v>
      </c>
      <c r="BR36" s="139">
        <f t="shared" si="68"/>
        <v>0</v>
      </c>
      <c r="BS36" s="139">
        <f t="shared" si="68"/>
        <v>0</v>
      </c>
    </row>
    <row r="37" spans="3:71">
      <c r="C37" s="139">
        <f>노선구성!B55</f>
        <v>8</v>
      </c>
      <c r="D37" s="139">
        <f>노선구성!C55</f>
        <v>767</v>
      </c>
      <c r="E37" s="139" t="str">
        <f>노선구성!D55</f>
        <v>M31</v>
      </c>
      <c r="L37" s="139">
        <f t="shared" si="65"/>
        <v>0</v>
      </c>
      <c r="M37" s="139">
        <f t="shared" si="65"/>
        <v>0</v>
      </c>
      <c r="N37" s="139">
        <f t="shared" si="65"/>
        <v>0</v>
      </c>
      <c r="O37" s="139">
        <f t="shared" si="65"/>
        <v>0</v>
      </c>
      <c r="P37" s="139">
        <f t="shared" si="65"/>
        <v>0</v>
      </c>
      <c r="Q37" s="139">
        <f t="shared" si="65"/>
        <v>0</v>
      </c>
      <c r="R37" s="139">
        <f t="shared" si="65"/>
        <v>0</v>
      </c>
      <c r="S37" s="139">
        <f t="shared" si="65"/>
        <v>0</v>
      </c>
      <c r="T37" s="139">
        <f t="shared" si="65"/>
        <v>0</v>
      </c>
      <c r="U37" s="139">
        <f t="shared" si="65"/>
        <v>0</v>
      </c>
      <c r="V37" s="139">
        <f t="shared" si="65"/>
        <v>0</v>
      </c>
      <c r="W37" s="139">
        <f t="shared" si="65"/>
        <v>0</v>
      </c>
      <c r="X37" s="139">
        <f t="shared" si="65"/>
        <v>0</v>
      </c>
      <c r="Y37" s="139">
        <f t="shared" si="65"/>
        <v>0</v>
      </c>
      <c r="Z37" s="139">
        <f t="shared" si="65"/>
        <v>0</v>
      </c>
      <c r="AA37" s="139">
        <f t="shared" si="65"/>
        <v>0</v>
      </c>
      <c r="AB37" s="139">
        <f t="shared" si="69"/>
        <v>0</v>
      </c>
      <c r="AC37" s="139">
        <f t="shared" si="69"/>
        <v>0</v>
      </c>
      <c r="AD37" s="139">
        <f t="shared" si="69"/>
        <v>0</v>
      </c>
      <c r="AE37" s="139">
        <f t="shared" si="69"/>
        <v>0</v>
      </c>
      <c r="AF37" s="139">
        <f t="shared" si="69"/>
        <v>0</v>
      </c>
      <c r="AG37" s="139">
        <f t="shared" si="69"/>
        <v>0</v>
      </c>
      <c r="AH37" s="139">
        <f t="shared" si="69"/>
        <v>0</v>
      </c>
      <c r="AI37" s="139">
        <f t="shared" si="69"/>
        <v>0</v>
      </c>
      <c r="AJ37" s="139">
        <f t="shared" si="69"/>
        <v>0</v>
      </c>
      <c r="AK37" s="139">
        <f t="shared" si="69"/>
        <v>0</v>
      </c>
      <c r="AL37" s="139">
        <f t="shared" si="69"/>
        <v>0</v>
      </c>
      <c r="AM37" s="139">
        <f t="shared" si="69"/>
        <v>0</v>
      </c>
      <c r="AN37" s="139">
        <f t="shared" si="69"/>
        <v>0</v>
      </c>
      <c r="AO37" s="139">
        <f t="shared" si="69"/>
        <v>0</v>
      </c>
      <c r="AP37" s="139">
        <f t="shared" si="69"/>
        <v>1</v>
      </c>
      <c r="AQ37" s="139">
        <f t="shared" si="69"/>
        <v>0</v>
      </c>
      <c r="AR37" s="139">
        <f t="shared" si="70"/>
        <v>0</v>
      </c>
      <c r="AS37" s="139">
        <f t="shared" si="70"/>
        <v>0</v>
      </c>
      <c r="AT37" s="139">
        <f t="shared" si="70"/>
        <v>0</v>
      </c>
      <c r="AU37" s="139">
        <f t="shared" si="67"/>
        <v>0</v>
      </c>
      <c r="AV37" s="139">
        <f t="shared" si="67"/>
        <v>0</v>
      </c>
      <c r="AW37" s="139">
        <f t="shared" si="67"/>
        <v>0</v>
      </c>
      <c r="AX37" s="139">
        <f t="shared" si="67"/>
        <v>0</v>
      </c>
      <c r="AY37" s="139">
        <f t="shared" si="67"/>
        <v>0</v>
      </c>
      <c r="AZ37" s="139">
        <f t="shared" si="67"/>
        <v>0</v>
      </c>
      <c r="BA37" s="139">
        <f t="shared" si="67"/>
        <v>0</v>
      </c>
      <c r="BB37" s="139">
        <f t="shared" si="67"/>
        <v>0</v>
      </c>
      <c r="BC37" s="139">
        <f t="shared" si="67"/>
        <v>0</v>
      </c>
      <c r="BD37" s="139">
        <f t="shared" si="67"/>
        <v>0</v>
      </c>
      <c r="BE37" s="139">
        <f t="shared" si="67"/>
        <v>0</v>
      </c>
      <c r="BF37" s="139">
        <f t="shared" si="67"/>
        <v>0</v>
      </c>
      <c r="BG37" s="139">
        <f t="shared" si="67"/>
        <v>0</v>
      </c>
      <c r="BH37" s="139">
        <f t="shared" si="67"/>
        <v>0</v>
      </c>
      <c r="BI37" s="139">
        <f t="shared" si="67"/>
        <v>0</v>
      </c>
      <c r="BJ37" s="139">
        <f t="shared" si="67"/>
        <v>0</v>
      </c>
      <c r="BK37" s="139">
        <f t="shared" si="68"/>
        <v>0</v>
      </c>
      <c r="BL37" s="139">
        <f t="shared" si="68"/>
        <v>0</v>
      </c>
      <c r="BM37" s="139">
        <f t="shared" si="68"/>
        <v>0</v>
      </c>
      <c r="BN37" s="139">
        <f t="shared" si="68"/>
        <v>0</v>
      </c>
      <c r="BO37" s="139">
        <f t="shared" si="68"/>
        <v>0</v>
      </c>
      <c r="BP37" s="139">
        <f t="shared" si="68"/>
        <v>0</v>
      </c>
      <c r="BQ37" s="139">
        <f t="shared" si="68"/>
        <v>0</v>
      </c>
      <c r="BR37" s="139">
        <f t="shared" si="68"/>
        <v>0</v>
      </c>
      <c r="BS37" s="139">
        <f t="shared" si="68"/>
        <v>0</v>
      </c>
    </row>
    <row r="38" spans="3:71">
      <c r="C38" s="139">
        <f>노선구성!B56</f>
        <v>9</v>
      </c>
      <c r="D38" s="139">
        <f>노선구성!C56</f>
        <v>767</v>
      </c>
      <c r="E38" s="139" t="str">
        <f>노선구성!D56</f>
        <v>M37</v>
      </c>
      <c r="L38" s="139">
        <f t="shared" si="65"/>
        <v>0</v>
      </c>
      <c r="M38" s="139">
        <f t="shared" si="65"/>
        <v>0</v>
      </c>
      <c r="N38" s="139">
        <f t="shared" si="65"/>
        <v>0</v>
      </c>
      <c r="O38" s="139">
        <f t="shared" si="65"/>
        <v>0</v>
      </c>
      <c r="P38" s="139">
        <f t="shared" si="65"/>
        <v>0</v>
      </c>
      <c r="Q38" s="139">
        <f t="shared" si="65"/>
        <v>0</v>
      </c>
      <c r="R38" s="139">
        <f t="shared" si="65"/>
        <v>0</v>
      </c>
      <c r="S38" s="139">
        <f t="shared" si="65"/>
        <v>0</v>
      </c>
      <c r="T38" s="139">
        <f t="shared" si="65"/>
        <v>0</v>
      </c>
      <c r="U38" s="139">
        <f t="shared" si="65"/>
        <v>0</v>
      </c>
      <c r="V38" s="139">
        <f t="shared" si="65"/>
        <v>0</v>
      </c>
      <c r="W38" s="139">
        <f t="shared" si="65"/>
        <v>0</v>
      </c>
      <c r="X38" s="139">
        <f t="shared" si="65"/>
        <v>0</v>
      </c>
      <c r="Y38" s="139">
        <f t="shared" si="65"/>
        <v>0</v>
      </c>
      <c r="Z38" s="139">
        <f t="shared" si="65"/>
        <v>0</v>
      </c>
      <c r="AA38" s="139">
        <f t="shared" si="65"/>
        <v>0</v>
      </c>
      <c r="AB38" s="139">
        <f t="shared" si="69"/>
        <v>0</v>
      </c>
      <c r="AC38" s="139">
        <f t="shared" si="69"/>
        <v>0</v>
      </c>
      <c r="AD38" s="139">
        <f t="shared" si="69"/>
        <v>0</v>
      </c>
      <c r="AE38" s="139">
        <f t="shared" si="69"/>
        <v>0</v>
      </c>
      <c r="AF38" s="139">
        <f t="shared" si="69"/>
        <v>0</v>
      </c>
      <c r="AG38" s="139">
        <f t="shared" si="69"/>
        <v>0</v>
      </c>
      <c r="AH38" s="139">
        <f t="shared" si="69"/>
        <v>0</v>
      </c>
      <c r="AI38" s="139">
        <f t="shared" si="69"/>
        <v>0</v>
      </c>
      <c r="AJ38" s="139">
        <f t="shared" si="69"/>
        <v>0</v>
      </c>
      <c r="AK38" s="139">
        <f t="shared" si="69"/>
        <v>0</v>
      </c>
      <c r="AL38" s="139">
        <f t="shared" si="69"/>
        <v>0</v>
      </c>
      <c r="AM38" s="139">
        <f t="shared" si="69"/>
        <v>0</v>
      </c>
      <c r="AN38" s="139">
        <f t="shared" si="69"/>
        <v>0</v>
      </c>
      <c r="AO38" s="139">
        <f t="shared" si="69"/>
        <v>0</v>
      </c>
      <c r="AP38" s="139">
        <f t="shared" si="69"/>
        <v>0</v>
      </c>
      <c r="AQ38" s="139">
        <f t="shared" si="69"/>
        <v>0</v>
      </c>
      <c r="AR38" s="139">
        <f t="shared" si="70"/>
        <v>0</v>
      </c>
      <c r="AS38" s="139">
        <f t="shared" si="70"/>
        <v>0</v>
      </c>
      <c r="AT38" s="139">
        <f t="shared" si="70"/>
        <v>0</v>
      </c>
      <c r="AU38" s="139">
        <f t="shared" si="67"/>
        <v>0</v>
      </c>
      <c r="AV38" s="139">
        <f t="shared" si="67"/>
        <v>1</v>
      </c>
      <c r="AW38" s="139">
        <f t="shared" si="67"/>
        <v>0</v>
      </c>
      <c r="AX38" s="139">
        <f t="shared" si="67"/>
        <v>0</v>
      </c>
      <c r="AY38" s="139">
        <f t="shared" si="67"/>
        <v>0</v>
      </c>
      <c r="AZ38" s="139">
        <f t="shared" si="67"/>
        <v>0</v>
      </c>
      <c r="BA38" s="139">
        <f t="shared" si="67"/>
        <v>0</v>
      </c>
      <c r="BB38" s="139">
        <f t="shared" si="67"/>
        <v>0</v>
      </c>
      <c r="BC38" s="139">
        <f t="shared" si="67"/>
        <v>0</v>
      </c>
      <c r="BD38" s="139">
        <f t="shared" si="67"/>
        <v>0</v>
      </c>
      <c r="BE38" s="139">
        <f t="shared" si="67"/>
        <v>0</v>
      </c>
      <c r="BF38" s="139">
        <f t="shared" si="67"/>
        <v>0</v>
      </c>
      <c r="BG38" s="139">
        <f t="shared" si="67"/>
        <v>0</v>
      </c>
      <c r="BH38" s="139">
        <f t="shared" si="67"/>
        <v>0</v>
      </c>
      <c r="BI38" s="139">
        <f t="shared" si="67"/>
        <v>0</v>
      </c>
      <c r="BJ38" s="139">
        <f t="shared" si="67"/>
        <v>0</v>
      </c>
      <c r="BK38" s="139">
        <f t="shared" si="68"/>
        <v>0</v>
      </c>
      <c r="BL38" s="139">
        <f t="shared" si="68"/>
        <v>0</v>
      </c>
      <c r="BM38" s="139">
        <f t="shared" si="68"/>
        <v>0</v>
      </c>
      <c r="BN38" s="139">
        <f t="shared" si="68"/>
        <v>0</v>
      </c>
      <c r="BO38" s="139">
        <f t="shared" si="68"/>
        <v>0</v>
      </c>
      <c r="BP38" s="139">
        <f t="shared" si="68"/>
        <v>0</v>
      </c>
      <c r="BQ38" s="139">
        <f t="shared" si="68"/>
        <v>0</v>
      </c>
      <c r="BR38" s="139">
        <f t="shared" si="68"/>
        <v>0</v>
      </c>
      <c r="BS38" s="139">
        <f t="shared" si="68"/>
        <v>0</v>
      </c>
    </row>
    <row r="39" spans="3:71">
      <c r="C39" s="139">
        <f>노선구성!B57</f>
        <v>10</v>
      </c>
      <c r="D39" s="139">
        <f>노선구성!C57</f>
        <v>767</v>
      </c>
      <c r="E39" s="139" t="str">
        <f>노선구성!D57</f>
        <v>M43</v>
      </c>
      <c r="L39" s="139">
        <f t="shared" si="65"/>
        <v>0</v>
      </c>
      <c r="M39" s="139">
        <f t="shared" si="65"/>
        <v>0</v>
      </c>
      <c r="N39" s="139">
        <f t="shared" si="65"/>
        <v>0</v>
      </c>
      <c r="O39" s="139">
        <f t="shared" si="65"/>
        <v>0</v>
      </c>
      <c r="P39" s="139">
        <f t="shared" si="65"/>
        <v>0</v>
      </c>
      <c r="Q39" s="139">
        <f t="shared" si="65"/>
        <v>0</v>
      </c>
      <c r="R39" s="139">
        <f t="shared" si="65"/>
        <v>0</v>
      </c>
      <c r="S39" s="139">
        <f t="shared" si="65"/>
        <v>0</v>
      </c>
      <c r="T39" s="139">
        <f t="shared" si="65"/>
        <v>0</v>
      </c>
      <c r="U39" s="139">
        <f t="shared" si="65"/>
        <v>0</v>
      </c>
      <c r="V39" s="139">
        <f t="shared" si="65"/>
        <v>0</v>
      </c>
      <c r="W39" s="139">
        <f t="shared" si="65"/>
        <v>0</v>
      </c>
      <c r="X39" s="139">
        <f t="shared" si="65"/>
        <v>0</v>
      </c>
      <c r="Y39" s="139">
        <f t="shared" si="65"/>
        <v>0</v>
      </c>
      <c r="Z39" s="139">
        <f t="shared" si="65"/>
        <v>0</v>
      </c>
      <c r="AA39" s="139">
        <f t="shared" si="65"/>
        <v>0</v>
      </c>
      <c r="AB39" s="139">
        <f t="shared" si="69"/>
        <v>0</v>
      </c>
      <c r="AC39" s="139">
        <f t="shared" si="69"/>
        <v>0</v>
      </c>
      <c r="AD39" s="139">
        <f t="shared" si="69"/>
        <v>0</v>
      </c>
      <c r="AE39" s="139">
        <f t="shared" si="69"/>
        <v>0</v>
      </c>
      <c r="AF39" s="139">
        <f t="shared" si="69"/>
        <v>0</v>
      </c>
      <c r="AG39" s="139">
        <f t="shared" si="69"/>
        <v>0</v>
      </c>
      <c r="AH39" s="139">
        <f t="shared" si="69"/>
        <v>0</v>
      </c>
      <c r="AI39" s="139">
        <f t="shared" si="69"/>
        <v>0</v>
      </c>
      <c r="AJ39" s="139">
        <f t="shared" si="69"/>
        <v>0</v>
      </c>
      <c r="AK39" s="139">
        <f t="shared" si="69"/>
        <v>0</v>
      </c>
      <c r="AL39" s="139">
        <f t="shared" si="69"/>
        <v>0</v>
      </c>
      <c r="AM39" s="139">
        <f t="shared" si="69"/>
        <v>0</v>
      </c>
      <c r="AN39" s="139">
        <f t="shared" si="69"/>
        <v>0</v>
      </c>
      <c r="AO39" s="139">
        <f t="shared" si="69"/>
        <v>0</v>
      </c>
      <c r="AP39" s="139">
        <f t="shared" si="69"/>
        <v>0</v>
      </c>
      <c r="AQ39" s="139">
        <f t="shared" si="69"/>
        <v>0</v>
      </c>
      <c r="AR39" s="139">
        <f t="shared" si="70"/>
        <v>0</v>
      </c>
      <c r="AS39" s="139">
        <f t="shared" si="70"/>
        <v>0</v>
      </c>
      <c r="AT39" s="139">
        <f t="shared" si="70"/>
        <v>0</v>
      </c>
      <c r="AU39" s="139">
        <f t="shared" si="67"/>
        <v>0</v>
      </c>
      <c r="AV39" s="139">
        <f t="shared" si="67"/>
        <v>0</v>
      </c>
      <c r="AW39" s="139">
        <f t="shared" si="67"/>
        <v>0</v>
      </c>
      <c r="AX39" s="139">
        <f t="shared" si="67"/>
        <v>0</v>
      </c>
      <c r="AY39" s="139">
        <f t="shared" si="67"/>
        <v>0</v>
      </c>
      <c r="AZ39" s="139">
        <f t="shared" si="67"/>
        <v>0</v>
      </c>
      <c r="BA39" s="139">
        <f t="shared" si="67"/>
        <v>0</v>
      </c>
      <c r="BB39" s="139">
        <f t="shared" si="67"/>
        <v>1</v>
      </c>
      <c r="BC39" s="139">
        <f t="shared" si="67"/>
        <v>0</v>
      </c>
      <c r="BD39" s="139">
        <f t="shared" si="67"/>
        <v>0</v>
      </c>
      <c r="BE39" s="139">
        <f t="shared" si="67"/>
        <v>0</v>
      </c>
      <c r="BF39" s="139">
        <f t="shared" si="67"/>
        <v>0</v>
      </c>
      <c r="BG39" s="139">
        <f t="shared" si="67"/>
        <v>0</v>
      </c>
      <c r="BH39" s="139">
        <f t="shared" si="67"/>
        <v>0</v>
      </c>
      <c r="BI39" s="139">
        <f t="shared" si="67"/>
        <v>0</v>
      </c>
      <c r="BJ39" s="139">
        <f t="shared" si="67"/>
        <v>0</v>
      </c>
      <c r="BK39" s="139">
        <f t="shared" si="68"/>
        <v>0</v>
      </c>
      <c r="BL39" s="139">
        <f t="shared" si="68"/>
        <v>0</v>
      </c>
      <c r="BM39" s="139">
        <f t="shared" si="68"/>
        <v>0</v>
      </c>
      <c r="BN39" s="139">
        <f t="shared" si="68"/>
        <v>0</v>
      </c>
      <c r="BO39" s="139">
        <f t="shared" si="68"/>
        <v>0</v>
      </c>
      <c r="BP39" s="139">
        <f t="shared" si="68"/>
        <v>0</v>
      </c>
      <c r="BQ39" s="139">
        <f t="shared" si="68"/>
        <v>0</v>
      </c>
      <c r="BR39" s="139">
        <f t="shared" si="68"/>
        <v>0</v>
      </c>
      <c r="BS39" s="139">
        <f t="shared" si="68"/>
        <v>0</v>
      </c>
    </row>
    <row r="40" spans="3:71" ht="13.8" thickBot="1">
      <c r="C40" s="224"/>
      <c r="D40" s="224"/>
      <c r="E40" s="224"/>
      <c r="F40" s="224"/>
      <c r="G40" s="224"/>
      <c r="H40" s="224"/>
      <c r="I40" s="224"/>
      <c r="J40" s="224"/>
      <c r="K40" s="224"/>
      <c r="L40" s="224"/>
      <c r="M40" s="224"/>
      <c r="N40" s="224"/>
      <c r="O40" s="224"/>
      <c r="P40" s="224"/>
      <c r="Q40" s="224"/>
      <c r="R40" s="224"/>
      <c r="S40" s="224"/>
      <c r="T40" s="224"/>
      <c r="U40" s="224"/>
      <c r="V40" s="224"/>
      <c r="W40" s="224"/>
      <c r="X40" s="224"/>
      <c r="Y40" s="224"/>
      <c r="Z40" s="224"/>
      <c r="AA40" s="224"/>
      <c r="AB40" s="224"/>
      <c r="AC40" s="224"/>
      <c r="AD40" s="224"/>
      <c r="AE40" s="224"/>
      <c r="AF40" s="224"/>
      <c r="AG40" s="224"/>
      <c r="AH40" s="224"/>
      <c r="AI40" s="224"/>
      <c r="AJ40" s="224"/>
      <c r="AK40" s="224"/>
      <c r="AL40" s="224"/>
      <c r="AM40" s="224"/>
      <c r="AN40" s="224"/>
      <c r="AO40" s="224"/>
      <c r="AP40" s="224"/>
      <c r="AQ40" s="224"/>
      <c r="AR40" s="224"/>
      <c r="AS40" s="224"/>
      <c r="AT40" s="224"/>
      <c r="AU40" s="224"/>
      <c r="AV40" s="224"/>
      <c r="AW40" s="224"/>
      <c r="AX40" s="224"/>
      <c r="AY40" s="224"/>
      <c r="AZ40" s="224"/>
      <c r="BA40" s="224"/>
      <c r="BB40" s="224"/>
      <c r="BC40" s="224"/>
      <c r="BD40" s="224"/>
      <c r="BE40" s="224"/>
      <c r="BF40" s="224"/>
      <c r="BG40" s="224"/>
      <c r="BH40" s="224"/>
      <c r="BI40" s="224"/>
      <c r="BJ40" s="224"/>
      <c r="BK40" s="224"/>
      <c r="BL40" s="224"/>
      <c r="BM40" s="224"/>
      <c r="BN40" s="224"/>
      <c r="BO40" s="224"/>
      <c r="BP40" s="224"/>
      <c r="BQ40" s="224"/>
      <c r="BR40" s="224"/>
      <c r="BS40" s="224"/>
    </row>
    <row r="41" spans="3:71"/>
    <row r="53"/>
    <row r="54"/>
    <row r="55"/>
    <row r="56"/>
    <row r="57"/>
    <row r="58"/>
    <row r="59"/>
    <row r="60"/>
    <row r="61"/>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B0F0"/>
    <pageSetUpPr fitToPage="1"/>
  </sheetPr>
  <dimension ref="B1:BS21"/>
  <sheetViews>
    <sheetView tabSelected="1" workbookViewId="0">
      <selection activeCell="R17" sqref="R17"/>
    </sheetView>
  </sheetViews>
  <sheetFormatPr defaultColWidth="9.125" defaultRowHeight="13.2" outlineLevelCol="1"/>
  <cols>
    <col min="1" max="1" width="2" style="139" customWidth="1"/>
    <col min="2" max="2" width="2.25" style="139" customWidth="1"/>
    <col min="3" max="7" width="9.125" style="139"/>
    <col min="8" max="11" width="9.125" style="139" hidden="1" customWidth="1" outlineLevel="1"/>
    <col min="12" max="12" width="9.125" style="139" collapsed="1"/>
    <col min="13" max="16384" width="9.125" style="139"/>
  </cols>
  <sheetData>
    <row r="1" spans="2:71" ht="17.399999999999999">
      <c r="B1" s="153" t="s">
        <v>1423</v>
      </c>
    </row>
    <row r="3" spans="2:71">
      <c r="L3" s="298" t="s">
        <v>379</v>
      </c>
      <c r="M3" s="298"/>
      <c r="N3" s="298"/>
      <c r="O3" s="298"/>
      <c r="P3" s="298"/>
      <c r="Q3" s="298"/>
      <c r="R3" s="298"/>
      <c r="S3" s="298"/>
      <c r="T3" s="298"/>
      <c r="U3" s="298"/>
      <c r="V3" s="298"/>
      <c r="W3" s="298"/>
      <c r="X3" s="192" t="s">
        <v>380</v>
      </c>
      <c r="Y3" s="192"/>
      <c r="Z3" s="192"/>
      <c r="AA3" s="192"/>
      <c r="AB3" s="192"/>
      <c r="AC3" s="192"/>
      <c r="AD3" s="192"/>
      <c r="AE3" s="192"/>
      <c r="AF3" s="192"/>
      <c r="AG3" s="192"/>
      <c r="AH3" s="192"/>
      <c r="AI3" s="192"/>
      <c r="AJ3" s="299" t="s">
        <v>381</v>
      </c>
      <c r="AK3" s="299"/>
      <c r="AL3" s="299"/>
      <c r="AM3" s="299"/>
      <c r="AN3" s="299"/>
      <c r="AO3" s="299"/>
      <c r="AP3" s="299"/>
      <c r="AQ3" s="299"/>
      <c r="AR3" s="299"/>
      <c r="AS3" s="299"/>
      <c r="AT3" s="299"/>
      <c r="AU3" s="299"/>
      <c r="AV3" s="300" t="s">
        <v>382</v>
      </c>
      <c r="AW3" s="300"/>
      <c r="AX3" s="300"/>
      <c r="AY3" s="300"/>
      <c r="AZ3" s="300"/>
      <c r="BA3" s="300"/>
      <c r="BB3" s="300"/>
      <c r="BC3" s="300"/>
      <c r="BD3" s="300"/>
      <c r="BE3" s="300"/>
      <c r="BF3" s="300"/>
      <c r="BG3" s="300"/>
      <c r="BH3" s="301" t="s">
        <v>383</v>
      </c>
      <c r="BI3" s="302"/>
      <c r="BJ3" s="302"/>
      <c r="BK3" s="302"/>
      <c r="BL3" s="302"/>
      <c r="BM3" s="302"/>
      <c r="BN3" s="302"/>
      <c r="BO3" s="302"/>
      <c r="BP3" s="302"/>
      <c r="BQ3" s="302"/>
      <c r="BR3" s="302"/>
      <c r="BS3" s="302"/>
    </row>
    <row r="4" spans="2:71">
      <c r="B4" s="332" t="s">
        <v>554</v>
      </c>
      <c r="C4" s="332"/>
      <c r="D4" s="332"/>
      <c r="E4" s="332"/>
      <c r="F4" s="332"/>
      <c r="G4" s="332"/>
      <c r="H4" s="377"/>
      <c r="I4" s="377"/>
      <c r="J4" s="377"/>
      <c r="K4" s="377"/>
      <c r="L4" s="408" t="s">
        <v>367</v>
      </c>
      <c r="M4" s="408" t="s">
        <v>368</v>
      </c>
      <c r="N4" s="408" t="s">
        <v>369</v>
      </c>
      <c r="O4" s="408" t="s">
        <v>370</v>
      </c>
      <c r="P4" s="408" t="s">
        <v>371</v>
      </c>
      <c r="Q4" s="408" t="s">
        <v>372</v>
      </c>
      <c r="R4" s="408" t="s">
        <v>373</v>
      </c>
      <c r="S4" s="408" t="s">
        <v>374</v>
      </c>
      <c r="T4" s="408" t="s">
        <v>375</v>
      </c>
      <c r="U4" s="408" t="s">
        <v>376</v>
      </c>
      <c r="V4" s="408" t="s">
        <v>377</v>
      </c>
      <c r="W4" s="408" t="s">
        <v>378</v>
      </c>
      <c r="X4" s="408" t="s">
        <v>385</v>
      </c>
      <c r="Y4" s="408" t="s">
        <v>386</v>
      </c>
      <c r="Z4" s="408" t="s">
        <v>387</v>
      </c>
      <c r="AA4" s="408" t="s">
        <v>388</v>
      </c>
      <c r="AB4" s="408" t="s">
        <v>389</v>
      </c>
      <c r="AC4" s="408" t="s">
        <v>390</v>
      </c>
      <c r="AD4" s="408" t="s">
        <v>391</v>
      </c>
      <c r="AE4" s="408" t="s">
        <v>392</v>
      </c>
      <c r="AF4" s="408" t="s">
        <v>393</v>
      </c>
      <c r="AG4" s="408" t="s">
        <v>394</v>
      </c>
      <c r="AH4" s="408" t="s">
        <v>395</v>
      </c>
      <c r="AI4" s="408" t="s">
        <v>396</v>
      </c>
      <c r="AJ4" s="408" t="s">
        <v>397</v>
      </c>
      <c r="AK4" s="408" t="s">
        <v>398</v>
      </c>
      <c r="AL4" s="408" t="s">
        <v>399</v>
      </c>
      <c r="AM4" s="408" t="s">
        <v>400</v>
      </c>
      <c r="AN4" s="408" t="s">
        <v>401</v>
      </c>
      <c r="AO4" s="408" t="s">
        <v>402</v>
      </c>
      <c r="AP4" s="408" t="s">
        <v>403</v>
      </c>
      <c r="AQ4" s="408" t="s">
        <v>404</v>
      </c>
      <c r="AR4" s="408" t="s">
        <v>405</v>
      </c>
      <c r="AS4" s="408" t="s">
        <v>406</v>
      </c>
      <c r="AT4" s="408" t="s">
        <v>407</v>
      </c>
      <c r="AU4" s="408" t="s">
        <v>408</v>
      </c>
      <c r="AV4" s="408" t="s">
        <v>409</v>
      </c>
      <c r="AW4" s="408" t="s">
        <v>410</v>
      </c>
      <c r="AX4" s="408" t="s">
        <v>411</v>
      </c>
      <c r="AY4" s="408" t="s">
        <v>412</v>
      </c>
      <c r="AZ4" s="408" t="s">
        <v>413</v>
      </c>
      <c r="BA4" s="408" t="s">
        <v>414</v>
      </c>
      <c r="BB4" s="408" t="s">
        <v>415</v>
      </c>
      <c r="BC4" s="408" t="s">
        <v>416</v>
      </c>
      <c r="BD4" s="408" t="s">
        <v>417</v>
      </c>
      <c r="BE4" s="408" t="s">
        <v>418</v>
      </c>
      <c r="BF4" s="408" t="s">
        <v>419</v>
      </c>
      <c r="BG4" s="408" t="s">
        <v>420</v>
      </c>
      <c r="BH4" s="408" t="s">
        <v>421</v>
      </c>
      <c r="BI4" s="408" t="s">
        <v>422</v>
      </c>
      <c r="BJ4" s="408" t="s">
        <v>423</v>
      </c>
      <c r="BK4" s="408" t="s">
        <v>424</v>
      </c>
      <c r="BL4" s="408" t="s">
        <v>425</v>
      </c>
      <c r="BM4" s="408" t="s">
        <v>426</v>
      </c>
      <c r="BN4" s="408" t="s">
        <v>427</v>
      </c>
      <c r="BO4" s="408" t="s">
        <v>428</v>
      </c>
      <c r="BP4" s="408" t="s">
        <v>429</v>
      </c>
      <c r="BQ4" s="408" t="s">
        <v>430</v>
      </c>
      <c r="BR4" s="408" t="s">
        <v>431</v>
      </c>
      <c r="BS4" s="408" t="s">
        <v>432</v>
      </c>
    </row>
    <row r="5" spans="2:71" ht="13.8" thickBot="1">
      <c r="B5" s="157"/>
      <c r="C5" s="157"/>
      <c r="D5" s="157"/>
      <c r="E5" s="157"/>
      <c r="F5" s="157"/>
      <c r="G5" s="157"/>
      <c r="H5" s="303"/>
      <c r="I5" s="303"/>
      <c r="J5" s="303"/>
      <c r="K5" s="303"/>
      <c r="L5" s="304">
        <f>IS!H5</f>
        <v>5</v>
      </c>
      <c r="M5" s="304">
        <f>IS!I5</f>
        <v>4</v>
      </c>
      <c r="N5" s="304">
        <f>IS!J5</f>
        <v>4</v>
      </c>
      <c r="O5" s="304">
        <f>IS!K5</f>
        <v>4</v>
      </c>
      <c r="P5" s="304">
        <f>IS!L5</f>
        <v>5</v>
      </c>
      <c r="Q5" s="304">
        <f>IS!M5</f>
        <v>4</v>
      </c>
      <c r="R5" s="304">
        <f>IS!N5</f>
        <v>4</v>
      </c>
      <c r="S5" s="304">
        <f>IS!O5</f>
        <v>5</v>
      </c>
      <c r="T5" s="304">
        <f>IS!P5</f>
        <v>4</v>
      </c>
      <c r="U5" s="304">
        <f>IS!Q5</f>
        <v>5</v>
      </c>
      <c r="V5" s="304">
        <f>IS!R5</f>
        <v>4</v>
      </c>
      <c r="W5" s="304">
        <f>IS!S5</f>
        <v>4</v>
      </c>
      <c r="X5" s="304">
        <f>IS!T5</f>
        <v>5</v>
      </c>
      <c r="Y5" s="304">
        <f>IS!U5</f>
        <v>4</v>
      </c>
      <c r="Z5" s="304">
        <f>IS!V5</f>
        <v>4</v>
      </c>
      <c r="AA5" s="304">
        <f>IS!W5</f>
        <v>4</v>
      </c>
      <c r="AB5" s="304">
        <f>IS!X5</f>
        <v>5</v>
      </c>
      <c r="AC5" s="304">
        <f>IS!Y5</f>
        <v>4</v>
      </c>
      <c r="AD5" s="304">
        <f>IS!Z5</f>
        <v>4</v>
      </c>
      <c r="AE5" s="304">
        <f>IS!AA5</f>
        <v>5</v>
      </c>
      <c r="AF5" s="304">
        <f>IS!AB5</f>
        <v>4</v>
      </c>
      <c r="AG5" s="304">
        <f>IS!AC5</f>
        <v>5</v>
      </c>
      <c r="AH5" s="304">
        <f>IS!AD5</f>
        <v>4</v>
      </c>
      <c r="AI5" s="304">
        <f>IS!AE5</f>
        <v>4</v>
      </c>
      <c r="AJ5" s="304">
        <f>IS!AF5</f>
        <v>5</v>
      </c>
      <c r="AK5" s="304">
        <f>IS!AG5</f>
        <v>4</v>
      </c>
      <c r="AL5" s="304">
        <f>IS!AH5</f>
        <v>4</v>
      </c>
      <c r="AM5" s="304">
        <f>IS!AI5</f>
        <v>4</v>
      </c>
      <c r="AN5" s="304">
        <f>IS!AJ5</f>
        <v>5</v>
      </c>
      <c r="AO5" s="304">
        <f>IS!AK5</f>
        <v>4</v>
      </c>
      <c r="AP5" s="304">
        <f>IS!AL5</f>
        <v>4</v>
      </c>
      <c r="AQ5" s="304">
        <f>IS!AM5</f>
        <v>5</v>
      </c>
      <c r="AR5" s="304">
        <f>IS!AN5</f>
        <v>4</v>
      </c>
      <c r="AS5" s="304">
        <f>IS!AO5</f>
        <v>5</v>
      </c>
      <c r="AT5" s="304">
        <f>IS!AP5</f>
        <v>4</v>
      </c>
      <c r="AU5" s="304">
        <f>IS!AQ5</f>
        <v>4</v>
      </c>
      <c r="AV5" s="304">
        <f>IS!AR5</f>
        <v>5</v>
      </c>
      <c r="AW5" s="304">
        <f>IS!AS5</f>
        <v>4</v>
      </c>
      <c r="AX5" s="304">
        <f>IS!AT5</f>
        <v>4</v>
      </c>
      <c r="AY5" s="304">
        <f>IS!AU5</f>
        <v>4</v>
      </c>
      <c r="AZ5" s="304">
        <f>IS!AV5</f>
        <v>5</v>
      </c>
      <c r="BA5" s="304">
        <f>IS!AW5</f>
        <v>4</v>
      </c>
      <c r="BB5" s="304">
        <f>IS!AX5</f>
        <v>4</v>
      </c>
      <c r="BC5" s="304">
        <f>IS!AY5</f>
        <v>5</v>
      </c>
      <c r="BD5" s="304">
        <f>IS!AZ5</f>
        <v>4</v>
      </c>
      <c r="BE5" s="304">
        <f>IS!BA5</f>
        <v>5</v>
      </c>
      <c r="BF5" s="304">
        <f>IS!BB5</f>
        <v>4</v>
      </c>
      <c r="BG5" s="304">
        <f>IS!BC5</f>
        <v>4</v>
      </c>
      <c r="BH5" s="304">
        <f>IS!BD5</f>
        <v>5</v>
      </c>
      <c r="BI5" s="304">
        <f>IS!BE5</f>
        <v>4</v>
      </c>
      <c r="BJ5" s="304">
        <f>IS!BF5</f>
        <v>4</v>
      </c>
      <c r="BK5" s="304">
        <f>IS!BG5</f>
        <v>4</v>
      </c>
      <c r="BL5" s="304">
        <f>IS!BH5</f>
        <v>5</v>
      </c>
      <c r="BM5" s="304">
        <f>IS!BI5</f>
        <v>4</v>
      </c>
      <c r="BN5" s="304">
        <f>IS!BJ5</f>
        <v>4</v>
      </c>
      <c r="BO5" s="304">
        <f>IS!BK5</f>
        <v>5</v>
      </c>
      <c r="BP5" s="304">
        <f>IS!BL5</f>
        <v>4</v>
      </c>
      <c r="BQ5" s="304">
        <f>IS!BM5</f>
        <v>5</v>
      </c>
      <c r="BR5" s="304">
        <f>IS!BN5</f>
        <v>4</v>
      </c>
      <c r="BS5" s="304">
        <f>IS!BO5</f>
        <v>4</v>
      </c>
    </row>
    <row r="6" spans="2:71">
      <c r="B6" s="139" t="s">
        <v>607</v>
      </c>
      <c r="D6" s="286" t="s">
        <v>606</v>
      </c>
    </row>
    <row r="7" spans="2:71" ht="27" thickBot="1">
      <c r="C7" s="154" t="s">
        <v>0</v>
      </c>
      <c r="D7" s="154" t="s">
        <v>141</v>
      </c>
      <c r="E7" s="154" t="s">
        <v>433</v>
      </c>
      <c r="F7" s="154" t="s">
        <v>608</v>
      </c>
      <c r="G7" s="154" t="s">
        <v>609</v>
      </c>
      <c r="L7" s="155">
        <f t="shared" ref="L7:BR7" si="0">SUM(L8:L41)</f>
        <v>0</v>
      </c>
      <c r="M7" s="155">
        <f t="shared" si="0"/>
        <v>0</v>
      </c>
      <c r="N7" s="155">
        <f t="shared" si="0"/>
        <v>0</v>
      </c>
      <c r="O7" s="155">
        <f t="shared" si="0"/>
        <v>0</v>
      </c>
      <c r="P7" s="155">
        <f t="shared" si="0"/>
        <v>0</v>
      </c>
      <c r="Q7" s="155">
        <f t="shared" si="0"/>
        <v>0</v>
      </c>
      <c r="R7" s="155">
        <f t="shared" si="0"/>
        <v>24</v>
      </c>
      <c r="S7" s="155">
        <f t="shared" si="0"/>
        <v>24</v>
      </c>
      <c r="T7" s="155">
        <f t="shared" si="0"/>
        <v>24</v>
      </c>
      <c r="U7" s="155">
        <f t="shared" si="0"/>
        <v>24</v>
      </c>
      <c r="V7" s="155">
        <f t="shared" si="0"/>
        <v>24</v>
      </c>
      <c r="W7" s="155">
        <f t="shared" si="0"/>
        <v>24</v>
      </c>
      <c r="X7" s="155">
        <f t="shared" si="0"/>
        <v>30</v>
      </c>
      <c r="Y7" s="155">
        <f t="shared" si="0"/>
        <v>30</v>
      </c>
      <c r="Z7" s="155">
        <f t="shared" si="0"/>
        <v>30</v>
      </c>
      <c r="AA7" s="155">
        <f t="shared" si="0"/>
        <v>30</v>
      </c>
      <c r="AB7" s="155">
        <f t="shared" si="0"/>
        <v>30</v>
      </c>
      <c r="AC7" s="155">
        <f t="shared" si="0"/>
        <v>30</v>
      </c>
      <c r="AD7" s="155">
        <f t="shared" si="0"/>
        <v>36</v>
      </c>
      <c r="AE7" s="155">
        <f t="shared" si="0"/>
        <v>36</v>
      </c>
      <c r="AF7" s="155">
        <f t="shared" si="0"/>
        <v>36</v>
      </c>
      <c r="AG7" s="155">
        <f t="shared" si="0"/>
        <v>36</v>
      </c>
      <c r="AH7" s="155">
        <f t="shared" si="0"/>
        <v>36</v>
      </c>
      <c r="AI7" s="155">
        <f t="shared" si="0"/>
        <v>36</v>
      </c>
      <c r="AJ7" s="155">
        <f t="shared" si="0"/>
        <v>42</v>
      </c>
      <c r="AK7" s="155">
        <f t="shared" si="0"/>
        <v>42</v>
      </c>
      <c r="AL7" s="155">
        <f t="shared" si="0"/>
        <v>42</v>
      </c>
      <c r="AM7" s="155">
        <f t="shared" si="0"/>
        <v>42</v>
      </c>
      <c r="AN7" s="155">
        <f t="shared" si="0"/>
        <v>42</v>
      </c>
      <c r="AO7" s="155">
        <f t="shared" si="0"/>
        <v>42</v>
      </c>
      <c r="AP7" s="155">
        <f t="shared" si="0"/>
        <v>48</v>
      </c>
      <c r="AQ7" s="155">
        <f t="shared" si="0"/>
        <v>48</v>
      </c>
      <c r="AR7" s="155">
        <f t="shared" si="0"/>
        <v>48</v>
      </c>
      <c r="AS7" s="155">
        <f t="shared" si="0"/>
        <v>48</v>
      </c>
      <c r="AT7" s="155">
        <f t="shared" si="0"/>
        <v>48</v>
      </c>
      <c r="AU7" s="155">
        <f t="shared" si="0"/>
        <v>48</v>
      </c>
      <c r="AV7" s="155">
        <f t="shared" si="0"/>
        <v>54</v>
      </c>
      <c r="AW7" s="155">
        <f t="shared" si="0"/>
        <v>54</v>
      </c>
      <c r="AX7" s="155">
        <f t="shared" si="0"/>
        <v>54</v>
      </c>
      <c r="AY7" s="155">
        <f t="shared" si="0"/>
        <v>54</v>
      </c>
      <c r="AZ7" s="155">
        <f t="shared" si="0"/>
        <v>54</v>
      </c>
      <c r="BA7" s="155">
        <f t="shared" si="0"/>
        <v>54</v>
      </c>
      <c r="BB7" s="155">
        <f t="shared" si="0"/>
        <v>60</v>
      </c>
      <c r="BC7" s="155">
        <f t="shared" si="0"/>
        <v>60</v>
      </c>
      <c r="BD7" s="155">
        <f t="shared" si="0"/>
        <v>60</v>
      </c>
      <c r="BE7" s="155">
        <f t="shared" si="0"/>
        <v>60</v>
      </c>
      <c r="BF7" s="155">
        <f t="shared" si="0"/>
        <v>60</v>
      </c>
      <c r="BG7" s="155">
        <f t="shared" si="0"/>
        <v>60</v>
      </c>
      <c r="BH7" s="155">
        <f t="shared" si="0"/>
        <v>60</v>
      </c>
      <c r="BI7" s="155">
        <f t="shared" si="0"/>
        <v>60</v>
      </c>
      <c r="BJ7" s="155">
        <f t="shared" si="0"/>
        <v>60</v>
      </c>
      <c r="BK7" s="155">
        <f t="shared" si="0"/>
        <v>60</v>
      </c>
      <c r="BL7" s="155">
        <f t="shared" si="0"/>
        <v>60</v>
      </c>
      <c r="BM7" s="155">
        <f t="shared" si="0"/>
        <v>60</v>
      </c>
      <c r="BN7" s="155">
        <f t="shared" si="0"/>
        <v>60</v>
      </c>
      <c r="BO7" s="155">
        <f t="shared" si="0"/>
        <v>60</v>
      </c>
      <c r="BP7" s="155">
        <f t="shared" si="0"/>
        <v>60</v>
      </c>
      <c r="BQ7" s="155">
        <f t="shared" si="0"/>
        <v>60</v>
      </c>
      <c r="BR7" s="155">
        <f t="shared" si="0"/>
        <v>60</v>
      </c>
      <c r="BS7" s="155">
        <f>SUM(BS8:BS41)</f>
        <v>60</v>
      </c>
    </row>
    <row r="8" spans="2:71">
      <c r="C8" s="139">
        <f>노선구성!B48</f>
        <v>1</v>
      </c>
      <c r="D8" s="139">
        <f>노선구성!C48</f>
        <v>737</v>
      </c>
      <c r="E8" s="139" t="str">
        <f>노선구성!D48</f>
        <v>M7</v>
      </c>
      <c r="F8" s="139">
        <f>노선구성!M48</f>
        <v>100</v>
      </c>
      <c r="G8" s="139">
        <f>IFERROR(ROUNDUP(F8*(52/12)/노선구성!M48,0)+1, )</f>
        <v>6</v>
      </c>
      <c r="L8" s="139">
        <f t="shared" ref="L8:L21" si="1">IF($E8=L$4,$G8,0)</f>
        <v>0</v>
      </c>
      <c r="M8" s="139">
        <f t="shared" ref="M8:M21" si="2">IF(L8&gt;0,$G8,IF($E8=M$4,$G8,0))</f>
        <v>0</v>
      </c>
      <c r="N8" s="139">
        <f>IF(M8&gt;0,$G$8,IF($E8=N4,$G$8,0))</f>
        <v>0</v>
      </c>
      <c r="O8" s="139">
        <f>IF(N8&gt;0,$G$8,IF($E8=O4,$G$8,0))</f>
        <v>0</v>
      </c>
      <c r="P8" s="139">
        <f>IF(O8&gt;0,$G$8,IF($E8=P4,$G$8,0))</f>
        <v>0</v>
      </c>
      <c r="Q8" s="139">
        <f>IF(P8&gt;0,$G$8,IF($E8=Q4,$G$8,0))</f>
        <v>0</v>
      </c>
      <c r="R8" s="139">
        <f>IF(Q8&gt;0,$G$8,IF($E8=R4,$G$8,0))</f>
        <v>6</v>
      </c>
      <c r="S8" s="139">
        <f>IF(R8&gt;0,$G$8,IF(K$8=S4,$G$8,0))</f>
        <v>6</v>
      </c>
      <c r="T8" s="139">
        <f>IF(S8&gt;0,$G$8,IF(L$8=T4,$G$8,0))</f>
        <v>6</v>
      </c>
      <c r="U8" s="139">
        <f t="shared" ref="U8:AZ8" si="3">IF(T8&gt;0,$G$8,IF($E8=U4,$G$8,0))</f>
        <v>6</v>
      </c>
      <c r="V8" s="139">
        <f t="shared" si="3"/>
        <v>6</v>
      </c>
      <c r="W8" s="139">
        <f t="shared" si="3"/>
        <v>6</v>
      </c>
      <c r="X8" s="139">
        <f t="shared" si="3"/>
        <v>6</v>
      </c>
      <c r="Y8" s="139">
        <f t="shared" si="3"/>
        <v>6</v>
      </c>
      <c r="Z8" s="139">
        <f t="shared" si="3"/>
        <v>6</v>
      </c>
      <c r="AA8" s="139">
        <f t="shared" si="3"/>
        <v>6</v>
      </c>
      <c r="AB8" s="139">
        <f t="shared" si="3"/>
        <v>6</v>
      </c>
      <c r="AC8" s="139">
        <f t="shared" si="3"/>
        <v>6</v>
      </c>
      <c r="AD8" s="139">
        <f t="shared" si="3"/>
        <v>6</v>
      </c>
      <c r="AE8" s="139">
        <f t="shared" si="3"/>
        <v>6</v>
      </c>
      <c r="AF8" s="139">
        <f t="shared" si="3"/>
        <v>6</v>
      </c>
      <c r="AG8" s="139">
        <f t="shared" si="3"/>
        <v>6</v>
      </c>
      <c r="AH8" s="139">
        <f t="shared" si="3"/>
        <v>6</v>
      </c>
      <c r="AI8" s="139">
        <f t="shared" si="3"/>
        <v>6</v>
      </c>
      <c r="AJ8" s="139">
        <f t="shared" si="3"/>
        <v>6</v>
      </c>
      <c r="AK8" s="139">
        <f t="shared" si="3"/>
        <v>6</v>
      </c>
      <c r="AL8" s="139">
        <f t="shared" si="3"/>
        <v>6</v>
      </c>
      <c r="AM8" s="139">
        <f t="shared" si="3"/>
        <v>6</v>
      </c>
      <c r="AN8" s="139">
        <f t="shared" si="3"/>
        <v>6</v>
      </c>
      <c r="AO8" s="139">
        <f t="shared" si="3"/>
        <v>6</v>
      </c>
      <c r="AP8" s="139">
        <f t="shared" si="3"/>
        <v>6</v>
      </c>
      <c r="AQ8" s="139">
        <f t="shared" si="3"/>
        <v>6</v>
      </c>
      <c r="AR8" s="139">
        <f t="shared" si="3"/>
        <v>6</v>
      </c>
      <c r="AS8" s="139">
        <f t="shared" si="3"/>
        <v>6</v>
      </c>
      <c r="AT8" s="139">
        <f t="shared" si="3"/>
        <v>6</v>
      </c>
      <c r="AU8" s="139">
        <f t="shared" si="3"/>
        <v>6</v>
      </c>
      <c r="AV8" s="139">
        <f t="shared" si="3"/>
        <v>6</v>
      </c>
      <c r="AW8" s="139">
        <f t="shared" si="3"/>
        <v>6</v>
      </c>
      <c r="AX8" s="139">
        <f t="shared" si="3"/>
        <v>6</v>
      </c>
      <c r="AY8" s="139">
        <f t="shared" si="3"/>
        <v>6</v>
      </c>
      <c r="AZ8" s="139">
        <f t="shared" si="3"/>
        <v>6</v>
      </c>
      <c r="BA8" s="139">
        <f t="shared" ref="BA8:BS8" si="4">IF(AZ8&gt;0,$G$8,IF($E8=BA4,$G$8,0))</f>
        <v>6</v>
      </c>
      <c r="BB8" s="139">
        <f t="shared" si="4"/>
        <v>6</v>
      </c>
      <c r="BC8" s="139">
        <f t="shared" si="4"/>
        <v>6</v>
      </c>
      <c r="BD8" s="139">
        <f t="shared" si="4"/>
        <v>6</v>
      </c>
      <c r="BE8" s="139">
        <f t="shared" si="4"/>
        <v>6</v>
      </c>
      <c r="BF8" s="139">
        <f t="shared" si="4"/>
        <v>6</v>
      </c>
      <c r="BG8" s="139">
        <f t="shared" si="4"/>
        <v>6</v>
      </c>
      <c r="BH8" s="139">
        <f t="shared" si="4"/>
        <v>6</v>
      </c>
      <c r="BI8" s="139">
        <f t="shared" si="4"/>
        <v>6</v>
      </c>
      <c r="BJ8" s="139">
        <f t="shared" si="4"/>
        <v>6</v>
      </c>
      <c r="BK8" s="139">
        <f t="shared" si="4"/>
        <v>6</v>
      </c>
      <c r="BL8" s="139">
        <f t="shared" si="4"/>
        <v>6</v>
      </c>
      <c r="BM8" s="139">
        <f t="shared" si="4"/>
        <v>6</v>
      </c>
      <c r="BN8" s="139">
        <f t="shared" si="4"/>
        <v>6</v>
      </c>
      <c r="BO8" s="139">
        <f t="shared" si="4"/>
        <v>6</v>
      </c>
      <c r="BP8" s="139">
        <f t="shared" si="4"/>
        <v>6</v>
      </c>
      <c r="BQ8" s="139">
        <f t="shared" si="4"/>
        <v>6</v>
      </c>
      <c r="BR8" s="139">
        <f t="shared" si="4"/>
        <v>6</v>
      </c>
      <c r="BS8" s="139">
        <f t="shared" si="4"/>
        <v>6</v>
      </c>
    </row>
    <row r="9" spans="2:71">
      <c r="C9" s="139">
        <f>노선구성!B49</f>
        <v>2</v>
      </c>
      <c r="D9" s="139">
        <f>노선구성!C49</f>
        <v>737</v>
      </c>
      <c r="E9" s="139" t="str">
        <f>노선구성!D49</f>
        <v>M7</v>
      </c>
      <c r="F9" s="139">
        <f>노선구성!M49</f>
        <v>120</v>
      </c>
      <c r="G9" s="139">
        <f>IFERROR(ROUNDUP(F9*(52/12)/노선구성!M49,0)+1, )</f>
        <v>6</v>
      </c>
      <c r="L9" s="139">
        <f t="shared" si="1"/>
        <v>0</v>
      </c>
      <c r="M9" s="139">
        <f t="shared" si="2"/>
        <v>0</v>
      </c>
      <c r="N9" s="139">
        <f t="shared" ref="N9:BS13" si="5">IF(M9&gt;0,$G9,IF($E9=N$4,$G9,0))</f>
        <v>0</v>
      </c>
      <c r="O9" s="139">
        <f t="shared" si="5"/>
        <v>0</v>
      </c>
      <c r="P9" s="139">
        <f t="shared" si="5"/>
        <v>0</v>
      </c>
      <c r="Q9" s="139">
        <f t="shared" si="5"/>
        <v>0</v>
      </c>
      <c r="R9" s="139">
        <f t="shared" si="5"/>
        <v>6</v>
      </c>
      <c r="S9" s="139">
        <f t="shared" si="5"/>
        <v>6</v>
      </c>
      <c r="T9" s="139">
        <f t="shared" si="5"/>
        <v>6</v>
      </c>
      <c r="U9" s="139">
        <f t="shared" si="5"/>
        <v>6</v>
      </c>
      <c r="V9" s="139">
        <f t="shared" si="5"/>
        <v>6</v>
      </c>
      <c r="W9" s="139">
        <f t="shared" si="5"/>
        <v>6</v>
      </c>
      <c r="X9" s="139">
        <f t="shared" si="5"/>
        <v>6</v>
      </c>
      <c r="Y9" s="139">
        <f t="shared" si="5"/>
        <v>6</v>
      </c>
      <c r="Z9" s="139">
        <f t="shared" si="5"/>
        <v>6</v>
      </c>
      <c r="AA9" s="139">
        <f t="shared" si="5"/>
        <v>6</v>
      </c>
      <c r="AB9" s="139">
        <f t="shared" si="5"/>
        <v>6</v>
      </c>
      <c r="AC9" s="139">
        <f t="shared" si="5"/>
        <v>6</v>
      </c>
      <c r="AD9" s="139">
        <f t="shared" si="5"/>
        <v>6</v>
      </c>
      <c r="AE9" s="139">
        <f t="shared" si="5"/>
        <v>6</v>
      </c>
      <c r="AF9" s="139">
        <f t="shared" si="5"/>
        <v>6</v>
      </c>
      <c r="AG9" s="139">
        <f t="shared" si="5"/>
        <v>6</v>
      </c>
      <c r="AH9" s="139">
        <f t="shared" si="5"/>
        <v>6</v>
      </c>
      <c r="AI9" s="139">
        <f t="shared" si="5"/>
        <v>6</v>
      </c>
      <c r="AJ9" s="139">
        <f t="shared" si="5"/>
        <v>6</v>
      </c>
      <c r="AK9" s="139">
        <f t="shared" si="5"/>
        <v>6</v>
      </c>
      <c r="AL9" s="139">
        <f t="shared" si="5"/>
        <v>6</v>
      </c>
      <c r="AM9" s="139">
        <f t="shared" si="5"/>
        <v>6</v>
      </c>
      <c r="AN9" s="139">
        <f t="shared" si="5"/>
        <v>6</v>
      </c>
      <c r="AO9" s="139">
        <f t="shared" si="5"/>
        <v>6</v>
      </c>
      <c r="AP9" s="139">
        <f t="shared" si="5"/>
        <v>6</v>
      </c>
      <c r="AQ9" s="139">
        <f t="shared" si="5"/>
        <v>6</v>
      </c>
      <c r="AR9" s="139">
        <f t="shared" si="5"/>
        <v>6</v>
      </c>
      <c r="AS9" s="139">
        <f t="shared" si="5"/>
        <v>6</v>
      </c>
      <c r="AT9" s="139">
        <f t="shared" si="5"/>
        <v>6</v>
      </c>
      <c r="AU9" s="139">
        <f t="shared" si="5"/>
        <v>6</v>
      </c>
      <c r="AV9" s="139">
        <f t="shared" si="5"/>
        <v>6</v>
      </c>
      <c r="AW9" s="139">
        <f t="shared" si="5"/>
        <v>6</v>
      </c>
      <c r="AX9" s="139">
        <f t="shared" si="5"/>
        <v>6</v>
      </c>
      <c r="AY9" s="139">
        <f t="shared" si="5"/>
        <v>6</v>
      </c>
      <c r="AZ9" s="139">
        <f t="shared" si="5"/>
        <v>6</v>
      </c>
      <c r="BA9" s="139">
        <f t="shared" si="5"/>
        <v>6</v>
      </c>
      <c r="BB9" s="139">
        <f t="shared" si="5"/>
        <v>6</v>
      </c>
      <c r="BC9" s="139">
        <f t="shared" si="5"/>
        <v>6</v>
      </c>
      <c r="BD9" s="139">
        <f t="shared" si="5"/>
        <v>6</v>
      </c>
      <c r="BE9" s="139">
        <f t="shared" si="5"/>
        <v>6</v>
      </c>
      <c r="BF9" s="139">
        <f t="shared" si="5"/>
        <v>6</v>
      </c>
      <c r="BG9" s="139">
        <f t="shared" si="5"/>
        <v>6</v>
      </c>
      <c r="BH9" s="139">
        <f t="shared" si="5"/>
        <v>6</v>
      </c>
      <c r="BI9" s="139">
        <f t="shared" si="5"/>
        <v>6</v>
      </c>
      <c r="BJ9" s="139">
        <f t="shared" si="5"/>
        <v>6</v>
      </c>
      <c r="BK9" s="139">
        <f t="shared" si="5"/>
        <v>6</v>
      </c>
      <c r="BL9" s="139">
        <f t="shared" si="5"/>
        <v>6</v>
      </c>
      <c r="BM9" s="139">
        <f t="shared" si="5"/>
        <v>6</v>
      </c>
      <c r="BN9" s="139">
        <f t="shared" si="5"/>
        <v>6</v>
      </c>
      <c r="BO9" s="139">
        <f t="shared" si="5"/>
        <v>6</v>
      </c>
      <c r="BP9" s="139">
        <f t="shared" si="5"/>
        <v>6</v>
      </c>
      <c r="BQ9" s="139">
        <f t="shared" si="5"/>
        <v>6</v>
      </c>
      <c r="BR9" s="139">
        <f t="shared" si="5"/>
        <v>6</v>
      </c>
      <c r="BS9" s="139">
        <f t="shared" si="5"/>
        <v>6</v>
      </c>
    </row>
    <row r="10" spans="2:71">
      <c r="C10" s="139">
        <f>노선구성!B50</f>
        <v>3</v>
      </c>
      <c r="D10" s="139">
        <f>노선구성!C50</f>
        <v>737</v>
      </c>
      <c r="E10" s="139" t="str">
        <f>노선구성!D50</f>
        <v>M7</v>
      </c>
      <c r="F10" s="139">
        <f>노선구성!M50</f>
        <v>117</v>
      </c>
      <c r="G10" s="139">
        <f>IFERROR(ROUNDUP(F10*(52/12)/노선구성!M50,0)+1, )</f>
        <v>6</v>
      </c>
      <c r="L10" s="139">
        <f t="shared" si="1"/>
        <v>0</v>
      </c>
      <c r="M10" s="139">
        <f t="shared" si="2"/>
        <v>0</v>
      </c>
      <c r="N10" s="139">
        <f t="shared" si="5"/>
        <v>0</v>
      </c>
      <c r="O10" s="139">
        <f t="shared" si="5"/>
        <v>0</v>
      </c>
      <c r="P10" s="139">
        <f t="shared" si="5"/>
        <v>0</v>
      </c>
      <c r="Q10" s="139">
        <f t="shared" si="5"/>
        <v>0</v>
      </c>
      <c r="R10" s="139">
        <f t="shared" si="5"/>
        <v>6</v>
      </c>
      <c r="S10" s="139">
        <f t="shared" si="5"/>
        <v>6</v>
      </c>
      <c r="T10" s="139">
        <f t="shared" si="5"/>
        <v>6</v>
      </c>
      <c r="U10" s="139">
        <f t="shared" si="5"/>
        <v>6</v>
      </c>
      <c r="V10" s="139">
        <f t="shared" si="5"/>
        <v>6</v>
      </c>
      <c r="W10" s="139">
        <f t="shared" si="5"/>
        <v>6</v>
      </c>
      <c r="X10" s="139">
        <f t="shared" si="5"/>
        <v>6</v>
      </c>
      <c r="Y10" s="139">
        <f t="shared" si="5"/>
        <v>6</v>
      </c>
      <c r="Z10" s="139">
        <f t="shared" si="5"/>
        <v>6</v>
      </c>
      <c r="AA10" s="139">
        <f t="shared" si="5"/>
        <v>6</v>
      </c>
      <c r="AB10" s="139">
        <f t="shared" si="5"/>
        <v>6</v>
      </c>
      <c r="AC10" s="139">
        <f t="shared" si="5"/>
        <v>6</v>
      </c>
      <c r="AD10" s="139">
        <f t="shared" si="5"/>
        <v>6</v>
      </c>
      <c r="AE10" s="139">
        <f t="shared" si="5"/>
        <v>6</v>
      </c>
      <c r="AF10" s="139">
        <f t="shared" si="5"/>
        <v>6</v>
      </c>
      <c r="AG10" s="139">
        <f t="shared" si="5"/>
        <v>6</v>
      </c>
      <c r="AH10" s="139">
        <f t="shared" si="5"/>
        <v>6</v>
      </c>
      <c r="AI10" s="139">
        <f t="shared" si="5"/>
        <v>6</v>
      </c>
      <c r="AJ10" s="139">
        <f t="shared" si="5"/>
        <v>6</v>
      </c>
      <c r="AK10" s="139">
        <f t="shared" si="5"/>
        <v>6</v>
      </c>
      <c r="AL10" s="139">
        <f t="shared" si="5"/>
        <v>6</v>
      </c>
      <c r="AM10" s="139">
        <f t="shared" si="5"/>
        <v>6</v>
      </c>
      <c r="AN10" s="139">
        <f t="shared" si="5"/>
        <v>6</v>
      </c>
      <c r="AO10" s="139">
        <f t="shared" si="5"/>
        <v>6</v>
      </c>
      <c r="AP10" s="139">
        <f t="shared" si="5"/>
        <v>6</v>
      </c>
      <c r="AQ10" s="139">
        <f t="shared" si="5"/>
        <v>6</v>
      </c>
      <c r="AR10" s="139">
        <f t="shared" si="5"/>
        <v>6</v>
      </c>
      <c r="AS10" s="139">
        <f t="shared" si="5"/>
        <v>6</v>
      </c>
      <c r="AT10" s="139">
        <f t="shared" si="5"/>
        <v>6</v>
      </c>
      <c r="AU10" s="139">
        <f t="shared" si="5"/>
        <v>6</v>
      </c>
      <c r="AV10" s="139">
        <f t="shared" si="5"/>
        <v>6</v>
      </c>
      <c r="AW10" s="139">
        <f t="shared" si="5"/>
        <v>6</v>
      </c>
      <c r="AX10" s="139">
        <f t="shared" si="5"/>
        <v>6</v>
      </c>
      <c r="AY10" s="139">
        <f t="shared" si="5"/>
        <v>6</v>
      </c>
      <c r="AZ10" s="139">
        <f t="shared" si="5"/>
        <v>6</v>
      </c>
      <c r="BA10" s="139">
        <f t="shared" si="5"/>
        <v>6</v>
      </c>
      <c r="BB10" s="139">
        <f t="shared" si="5"/>
        <v>6</v>
      </c>
      <c r="BC10" s="139">
        <f t="shared" si="5"/>
        <v>6</v>
      </c>
      <c r="BD10" s="139">
        <f t="shared" si="5"/>
        <v>6</v>
      </c>
      <c r="BE10" s="139">
        <f t="shared" si="5"/>
        <v>6</v>
      </c>
      <c r="BF10" s="139">
        <f t="shared" si="5"/>
        <v>6</v>
      </c>
      <c r="BG10" s="139">
        <f t="shared" si="5"/>
        <v>6</v>
      </c>
      <c r="BH10" s="139">
        <f t="shared" si="5"/>
        <v>6</v>
      </c>
      <c r="BI10" s="139">
        <f t="shared" si="5"/>
        <v>6</v>
      </c>
      <c r="BJ10" s="139">
        <f t="shared" si="5"/>
        <v>6</v>
      </c>
      <c r="BK10" s="139">
        <f t="shared" si="5"/>
        <v>6</v>
      </c>
      <c r="BL10" s="139">
        <f t="shared" si="5"/>
        <v>6</v>
      </c>
      <c r="BM10" s="139">
        <f t="shared" si="5"/>
        <v>6</v>
      </c>
      <c r="BN10" s="139">
        <f t="shared" si="5"/>
        <v>6</v>
      </c>
      <c r="BO10" s="139">
        <f t="shared" si="5"/>
        <v>6</v>
      </c>
      <c r="BP10" s="139">
        <f t="shared" si="5"/>
        <v>6</v>
      </c>
      <c r="BQ10" s="139">
        <f t="shared" si="5"/>
        <v>6</v>
      </c>
      <c r="BR10" s="139">
        <f t="shared" si="5"/>
        <v>6</v>
      </c>
      <c r="BS10" s="139">
        <f t="shared" si="5"/>
        <v>6</v>
      </c>
    </row>
    <row r="11" spans="2:71">
      <c r="C11" s="139">
        <f>노선구성!B51</f>
        <v>4</v>
      </c>
      <c r="D11" s="139">
        <f>노선구성!C51</f>
        <v>767</v>
      </c>
      <c r="E11" s="139" t="str">
        <f>노선구성!D51</f>
        <v>M7</v>
      </c>
      <c r="F11" s="139">
        <f>노선구성!M51</f>
        <v>98</v>
      </c>
      <c r="G11" s="139">
        <f>IFERROR(ROUNDUP(F11*(52/12)/노선구성!M51,0)+1, )</f>
        <v>6</v>
      </c>
      <c r="L11" s="139">
        <f t="shared" si="1"/>
        <v>0</v>
      </c>
      <c r="M11" s="139">
        <f t="shared" si="2"/>
        <v>0</v>
      </c>
      <c r="N11" s="139">
        <f t="shared" si="5"/>
        <v>0</v>
      </c>
      <c r="O11" s="139">
        <f t="shared" si="5"/>
        <v>0</v>
      </c>
      <c r="P11" s="139">
        <f t="shared" si="5"/>
        <v>0</v>
      </c>
      <c r="Q11" s="139">
        <f t="shared" si="5"/>
        <v>0</v>
      </c>
      <c r="R11" s="139">
        <f t="shared" si="5"/>
        <v>6</v>
      </c>
      <c r="S11" s="139">
        <f t="shared" si="5"/>
        <v>6</v>
      </c>
      <c r="T11" s="139">
        <f t="shared" si="5"/>
        <v>6</v>
      </c>
      <c r="U11" s="139">
        <f t="shared" si="5"/>
        <v>6</v>
      </c>
      <c r="V11" s="139">
        <f t="shared" si="5"/>
        <v>6</v>
      </c>
      <c r="W11" s="139">
        <f t="shared" si="5"/>
        <v>6</v>
      </c>
      <c r="X11" s="139">
        <f t="shared" si="5"/>
        <v>6</v>
      </c>
      <c r="Y11" s="139">
        <f t="shared" si="5"/>
        <v>6</v>
      </c>
      <c r="Z11" s="139">
        <f t="shared" si="5"/>
        <v>6</v>
      </c>
      <c r="AA11" s="139">
        <f t="shared" si="5"/>
        <v>6</v>
      </c>
      <c r="AB11" s="139">
        <f t="shared" si="5"/>
        <v>6</v>
      </c>
      <c r="AC11" s="139">
        <f t="shared" si="5"/>
        <v>6</v>
      </c>
      <c r="AD11" s="139">
        <f t="shared" si="5"/>
        <v>6</v>
      </c>
      <c r="AE11" s="139">
        <f t="shared" si="5"/>
        <v>6</v>
      </c>
      <c r="AF11" s="139">
        <f t="shared" si="5"/>
        <v>6</v>
      </c>
      <c r="AG11" s="139">
        <f t="shared" si="5"/>
        <v>6</v>
      </c>
      <c r="AH11" s="139">
        <f t="shared" si="5"/>
        <v>6</v>
      </c>
      <c r="AI11" s="139">
        <f t="shared" si="5"/>
        <v>6</v>
      </c>
      <c r="AJ11" s="139">
        <f t="shared" si="5"/>
        <v>6</v>
      </c>
      <c r="AK11" s="139">
        <f t="shared" si="5"/>
        <v>6</v>
      </c>
      <c r="AL11" s="139">
        <f t="shared" si="5"/>
        <v>6</v>
      </c>
      <c r="AM11" s="139">
        <f t="shared" si="5"/>
        <v>6</v>
      </c>
      <c r="AN11" s="139">
        <f t="shared" si="5"/>
        <v>6</v>
      </c>
      <c r="AO11" s="139">
        <f t="shared" si="5"/>
        <v>6</v>
      </c>
      <c r="AP11" s="139">
        <f t="shared" si="5"/>
        <v>6</v>
      </c>
      <c r="AQ11" s="139">
        <f t="shared" si="5"/>
        <v>6</v>
      </c>
      <c r="AR11" s="139">
        <f t="shared" si="5"/>
        <v>6</v>
      </c>
      <c r="AS11" s="139">
        <f t="shared" si="5"/>
        <v>6</v>
      </c>
      <c r="AT11" s="139">
        <f t="shared" si="5"/>
        <v>6</v>
      </c>
      <c r="AU11" s="139">
        <f t="shared" si="5"/>
        <v>6</v>
      </c>
      <c r="AV11" s="139">
        <f t="shared" si="5"/>
        <v>6</v>
      </c>
      <c r="AW11" s="139">
        <f t="shared" si="5"/>
        <v>6</v>
      </c>
      <c r="AX11" s="139">
        <f t="shared" si="5"/>
        <v>6</v>
      </c>
      <c r="AY11" s="139">
        <f t="shared" si="5"/>
        <v>6</v>
      </c>
      <c r="AZ11" s="139">
        <f t="shared" si="5"/>
        <v>6</v>
      </c>
      <c r="BA11" s="139">
        <f t="shared" si="5"/>
        <v>6</v>
      </c>
      <c r="BB11" s="139">
        <f t="shared" si="5"/>
        <v>6</v>
      </c>
      <c r="BC11" s="139">
        <f t="shared" si="5"/>
        <v>6</v>
      </c>
      <c r="BD11" s="139">
        <f t="shared" si="5"/>
        <v>6</v>
      </c>
      <c r="BE11" s="139">
        <f t="shared" si="5"/>
        <v>6</v>
      </c>
      <c r="BF11" s="139">
        <f t="shared" si="5"/>
        <v>6</v>
      </c>
      <c r="BG11" s="139">
        <f t="shared" si="5"/>
        <v>6</v>
      </c>
      <c r="BH11" s="139">
        <f t="shared" si="5"/>
        <v>6</v>
      </c>
      <c r="BI11" s="139">
        <f t="shared" si="5"/>
        <v>6</v>
      </c>
      <c r="BJ11" s="139">
        <f t="shared" si="5"/>
        <v>6</v>
      </c>
      <c r="BK11" s="139">
        <f t="shared" si="5"/>
        <v>6</v>
      </c>
      <c r="BL11" s="139">
        <f t="shared" si="5"/>
        <v>6</v>
      </c>
      <c r="BM11" s="139">
        <f t="shared" si="5"/>
        <v>6</v>
      </c>
      <c r="BN11" s="139">
        <f t="shared" si="5"/>
        <v>6</v>
      </c>
      <c r="BO11" s="139">
        <f t="shared" si="5"/>
        <v>6</v>
      </c>
      <c r="BP11" s="139">
        <f t="shared" si="5"/>
        <v>6</v>
      </c>
      <c r="BQ11" s="139">
        <f t="shared" si="5"/>
        <v>6</v>
      </c>
      <c r="BR11" s="139">
        <f t="shared" si="5"/>
        <v>6</v>
      </c>
      <c r="BS11" s="139">
        <f t="shared" si="5"/>
        <v>6</v>
      </c>
    </row>
    <row r="12" spans="2:71">
      <c r="C12" s="139">
        <f>노선구성!B52</f>
        <v>5</v>
      </c>
      <c r="D12" s="139">
        <f>노선구성!C52</f>
        <v>737</v>
      </c>
      <c r="E12" s="139" t="str">
        <f>노선구성!D52</f>
        <v>M13</v>
      </c>
      <c r="F12" s="139">
        <f>노선구성!M52</f>
        <v>100</v>
      </c>
      <c r="G12" s="139">
        <f>IFERROR(ROUNDUP(F12*(52/12)/노선구성!M52,0)+1, )</f>
        <v>6</v>
      </c>
      <c r="L12" s="139">
        <f t="shared" si="1"/>
        <v>0</v>
      </c>
      <c r="M12" s="139">
        <f t="shared" si="2"/>
        <v>0</v>
      </c>
      <c r="N12" s="139">
        <f t="shared" si="5"/>
        <v>0</v>
      </c>
      <c r="O12" s="139">
        <f t="shared" si="5"/>
        <v>0</v>
      </c>
      <c r="P12" s="139">
        <f t="shared" si="5"/>
        <v>0</v>
      </c>
      <c r="Q12" s="139">
        <f t="shared" si="5"/>
        <v>0</v>
      </c>
      <c r="R12" s="139">
        <f t="shared" si="5"/>
        <v>0</v>
      </c>
      <c r="S12" s="139">
        <f t="shared" si="5"/>
        <v>0</v>
      </c>
      <c r="T12" s="139">
        <f t="shared" si="5"/>
        <v>0</v>
      </c>
      <c r="U12" s="139">
        <f t="shared" si="5"/>
        <v>0</v>
      </c>
      <c r="V12" s="139">
        <f t="shared" si="5"/>
        <v>0</v>
      </c>
      <c r="W12" s="139">
        <f t="shared" si="5"/>
        <v>0</v>
      </c>
      <c r="X12" s="139">
        <f t="shared" si="5"/>
        <v>6</v>
      </c>
      <c r="Y12" s="139">
        <f t="shared" si="5"/>
        <v>6</v>
      </c>
      <c r="Z12" s="139">
        <f t="shared" si="5"/>
        <v>6</v>
      </c>
      <c r="AA12" s="139">
        <f t="shared" si="5"/>
        <v>6</v>
      </c>
      <c r="AB12" s="139">
        <f t="shared" si="5"/>
        <v>6</v>
      </c>
      <c r="AC12" s="139">
        <f t="shared" si="5"/>
        <v>6</v>
      </c>
      <c r="AD12" s="139">
        <f t="shared" si="5"/>
        <v>6</v>
      </c>
      <c r="AE12" s="139">
        <f t="shared" si="5"/>
        <v>6</v>
      </c>
      <c r="AF12" s="139">
        <f t="shared" si="5"/>
        <v>6</v>
      </c>
      <c r="AG12" s="139">
        <f t="shared" si="5"/>
        <v>6</v>
      </c>
      <c r="AH12" s="139">
        <f t="shared" si="5"/>
        <v>6</v>
      </c>
      <c r="AI12" s="139">
        <f t="shared" si="5"/>
        <v>6</v>
      </c>
      <c r="AJ12" s="139">
        <f t="shared" si="5"/>
        <v>6</v>
      </c>
      <c r="AK12" s="139">
        <f t="shared" si="5"/>
        <v>6</v>
      </c>
      <c r="AL12" s="139">
        <f t="shared" si="5"/>
        <v>6</v>
      </c>
      <c r="AM12" s="139">
        <f t="shared" si="5"/>
        <v>6</v>
      </c>
      <c r="AN12" s="139">
        <f t="shared" si="5"/>
        <v>6</v>
      </c>
      <c r="AO12" s="139">
        <f t="shared" si="5"/>
        <v>6</v>
      </c>
      <c r="AP12" s="139">
        <f t="shared" si="5"/>
        <v>6</v>
      </c>
      <c r="AQ12" s="139">
        <f t="shared" si="5"/>
        <v>6</v>
      </c>
      <c r="AR12" s="139">
        <f t="shared" si="5"/>
        <v>6</v>
      </c>
      <c r="AS12" s="139">
        <f t="shared" si="5"/>
        <v>6</v>
      </c>
      <c r="AT12" s="139">
        <f t="shared" si="5"/>
        <v>6</v>
      </c>
      <c r="AU12" s="139">
        <f t="shared" si="5"/>
        <v>6</v>
      </c>
      <c r="AV12" s="139">
        <f t="shared" si="5"/>
        <v>6</v>
      </c>
      <c r="AW12" s="139">
        <f t="shared" si="5"/>
        <v>6</v>
      </c>
      <c r="AX12" s="139">
        <f t="shared" si="5"/>
        <v>6</v>
      </c>
      <c r="AY12" s="139">
        <f t="shared" si="5"/>
        <v>6</v>
      </c>
      <c r="AZ12" s="139">
        <f t="shared" si="5"/>
        <v>6</v>
      </c>
      <c r="BA12" s="139">
        <f t="shared" si="5"/>
        <v>6</v>
      </c>
      <c r="BB12" s="139">
        <f t="shared" si="5"/>
        <v>6</v>
      </c>
      <c r="BC12" s="139">
        <f t="shared" si="5"/>
        <v>6</v>
      </c>
      <c r="BD12" s="139">
        <f t="shared" si="5"/>
        <v>6</v>
      </c>
      <c r="BE12" s="139">
        <f t="shared" si="5"/>
        <v>6</v>
      </c>
      <c r="BF12" s="139">
        <f t="shared" si="5"/>
        <v>6</v>
      </c>
      <c r="BG12" s="139">
        <f t="shared" si="5"/>
        <v>6</v>
      </c>
      <c r="BH12" s="139">
        <f t="shared" si="5"/>
        <v>6</v>
      </c>
      <c r="BI12" s="139">
        <f t="shared" si="5"/>
        <v>6</v>
      </c>
      <c r="BJ12" s="139">
        <f t="shared" si="5"/>
        <v>6</v>
      </c>
      <c r="BK12" s="139">
        <f t="shared" si="5"/>
        <v>6</v>
      </c>
      <c r="BL12" s="139">
        <f t="shared" si="5"/>
        <v>6</v>
      </c>
      <c r="BM12" s="139">
        <f t="shared" si="5"/>
        <v>6</v>
      </c>
      <c r="BN12" s="139">
        <f t="shared" si="5"/>
        <v>6</v>
      </c>
      <c r="BO12" s="139">
        <f t="shared" si="5"/>
        <v>6</v>
      </c>
      <c r="BP12" s="139">
        <f t="shared" si="5"/>
        <v>6</v>
      </c>
      <c r="BQ12" s="139">
        <f t="shared" si="5"/>
        <v>6</v>
      </c>
      <c r="BR12" s="139">
        <f t="shared" si="5"/>
        <v>6</v>
      </c>
      <c r="BS12" s="139">
        <f t="shared" si="5"/>
        <v>6</v>
      </c>
    </row>
    <row r="13" spans="2:71">
      <c r="C13" s="139">
        <f>노선구성!B53</f>
        <v>6</v>
      </c>
      <c r="D13" s="139">
        <f>노선구성!C53</f>
        <v>767</v>
      </c>
      <c r="E13" s="139" t="str">
        <f>노선구성!D53</f>
        <v>M19</v>
      </c>
      <c r="F13" s="139">
        <f>노선구성!M53</f>
        <v>111</v>
      </c>
      <c r="G13" s="139">
        <f>IFERROR(ROUNDUP(F13*(52/12)/노선구성!M53,0)+1, )</f>
        <v>6</v>
      </c>
      <c r="L13" s="139">
        <f t="shared" si="1"/>
        <v>0</v>
      </c>
      <c r="M13" s="139">
        <f t="shared" si="2"/>
        <v>0</v>
      </c>
      <c r="N13" s="139">
        <f t="shared" si="5"/>
        <v>0</v>
      </c>
      <c r="O13" s="139">
        <f t="shared" si="5"/>
        <v>0</v>
      </c>
      <c r="P13" s="139">
        <f t="shared" si="5"/>
        <v>0</v>
      </c>
      <c r="Q13" s="139">
        <f t="shared" si="5"/>
        <v>0</v>
      </c>
      <c r="R13" s="139">
        <f t="shared" si="5"/>
        <v>0</v>
      </c>
      <c r="S13" s="139">
        <f t="shared" si="5"/>
        <v>0</v>
      </c>
      <c r="T13" s="139">
        <f t="shared" si="5"/>
        <v>0</v>
      </c>
      <c r="U13" s="139">
        <f t="shared" si="5"/>
        <v>0</v>
      </c>
      <c r="V13" s="139">
        <f t="shared" si="5"/>
        <v>0</v>
      </c>
      <c r="W13" s="139">
        <f t="shared" si="5"/>
        <v>0</v>
      </c>
      <c r="X13" s="139">
        <f t="shared" si="5"/>
        <v>0</v>
      </c>
      <c r="Y13" s="139">
        <f t="shared" si="5"/>
        <v>0</v>
      </c>
      <c r="Z13" s="139">
        <f t="shared" si="5"/>
        <v>0</v>
      </c>
      <c r="AA13" s="139">
        <f t="shared" si="5"/>
        <v>0</v>
      </c>
      <c r="AB13" s="139">
        <f t="shared" si="5"/>
        <v>0</v>
      </c>
      <c r="AC13" s="139">
        <f t="shared" si="5"/>
        <v>0</v>
      </c>
      <c r="AD13" s="139">
        <f t="shared" si="5"/>
        <v>6</v>
      </c>
      <c r="AE13" s="139">
        <f t="shared" si="5"/>
        <v>6</v>
      </c>
      <c r="AF13" s="139">
        <f t="shared" si="5"/>
        <v>6</v>
      </c>
      <c r="AG13" s="139">
        <f t="shared" si="5"/>
        <v>6</v>
      </c>
      <c r="AH13" s="139">
        <f t="shared" si="5"/>
        <v>6</v>
      </c>
      <c r="AI13" s="139">
        <f t="shared" si="5"/>
        <v>6</v>
      </c>
      <c r="AJ13" s="139">
        <f t="shared" si="5"/>
        <v>6</v>
      </c>
      <c r="AK13" s="139">
        <f t="shared" ref="AK13:BS13" si="6">IF(AJ13&gt;0,$G13,IF($E13=AK$4,$G13,0))</f>
        <v>6</v>
      </c>
      <c r="AL13" s="139">
        <f t="shared" si="6"/>
        <v>6</v>
      </c>
      <c r="AM13" s="139">
        <f t="shared" si="6"/>
        <v>6</v>
      </c>
      <c r="AN13" s="139">
        <f t="shared" si="6"/>
        <v>6</v>
      </c>
      <c r="AO13" s="139">
        <f t="shared" si="6"/>
        <v>6</v>
      </c>
      <c r="AP13" s="139">
        <f t="shared" si="6"/>
        <v>6</v>
      </c>
      <c r="AQ13" s="139">
        <f t="shared" si="6"/>
        <v>6</v>
      </c>
      <c r="AR13" s="139">
        <f t="shared" si="6"/>
        <v>6</v>
      </c>
      <c r="AS13" s="139">
        <f t="shared" si="6"/>
        <v>6</v>
      </c>
      <c r="AT13" s="139">
        <f t="shared" si="6"/>
        <v>6</v>
      </c>
      <c r="AU13" s="139">
        <f t="shared" si="6"/>
        <v>6</v>
      </c>
      <c r="AV13" s="139">
        <f t="shared" si="6"/>
        <v>6</v>
      </c>
      <c r="AW13" s="139">
        <f t="shared" si="6"/>
        <v>6</v>
      </c>
      <c r="AX13" s="139">
        <f t="shared" si="6"/>
        <v>6</v>
      </c>
      <c r="AY13" s="139">
        <f t="shared" si="6"/>
        <v>6</v>
      </c>
      <c r="AZ13" s="139">
        <f t="shared" si="6"/>
        <v>6</v>
      </c>
      <c r="BA13" s="139">
        <f t="shared" si="6"/>
        <v>6</v>
      </c>
      <c r="BB13" s="139">
        <f t="shared" si="6"/>
        <v>6</v>
      </c>
      <c r="BC13" s="139">
        <f t="shared" si="6"/>
        <v>6</v>
      </c>
      <c r="BD13" s="139">
        <f t="shared" si="6"/>
        <v>6</v>
      </c>
      <c r="BE13" s="139">
        <f t="shared" si="6"/>
        <v>6</v>
      </c>
      <c r="BF13" s="139">
        <f t="shared" si="6"/>
        <v>6</v>
      </c>
      <c r="BG13" s="139">
        <f t="shared" si="6"/>
        <v>6</v>
      </c>
      <c r="BH13" s="139">
        <f t="shared" si="6"/>
        <v>6</v>
      </c>
      <c r="BI13" s="139">
        <f t="shared" si="6"/>
        <v>6</v>
      </c>
      <c r="BJ13" s="139">
        <f t="shared" si="6"/>
        <v>6</v>
      </c>
      <c r="BK13" s="139">
        <f t="shared" si="6"/>
        <v>6</v>
      </c>
      <c r="BL13" s="139">
        <f t="shared" si="6"/>
        <v>6</v>
      </c>
      <c r="BM13" s="139">
        <f t="shared" si="6"/>
        <v>6</v>
      </c>
      <c r="BN13" s="139">
        <f t="shared" si="6"/>
        <v>6</v>
      </c>
      <c r="BO13" s="139">
        <f t="shared" si="6"/>
        <v>6</v>
      </c>
      <c r="BP13" s="139">
        <f t="shared" si="6"/>
        <v>6</v>
      </c>
      <c r="BQ13" s="139">
        <f t="shared" si="6"/>
        <v>6</v>
      </c>
      <c r="BR13" s="139">
        <f t="shared" si="6"/>
        <v>6</v>
      </c>
      <c r="BS13" s="139">
        <f t="shared" si="6"/>
        <v>6</v>
      </c>
    </row>
    <row r="14" spans="2:71">
      <c r="C14" s="139">
        <f>노선구성!B54</f>
        <v>7</v>
      </c>
      <c r="D14" s="139">
        <f>노선구성!C54</f>
        <v>737</v>
      </c>
      <c r="E14" s="139" t="str">
        <f>노선구성!D54</f>
        <v>M25</v>
      </c>
      <c r="F14" s="139">
        <f>노선구성!M54</f>
        <v>99</v>
      </c>
      <c r="G14" s="139">
        <f>IFERROR(ROUNDUP(F14*(52/12)/노선구성!M54,0)+1, )</f>
        <v>6</v>
      </c>
      <c r="L14" s="139">
        <f t="shared" si="1"/>
        <v>0</v>
      </c>
      <c r="M14" s="139">
        <f t="shared" si="2"/>
        <v>0</v>
      </c>
      <c r="N14" s="139">
        <f t="shared" ref="N14:BS18" si="7">IF(M14&gt;0,$G14,IF($E14=N$4,$G14,0))</f>
        <v>0</v>
      </c>
      <c r="O14" s="139">
        <f t="shared" si="7"/>
        <v>0</v>
      </c>
      <c r="P14" s="139">
        <f t="shared" si="7"/>
        <v>0</v>
      </c>
      <c r="Q14" s="139">
        <f t="shared" si="7"/>
        <v>0</v>
      </c>
      <c r="R14" s="139">
        <f t="shared" si="7"/>
        <v>0</v>
      </c>
      <c r="S14" s="139">
        <f t="shared" si="7"/>
        <v>0</v>
      </c>
      <c r="T14" s="139">
        <f t="shared" si="7"/>
        <v>0</v>
      </c>
      <c r="U14" s="139">
        <f t="shared" si="7"/>
        <v>0</v>
      </c>
      <c r="V14" s="139">
        <f t="shared" si="7"/>
        <v>0</v>
      </c>
      <c r="W14" s="139">
        <f t="shared" si="7"/>
        <v>0</v>
      </c>
      <c r="X14" s="139">
        <f t="shared" si="7"/>
        <v>0</v>
      </c>
      <c r="Y14" s="139">
        <f t="shared" si="7"/>
        <v>0</v>
      </c>
      <c r="Z14" s="139">
        <f t="shared" si="7"/>
        <v>0</v>
      </c>
      <c r="AA14" s="139">
        <f t="shared" si="7"/>
        <v>0</v>
      </c>
      <c r="AB14" s="139">
        <f t="shared" si="7"/>
        <v>0</v>
      </c>
      <c r="AC14" s="139">
        <f t="shared" si="7"/>
        <v>0</v>
      </c>
      <c r="AD14" s="139">
        <f t="shared" si="7"/>
        <v>0</v>
      </c>
      <c r="AE14" s="139">
        <f t="shared" si="7"/>
        <v>0</v>
      </c>
      <c r="AF14" s="139">
        <f t="shared" si="7"/>
        <v>0</v>
      </c>
      <c r="AG14" s="139">
        <f t="shared" si="7"/>
        <v>0</v>
      </c>
      <c r="AH14" s="139">
        <f t="shared" si="7"/>
        <v>0</v>
      </c>
      <c r="AI14" s="139">
        <f t="shared" si="7"/>
        <v>0</v>
      </c>
      <c r="AJ14" s="139">
        <f t="shared" si="7"/>
        <v>6</v>
      </c>
      <c r="AK14" s="139">
        <f t="shared" si="7"/>
        <v>6</v>
      </c>
      <c r="AL14" s="139">
        <f t="shared" si="7"/>
        <v>6</v>
      </c>
      <c r="AM14" s="139">
        <f t="shared" si="7"/>
        <v>6</v>
      </c>
      <c r="AN14" s="139">
        <f t="shared" si="7"/>
        <v>6</v>
      </c>
      <c r="AO14" s="139">
        <f t="shared" si="7"/>
        <v>6</v>
      </c>
      <c r="AP14" s="139">
        <f t="shared" si="7"/>
        <v>6</v>
      </c>
      <c r="AQ14" s="139">
        <f t="shared" si="7"/>
        <v>6</v>
      </c>
      <c r="AR14" s="139">
        <f t="shared" si="7"/>
        <v>6</v>
      </c>
      <c r="AS14" s="139">
        <f t="shared" si="7"/>
        <v>6</v>
      </c>
      <c r="AT14" s="139">
        <f t="shared" si="7"/>
        <v>6</v>
      </c>
      <c r="AU14" s="139">
        <f t="shared" si="7"/>
        <v>6</v>
      </c>
      <c r="AV14" s="139">
        <f t="shared" si="7"/>
        <v>6</v>
      </c>
      <c r="AW14" s="139">
        <f t="shared" si="7"/>
        <v>6</v>
      </c>
      <c r="AX14" s="139">
        <f t="shared" si="7"/>
        <v>6</v>
      </c>
      <c r="AY14" s="139">
        <f t="shared" si="7"/>
        <v>6</v>
      </c>
      <c r="AZ14" s="139">
        <f t="shared" si="7"/>
        <v>6</v>
      </c>
      <c r="BA14" s="139">
        <f t="shared" si="7"/>
        <v>6</v>
      </c>
      <c r="BB14" s="139">
        <f t="shared" si="7"/>
        <v>6</v>
      </c>
      <c r="BC14" s="139">
        <f t="shared" si="7"/>
        <v>6</v>
      </c>
      <c r="BD14" s="139">
        <f t="shared" si="7"/>
        <v>6</v>
      </c>
      <c r="BE14" s="139">
        <f t="shared" si="7"/>
        <v>6</v>
      </c>
      <c r="BF14" s="139">
        <f t="shared" si="7"/>
        <v>6</v>
      </c>
      <c r="BG14" s="139">
        <f t="shared" si="7"/>
        <v>6</v>
      </c>
      <c r="BH14" s="139">
        <f t="shared" si="7"/>
        <v>6</v>
      </c>
      <c r="BI14" s="139">
        <f t="shared" si="7"/>
        <v>6</v>
      </c>
      <c r="BJ14" s="139">
        <f t="shared" si="7"/>
        <v>6</v>
      </c>
      <c r="BK14" s="139">
        <f t="shared" si="7"/>
        <v>6</v>
      </c>
      <c r="BL14" s="139">
        <f t="shared" si="7"/>
        <v>6</v>
      </c>
      <c r="BM14" s="139">
        <f t="shared" si="7"/>
        <v>6</v>
      </c>
      <c r="BN14" s="139">
        <f t="shared" si="7"/>
        <v>6</v>
      </c>
      <c r="BO14" s="139">
        <f t="shared" si="7"/>
        <v>6</v>
      </c>
      <c r="BP14" s="139">
        <f t="shared" si="7"/>
        <v>6</v>
      </c>
      <c r="BQ14" s="139">
        <f t="shared" si="7"/>
        <v>6</v>
      </c>
      <c r="BR14" s="139">
        <f t="shared" si="7"/>
        <v>6</v>
      </c>
      <c r="BS14" s="139">
        <f t="shared" si="7"/>
        <v>6</v>
      </c>
    </row>
    <row r="15" spans="2:71">
      <c r="C15" s="139">
        <f>노선구성!B55</f>
        <v>8</v>
      </c>
      <c r="D15" s="139">
        <f>노선구성!C55</f>
        <v>767</v>
      </c>
      <c r="E15" s="139" t="str">
        <f>노선구성!D55</f>
        <v>M31</v>
      </c>
      <c r="F15" s="139">
        <f>노선구성!M55</f>
        <v>95</v>
      </c>
      <c r="G15" s="139">
        <f>IFERROR(ROUNDUP(F15*(52/12)/노선구성!M55,0)+1, )</f>
        <v>6</v>
      </c>
      <c r="L15" s="139">
        <f t="shared" si="1"/>
        <v>0</v>
      </c>
      <c r="M15" s="139">
        <f t="shared" si="2"/>
        <v>0</v>
      </c>
      <c r="N15" s="139">
        <f t="shared" si="7"/>
        <v>0</v>
      </c>
      <c r="O15" s="139">
        <f t="shared" si="7"/>
        <v>0</v>
      </c>
      <c r="P15" s="139">
        <f t="shared" si="7"/>
        <v>0</v>
      </c>
      <c r="Q15" s="139">
        <f t="shared" si="7"/>
        <v>0</v>
      </c>
      <c r="R15" s="139">
        <f t="shared" si="7"/>
        <v>0</v>
      </c>
      <c r="S15" s="139">
        <f t="shared" si="7"/>
        <v>0</v>
      </c>
      <c r="T15" s="139">
        <f t="shared" si="7"/>
        <v>0</v>
      </c>
      <c r="U15" s="139">
        <f t="shared" si="7"/>
        <v>0</v>
      </c>
      <c r="V15" s="139">
        <f t="shared" si="7"/>
        <v>0</v>
      </c>
      <c r="W15" s="139">
        <f t="shared" si="7"/>
        <v>0</v>
      </c>
      <c r="X15" s="139">
        <f t="shared" si="7"/>
        <v>0</v>
      </c>
      <c r="Y15" s="139">
        <f t="shared" si="7"/>
        <v>0</v>
      </c>
      <c r="Z15" s="139">
        <f t="shared" si="7"/>
        <v>0</v>
      </c>
      <c r="AA15" s="139">
        <f t="shared" si="7"/>
        <v>0</v>
      </c>
      <c r="AB15" s="139">
        <f t="shared" si="7"/>
        <v>0</v>
      </c>
      <c r="AC15" s="139">
        <f t="shared" si="7"/>
        <v>0</v>
      </c>
      <c r="AD15" s="139">
        <f t="shared" si="7"/>
        <v>0</v>
      </c>
      <c r="AE15" s="139">
        <f t="shared" si="7"/>
        <v>0</v>
      </c>
      <c r="AF15" s="139">
        <f t="shared" si="7"/>
        <v>0</v>
      </c>
      <c r="AG15" s="139">
        <f t="shared" si="7"/>
        <v>0</v>
      </c>
      <c r="AH15" s="139">
        <f t="shared" si="7"/>
        <v>0</v>
      </c>
      <c r="AI15" s="139">
        <f t="shared" si="7"/>
        <v>0</v>
      </c>
      <c r="AJ15" s="139">
        <f t="shared" si="7"/>
        <v>0</v>
      </c>
      <c r="AK15" s="139">
        <f t="shared" si="7"/>
        <v>0</v>
      </c>
      <c r="AL15" s="139">
        <f t="shared" si="7"/>
        <v>0</v>
      </c>
      <c r="AM15" s="139">
        <f t="shared" si="7"/>
        <v>0</v>
      </c>
      <c r="AN15" s="139">
        <f t="shared" si="7"/>
        <v>0</v>
      </c>
      <c r="AO15" s="139">
        <f t="shared" si="7"/>
        <v>0</v>
      </c>
      <c r="AP15" s="139">
        <f t="shared" si="7"/>
        <v>6</v>
      </c>
      <c r="AQ15" s="139">
        <f t="shared" si="7"/>
        <v>6</v>
      </c>
      <c r="AR15" s="139">
        <f t="shared" si="7"/>
        <v>6</v>
      </c>
      <c r="AS15" s="139">
        <f t="shared" si="7"/>
        <v>6</v>
      </c>
      <c r="AT15" s="139">
        <f t="shared" si="7"/>
        <v>6</v>
      </c>
      <c r="AU15" s="139">
        <f t="shared" si="7"/>
        <v>6</v>
      </c>
      <c r="AV15" s="139">
        <f t="shared" si="7"/>
        <v>6</v>
      </c>
      <c r="AW15" s="139">
        <f t="shared" si="7"/>
        <v>6</v>
      </c>
      <c r="AX15" s="139">
        <f t="shared" si="7"/>
        <v>6</v>
      </c>
      <c r="AY15" s="139">
        <f t="shared" si="7"/>
        <v>6</v>
      </c>
      <c r="AZ15" s="139">
        <f t="shared" si="7"/>
        <v>6</v>
      </c>
      <c r="BA15" s="139">
        <f t="shared" si="7"/>
        <v>6</v>
      </c>
      <c r="BB15" s="139">
        <f t="shared" si="7"/>
        <v>6</v>
      </c>
      <c r="BC15" s="139">
        <f t="shared" si="7"/>
        <v>6</v>
      </c>
      <c r="BD15" s="139">
        <f t="shared" si="7"/>
        <v>6</v>
      </c>
      <c r="BE15" s="139">
        <f t="shared" si="7"/>
        <v>6</v>
      </c>
      <c r="BF15" s="139">
        <f t="shared" si="7"/>
        <v>6</v>
      </c>
      <c r="BG15" s="139">
        <f t="shared" si="7"/>
        <v>6</v>
      </c>
      <c r="BH15" s="139">
        <f t="shared" si="7"/>
        <v>6</v>
      </c>
      <c r="BI15" s="139">
        <f t="shared" si="7"/>
        <v>6</v>
      </c>
      <c r="BJ15" s="139">
        <f t="shared" si="7"/>
        <v>6</v>
      </c>
      <c r="BK15" s="139">
        <f t="shared" si="7"/>
        <v>6</v>
      </c>
      <c r="BL15" s="139">
        <f t="shared" si="7"/>
        <v>6</v>
      </c>
      <c r="BM15" s="139">
        <f t="shared" si="7"/>
        <v>6</v>
      </c>
      <c r="BN15" s="139">
        <f t="shared" si="7"/>
        <v>6</v>
      </c>
      <c r="BO15" s="139">
        <f t="shared" si="7"/>
        <v>6</v>
      </c>
      <c r="BP15" s="139">
        <f t="shared" si="7"/>
        <v>6</v>
      </c>
      <c r="BQ15" s="139">
        <f t="shared" si="7"/>
        <v>6</v>
      </c>
      <c r="BR15" s="139">
        <f t="shared" si="7"/>
        <v>6</v>
      </c>
      <c r="BS15" s="139">
        <f t="shared" si="7"/>
        <v>6</v>
      </c>
    </row>
    <row r="16" spans="2:71">
      <c r="C16" s="139">
        <f>노선구성!B56</f>
        <v>9</v>
      </c>
      <c r="D16" s="139">
        <f>노선구성!C56</f>
        <v>767</v>
      </c>
      <c r="E16" s="139" t="str">
        <f>노선구성!D56</f>
        <v>M37</v>
      </c>
      <c r="F16" s="139">
        <f>노선구성!M56</f>
        <v>88</v>
      </c>
      <c r="G16" s="139">
        <f>IFERROR(ROUNDUP(F16*(52/12)/노선구성!M56,0)+1, )</f>
        <v>6</v>
      </c>
      <c r="L16" s="139">
        <f t="shared" si="1"/>
        <v>0</v>
      </c>
      <c r="M16" s="139">
        <f t="shared" si="2"/>
        <v>0</v>
      </c>
      <c r="N16" s="139">
        <f t="shared" si="7"/>
        <v>0</v>
      </c>
      <c r="O16" s="139">
        <f t="shared" si="7"/>
        <v>0</v>
      </c>
      <c r="P16" s="139">
        <f t="shared" si="7"/>
        <v>0</v>
      </c>
      <c r="Q16" s="139">
        <f t="shared" si="7"/>
        <v>0</v>
      </c>
      <c r="R16" s="139">
        <f t="shared" si="7"/>
        <v>0</v>
      </c>
      <c r="S16" s="139">
        <f t="shared" si="7"/>
        <v>0</v>
      </c>
      <c r="T16" s="139">
        <f t="shared" si="7"/>
        <v>0</v>
      </c>
      <c r="U16" s="139">
        <f t="shared" si="7"/>
        <v>0</v>
      </c>
      <c r="V16" s="139">
        <f t="shared" si="7"/>
        <v>0</v>
      </c>
      <c r="W16" s="139">
        <f t="shared" si="7"/>
        <v>0</v>
      </c>
      <c r="X16" s="139">
        <f t="shared" si="7"/>
        <v>0</v>
      </c>
      <c r="Y16" s="139">
        <f t="shared" si="7"/>
        <v>0</v>
      </c>
      <c r="Z16" s="139">
        <f t="shared" si="7"/>
        <v>0</v>
      </c>
      <c r="AA16" s="139">
        <f t="shared" si="7"/>
        <v>0</v>
      </c>
      <c r="AB16" s="139">
        <f t="shared" si="7"/>
        <v>0</v>
      </c>
      <c r="AC16" s="139">
        <f t="shared" si="7"/>
        <v>0</v>
      </c>
      <c r="AD16" s="139">
        <f t="shared" si="7"/>
        <v>0</v>
      </c>
      <c r="AE16" s="139">
        <f t="shared" si="7"/>
        <v>0</v>
      </c>
      <c r="AF16" s="139">
        <f t="shared" si="7"/>
        <v>0</v>
      </c>
      <c r="AG16" s="139">
        <f t="shared" si="7"/>
        <v>0</v>
      </c>
      <c r="AH16" s="139">
        <f t="shared" si="7"/>
        <v>0</v>
      </c>
      <c r="AI16" s="139">
        <f t="shared" si="7"/>
        <v>0</v>
      </c>
      <c r="AJ16" s="139">
        <f t="shared" si="7"/>
        <v>0</v>
      </c>
      <c r="AK16" s="139">
        <f t="shared" si="7"/>
        <v>0</v>
      </c>
      <c r="AL16" s="139">
        <f t="shared" si="7"/>
        <v>0</v>
      </c>
      <c r="AM16" s="139">
        <f t="shared" si="7"/>
        <v>0</v>
      </c>
      <c r="AN16" s="139">
        <f t="shared" si="7"/>
        <v>0</v>
      </c>
      <c r="AO16" s="139">
        <f t="shared" si="7"/>
        <v>0</v>
      </c>
      <c r="AP16" s="139">
        <f t="shared" si="7"/>
        <v>0</v>
      </c>
      <c r="AQ16" s="139">
        <f t="shared" si="7"/>
        <v>0</v>
      </c>
      <c r="AR16" s="139">
        <f t="shared" si="7"/>
        <v>0</v>
      </c>
      <c r="AS16" s="139">
        <f t="shared" si="7"/>
        <v>0</v>
      </c>
      <c r="AT16" s="139">
        <f t="shared" si="7"/>
        <v>0</v>
      </c>
      <c r="AU16" s="139">
        <f t="shared" si="7"/>
        <v>0</v>
      </c>
      <c r="AV16" s="139">
        <f t="shared" si="7"/>
        <v>6</v>
      </c>
      <c r="AW16" s="139">
        <f t="shared" si="7"/>
        <v>6</v>
      </c>
      <c r="AX16" s="139">
        <f t="shared" si="7"/>
        <v>6</v>
      </c>
      <c r="AY16" s="139">
        <f t="shared" si="7"/>
        <v>6</v>
      </c>
      <c r="AZ16" s="139">
        <f t="shared" si="7"/>
        <v>6</v>
      </c>
      <c r="BA16" s="139">
        <f t="shared" si="7"/>
        <v>6</v>
      </c>
      <c r="BB16" s="139">
        <f t="shared" si="7"/>
        <v>6</v>
      </c>
      <c r="BC16" s="139">
        <f t="shared" si="7"/>
        <v>6</v>
      </c>
      <c r="BD16" s="139">
        <f t="shared" si="7"/>
        <v>6</v>
      </c>
      <c r="BE16" s="139">
        <f t="shared" si="7"/>
        <v>6</v>
      </c>
      <c r="BF16" s="139">
        <f t="shared" si="7"/>
        <v>6</v>
      </c>
      <c r="BG16" s="139">
        <f t="shared" si="7"/>
        <v>6</v>
      </c>
      <c r="BH16" s="139">
        <f t="shared" si="7"/>
        <v>6</v>
      </c>
      <c r="BI16" s="139">
        <f t="shared" si="7"/>
        <v>6</v>
      </c>
      <c r="BJ16" s="139">
        <f t="shared" si="7"/>
        <v>6</v>
      </c>
      <c r="BK16" s="139">
        <f t="shared" si="7"/>
        <v>6</v>
      </c>
      <c r="BL16" s="139">
        <f t="shared" si="7"/>
        <v>6</v>
      </c>
      <c r="BM16" s="139">
        <f t="shared" si="7"/>
        <v>6</v>
      </c>
      <c r="BN16" s="139">
        <f t="shared" si="7"/>
        <v>6</v>
      </c>
      <c r="BO16" s="139">
        <f t="shared" si="7"/>
        <v>6</v>
      </c>
      <c r="BP16" s="139">
        <f t="shared" si="7"/>
        <v>6</v>
      </c>
      <c r="BQ16" s="139">
        <f t="shared" si="7"/>
        <v>6</v>
      </c>
      <c r="BR16" s="139">
        <f t="shared" si="7"/>
        <v>6</v>
      </c>
      <c r="BS16" s="139">
        <f t="shared" si="7"/>
        <v>6</v>
      </c>
    </row>
    <row r="17" spans="3:71">
      <c r="C17" s="139">
        <f>노선구성!B57</f>
        <v>10</v>
      </c>
      <c r="D17" s="139">
        <f>노선구성!C57</f>
        <v>767</v>
      </c>
      <c r="E17" s="139" t="str">
        <f>노선구성!D57</f>
        <v>M43</v>
      </c>
      <c r="F17" s="139">
        <f>노선구성!M57</f>
        <v>100.8</v>
      </c>
      <c r="G17" s="139">
        <f>IFERROR(ROUNDUP(F17*(52/12)/노선구성!M57,0)+1, )</f>
        <v>6</v>
      </c>
      <c r="L17" s="139">
        <f t="shared" si="1"/>
        <v>0</v>
      </c>
      <c r="M17" s="139">
        <f t="shared" si="2"/>
        <v>0</v>
      </c>
      <c r="N17" s="139">
        <f t="shared" si="7"/>
        <v>0</v>
      </c>
      <c r="O17" s="139">
        <f t="shared" si="7"/>
        <v>0</v>
      </c>
      <c r="P17" s="139">
        <f t="shared" si="7"/>
        <v>0</v>
      </c>
      <c r="Q17" s="139">
        <f t="shared" si="7"/>
        <v>0</v>
      </c>
      <c r="R17" s="139">
        <f t="shared" si="7"/>
        <v>0</v>
      </c>
      <c r="S17" s="139">
        <f t="shared" si="7"/>
        <v>0</v>
      </c>
      <c r="T17" s="139">
        <f t="shared" si="7"/>
        <v>0</v>
      </c>
      <c r="U17" s="139">
        <f t="shared" si="7"/>
        <v>0</v>
      </c>
      <c r="V17" s="139">
        <f t="shared" si="7"/>
        <v>0</v>
      </c>
      <c r="W17" s="139">
        <f t="shared" si="7"/>
        <v>0</v>
      </c>
      <c r="X17" s="139">
        <f t="shared" si="7"/>
        <v>0</v>
      </c>
      <c r="Y17" s="139">
        <f t="shared" si="7"/>
        <v>0</v>
      </c>
      <c r="Z17" s="139">
        <f t="shared" si="7"/>
        <v>0</v>
      </c>
      <c r="AA17" s="139">
        <f t="shared" si="7"/>
        <v>0</v>
      </c>
      <c r="AB17" s="139">
        <f t="shared" si="7"/>
        <v>0</v>
      </c>
      <c r="AC17" s="139">
        <f t="shared" si="7"/>
        <v>0</v>
      </c>
      <c r="AD17" s="139">
        <f t="shared" si="7"/>
        <v>0</v>
      </c>
      <c r="AE17" s="139">
        <f t="shared" si="7"/>
        <v>0</v>
      </c>
      <c r="AF17" s="139">
        <f t="shared" si="7"/>
        <v>0</v>
      </c>
      <c r="AG17" s="139">
        <f t="shared" si="7"/>
        <v>0</v>
      </c>
      <c r="AH17" s="139">
        <f t="shared" si="7"/>
        <v>0</v>
      </c>
      <c r="AI17" s="139">
        <f t="shared" si="7"/>
        <v>0</v>
      </c>
      <c r="AJ17" s="139">
        <f t="shared" si="7"/>
        <v>0</v>
      </c>
      <c r="AK17" s="139">
        <f t="shared" si="7"/>
        <v>0</v>
      </c>
      <c r="AL17" s="139">
        <f t="shared" si="7"/>
        <v>0</v>
      </c>
      <c r="AM17" s="139">
        <f t="shared" si="7"/>
        <v>0</v>
      </c>
      <c r="AN17" s="139">
        <f t="shared" si="7"/>
        <v>0</v>
      </c>
      <c r="AO17" s="139">
        <f t="shared" si="7"/>
        <v>0</v>
      </c>
      <c r="AP17" s="139">
        <f t="shared" si="7"/>
        <v>0</v>
      </c>
      <c r="AQ17" s="139">
        <f t="shared" si="7"/>
        <v>0</v>
      </c>
      <c r="AR17" s="139">
        <f t="shared" si="7"/>
        <v>0</v>
      </c>
      <c r="AS17" s="139">
        <f t="shared" si="7"/>
        <v>0</v>
      </c>
      <c r="AT17" s="139">
        <f t="shared" si="7"/>
        <v>0</v>
      </c>
      <c r="AU17" s="139">
        <f t="shared" si="7"/>
        <v>0</v>
      </c>
      <c r="AV17" s="139">
        <f t="shared" si="7"/>
        <v>0</v>
      </c>
      <c r="AW17" s="139">
        <f t="shared" si="7"/>
        <v>0</v>
      </c>
      <c r="AX17" s="139">
        <f t="shared" si="7"/>
        <v>0</v>
      </c>
      <c r="AY17" s="139">
        <f t="shared" si="7"/>
        <v>0</v>
      </c>
      <c r="AZ17" s="139">
        <f t="shared" si="7"/>
        <v>0</v>
      </c>
      <c r="BA17" s="139">
        <f t="shared" si="7"/>
        <v>0</v>
      </c>
      <c r="BB17" s="139">
        <f t="shared" si="7"/>
        <v>6</v>
      </c>
      <c r="BC17" s="139">
        <f t="shared" si="7"/>
        <v>6</v>
      </c>
      <c r="BD17" s="139">
        <f t="shared" si="7"/>
        <v>6</v>
      </c>
      <c r="BE17" s="139">
        <f t="shared" si="7"/>
        <v>6</v>
      </c>
      <c r="BF17" s="139">
        <f t="shared" si="7"/>
        <v>6</v>
      </c>
      <c r="BG17" s="139">
        <f t="shared" si="7"/>
        <v>6</v>
      </c>
      <c r="BH17" s="139">
        <f t="shared" si="7"/>
        <v>6</v>
      </c>
      <c r="BI17" s="139">
        <f t="shared" si="7"/>
        <v>6</v>
      </c>
      <c r="BJ17" s="139">
        <f t="shared" si="7"/>
        <v>6</v>
      </c>
      <c r="BK17" s="139">
        <f t="shared" si="7"/>
        <v>6</v>
      </c>
      <c r="BL17" s="139">
        <f t="shared" si="7"/>
        <v>6</v>
      </c>
      <c r="BM17" s="139">
        <f t="shared" si="7"/>
        <v>6</v>
      </c>
      <c r="BN17" s="139">
        <f t="shared" si="7"/>
        <v>6</v>
      </c>
      <c r="BO17" s="139">
        <f t="shared" si="7"/>
        <v>6</v>
      </c>
      <c r="BP17" s="139">
        <f t="shared" si="7"/>
        <v>6</v>
      </c>
      <c r="BQ17" s="139">
        <f t="shared" si="7"/>
        <v>6</v>
      </c>
      <c r="BR17" s="139">
        <f t="shared" si="7"/>
        <v>6</v>
      </c>
      <c r="BS17" s="139">
        <f t="shared" si="7"/>
        <v>6</v>
      </c>
    </row>
    <row r="18" spans="3:71">
      <c r="C18" s="139">
        <f>노선구성!B58</f>
        <v>11</v>
      </c>
      <c r="D18" s="139">
        <f>노선구성!C58</f>
        <v>0</v>
      </c>
      <c r="E18" s="139">
        <f>노선구성!D58</f>
        <v>0</v>
      </c>
      <c r="F18" s="139">
        <f>노선구성!M58</f>
        <v>0</v>
      </c>
      <c r="G18" s="139">
        <f>IFERROR(ROUNDUP(F18*(52/12)/노선구성!M58,0)+1, )</f>
        <v>0</v>
      </c>
      <c r="L18" s="139">
        <f t="shared" si="1"/>
        <v>0</v>
      </c>
      <c r="M18" s="139">
        <f t="shared" si="2"/>
        <v>0</v>
      </c>
      <c r="N18" s="139">
        <f t="shared" si="7"/>
        <v>0</v>
      </c>
      <c r="O18" s="139">
        <f t="shared" si="7"/>
        <v>0</v>
      </c>
      <c r="P18" s="139">
        <f t="shared" si="7"/>
        <v>0</v>
      </c>
      <c r="Q18" s="139">
        <f t="shared" si="7"/>
        <v>0</v>
      </c>
      <c r="R18" s="139">
        <f t="shared" si="7"/>
        <v>0</v>
      </c>
      <c r="S18" s="139">
        <f t="shared" si="7"/>
        <v>0</v>
      </c>
      <c r="T18" s="139">
        <f t="shared" si="7"/>
        <v>0</v>
      </c>
      <c r="U18" s="139">
        <f t="shared" si="7"/>
        <v>0</v>
      </c>
      <c r="V18" s="139">
        <f t="shared" si="7"/>
        <v>0</v>
      </c>
      <c r="W18" s="139">
        <f t="shared" si="7"/>
        <v>0</v>
      </c>
      <c r="X18" s="139">
        <f t="shared" si="7"/>
        <v>0</v>
      </c>
      <c r="Y18" s="139">
        <f t="shared" si="7"/>
        <v>0</v>
      </c>
      <c r="Z18" s="139">
        <f t="shared" si="7"/>
        <v>0</v>
      </c>
      <c r="AA18" s="139">
        <f t="shared" si="7"/>
        <v>0</v>
      </c>
      <c r="AB18" s="139">
        <f t="shared" si="7"/>
        <v>0</v>
      </c>
      <c r="AC18" s="139">
        <f t="shared" si="7"/>
        <v>0</v>
      </c>
      <c r="AD18" s="139">
        <f t="shared" si="7"/>
        <v>0</v>
      </c>
      <c r="AE18" s="139">
        <f t="shared" si="7"/>
        <v>0</v>
      </c>
      <c r="AF18" s="139">
        <f t="shared" si="7"/>
        <v>0</v>
      </c>
      <c r="AG18" s="139">
        <f t="shared" si="7"/>
        <v>0</v>
      </c>
      <c r="AH18" s="139">
        <f t="shared" si="7"/>
        <v>0</v>
      </c>
      <c r="AI18" s="139">
        <f t="shared" si="7"/>
        <v>0</v>
      </c>
      <c r="AJ18" s="139">
        <f t="shared" si="7"/>
        <v>0</v>
      </c>
      <c r="AK18" s="139">
        <f t="shared" ref="AK18:BS18" si="8">IF(AJ18&gt;0,$G18,IF($E18=AK$4,$G18,0))</f>
        <v>0</v>
      </c>
      <c r="AL18" s="139">
        <f t="shared" si="8"/>
        <v>0</v>
      </c>
      <c r="AM18" s="139">
        <f t="shared" si="8"/>
        <v>0</v>
      </c>
      <c r="AN18" s="139">
        <f t="shared" si="8"/>
        <v>0</v>
      </c>
      <c r="AO18" s="139">
        <f t="shared" si="8"/>
        <v>0</v>
      </c>
      <c r="AP18" s="139">
        <f t="shared" si="8"/>
        <v>0</v>
      </c>
      <c r="AQ18" s="139">
        <f t="shared" si="8"/>
        <v>0</v>
      </c>
      <c r="AR18" s="139">
        <f t="shared" si="8"/>
        <v>0</v>
      </c>
      <c r="AS18" s="139">
        <f t="shared" si="8"/>
        <v>0</v>
      </c>
      <c r="AT18" s="139">
        <f t="shared" si="8"/>
        <v>0</v>
      </c>
      <c r="AU18" s="139">
        <f t="shared" si="8"/>
        <v>0</v>
      </c>
      <c r="AV18" s="139">
        <f t="shared" si="8"/>
        <v>0</v>
      </c>
      <c r="AW18" s="139">
        <f t="shared" si="8"/>
        <v>0</v>
      </c>
      <c r="AX18" s="139">
        <f t="shared" si="8"/>
        <v>0</v>
      </c>
      <c r="AY18" s="139">
        <f t="shared" si="8"/>
        <v>0</v>
      </c>
      <c r="AZ18" s="139">
        <f t="shared" si="8"/>
        <v>0</v>
      </c>
      <c r="BA18" s="139">
        <f t="shared" si="8"/>
        <v>0</v>
      </c>
      <c r="BB18" s="139">
        <f t="shared" si="8"/>
        <v>0</v>
      </c>
      <c r="BC18" s="139">
        <f t="shared" si="8"/>
        <v>0</v>
      </c>
      <c r="BD18" s="139">
        <f t="shared" si="8"/>
        <v>0</v>
      </c>
      <c r="BE18" s="139">
        <f t="shared" si="8"/>
        <v>0</v>
      </c>
      <c r="BF18" s="139">
        <f t="shared" si="8"/>
        <v>0</v>
      </c>
      <c r="BG18" s="139">
        <f t="shared" si="8"/>
        <v>0</v>
      </c>
      <c r="BH18" s="139">
        <f t="shared" si="8"/>
        <v>0</v>
      </c>
      <c r="BI18" s="139">
        <f t="shared" si="8"/>
        <v>0</v>
      </c>
      <c r="BJ18" s="139">
        <f t="shared" si="8"/>
        <v>0</v>
      </c>
      <c r="BK18" s="139">
        <f t="shared" si="8"/>
        <v>0</v>
      </c>
      <c r="BL18" s="139">
        <f t="shared" si="8"/>
        <v>0</v>
      </c>
      <c r="BM18" s="139">
        <f t="shared" si="8"/>
        <v>0</v>
      </c>
      <c r="BN18" s="139">
        <f t="shared" si="8"/>
        <v>0</v>
      </c>
      <c r="BO18" s="139">
        <f t="shared" si="8"/>
        <v>0</v>
      </c>
      <c r="BP18" s="139">
        <f t="shared" si="8"/>
        <v>0</v>
      </c>
      <c r="BQ18" s="139">
        <f t="shared" si="8"/>
        <v>0</v>
      </c>
      <c r="BR18" s="139">
        <f t="shared" si="8"/>
        <v>0</v>
      </c>
      <c r="BS18" s="139">
        <f t="shared" si="8"/>
        <v>0</v>
      </c>
    </row>
    <row r="19" spans="3:71">
      <c r="C19" s="139">
        <f>노선구성!B59</f>
        <v>12</v>
      </c>
      <c r="D19" s="139">
        <f>노선구성!C59</f>
        <v>0</v>
      </c>
      <c r="E19" s="139">
        <f>노선구성!D59</f>
        <v>0</v>
      </c>
      <c r="F19" s="139">
        <f>노선구성!M59</f>
        <v>0</v>
      </c>
      <c r="G19" s="139">
        <f>IFERROR(ROUNDUP(F19*(52/12)/노선구성!M59,0)+1, )</f>
        <v>0</v>
      </c>
      <c r="L19" s="139">
        <f t="shared" si="1"/>
        <v>0</v>
      </c>
      <c r="M19" s="139">
        <f t="shared" si="2"/>
        <v>0</v>
      </c>
      <c r="N19" s="139">
        <f t="shared" ref="N19:BS21" si="9">IF(M19&gt;0,$G19,IF($E19=N$4,$G19,0))</f>
        <v>0</v>
      </c>
      <c r="O19" s="139">
        <f t="shared" si="9"/>
        <v>0</v>
      </c>
      <c r="P19" s="139">
        <f t="shared" si="9"/>
        <v>0</v>
      </c>
      <c r="Q19" s="139">
        <f t="shared" si="9"/>
        <v>0</v>
      </c>
      <c r="R19" s="139">
        <f t="shared" si="9"/>
        <v>0</v>
      </c>
      <c r="S19" s="139">
        <f t="shared" si="9"/>
        <v>0</v>
      </c>
      <c r="T19" s="139">
        <f t="shared" si="9"/>
        <v>0</v>
      </c>
      <c r="U19" s="139">
        <f t="shared" si="9"/>
        <v>0</v>
      </c>
      <c r="V19" s="139">
        <f t="shared" si="9"/>
        <v>0</v>
      </c>
      <c r="W19" s="139">
        <f t="shared" si="9"/>
        <v>0</v>
      </c>
      <c r="X19" s="139">
        <f t="shared" si="9"/>
        <v>0</v>
      </c>
      <c r="Y19" s="139">
        <f t="shared" si="9"/>
        <v>0</v>
      </c>
      <c r="Z19" s="139">
        <f t="shared" si="9"/>
        <v>0</v>
      </c>
      <c r="AA19" s="139">
        <f t="shared" si="9"/>
        <v>0</v>
      </c>
      <c r="AB19" s="139">
        <f t="shared" si="9"/>
        <v>0</v>
      </c>
      <c r="AC19" s="139">
        <f t="shared" si="9"/>
        <v>0</v>
      </c>
      <c r="AD19" s="139">
        <f t="shared" si="9"/>
        <v>0</v>
      </c>
      <c r="AE19" s="139">
        <f t="shared" si="9"/>
        <v>0</v>
      </c>
      <c r="AF19" s="139">
        <f t="shared" si="9"/>
        <v>0</v>
      </c>
      <c r="AG19" s="139">
        <f t="shared" si="9"/>
        <v>0</v>
      </c>
      <c r="AH19" s="139">
        <f t="shared" si="9"/>
        <v>0</v>
      </c>
      <c r="AI19" s="139">
        <f t="shared" si="9"/>
        <v>0</v>
      </c>
      <c r="AJ19" s="139">
        <f t="shared" si="9"/>
        <v>0</v>
      </c>
      <c r="AK19" s="139">
        <f t="shared" si="9"/>
        <v>0</v>
      </c>
      <c r="AL19" s="139">
        <f t="shared" si="9"/>
        <v>0</v>
      </c>
      <c r="AM19" s="139">
        <f t="shared" si="9"/>
        <v>0</v>
      </c>
      <c r="AN19" s="139">
        <f t="shared" si="9"/>
        <v>0</v>
      </c>
      <c r="AO19" s="139">
        <f t="shared" si="9"/>
        <v>0</v>
      </c>
      <c r="AP19" s="139">
        <f t="shared" si="9"/>
        <v>0</v>
      </c>
      <c r="AQ19" s="139">
        <f t="shared" si="9"/>
        <v>0</v>
      </c>
      <c r="AR19" s="139">
        <f t="shared" si="9"/>
        <v>0</v>
      </c>
      <c r="AS19" s="139">
        <f t="shared" si="9"/>
        <v>0</v>
      </c>
      <c r="AT19" s="139">
        <f t="shared" si="9"/>
        <v>0</v>
      </c>
      <c r="AU19" s="139">
        <f t="shared" si="9"/>
        <v>0</v>
      </c>
      <c r="AV19" s="139">
        <f t="shared" si="9"/>
        <v>0</v>
      </c>
      <c r="AW19" s="139">
        <f t="shared" si="9"/>
        <v>0</v>
      </c>
      <c r="AX19" s="139">
        <f t="shared" si="9"/>
        <v>0</v>
      </c>
      <c r="AY19" s="139">
        <f t="shared" si="9"/>
        <v>0</v>
      </c>
      <c r="AZ19" s="139">
        <f t="shared" si="9"/>
        <v>0</v>
      </c>
      <c r="BA19" s="139">
        <f t="shared" si="9"/>
        <v>0</v>
      </c>
      <c r="BB19" s="139">
        <f t="shared" si="9"/>
        <v>0</v>
      </c>
      <c r="BC19" s="139">
        <f t="shared" si="9"/>
        <v>0</v>
      </c>
      <c r="BD19" s="139">
        <f t="shared" si="9"/>
        <v>0</v>
      </c>
      <c r="BE19" s="139">
        <f t="shared" si="9"/>
        <v>0</v>
      </c>
      <c r="BF19" s="139">
        <f t="shared" si="9"/>
        <v>0</v>
      </c>
      <c r="BG19" s="139">
        <f t="shared" si="9"/>
        <v>0</v>
      </c>
      <c r="BH19" s="139">
        <f t="shared" si="9"/>
        <v>0</v>
      </c>
      <c r="BI19" s="139">
        <f t="shared" si="9"/>
        <v>0</v>
      </c>
      <c r="BJ19" s="139">
        <f t="shared" si="9"/>
        <v>0</v>
      </c>
      <c r="BK19" s="139">
        <f t="shared" si="9"/>
        <v>0</v>
      </c>
      <c r="BL19" s="139">
        <f t="shared" si="9"/>
        <v>0</v>
      </c>
      <c r="BM19" s="139">
        <f t="shared" si="9"/>
        <v>0</v>
      </c>
      <c r="BN19" s="139">
        <f t="shared" si="9"/>
        <v>0</v>
      </c>
      <c r="BO19" s="139">
        <f t="shared" si="9"/>
        <v>0</v>
      </c>
      <c r="BP19" s="139">
        <f t="shared" si="9"/>
        <v>0</v>
      </c>
      <c r="BQ19" s="139">
        <f t="shared" si="9"/>
        <v>0</v>
      </c>
      <c r="BR19" s="139">
        <f t="shared" si="9"/>
        <v>0</v>
      </c>
      <c r="BS19" s="139">
        <f t="shared" si="9"/>
        <v>0</v>
      </c>
    </row>
    <row r="20" spans="3:71">
      <c r="C20" s="139">
        <f>노선구성!B60</f>
        <v>13</v>
      </c>
      <c r="D20" s="139">
        <f>노선구성!C60</f>
        <v>0</v>
      </c>
      <c r="E20" s="139">
        <f>노선구성!D60</f>
        <v>0</v>
      </c>
      <c r="F20" s="139">
        <f>노선구성!M60</f>
        <v>0</v>
      </c>
      <c r="G20" s="139">
        <f>IFERROR(ROUNDUP(F20*(52/12)/노선구성!M60,0)+1, )</f>
        <v>0</v>
      </c>
      <c r="L20" s="139">
        <f t="shared" si="1"/>
        <v>0</v>
      </c>
      <c r="M20" s="139">
        <f t="shared" si="2"/>
        <v>0</v>
      </c>
      <c r="N20" s="139">
        <f t="shared" si="9"/>
        <v>0</v>
      </c>
      <c r="O20" s="139">
        <f t="shared" si="9"/>
        <v>0</v>
      </c>
      <c r="P20" s="139">
        <f t="shared" si="9"/>
        <v>0</v>
      </c>
      <c r="Q20" s="139">
        <f t="shared" si="9"/>
        <v>0</v>
      </c>
      <c r="R20" s="139">
        <f t="shared" si="9"/>
        <v>0</v>
      </c>
      <c r="S20" s="139">
        <f t="shared" si="9"/>
        <v>0</v>
      </c>
      <c r="T20" s="139">
        <f t="shared" si="9"/>
        <v>0</v>
      </c>
      <c r="U20" s="139">
        <f t="shared" si="9"/>
        <v>0</v>
      </c>
      <c r="V20" s="139">
        <f t="shared" si="9"/>
        <v>0</v>
      </c>
      <c r="W20" s="139">
        <f t="shared" si="9"/>
        <v>0</v>
      </c>
      <c r="X20" s="139">
        <f t="shared" si="9"/>
        <v>0</v>
      </c>
      <c r="Y20" s="139">
        <f t="shared" si="9"/>
        <v>0</v>
      </c>
      <c r="Z20" s="139">
        <f t="shared" si="9"/>
        <v>0</v>
      </c>
      <c r="AA20" s="139">
        <f t="shared" si="9"/>
        <v>0</v>
      </c>
      <c r="AB20" s="139">
        <f t="shared" si="9"/>
        <v>0</v>
      </c>
      <c r="AC20" s="139">
        <f t="shared" si="9"/>
        <v>0</v>
      </c>
      <c r="AD20" s="139">
        <f t="shared" si="9"/>
        <v>0</v>
      </c>
      <c r="AE20" s="139">
        <f t="shared" si="9"/>
        <v>0</v>
      </c>
      <c r="AF20" s="139">
        <f t="shared" si="9"/>
        <v>0</v>
      </c>
      <c r="AG20" s="139">
        <f t="shared" si="9"/>
        <v>0</v>
      </c>
      <c r="AH20" s="139">
        <f t="shared" si="9"/>
        <v>0</v>
      </c>
      <c r="AI20" s="139">
        <f t="shared" si="9"/>
        <v>0</v>
      </c>
      <c r="AJ20" s="139">
        <f t="shared" si="9"/>
        <v>0</v>
      </c>
      <c r="AK20" s="139">
        <f t="shared" si="9"/>
        <v>0</v>
      </c>
      <c r="AL20" s="139">
        <f t="shared" si="9"/>
        <v>0</v>
      </c>
      <c r="AM20" s="139">
        <f t="shared" si="9"/>
        <v>0</v>
      </c>
      <c r="AN20" s="139">
        <f t="shared" si="9"/>
        <v>0</v>
      </c>
      <c r="AO20" s="139">
        <f t="shared" si="9"/>
        <v>0</v>
      </c>
      <c r="AP20" s="139">
        <f t="shared" si="9"/>
        <v>0</v>
      </c>
      <c r="AQ20" s="139">
        <f t="shared" si="9"/>
        <v>0</v>
      </c>
      <c r="AR20" s="139">
        <f t="shared" si="9"/>
        <v>0</v>
      </c>
      <c r="AS20" s="139">
        <f t="shared" si="9"/>
        <v>0</v>
      </c>
      <c r="AT20" s="139">
        <f t="shared" si="9"/>
        <v>0</v>
      </c>
      <c r="AU20" s="139">
        <f t="shared" si="9"/>
        <v>0</v>
      </c>
      <c r="AV20" s="139">
        <f t="shared" si="9"/>
        <v>0</v>
      </c>
      <c r="AW20" s="139">
        <f t="shared" si="9"/>
        <v>0</v>
      </c>
      <c r="AX20" s="139">
        <f t="shared" si="9"/>
        <v>0</v>
      </c>
      <c r="AY20" s="139">
        <f t="shared" si="9"/>
        <v>0</v>
      </c>
      <c r="AZ20" s="139">
        <f t="shared" si="9"/>
        <v>0</v>
      </c>
      <c r="BA20" s="139">
        <f t="shared" si="9"/>
        <v>0</v>
      </c>
      <c r="BB20" s="139">
        <f t="shared" si="9"/>
        <v>0</v>
      </c>
      <c r="BC20" s="139">
        <f t="shared" si="9"/>
        <v>0</v>
      </c>
      <c r="BD20" s="139">
        <f t="shared" si="9"/>
        <v>0</v>
      </c>
      <c r="BE20" s="139">
        <f t="shared" si="9"/>
        <v>0</v>
      </c>
      <c r="BF20" s="139">
        <f t="shared" si="9"/>
        <v>0</v>
      </c>
      <c r="BG20" s="139">
        <f t="shared" si="9"/>
        <v>0</v>
      </c>
      <c r="BH20" s="139">
        <f t="shared" si="9"/>
        <v>0</v>
      </c>
      <c r="BI20" s="139">
        <f t="shared" si="9"/>
        <v>0</v>
      </c>
      <c r="BJ20" s="139">
        <f t="shared" si="9"/>
        <v>0</v>
      </c>
      <c r="BK20" s="139">
        <f t="shared" si="9"/>
        <v>0</v>
      </c>
      <c r="BL20" s="139">
        <f t="shared" si="9"/>
        <v>0</v>
      </c>
      <c r="BM20" s="139">
        <f t="shared" si="9"/>
        <v>0</v>
      </c>
      <c r="BN20" s="139">
        <f t="shared" si="9"/>
        <v>0</v>
      </c>
      <c r="BO20" s="139">
        <f t="shared" si="9"/>
        <v>0</v>
      </c>
      <c r="BP20" s="139">
        <f t="shared" si="9"/>
        <v>0</v>
      </c>
      <c r="BQ20" s="139">
        <f t="shared" si="9"/>
        <v>0</v>
      </c>
      <c r="BR20" s="139">
        <f t="shared" si="9"/>
        <v>0</v>
      </c>
      <c r="BS20" s="139">
        <f t="shared" si="9"/>
        <v>0</v>
      </c>
    </row>
    <row r="21" spans="3:71">
      <c r="C21" s="139">
        <f>노선구성!B61</f>
        <v>14</v>
      </c>
      <c r="D21" s="139">
        <f>노선구성!C61</f>
        <v>0</v>
      </c>
      <c r="E21" s="139">
        <f>노선구성!D61</f>
        <v>0</v>
      </c>
      <c r="F21" s="139">
        <f>노선구성!M61</f>
        <v>0</v>
      </c>
      <c r="G21" s="139">
        <f>IFERROR(ROUNDUP(F21*(52/12)/노선구성!M61,0)+1, )</f>
        <v>0</v>
      </c>
      <c r="L21" s="139">
        <f t="shared" si="1"/>
        <v>0</v>
      </c>
      <c r="M21" s="139">
        <f t="shared" si="2"/>
        <v>0</v>
      </c>
      <c r="N21" s="139">
        <f t="shared" si="9"/>
        <v>0</v>
      </c>
      <c r="O21" s="139">
        <f t="shared" si="9"/>
        <v>0</v>
      </c>
      <c r="P21" s="139">
        <f t="shared" si="9"/>
        <v>0</v>
      </c>
      <c r="Q21" s="139">
        <f t="shared" si="9"/>
        <v>0</v>
      </c>
      <c r="R21" s="139">
        <f t="shared" si="9"/>
        <v>0</v>
      </c>
      <c r="S21" s="139">
        <f t="shared" si="9"/>
        <v>0</v>
      </c>
      <c r="T21" s="139">
        <f t="shared" si="9"/>
        <v>0</v>
      </c>
      <c r="U21" s="139">
        <f t="shared" si="9"/>
        <v>0</v>
      </c>
      <c r="V21" s="139">
        <f t="shared" si="9"/>
        <v>0</v>
      </c>
      <c r="W21" s="139">
        <f t="shared" si="9"/>
        <v>0</v>
      </c>
      <c r="X21" s="139">
        <f t="shared" si="9"/>
        <v>0</v>
      </c>
      <c r="Y21" s="139">
        <f t="shared" si="9"/>
        <v>0</v>
      </c>
      <c r="Z21" s="139">
        <f t="shared" si="9"/>
        <v>0</v>
      </c>
      <c r="AA21" s="139">
        <f t="shared" si="9"/>
        <v>0</v>
      </c>
      <c r="AB21" s="139">
        <f t="shared" si="9"/>
        <v>0</v>
      </c>
      <c r="AC21" s="139">
        <f t="shared" si="9"/>
        <v>0</v>
      </c>
      <c r="AD21" s="139">
        <f t="shared" si="9"/>
        <v>0</v>
      </c>
      <c r="AE21" s="139">
        <f t="shared" si="9"/>
        <v>0</v>
      </c>
      <c r="AF21" s="139">
        <f t="shared" si="9"/>
        <v>0</v>
      </c>
      <c r="AG21" s="139">
        <f t="shared" si="9"/>
        <v>0</v>
      </c>
      <c r="AH21" s="139">
        <f t="shared" si="9"/>
        <v>0</v>
      </c>
      <c r="AI21" s="139">
        <f t="shared" si="9"/>
        <v>0</v>
      </c>
      <c r="AJ21" s="139">
        <f t="shared" si="9"/>
        <v>0</v>
      </c>
      <c r="AK21" s="139">
        <f t="shared" si="9"/>
        <v>0</v>
      </c>
      <c r="AL21" s="139">
        <f t="shared" si="9"/>
        <v>0</v>
      </c>
      <c r="AM21" s="139">
        <f t="shared" si="9"/>
        <v>0</v>
      </c>
      <c r="AN21" s="139">
        <f t="shared" si="9"/>
        <v>0</v>
      </c>
      <c r="AO21" s="139">
        <f t="shared" si="9"/>
        <v>0</v>
      </c>
      <c r="AP21" s="139">
        <f t="shared" si="9"/>
        <v>0</v>
      </c>
      <c r="AQ21" s="139">
        <f t="shared" si="9"/>
        <v>0</v>
      </c>
      <c r="AR21" s="139">
        <f t="shared" si="9"/>
        <v>0</v>
      </c>
      <c r="AS21" s="139">
        <f t="shared" si="9"/>
        <v>0</v>
      </c>
      <c r="AT21" s="139">
        <f t="shared" si="9"/>
        <v>0</v>
      </c>
      <c r="AU21" s="139">
        <f t="shared" si="9"/>
        <v>0</v>
      </c>
      <c r="AV21" s="139">
        <f t="shared" si="9"/>
        <v>0</v>
      </c>
      <c r="AW21" s="139">
        <f t="shared" si="9"/>
        <v>0</v>
      </c>
      <c r="AX21" s="139">
        <f t="shared" si="9"/>
        <v>0</v>
      </c>
      <c r="AY21" s="139">
        <f t="shared" si="9"/>
        <v>0</v>
      </c>
      <c r="AZ21" s="139">
        <f t="shared" si="9"/>
        <v>0</v>
      </c>
      <c r="BA21" s="139">
        <f t="shared" si="9"/>
        <v>0</v>
      </c>
      <c r="BB21" s="139">
        <f t="shared" si="9"/>
        <v>0</v>
      </c>
      <c r="BC21" s="139">
        <f t="shared" si="9"/>
        <v>0</v>
      </c>
      <c r="BD21" s="139">
        <f t="shared" si="9"/>
        <v>0</v>
      </c>
      <c r="BE21" s="139">
        <f t="shared" si="9"/>
        <v>0</v>
      </c>
      <c r="BF21" s="139">
        <f t="shared" si="9"/>
        <v>0</v>
      </c>
      <c r="BG21" s="139">
        <f t="shared" si="9"/>
        <v>0</v>
      </c>
      <c r="BH21" s="139">
        <f t="shared" si="9"/>
        <v>0</v>
      </c>
      <c r="BI21" s="139">
        <f t="shared" si="9"/>
        <v>0</v>
      </c>
      <c r="BJ21" s="139">
        <f t="shared" si="9"/>
        <v>0</v>
      </c>
      <c r="BK21" s="139">
        <f t="shared" si="9"/>
        <v>0</v>
      </c>
      <c r="BL21" s="139">
        <f t="shared" si="9"/>
        <v>0</v>
      </c>
      <c r="BM21" s="139">
        <f t="shared" si="9"/>
        <v>0</v>
      </c>
      <c r="BN21" s="139">
        <f t="shared" si="9"/>
        <v>0</v>
      </c>
      <c r="BO21" s="139">
        <f t="shared" si="9"/>
        <v>0</v>
      </c>
      <c r="BP21" s="139">
        <f t="shared" si="9"/>
        <v>0</v>
      </c>
      <c r="BQ21" s="139">
        <f t="shared" si="9"/>
        <v>0</v>
      </c>
      <c r="BR21" s="139">
        <f t="shared" si="9"/>
        <v>0</v>
      </c>
      <c r="BS21" s="139">
        <f t="shared" si="9"/>
        <v>0</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B0F0"/>
    <pageSetUpPr fitToPage="1"/>
  </sheetPr>
  <dimension ref="B1:BS20"/>
  <sheetViews>
    <sheetView tabSelected="1" workbookViewId="0">
      <selection activeCell="R17" sqref="R17"/>
    </sheetView>
  </sheetViews>
  <sheetFormatPr defaultColWidth="9.125" defaultRowHeight="13.2"/>
  <cols>
    <col min="1" max="1" width="2" style="139" customWidth="1"/>
    <col min="2" max="2" width="2.25" style="139" customWidth="1"/>
    <col min="3" max="7" width="9.125" style="139"/>
    <col min="8" max="11" width="9.125" style="139" customWidth="1"/>
    <col min="12" max="16384" width="9.125" style="139"/>
  </cols>
  <sheetData>
    <row r="1" spans="2:71" ht="17.399999999999999">
      <c r="B1" s="153" t="s">
        <v>618</v>
      </c>
    </row>
    <row r="3" spans="2:71">
      <c r="L3" s="298" t="s">
        <v>379</v>
      </c>
      <c r="M3" s="298"/>
      <c r="N3" s="298"/>
      <c r="O3" s="298"/>
      <c r="P3" s="298"/>
      <c r="Q3" s="298"/>
      <c r="R3" s="298"/>
      <c r="S3" s="298"/>
      <c r="T3" s="298"/>
      <c r="U3" s="298"/>
      <c r="V3" s="298"/>
      <c r="W3" s="298"/>
      <c r="X3" s="192" t="s">
        <v>380</v>
      </c>
      <c r="Y3" s="192"/>
      <c r="Z3" s="192"/>
      <c r="AA3" s="192"/>
      <c r="AB3" s="192"/>
      <c r="AC3" s="192"/>
      <c r="AD3" s="192"/>
      <c r="AE3" s="192"/>
      <c r="AF3" s="192"/>
      <c r="AG3" s="192"/>
      <c r="AH3" s="192"/>
      <c r="AI3" s="192"/>
      <c r="AJ3" s="299" t="s">
        <v>381</v>
      </c>
      <c r="AK3" s="299"/>
      <c r="AL3" s="299"/>
      <c r="AM3" s="299"/>
      <c r="AN3" s="299"/>
      <c r="AO3" s="299"/>
      <c r="AP3" s="299"/>
      <c r="AQ3" s="299"/>
      <c r="AR3" s="299"/>
      <c r="AS3" s="299"/>
      <c r="AT3" s="299"/>
      <c r="AU3" s="299"/>
      <c r="AV3" s="300" t="s">
        <v>382</v>
      </c>
      <c r="AW3" s="300"/>
      <c r="AX3" s="300"/>
      <c r="AY3" s="300"/>
      <c r="AZ3" s="300"/>
      <c r="BA3" s="300"/>
      <c r="BB3" s="300"/>
      <c r="BC3" s="300"/>
      <c r="BD3" s="300"/>
      <c r="BE3" s="300"/>
      <c r="BF3" s="300"/>
      <c r="BG3" s="300"/>
      <c r="BH3" s="301" t="s">
        <v>383</v>
      </c>
      <c r="BI3" s="302"/>
      <c r="BJ3" s="302"/>
      <c r="BK3" s="302"/>
      <c r="BL3" s="302"/>
      <c r="BM3" s="302"/>
      <c r="BN3" s="302"/>
      <c r="BO3" s="302"/>
      <c r="BP3" s="302"/>
      <c r="BQ3" s="302"/>
      <c r="BR3" s="302"/>
      <c r="BS3" s="302"/>
    </row>
    <row r="4" spans="2:71" ht="13.8" thickBot="1">
      <c r="B4" s="157" t="s">
        <v>554</v>
      </c>
      <c r="C4" s="157"/>
      <c r="D4" s="157"/>
      <c r="E4" s="157"/>
      <c r="F4" s="157"/>
      <c r="G4" s="157"/>
      <c r="H4" s="303"/>
      <c r="I4" s="303"/>
      <c r="J4" s="303"/>
      <c r="K4" s="303"/>
      <c r="L4" s="304" t="s">
        <v>367</v>
      </c>
      <c r="M4" s="304" t="s">
        <v>368</v>
      </c>
      <c r="N4" s="304" t="s">
        <v>369</v>
      </c>
      <c r="O4" s="304" t="s">
        <v>370</v>
      </c>
      <c r="P4" s="304" t="s">
        <v>371</v>
      </c>
      <c r="Q4" s="304" t="s">
        <v>372</v>
      </c>
      <c r="R4" s="304" t="s">
        <v>373</v>
      </c>
      <c r="S4" s="304" t="s">
        <v>374</v>
      </c>
      <c r="T4" s="304" t="s">
        <v>375</v>
      </c>
      <c r="U4" s="304" t="s">
        <v>376</v>
      </c>
      <c r="V4" s="304" t="s">
        <v>377</v>
      </c>
      <c r="W4" s="304" t="s">
        <v>378</v>
      </c>
      <c r="X4" s="304" t="s">
        <v>385</v>
      </c>
      <c r="Y4" s="304" t="s">
        <v>386</v>
      </c>
      <c r="Z4" s="304" t="s">
        <v>387</v>
      </c>
      <c r="AA4" s="304" t="s">
        <v>388</v>
      </c>
      <c r="AB4" s="304" t="s">
        <v>389</v>
      </c>
      <c r="AC4" s="304" t="s">
        <v>390</v>
      </c>
      <c r="AD4" s="304" t="s">
        <v>391</v>
      </c>
      <c r="AE4" s="304" t="s">
        <v>392</v>
      </c>
      <c r="AF4" s="304" t="s">
        <v>393</v>
      </c>
      <c r="AG4" s="304" t="s">
        <v>394</v>
      </c>
      <c r="AH4" s="304" t="s">
        <v>395</v>
      </c>
      <c r="AI4" s="304" t="s">
        <v>396</v>
      </c>
      <c r="AJ4" s="304" t="s">
        <v>397</v>
      </c>
      <c r="AK4" s="304" t="s">
        <v>398</v>
      </c>
      <c r="AL4" s="304" t="s">
        <v>399</v>
      </c>
      <c r="AM4" s="304" t="s">
        <v>400</v>
      </c>
      <c r="AN4" s="304" t="s">
        <v>401</v>
      </c>
      <c r="AO4" s="304" t="s">
        <v>402</v>
      </c>
      <c r="AP4" s="304" t="s">
        <v>403</v>
      </c>
      <c r="AQ4" s="304" t="s">
        <v>404</v>
      </c>
      <c r="AR4" s="304" t="s">
        <v>405</v>
      </c>
      <c r="AS4" s="304" t="s">
        <v>406</v>
      </c>
      <c r="AT4" s="304" t="s">
        <v>407</v>
      </c>
      <c r="AU4" s="304" t="s">
        <v>408</v>
      </c>
      <c r="AV4" s="304" t="s">
        <v>409</v>
      </c>
      <c r="AW4" s="304" t="s">
        <v>410</v>
      </c>
      <c r="AX4" s="304" t="s">
        <v>411</v>
      </c>
      <c r="AY4" s="304" t="s">
        <v>412</v>
      </c>
      <c r="AZ4" s="304" t="s">
        <v>413</v>
      </c>
      <c r="BA4" s="304" t="s">
        <v>414</v>
      </c>
      <c r="BB4" s="304" t="s">
        <v>415</v>
      </c>
      <c r="BC4" s="304" t="s">
        <v>416</v>
      </c>
      <c r="BD4" s="304" t="s">
        <v>417</v>
      </c>
      <c r="BE4" s="304" t="s">
        <v>418</v>
      </c>
      <c r="BF4" s="304" t="s">
        <v>419</v>
      </c>
      <c r="BG4" s="304" t="s">
        <v>420</v>
      </c>
      <c r="BH4" s="304" t="s">
        <v>421</v>
      </c>
      <c r="BI4" s="304" t="s">
        <v>422</v>
      </c>
      <c r="BJ4" s="304" t="s">
        <v>423</v>
      </c>
      <c r="BK4" s="304" t="s">
        <v>424</v>
      </c>
      <c r="BL4" s="304" t="s">
        <v>425</v>
      </c>
      <c r="BM4" s="304" t="s">
        <v>426</v>
      </c>
      <c r="BN4" s="304" t="s">
        <v>427</v>
      </c>
      <c r="BO4" s="304" t="s">
        <v>428</v>
      </c>
      <c r="BP4" s="304" t="s">
        <v>429</v>
      </c>
      <c r="BQ4" s="304" t="s">
        <v>430</v>
      </c>
      <c r="BR4" s="304" t="s">
        <v>431</v>
      </c>
      <c r="BS4" s="304" t="s">
        <v>432</v>
      </c>
    </row>
    <row r="5" spans="2:71">
      <c r="B5" s="139" t="s">
        <v>607</v>
      </c>
      <c r="D5" s="286" t="s">
        <v>606</v>
      </c>
    </row>
    <row r="6" spans="2:71" ht="27" thickBot="1">
      <c r="C6" s="154" t="s">
        <v>0</v>
      </c>
      <c r="D6" s="154" t="s">
        <v>141</v>
      </c>
      <c r="E6" s="154" t="s">
        <v>433</v>
      </c>
      <c r="F6" s="154" t="s">
        <v>608</v>
      </c>
      <c r="G6" s="154" t="s">
        <v>609</v>
      </c>
      <c r="H6" s="154" t="s">
        <v>620</v>
      </c>
      <c r="L6" s="155">
        <f t="shared" ref="L6:BR6" si="0">SUM(L7:L40)</f>
        <v>0</v>
      </c>
      <c r="M6" s="155">
        <f t="shared" si="0"/>
        <v>0</v>
      </c>
      <c r="N6" s="155">
        <f t="shared" si="0"/>
        <v>0</v>
      </c>
      <c r="O6" s="155">
        <f t="shared" si="0"/>
        <v>0</v>
      </c>
      <c r="P6" s="155">
        <f t="shared" si="0"/>
        <v>0</v>
      </c>
      <c r="Q6" s="155">
        <f t="shared" si="0"/>
        <v>0</v>
      </c>
      <c r="R6" s="155">
        <f t="shared" si="0"/>
        <v>1984</v>
      </c>
      <c r="S6" s="155">
        <f t="shared" si="0"/>
        <v>1984</v>
      </c>
      <c r="T6" s="155">
        <f t="shared" si="0"/>
        <v>1984</v>
      </c>
      <c r="U6" s="155">
        <f t="shared" si="0"/>
        <v>1984</v>
      </c>
      <c r="V6" s="155">
        <f t="shared" si="0"/>
        <v>1984</v>
      </c>
      <c r="W6" s="155">
        <f t="shared" si="0"/>
        <v>1984</v>
      </c>
      <c r="X6" s="155">
        <f t="shared" si="0"/>
        <v>2304</v>
      </c>
      <c r="Y6" s="155">
        <f t="shared" si="0"/>
        <v>2304</v>
      </c>
      <c r="Z6" s="155">
        <f t="shared" si="0"/>
        <v>2304</v>
      </c>
      <c r="AA6" s="155">
        <f t="shared" si="0"/>
        <v>2304</v>
      </c>
      <c r="AB6" s="155">
        <f t="shared" si="0"/>
        <v>2304</v>
      </c>
      <c r="AC6" s="155">
        <f t="shared" si="0"/>
        <v>2304</v>
      </c>
      <c r="AD6" s="155">
        <f t="shared" si="0"/>
        <v>2544</v>
      </c>
      <c r="AE6" s="155">
        <f t="shared" si="0"/>
        <v>2544</v>
      </c>
      <c r="AF6" s="155">
        <f t="shared" si="0"/>
        <v>2544</v>
      </c>
      <c r="AG6" s="155">
        <f t="shared" si="0"/>
        <v>2544</v>
      </c>
      <c r="AH6" s="155">
        <f t="shared" si="0"/>
        <v>2544</v>
      </c>
      <c r="AI6" s="155">
        <f t="shared" si="0"/>
        <v>2544</v>
      </c>
      <c r="AJ6" s="155">
        <f t="shared" si="0"/>
        <v>2832</v>
      </c>
      <c r="AK6" s="155">
        <f t="shared" si="0"/>
        <v>2832</v>
      </c>
      <c r="AL6" s="155">
        <f t="shared" si="0"/>
        <v>2832</v>
      </c>
      <c r="AM6" s="155">
        <f t="shared" si="0"/>
        <v>2832</v>
      </c>
      <c r="AN6" s="155">
        <f t="shared" si="0"/>
        <v>2832</v>
      </c>
      <c r="AO6" s="155">
        <f t="shared" si="0"/>
        <v>2832</v>
      </c>
      <c r="AP6" s="155">
        <f t="shared" si="0"/>
        <v>3152</v>
      </c>
      <c r="AQ6" s="155">
        <f t="shared" si="0"/>
        <v>3152</v>
      </c>
      <c r="AR6" s="155">
        <f t="shared" si="0"/>
        <v>3152</v>
      </c>
      <c r="AS6" s="155">
        <f t="shared" si="0"/>
        <v>3152</v>
      </c>
      <c r="AT6" s="155">
        <f t="shared" si="0"/>
        <v>3152</v>
      </c>
      <c r="AU6" s="155">
        <f t="shared" si="0"/>
        <v>3152</v>
      </c>
      <c r="AV6" s="155">
        <f t="shared" si="0"/>
        <v>3280</v>
      </c>
      <c r="AW6" s="155">
        <f t="shared" si="0"/>
        <v>3280</v>
      </c>
      <c r="AX6" s="155">
        <f t="shared" si="0"/>
        <v>3280</v>
      </c>
      <c r="AY6" s="155">
        <f t="shared" si="0"/>
        <v>3280</v>
      </c>
      <c r="AZ6" s="155">
        <f t="shared" si="0"/>
        <v>3280</v>
      </c>
      <c r="BA6" s="155">
        <f t="shared" si="0"/>
        <v>3280</v>
      </c>
      <c r="BB6" s="155">
        <f t="shared" si="0"/>
        <v>3600</v>
      </c>
      <c r="BC6" s="155">
        <f t="shared" si="0"/>
        <v>3600</v>
      </c>
      <c r="BD6" s="155">
        <f t="shared" si="0"/>
        <v>3600</v>
      </c>
      <c r="BE6" s="155">
        <f t="shared" si="0"/>
        <v>3600</v>
      </c>
      <c r="BF6" s="155">
        <f t="shared" si="0"/>
        <v>3600</v>
      </c>
      <c r="BG6" s="155">
        <f t="shared" si="0"/>
        <v>3600</v>
      </c>
      <c r="BH6" s="155">
        <f t="shared" si="0"/>
        <v>3600</v>
      </c>
      <c r="BI6" s="155">
        <f t="shared" si="0"/>
        <v>3600</v>
      </c>
      <c r="BJ6" s="155">
        <f t="shared" si="0"/>
        <v>3600</v>
      </c>
      <c r="BK6" s="155">
        <f t="shared" si="0"/>
        <v>3600</v>
      </c>
      <c r="BL6" s="155">
        <f t="shared" si="0"/>
        <v>3600</v>
      </c>
      <c r="BM6" s="155">
        <f t="shared" si="0"/>
        <v>3600</v>
      </c>
      <c r="BN6" s="155">
        <f t="shared" si="0"/>
        <v>3600</v>
      </c>
      <c r="BO6" s="155">
        <f t="shared" si="0"/>
        <v>3600</v>
      </c>
      <c r="BP6" s="155">
        <f t="shared" si="0"/>
        <v>3600</v>
      </c>
      <c r="BQ6" s="155">
        <f t="shared" si="0"/>
        <v>3600</v>
      </c>
      <c r="BR6" s="155">
        <f t="shared" si="0"/>
        <v>3600</v>
      </c>
      <c r="BS6" s="155">
        <f>SUM(BS7:BS40)</f>
        <v>3600</v>
      </c>
    </row>
    <row r="7" spans="2:71">
      <c r="C7" s="139">
        <f>노선구성!B48</f>
        <v>1</v>
      </c>
      <c r="D7" s="139">
        <f>노선구성!C48</f>
        <v>737</v>
      </c>
      <c r="E7" s="139" t="str">
        <f>노선구성!D48</f>
        <v>M7</v>
      </c>
      <c r="F7" s="139">
        <f>노선구성!M48</f>
        <v>100</v>
      </c>
      <c r="G7" s="139">
        <f>ROUNDUP(F7*4/100,0)</f>
        <v>4</v>
      </c>
      <c r="H7" s="139">
        <f>노선구성!N48*4</f>
        <v>120</v>
      </c>
      <c r="L7" s="139">
        <f>IF($E7=L$4,$G7,0)*$H7</f>
        <v>0</v>
      </c>
      <c r="M7" s="139">
        <f>IF(L7&gt;0,$G7,IF($E7=M$4,$G7,0))*$H7</f>
        <v>0</v>
      </c>
      <c r="N7" s="139">
        <f t="shared" ref="N7:BS7" si="1">IF(M7&gt;0,$G7,IF($E7=N$4,$G7,0))*$H7</f>
        <v>0</v>
      </c>
      <c r="O7" s="139">
        <f t="shared" si="1"/>
        <v>0</v>
      </c>
      <c r="P7" s="139">
        <f t="shared" si="1"/>
        <v>0</v>
      </c>
      <c r="Q7" s="139">
        <f t="shared" si="1"/>
        <v>0</v>
      </c>
      <c r="R7" s="139">
        <f t="shared" si="1"/>
        <v>480</v>
      </c>
      <c r="S7" s="139">
        <f t="shared" si="1"/>
        <v>480</v>
      </c>
      <c r="T7" s="139">
        <f t="shared" si="1"/>
        <v>480</v>
      </c>
      <c r="U7" s="139">
        <f t="shared" si="1"/>
        <v>480</v>
      </c>
      <c r="V7" s="139">
        <f t="shared" si="1"/>
        <v>480</v>
      </c>
      <c r="W7" s="139">
        <f t="shared" si="1"/>
        <v>480</v>
      </c>
      <c r="X7" s="139">
        <f t="shared" si="1"/>
        <v>480</v>
      </c>
      <c r="Y7" s="139">
        <f t="shared" si="1"/>
        <v>480</v>
      </c>
      <c r="Z7" s="139">
        <f t="shared" si="1"/>
        <v>480</v>
      </c>
      <c r="AA7" s="139">
        <f t="shared" si="1"/>
        <v>480</v>
      </c>
      <c r="AB7" s="139">
        <f t="shared" si="1"/>
        <v>480</v>
      </c>
      <c r="AC7" s="139">
        <f t="shared" si="1"/>
        <v>480</v>
      </c>
      <c r="AD7" s="139">
        <f t="shared" si="1"/>
        <v>480</v>
      </c>
      <c r="AE7" s="139">
        <f t="shared" si="1"/>
        <v>480</v>
      </c>
      <c r="AF7" s="139">
        <f t="shared" si="1"/>
        <v>480</v>
      </c>
      <c r="AG7" s="139">
        <f t="shared" si="1"/>
        <v>480</v>
      </c>
      <c r="AH7" s="139">
        <f t="shared" si="1"/>
        <v>480</v>
      </c>
      <c r="AI7" s="139">
        <f t="shared" si="1"/>
        <v>480</v>
      </c>
      <c r="AJ7" s="139">
        <f t="shared" si="1"/>
        <v>480</v>
      </c>
      <c r="AK7" s="139">
        <f t="shared" si="1"/>
        <v>480</v>
      </c>
      <c r="AL7" s="139">
        <f t="shared" si="1"/>
        <v>480</v>
      </c>
      <c r="AM7" s="139">
        <f t="shared" si="1"/>
        <v>480</v>
      </c>
      <c r="AN7" s="139">
        <f t="shared" si="1"/>
        <v>480</v>
      </c>
      <c r="AO7" s="139">
        <f t="shared" si="1"/>
        <v>480</v>
      </c>
      <c r="AP7" s="139">
        <f t="shared" si="1"/>
        <v>480</v>
      </c>
      <c r="AQ7" s="139">
        <f t="shared" si="1"/>
        <v>480</v>
      </c>
      <c r="AR7" s="139">
        <f t="shared" si="1"/>
        <v>480</v>
      </c>
      <c r="AS7" s="139">
        <f t="shared" si="1"/>
        <v>480</v>
      </c>
      <c r="AT7" s="139">
        <f t="shared" si="1"/>
        <v>480</v>
      </c>
      <c r="AU7" s="139">
        <f t="shared" si="1"/>
        <v>480</v>
      </c>
      <c r="AV7" s="139">
        <f t="shared" si="1"/>
        <v>480</v>
      </c>
      <c r="AW7" s="139">
        <f t="shared" si="1"/>
        <v>480</v>
      </c>
      <c r="AX7" s="139">
        <f t="shared" si="1"/>
        <v>480</v>
      </c>
      <c r="AY7" s="139">
        <f t="shared" si="1"/>
        <v>480</v>
      </c>
      <c r="AZ7" s="139">
        <f t="shared" si="1"/>
        <v>480</v>
      </c>
      <c r="BA7" s="139">
        <f t="shared" si="1"/>
        <v>480</v>
      </c>
      <c r="BB7" s="139">
        <f t="shared" si="1"/>
        <v>480</v>
      </c>
      <c r="BC7" s="139">
        <f t="shared" si="1"/>
        <v>480</v>
      </c>
      <c r="BD7" s="139">
        <f t="shared" si="1"/>
        <v>480</v>
      </c>
      <c r="BE7" s="139">
        <f t="shared" si="1"/>
        <v>480</v>
      </c>
      <c r="BF7" s="139">
        <f t="shared" si="1"/>
        <v>480</v>
      </c>
      <c r="BG7" s="139">
        <f t="shared" si="1"/>
        <v>480</v>
      </c>
      <c r="BH7" s="139">
        <f t="shared" si="1"/>
        <v>480</v>
      </c>
      <c r="BI7" s="139">
        <f t="shared" si="1"/>
        <v>480</v>
      </c>
      <c r="BJ7" s="139">
        <f t="shared" si="1"/>
        <v>480</v>
      </c>
      <c r="BK7" s="139">
        <f t="shared" si="1"/>
        <v>480</v>
      </c>
      <c r="BL7" s="139">
        <f t="shared" si="1"/>
        <v>480</v>
      </c>
      <c r="BM7" s="139">
        <f t="shared" si="1"/>
        <v>480</v>
      </c>
      <c r="BN7" s="139">
        <f t="shared" si="1"/>
        <v>480</v>
      </c>
      <c r="BO7" s="139">
        <f t="shared" si="1"/>
        <v>480</v>
      </c>
      <c r="BP7" s="139">
        <f t="shared" si="1"/>
        <v>480</v>
      </c>
      <c r="BQ7" s="139">
        <f t="shared" si="1"/>
        <v>480</v>
      </c>
      <c r="BR7" s="139">
        <f t="shared" si="1"/>
        <v>480</v>
      </c>
      <c r="BS7" s="139">
        <f t="shared" si="1"/>
        <v>480</v>
      </c>
    </row>
    <row r="8" spans="2:71">
      <c r="C8" s="139">
        <f>노선구성!B49</f>
        <v>2</v>
      </c>
      <c r="D8" s="139">
        <f>노선구성!C49</f>
        <v>737</v>
      </c>
      <c r="E8" s="139" t="str">
        <f>노선구성!D49</f>
        <v>M7</v>
      </c>
      <c r="F8" s="139">
        <f>노선구성!M49</f>
        <v>120</v>
      </c>
      <c r="G8" s="139">
        <f t="shared" ref="G8:G19" si="2">ROUNDUP(F8*4/100,0)</f>
        <v>5</v>
      </c>
      <c r="H8" s="139">
        <f>노선구성!N49*4</f>
        <v>120</v>
      </c>
      <c r="L8" s="139">
        <f t="shared" ref="L8:L20" si="3">IF($E8=L$4,$G8,0)*$H8</f>
        <v>0</v>
      </c>
      <c r="M8" s="139">
        <f t="shared" ref="M8:BS8" si="4">IF(L8&gt;0,$G8,IF($E8=M$4,$G8,0))*$H8</f>
        <v>0</v>
      </c>
      <c r="N8" s="139">
        <f t="shared" si="4"/>
        <v>0</v>
      </c>
      <c r="O8" s="139">
        <f t="shared" si="4"/>
        <v>0</v>
      </c>
      <c r="P8" s="139">
        <f t="shared" si="4"/>
        <v>0</v>
      </c>
      <c r="Q8" s="139">
        <f t="shared" si="4"/>
        <v>0</v>
      </c>
      <c r="R8" s="139">
        <f t="shared" si="4"/>
        <v>600</v>
      </c>
      <c r="S8" s="139">
        <f t="shared" si="4"/>
        <v>600</v>
      </c>
      <c r="T8" s="139">
        <f t="shared" si="4"/>
        <v>600</v>
      </c>
      <c r="U8" s="139">
        <f t="shared" si="4"/>
        <v>600</v>
      </c>
      <c r="V8" s="139">
        <f t="shared" si="4"/>
        <v>600</v>
      </c>
      <c r="W8" s="139">
        <f t="shared" si="4"/>
        <v>600</v>
      </c>
      <c r="X8" s="139">
        <f t="shared" si="4"/>
        <v>600</v>
      </c>
      <c r="Y8" s="139">
        <f t="shared" si="4"/>
        <v>600</v>
      </c>
      <c r="Z8" s="139">
        <f t="shared" si="4"/>
        <v>600</v>
      </c>
      <c r="AA8" s="139">
        <f t="shared" si="4"/>
        <v>600</v>
      </c>
      <c r="AB8" s="139">
        <f t="shared" si="4"/>
        <v>600</v>
      </c>
      <c r="AC8" s="139">
        <f t="shared" si="4"/>
        <v>600</v>
      </c>
      <c r="AD8" s="139">
        <f t="shared" si="4"/>
        <v>600</v>
      </c>
      <c r="AE8" s="139">
        <f t="shared" si="4"/>
        <v>600</v>
      </c>
      <c r="AF8" s="139">
        <f t="shared" si="4"/>
        <v>600</v>
      </c>
      <c r="AG8" s="139">
        <f t="shared" si="4"/>
        <v>600</v>
      </c>
      <c r="AH8" s="139">
        <f t="shared" si="4"/>
        <v>600</v>
      </c>
      <c r="AI8" s="139">
        <f t="shared" si="4"/>
        <v>600</v>
      </c>
      <c r="AJ8" s="139">
        <f t="shared" si="4"/>
        <v>600</v>
      </c>
      <c r="AK8" s="139">
        <f t="shared" si="4"/>
        <v>600</v>
      </c>
      <c r="AL8" s="139">
        <f t="shared" si="4"/>
        <v>600</v>
      </c>
      <c r="AM8" s="139">
        <f t="shared" si="4"/>
        <v>600</v>
      </c>
      <c r="AN8" s="139">
        <f t="shared" si="4"/>
        <v>600</v>
      </c>
      <c r="AO8" s="139">
        <f t="shared" si="4"/>
        <v>600</v>
      </c>
      <c r="AP8" s="139">
        <f t="shared" si="4"/>
        <v>600</v>
      </c>
      <c r="AQ8" s="139">
        <f t="shared" si="4"/>
        <v>600</v>
      </c>
      <c r="AR8" s="139">
        <f t="shared" si="4"/>
        <v>600</v>
      </c>
      <c r="AS8" s="139">
        <f t="shared" si="4"/>
        <v>600</v>
      </c>
      <c r="AT8" s="139">
        <f t="shared" si="4"/>
        <v>600</v>
      </c>
      <c r="AU8" s="139">
        <f t="shared" si="4"/>
        <v>600</v>
      </c>
      <c r="AV8" s="139">
        <f t="shared" si="4"/>
        <v>600</v>
      </c>
      <c r="AW8" s="139">
        <f t="shared" si="4"/>
        <v>600</v>
      </c>
      <c r="AX8" s="139">
        <f t="shared" si="4"/>
        <v>600</v>
      </c>
      <c r="AY8" s="139">
        <f t="shared" si="4"/>
        <v>600</v>
      </c>
      <c r="AZ8" s="139">
        <f t="shared" si="4"/>
        <v>600</v>
      </c>
      <c r="BA8" s="139">
        <f t="shared" si="4"/>
        <v>600</v>
      </c>
      <c r="BB8" s="139">
        <f t="shared" si="4"/>
        <v>600</v>
      </c>
      <c r="BC8" s="139">
        <f t="shared" si="4"/>
        <v>600</v>
      </c>
      <c r="BD8" s="139">
        <f t="shared" si="4"/>
        <v>600</v>
      </c>
      <c r="BE8" s="139">
        <f t="shared" si="4"/>
        <v>600</v>
      </c>
      <c r="BF8" s="139">
        <f t="shared" si="4"/>
        <v>600</v>
      </c>
      <c r="BG8" s="139">
        <f t="shared" si="4"/>
        <v>600</v>
      </c>
      <c r="BH8" s="139">
        <f t="shared" si="4"/>
        <v>600</v>
      </c>
      <c r="BI8" s="139">
        <f t="shared" si="4"/>
        <v>600</v>
      </c>
      <c r="BJ8" s="139">
        <f t="shared" si="4"/>
        <v>600</v>
      </c>
      <c r="BK8" s="139">
        <f t="shared" si="4"/>
        <v>600</v>
      </c>
      <c r="BL8" s="139">
        <f t="shared" si="4"/>
        <v>600</v>
      </c>
      <c r="BM8" s="139">
        <f t="shared" si="4"/>
        <v>600</v>
      </c>
      <c r="BN8" s="139">
        <f t="shared" si="4"/>
        <v>600</v>
      </c>
      <c r="BO8" s="139">
        <f t="shared" si="4"/>
        <v>600</v>
      </c>
      <c r="BP8" s="139">
        <f t="shared" si="4"/>
        <v>600</v>
      </c>
      <c r="BQ8" s="139">
        <f t="shared" si="4"/>
        <v>600</v>
      </c>
      <c r="BR8" s="139">
        <f t="shared" si="4"/>
        <v>600</v>
      </c>
      <c r="BS8" s="139">
        <f t="shared" si="4"/>
        <v>600</v>
      </c>
    </row>
    <row r="9" spans="2:71">
      <c r="C9" s="139">
        <f>노선구성!B50</f>
        <v>3</v>
      </c>
      <c r="D9" s="139">
        <f>노선구성!C50</f>
        <v>737</v>
      </c>
      <c r="E9" s="139" t="str">
        <f>노선구성!D50</f>
        <v>M7</v>
      </c>
      <c r="F9" s="139">
        <f>노선구성!M50</f>
        <v>117</v>
      </c>
      <c r="G9" s="139">
        <f t="shared" si="2"/>
        <v>5</v>
      </c>
      <c r="H9" s="139">
        <f>노선구성!N50*4</f>
        <v>136</v>
      </c>
      <c r="L9" s="139">
        <f t="shared" si="3"/>
        <v>0</v>
      </c>
      <c r="M9" s="139">
        <f t="shared" ref="M9:BS9" si="5">IF(L9&gt;0,$G9,IF($E9=M$4,$G9,0))*$H9</f>
        <v>0</v>
      </c>
      <c r="N9" s="139">
        <f t="shared" si="5"/>
        <v>0</v>
      </c>
      <c r="O9" s="139">
        <f t="shared" si="5"/>
        <v>0</v>
      </c>
      <c r="P9" s="139">
        <f t="shared" si="5"/>
        <v>0</v>
      </c>
      <c r="Q9" s="139">
        <f t="shared" si="5"/>
        <v>0</v>
      </c>
      <c r="R9" s="139">
        <f t="shared" si="5"/>
        <v>680</v>
      </c>
      <c r="S9" s="139">
        <f t="shared" si="5"/>
        <v>680</v>
      </c>
      <c r="T9" s="139">
        <f t="shared" si="5"/>
        <v>680</v>
      </c>
      <c r="U9" s="139">
        <f t="shared" si="5"/>
        <v>680</v>
      </c>
      <c r="V9" s="139">
        <f t="shared" si="5"/>
        <v>680</v>
      </c>
      <c r="W9" s="139">
        <f t="shared" si="5"/>
        <v>680</v>
      </c>
      <c r="X9" s="139">
        <f t="shared" si="5"/>
        <v>680</v>
      </c>
      <c r="Y9" s="139">
        <f t="shared" si="5"/>
        <v>680</v>
      </c>
      <c r="Z9" s="139">
        <f t="shared" si="5"/>
        <v>680</v>
      </c>
      <c r="AA9" s="139">
        <f t="shared" si="5"/>
        <v>680</v>
      </c>
      <c r="AB9" s="139">
        <f t="shared" si="5"/>
        <v>680</v>
      </c>
      <c r="AC9" s="139">
        <f t="shared" si="5"/>
        <v>680</v>
      </c>
      <c r="AD9" s="139">
        <f t="shared" si="5"/>
        <v>680</v>
      </c>
      <c r="AE9" s="139">
        <f t="shared" si="5"/>
        <v>680</v>
      </c>
      <c r="AF9" s="139">
        <f t="shared" si="5"/>
        <v>680</v>
      </c>
      <c r="AG9" s="139">
        <f t="shared" si="5"/>
        <v>680</v>
      </c>
      <c r="AH9" s="139">
        <f t="shared" si="5"/>
        <v>680</v>
      </c>
      <c r="AI9" s="139">
        <f t="shared" si="5"/>
        <v>680</v>
      </c>
      <c r="AJ9" s="139">
        <f t="shared" si="5"/>
        <v>680</v>
      </c>
      <c r="AK9" s="139">
        <f t="shared" si="5"/>
        <v>680</v>
      </c>
      <c r="AL9" s="139">
        <f t="shared" si="5"/>
        <v>680</v>
      </c>
      <c r="AM9" s="139">
        <f t="shared" si="5"/>
        <v>680</v>
      </c>
      <c r="AN9" s="139">
        <f t="shared" si="5"/>
        <v>680</v>
      </c>
      <c r="AO9" s="139">
        <f t="shared" si="5"/>
        <v>680</v>
      </c>
      <c r="AP9" s="139">
        <f t="shared" si="5"/>
        <v>680</v>
      </c>
      <c r="AQ9" s="139">
        <f t="shared" si="5"/>
        <v>680</v>
      </c>
      <c r="AR9" s="139">
        <f t="shared" si="5"/>
        <v>680</v>
      </c>
      <c r="AS9" s="139">
        <f t="shared" si="5"/>
        <v>680</v>
      </c>
      <c r="AT9" s="139">
        <f t="shared" si="5"/>
        <v>680</v>
      </c>
      <c r="AU9" s="139">
        <f t="shared" si="5"/>
        <v>680</v>
      </c>
      <c r="AV9" s="139">
        <f t="shared" si="5"/>
        <v>680</v>
      </c>
      <c r="AW9" s="139">
        <f t="shared" si="5"/>
        <v>680</v>
      </c>
      <c r="AX9" s="139">
        <f t="shared" si="5"/>
        <v>680</v>
      </c>
      <c r="AY9" s="139">
        <f t="shared" si="5"/>
        <v>680</v>
      </c>
      <c r="AZ9" s="139">
        <f t="shared" si="5"/>
        <v>680</v>
      </c>
      <c r="BA9" s="139">
        <f t="shared" si="5"/>
        <v>680</v>
      </c>
      <c r="BB9" s="139">
        <f t="shared" si="5"/>
        <v>680</v>
      </c>
      <c r="BC9" s="139">
        <f t="shared" si="5"/>
        <v>680</v>
      </c>
      <c r="BD9" s="139">
        <f t="shared" si="5"/>
        <v>680</v>
      </c>
      <c r="BE9" s="139">
        <f t="shared" si="5"/>
        <v>680</v>
      </c>
      <c r="BF9" s="139">
        <f t="shared" si="5"/>
        <v>680</v>
      </c>
      <c r="BG9" s="139">
        <f t="shared" si="5"/>
        <v>680</v>
      </c>
      <c r="BH9" s="139">
        <f t="shared" si="5"/>
        <v>680</v>
      </c>
      <c r="BI9" s="139">
        <f t="shared" si="5"/>
        <v>680</v>
      </c>
      <c r="BJ9" s="139">
        <f t="shared" si="5"/>
        <v>680</v>
      </c>
      <c r="BK9" s="139">
        <f t="shared" si="5"/>
        <v>680</v>
      </c>
      <c r="BL9" s="139">
        <f t="shared" si="5"/>
        <v>680</v>
      </c>
      <c r="BM9" s="139">
        <f t="shared" si="5"/>
        <v>680</v>
      </c>
      <c r="BN9" s="139">
        <f t="shared" si="5"/>
        <v>680</v>
      </c>
      <c r="BO9" s="139">
        <f t="shared" si="5"/>
        <v>680</v>
      </c>
      <c r="BP9" s="139">
        <f t="shared" si="5"/>
        <v>680</v>
      </c>
      <c r="BQ9" s="139">
        <f t="shared" si="5"/>
        <v>680</v>
      </c>
      <c r="BR9" s="139">
        <f t="shared" si="5"/>
        <v>680</v>
      </c>
      <c r="BS9" s="139">
        <f t="shared" si="5"/>
        <v>680</v>
      </c>
    </row>
    <row r="10" spans="2:71">
      <c r="C10" s="139">
        <f>노선구성!B51</f>
        <v>4</v>
      </c>
      <c r="D10" s="139">
        <f>노선구성!C51</f>
        <v>767</v>
      </c>
      <c r="E10" s="139" t="str">
        <f>노선구성!D51</f>
        <v>M7</v>
      </c>
      <c r="F10" s="139">
        <f>노선구성!M51</f>
        <v>98</v>
      </c>
      <c r="G10" s="139">
        <f t="shared" si="2"/>
        <v>4</v>
      </c>
      <c r="H10" s="139">
        <f>노선구성!N51*4</f>
        <v>56</v>
      </c>
      <c r="L10" s="139">
        <f t="shared" si="3"/>
        <v>0</v>
      </c>
      <c r="M10" s="139">
        <f t="shared" ref="M10:BS10" si="6">IF(L10&gt;0,$G10,IF($E10=M$4,$G10,0))*$H10</f>
        <v>0</v>
      </c>
      <c r="N10" s="139">
        <f t="shared" si="6"/>
        <v>0</v>
      </c>
      <c r="O10" s="139">
        <f t="shared" si="6"/>
        <v>0</v>
      </c>
      <c r="P10" s="139">
        <f t="shared" si="6"/>
        <v>0</v>
      </c>
      <c r="Q10" s="139">
        <f t="shared" si="6"/>
        <v>0</v>
      </c>
      <c r="R10" s="139">
        <f t="shared" si="6"/>
        <v>224</v>
      </c>
      <c r="S10" s="139">
        <f t="shared" si="6"/>
        <v>224</v>
      </c>
      <c r="T10" s="139">
        <f t="shared" si="6"/>
        <v>224</v>
      </c>
      <c r="U10" s="139">
        <f t="shared" si="6"/>
        <v>224</v>
      </c>
      <c r="V10" s="139">
        <f t="shared" si="6"/>
        <v>224</v>
      </c>
      <c r="W10" s="139">
        <f t="shared" si="6"/>
        <v>224</v>
      </c>
      <c r="X10" s="139">
        <f t="shared" si="6"/>
        <v>224</v>
      </c>
      <c r="Y10" s="139">
        <f t="shared" si="6"/>
        <v>224</v>
      </c>
      <c r="Z10" s="139">
        <f t="shared" si="6"/>
        <v>224</v>
      </c>
      <c r="AA10" s="139">
        <f t="shared" si="6"/>
        <v>224</v>
      </c>
      <c r="AB10" s="139">
        <f t="shared" si="6"/>
        <v>224</v>
      </c>
      <c r="AC10" s="139">
        <f t="shared" si="6"/>
        <v>224</v>
      </c>
      <c r="AD10" s="139">
        <f t="shared" si="6"/>
        <v>224</v>
      </c>
      <c r="AE10" s="139">
        <f t="shared" si="6"/>
        <v>224</v>
      </c>
      <c r="AF10" s="139">
        <f t="shared" si="6"/>
        <v>224</v>
      </c>
      <c r="AG10" s="139">
        <f t="shared" si="6"/>
        <v>224</v>
      </c>
      <c r="AH10" s="139">
        <f t="shared" si="6"/>
        <v>224</v>
      </c>
      <c r="AI10" s="139">
        <f t="shared" si="6"/>
        <v>224</v>
      </c>
      <c r="AJ10" s="139">
        <f t="shared" si="6"/>
        <v>224</v>
      </c>
      <c r="AK10" s="139">
        <f t="shared" si="6"/>
        <v>224</v>
      </c>
      <c r="AL10" s="139">
        <f t="shared" si="6"/>
        <v>224</v>
      </c>
      <c r="AM10" s="139">
        <f t="shared" si="6"/>
        <v>224</v>
      </c>
      <c r="AN10" s="139">
        <f t="shared" si="6"/>
        <v>224</v>
      </c>
      <c r="AO10" s="139">
        <f t="shared" si="6"/>
        <v>224</v>
      </c>
      <c r="AP10" s="139">
        <f t="shared" si="6"/>
        <v>224</v>
      </c>
      <c r="AQ10" s="139">
        <f t="shared" si="6"/>
        <v>224</v>
      </c>
      <c r="AR10" s="139">
        <f t="shared" si="6"/>
        <v>224</v>
      </c>
      <c r="AS10" s="139">
        <f t="shared" si="6"/>
        <v>224</v>
      </c>
      <c r="AT10" s="139">
        <f t="shared" si="6"/>
        <v>224</v>
      </c>
      <c r="AU10" s="139">
        <f t="shared" si="6"/>
        <v>224</v>
      </c>
      <c r="AV10" s="139">
        <f t="shared" si="6"/>
        <v>224</v>
      </c>
      <c r="AW10" s="139">
        <f t="shared" si="6"/>
        <v>224</v>
      </c>
      <c r="AX10" s="139">
        <f t="shared" si="6"/>
        <v>224</v>
      </c>
      <c r="AY10" s="139">
        <f t="shared" si="6"/>
        <v>224</v>
      </c>
      <c r="AZ10" s="139">
        <f t="shared" si="6"/>
        <v>224</v>
      </c>
      <c r="BA10" s="139">
        <f t="shared" si="6"/>
        <v>224</v>
      </c>
      <c r="BB10" s="139">
        <f t="shared" si="6"/>
        <v>224</v>
      </c>
      <c r="BC10" s="139">
        <f t="shared" si="6"/>
        <v>224</v>
      </c>
      <c r="BD10" s="139">
        <f t="shared" si="6"/>
        <v>224</v>
      </c>
      <c r="BE10" s="139">
        <f t="shared" si="6"/>
        <v>224</v>
      </c>
      <c r="BF10" s="139">
        <f t="shared" si="6"/>
        <v>224</v>
      </c>
      <c r="BG10" s="139">
        <f t="shared" si="6"/>
        <v>224</v>
      </c>
      <c r="BH10" s="139">
        <f t="shared" si="6"/>
        <v>224</v>
      </c>
      <c r="BI10" s="139">
        <f t="shared" si="6"/>
        <v>224</v>
      </c>
      <c r="BJ10" s="139">
        <f t="shared" si="6"/>
        <v>224</v>
      </c>
      <c r="BK10" s="139">
        <f t="shared" si="6"/>
        <v>224</v>
      </c>
      <c r="BL10" s="139">
        <f t="shared" si="6"/>
        <v>224</v>
      </c>
      <c r="BM10" s="139">
        <f t="shared" si="6"/>
        <v>224</v>
      </c>
      <c r="BN10" s="139">
        <f t="shared" si="6"/>
        <v>224</v>
      </c>
      <c r="BO10" s="139">
        <f t="shared" si="6"/>
        <v>224</v>
      </c>
      <c r="BP10" s="139">
        <f t="shared" si="6"/>
        <v>224</v>
      </c>
      <c r="BQ10" s="139">
        <f t="shared" si="6"/>
        <v>224</v>
      </c>
      <c r="BR10" s="139">
        <f t="shared" si="6"/>
        <v>224</v>
      </c>
      <c r="BS10" s="139">
        <f t="shared" si="6"/>
        <v>224</v>
      </c>
    </row>
    <row r="11" spans="2:71">
      <c r="C11" s="139">
        <f>노선구성!B52</f>
        <v>5</v>
      </c>
      <c r="D11" s="139">
        <f>노선구성!C52</f>
        <v>737</v>
      </c>
      <c r="E11" s="139" t="str">
        <f>노선구성!D52</f>
        <v>M13</v>
      </c>
      <c r="F11" s="139">
        <f>노선구성!M52</f>
        <v>100</v>
      </c>
      <c r="G11" s="139">
        <f t="shared" si="2"/>
        <v>4</v>
      </c>
      <c r="H11" s="139">
        <f>노선구성!N52*4</f>
        <v>80</v>
      </c>
      <c r="L11" s="139">
        <f t="shared" si="3"/>
        <v>0</v>
      </c>
      <c r="M11" s="139">
        <f t="shared" ref="M11:BS11" si="7">IF(L11&gt;0,$G11,IF($E11=M$4,$G11,0))*$H11</f>
        <v>0</v>
      </c>
      <c r="N11" s="139">
        <f t="shared" si="7"/>
        <v>0</v>
      </c>
      <c r="O11" s="139">
        <f t="shared" si="7"/>
        <v>0</v>
      </c>
      <c r="P11" s="139">
        <f t="shared" si="7"/>
        <v>0</v>
      </c>
      <c r="Q11" s="139">
        <f t="shared" si="7"/>
        <v>0</v>
      </c>
      <c r="R11" s="139">
        <f t="shared" si="7"/>
        <v>0</v>
      </c>
      <c r="S11" s="139">
        <f t="shared" si="7"/>
        <v>0</v>
      </c>
      <c r="T11" s="139">
        <f t="shared" si="7"/>
        <v>0</v>
      </c>
      <c r="U11" s="139">
        <f t="shared" si="7"/>
        <v>0</v>
      </c>
      <c r="V11" s="139">
        <f t="shared" si="7"/>
        <v>0</v>
      </c>
      <c r="W11" s="139">
        <f t="shared" si="7"/>
        <v>0</v>
      </c>
      <c r="X11" s="139">
        <f t="shared" si="7"/>
        <v>320</v>
      </c>
      <c r="Y11" s="139">
        <f t="shared" si="7"/>
        <v>320</v>
      </c>
      <c r="Z11" s="139">
        <f t="shared" si="7"/>
        <v>320</v>
      </c>
      <c r="AA11" s="139">
        <f t="shared" si="7"/>
        <v>320</v>
      </c>
      <c r="AB11" s="139">
        <f t="shared" si="7"/>
        <v>320</v>
      </c>
      <c r="AC11" s="139">
        <f t="shared" si="7"/>
        <v>320</v>
      </c>
      <c r="AD11" s="139">
        <f t="shared" si="7"/>
        <v>320</v>
      </c>
      <c r="AE11" s="139">
        <f t="shared" si="7"/>
        <v>320</v>
      </c>
      <c r="AF11" s="139">
        <f t="shared" si="7"/>
        <v>320</v>
      </c>
      <c r="AG11" s="139">
        <f t="shared" si="7"/>
        <v>320</v>
      </c>
      <c r="AH11" s="139">
        <f t="shared" si="7"/>
        <v>320</v>
      </c>
      <c r="AI11" s="139">
        <f t="shared" si="7"/>
        <v>320</v>
      </c>
      <c r="AJ11" s="139">
        <f t="shared" si="7"/>
        <v>320</v>
      </c>
      <c r="AK11" s="139">
        <f t="shared" si="7"/>
        <v>320</v>
      </c>
      <c r="AL11" s="139">
        <f t="shared" si="7"/>
        <v>320</v>
      </c>
      <c r="AM11" s="139">
        <f t="shared" si="7"/>
        <v>320</v>
      </c>
      <c r="AN11" s="139">
        <f t="shared" si="7"/>
        <v>320</v>
      </c>
      <c r="AO11" s="139">
        <f t="shared" si="7"/>
        <v>320</v>
      </c>
      <c r="AP11" s="139">
        <f t="shared" si="7"/>
        <v>320</v>
      </c>
      <c r="AQ11" s="139">
        <f t="shared" si="7"/>
        <v>320</v>
      </c>
      <c r="AR11" s="139">
        <f t="shared" si="7"/>
        <v>320</v>
      </c>
      <c r="AS11" s="139">
        <f t="shared" si="7"/>
        <v>320</v>
      </c>
      <c r="AT11" s="139">
        <f t="shared" si="7"/>
        <v>320</v>
      </c>
      <c r="AU11" s="139">
        <f t="shared" si="7"/>
        <v>320</v>
      </c>
      <c r="AV11" s="139">
        <f t="shared" si="7"/>
        <v>320</v>
      </c>
      <c r="AW11" s="139">
        <f t="shared" si="7"/>
        <v>320</v>
      </c>
      <c r="AX11" s="139">
        <f t="shared" si="7"/>
        <v>320</v>
      </c>
      <c r="AY11" s="139">
        <f t="shared" si="7"/>
        <v>320</v>
      </c>
      <c r="AZ11" s="139">
        <f t="shared" si="7"/>
        <v>320</v>
      </c>
      <c r="BA11" s="139">
        <f t="shared" si="7"/>
        <v>320</v>
      </c>
      <c r="BB11" s="139">
        <f t="shared" si="7"/>
        <v>320</v>
      </c>
      <c r="BC11" s="139">
        <f t="shared" si="7"/>
        <v>320</v>
      </c>
      <c r="BD11" s="139">
        <f t="shared" si="7"/>
        <v>320</v>
      </c>
      <c r="BE11" s="139">
        <f t="shared" si="7"/>
        <v>320</v>
      </c>
      <c r="BF11" s="139">
        <f t="shared" si="7"/>
        <v>320</v>
      </c>
      <c r="BG11" s="139">
        <f t="shared" si="7"/>
        <v>320</v>
      </c>
      <c r="BH11" s="139">
        <f t="shared" si="7"/>
        <v>320</v>
      </c>
      <c r="BI11" s="139">
        <f t="shared" si="7"/>
        <v>320</v>
      </c>
      <c r="BJ11" s="139">
        <f t="shared" si="7"/>
        <v>320</v>
      </c>
      <c r="BK11" s="139">
        <f t="shared" si="7"/>
        <v>320</v>
      </c>
      <c r="BL11" s="139">
        <f t="shared" si="7"/>
        <v>320</v>
      </c>
      <c r="BM11" s="139">
        <f t="shared" si="7"/>
        <v>320</v>
      </c>
      <c r="BN11" s="139">
        <f t="shared" si="7"/>
        <v>320</v>
      </c>
      <c r="BO11" s="139">
        <f t="shared" si="7"/>
        <v>320</v>
      </c>
      <c r="BP11" s="139">
        <f t="shared" si="7"/>
        <v>320</v>
      </c>
      <c r="BQ11" s="139">
        <f t="shared" si="7"/>
        <v>320</v>
      </c>
      <c r="BR11" s="139">
        <f t="shared" si="7"/>
        <v>320</v>
      </c>
      <c r="BS11" s="139">
        <f t="shared" si="7"/>
        <v>320</v>
      </c>
    </row>
    <row r="12" spans="2:71">
      <c r="C12" s="139">
        <f>노선구성!B53</f>
        <v>6</v>
      </c>
      <c r="D12" s="139">
        <f>노선구성!C53</f>
        <v>767</v>
      </c>
      <c r="E12" s="139" t="str">
        <f>노선구성!D53</f>
        <v>M19</v>
      </c>
      <c r="F12" s="139">
        <f>노선구성!M53</f>
        <v>111</v>
      </c>
      <c r="G12" s="139">
        <f t="shared" si="2"/>
        <v>5</v>
      </c>
      <c r="H12" s="139">
        <f>노선구성!N53*4</f>
        <v>48</v>
      </c>
      <c r="L12" s="139">
        <f t="shared" si="3"/>
        <v>0</v>
      </c>
      <c r="M12" s="139">
        <f t="shared" ref="M12:BS12" si="8">IF(L12&gt;0,$G12,IF($E12=M$4,$G12,0))*$H12</f>
        <v>0</v>
      </c>
      <c r="N12" s="139">
        <f t="shared" si="8"/>
        <v>0</v>
      </c>
      <c r="O12" s="139">
        <f t="shared" si="8"/>
        <v>0</v>
      </c>
      <c r="P12" s="139">
        <f t="shared" si="8"/>
        <v>0</v>
      </c>
      <c r="Q12" s="139">
        <f t="shared" si="8"/>
        <v>0</v>
      </c>
      <c r="R12" s="139">
        <f t="shared" si="8"/>
        <v>0</v>
      </c>
      <c r="S12" s="139">
        <f t="shared" si="8"/>
        <v>0</v>
      </c>
      <c r="T12" s="139">
        <f t="shared" si="8"/>
        <v>0</v>
      </c>
      <c r="U12" s="139">
        <f t="shared" si="8"/>
        <v>0</v>
      </c>
      <c r="V12" s="139">
        <f t="shared" si="8"/>
        <v>0</v>
      </c>
      <c r="W12" s="139">
        <f t="shared" si="8"/>
        <v>0</v>
      </c>
      <c r="X12" s="139">
        <f t="shared" si="8"/>
        <v>0</v>
      </c>
      <c r="Y12" s="139">
        <f t="shared" si="8"/>
        <v>0</v>
      </c>
      <c r="Z12" s="139">
        <f t="shared" si="8"/>
        <v>0</v>
      </c>
      <c r="AA12" s="139">
        <f t="shared" si="8"/>
        <v>0</v>
      </c>
      <c r="AB12" s="139">
        <f t="shared" si="8"/>
        <v>0</v>
      </c>
      <c r="AC12" s="139">
        <f t="shared" si="8"/>
        <v>0</v>
      </c>
      <c r="AD12" s="139">
        <f t="shared" si="8"/>
        <v>240</v>
      </c>
      <c r="AE12" s="139">
        <f t="shared" si="8"/>
        <v>240</v>
      </c>
      <c r="AF12" s="139">
        <f t="shared" si="8"/>
        <v>240</v>
      </c>
      <c r="AG12" s="139">
        <f t="shared" si="8"/>
        <v>240</v>
      </c>
      <c r="AH12" s="139">
        <f t="shared" si="8"/>
        <v>240</v>
      </c>
      <c r="AI12" s="139">
        <f t="shared" si="8"/>
        <v>240</v>
      </c>
      <c r="AJ12" s="139">
        <f t="shared" si="8"/>
        <v>240</v>
      </c>
      <c r="AK12" s="139">
        <f t="shared" si="8"/>
        <v>240</v>
      </c>
      <c r="AL12" s="139">
        <f t="shared" si="8"/>
        <v>240</v>
      </c>
      <c r="AM12" s="139">
        <f t="shared" si="8"/>
        <v>240</v>
      </c>
      <c r="AN12" s="139">
        <f t="shared" si="8"/>
        <v>240</v>
      </c>
      <c r="AO12" s="139">
        <f t="shared" si="8"/>
        <v>240</v>
      </c>
      <c r="AP12" s="139">
        <f t="shared" si="8"/>
        <v>240</v>
      </c>
      <c r="AQ12" s="139">
        <f t="shared" si="8"/>
        <v>240</v>
      </c>
      <c r="AR12" s="139">
        <f t="shared" si="8"/>
        <v>240</v>
      </c>
      <c r="AS12" s="139">
        <f t="shared" si="8"/>
        <v>240</v>
      </c>
      <c r="AT12" s="139">
        <f t="shared" si="8"/>
        <v>240</v>
      </c>
      <c r="AU12" s="139">
        <f t="shared" si="8"/>
        <v>240</v>
      </c>
      <c r="AV12" s="139">
        <f t="shared" si="8"/>
        <v>240</v>
      </c>
      <c r="AW12" s="139">
        <f t="shared" si="8"/>
        <v>240</v>
      </c>
      <c r="AX12" s="139">
        <f t="shared" si="8"/>
        <v>240</v>
      </c>
      <c r="AY12" s="139">
        <f t="shared" si="8"/>
        <v>240</v>
      </c>
      <c r="AZ12" s="139">
        <f t="shared" si="8"/>
        <v>240</v>
      </c>
      <c r="BA12" s="139">
        <f t="shared" si="8"/>
        <v>240</v>
      </c>
      <c r="BB12" s="139">
        <f t="shared" si="8"/>
        <v>240</v>
      </c>
      <c r="BC12" s="139">
        <f t="shared" si="8"/>
        <v>240</v>
      </c>
      <c r="BD12" s="139">
        <f t="shared" si="8"/>
        <v>240</v>
      </c>
      <c r="BE12" s="139">
        <f t="shared" si="8"/>
        <v>240</v>
      </c>
      <c r="BF12" s="139">
        <f t="shared" si="8"/>
        <v>240</v>
      </c>
      <c r="BG12" s="139">
        <f t="shared" si="8"/>
        <v>240</v>
      </c>
      <c r="BH12" s="139">
        <f t="shared" si="8"/>
        <v>240</v>
      </c>
      <c r="BI12" s="139">
        <f t="shared" si="8"/>
        <v>240</v>
      </c>
      <c r="BJ12" s="139">
        <f t="shared" si="8"/>
        <v>240</v>
      </c>
      <c r="BK12" s="139">
        <f t="shared" si="8"/>
        <v>240</v>
      </c>
      <c r="BL12" s="139">
        <f t="shared" si="8"/>
        <v>240</v>
      </c>
      <c r="BM12" s="139">
        <f t="shared" si="8"/>
        <v>240</v>
      </c>
      <c r="BN12" s="139">
        <f t="shared" si="8"/>
        <v>240</v>
      </c>
      <c r="BO12" s="139">
        <f t="shared" si="8"/>
        <v>240</v>
      </c>
      <c r="BP12" s="139">
        <f t="shared" si="8"/>
        <v>240</v>
      </c>
      <c r="BQ12" s="139">
        <f t="shared" si="8"/>
        <v>240</v>
      </c>
      <c r="BR12" s="139">
        <f t="shared" si="8"/>
        <v>240</v>
      </c>
      <c r="BS12" s="139">
        <f t="shared" si="8"/>
        <v>240</v>
      </c>
    </row>
    <row r="13" spans="2:71">
      <c r="C13" s="139">
        <f>노선구성!B54</f>
        <v>7</v>
      </c>
      <c r="D13" s="139">
        <f>노선구성!C54</f>
        <v>737</v>
      </c>
      <c r="E13" s="139" t="str">
        <f>노선구성!D54</f>
        <v>M25</v>
      </c>
      <c r="F13" s="139">
        <f>노선구성!M54</f>
        <v>99</v>
      </c>
      <c r="G13" s="139">
        <f t="shared" si="2"/>
        <v>4</v>
      </c>
      <c r="H13" s="139">
        <f>노선구성!N54*4</f>
        <v>72</v>
      </c>
      <c r="L13" s="139">
        <f t="shared" si="3"/>
        <v>0</v>
      </c>
      <c r="M13" s="139">
        <f t="shared" ref="M13:BS13" si="9">IF(L13&gt;0,$G13,IF($E13=M$4,$G13,0))*$H13</f>
        <v>0</v>
      </c>
      <c r="N13" s="139">
        <f t="shared" si="9"/>
        <v>0</v>
      </c>
      <c r="O13" s="139">
        <f t="shared" si="9"/>
        <v>0</v>
      </c>
      <c r="P13" s="139">
        <f t="shared" si="9"/>
        <v>0</v>
      </c>
      <c r="Q13" s="139">
        <f t="shared" si="9"/>
        <v>0</v>
      </c>
      <c r="R13" s="139">
        <f t="shared" si="9"/>
        <v>0</v>
      </c>
      <c r="S13" s="139">
        <f t="shared" si="9"/>
        <v>0</v>
      </c>
      <c r="T13" s="139">
        <f t="shared" si="9"/>
        <v>0</v>
      </c>
      <c r="U13" s="139">
        <f t="shared" si="9"/>
        <v>0</v>
      </c>
      <c r="V13" s="139">
        <f t="shared" si="9"/>
        <v>0</v>
      </c>
      <c r="W13" s="139">
        <f t="shared" si="9"/>
        <v>0</v>
      </c>
      <c r="X13" s="139">
        <f t="shared" si="9"/>
        <v>0</v>
      </c>
      <c r="Y13" s="139">
        <f t="shared" si="9"/>
        <v>0</v>
      </c>
      <c r="Z13" s="139">
        <f t="shared" si="9"/>
        <v>0</v>
      </c>
      <c r="AA13" s="139">
        <f t="shared" si="9"/>
        <v>0</v>
      </c>
      <c r="AB13" s="139">
        <f t="shared" si="9"/>
        <v>0</v>
      </c>
      <c r="AC13" s="139">
        <f t="shared" si="9"/>
        <v>0</v>
      </c>
      <c r="AD13" s="139">
        <f t="shared" si="9"/>
        <v>0</v>
      </c>
      <c r="AE13" s="139">
        <f t="shared" si="9"/>
        <v>0</v>
      </c>
      <c r="AF13" s="139">
        <f t="shared" si="9"/>
        <v>0</v>
      </c>
      <c r="AG13" s="139">
        <f t="shared" si="9"/>
        <v>0</v>
      </c>
      <c r="AH13" s="139">
        <f t="shared" si="9"/>
        <v>0</v>
      </c>
      <c r="AI13" s="139">
        <f t="shared" si="9"/>
        <v>0</v>
      </c>
      <c r="AJ13" s="139">
        <f t="shared" si="9"/>
        <v>288</v>
      </c>
      <c r="AK13" s="139">
        <f t="shared" si="9"/>
        <v>288</v>
      </c>
      <c r="AL13" s="139">
        <f t="shared" si="9"/>
        <v>288</v>
      </c>
      <c r="AM13" s="139">
        <f t="shared" si="9"/>
        <v>288</v>
      </c>
      <c r="AN13" s="139">
        <f t="shared" si="9"/>
        <v>288</v>
      </c>
      <c r="AO13" s="139">
        <f t="shared" si="9"/>
        <v>288</v>
      </c>
      <c r="AP13" s="139">
        <f t="shared" si="9"/>
        <v>288</v>
      </c>
      <c r="AQ13" s="139">
        <f t="shared" si="9"/>
        <v>288</v>
      </c>
      <c r="AR13" s="139">
        <f t="shared" si="9"/>
        <v>288</v>
      </c>
      <c r="AS13" s="139">
        <f t="shared" si="9"/>
        <v>288</v>
      </c>
      <c r="AT13" s="139">
        <f t="shared" si="9"/>
        <v>288</v>
      </c>
      <c r="AU13" s="139">
        <f t="shared" si="9"/>
        <v>288</v>
      </c>
      <c r="AV13" s="139">
        <f t="shared" si="9"/>
        <v>288</v>
      </c>
      <c r="AW13" s="139">
        <f t="shared" si="9"/>
        <v>288</v>
      </c>
      <c r="AX13" s="139">
        <f t="shared" si="9"/>
        <v>288</v>
      </c>
      <c r="AY13" s="139">
        <f t="shared" si="9"/>
        <v>288</v>
      </c>
      <c r="AZ13" s="139">
        <f t="shared" si="9"/>
        <v>288</v>
      </c>
      <c r="BA13" s="139">
        <f t="shared" si="9"/>
        <v>288</v>
      </c>
      <c r="BB13" s="139">
        <f t="shared" si="9"/>
        <v>288</v>
      </c>
      <c r="BC13" s="139">
        <f t="shared" si="9"/>
        <v>288</v>
      </c>
      <c r="BD13" s="139">
        <f t="shared" si="9"/>
        <v>288</v>
      </c>
      <c r="BE13" s="139">
        <f t="shared" si="9"/>
        <v>288</v>
      </c>
      <c r="BF13" s="139">
        <f t="shared" si="9"/>
        <v>288</v>
      </c>
      <c r="BG13" s="139">
        <f t="shared" si="9"/>
        <v>288</v>
      </c>
      <c r="BH13" s="139">
        <f t="shared" si="9"/>
        <v>288</v>
      </c>
      <c r="BI13" s="139">
        <f t="shared" si="9"/>
        <v>288</v>
      </c>
      <c r="BJ13" s="139">
        <f t="shared" si="9"/>
        <v>288</v>
      </c>
      <c r="BK13" s="139">
        <f t="shared" si="9"/>
        <v>288</v>
      </c>
      <c r="BL13" s="139">
        <f t="shared" si="9"/>
        <v>288</v>
      </c>
      <c r="BM13" s="139">
        <f t="shared" si="9"/>
        <v>288</v>
      </c>
      <c r="BN13" s="139">
        <f t="shared" si="9"/>
        <v>288</v>
      </c>
      <c r="BO13" s="139">
        <f t="shared" si="9"/>
        <v>288</v>
      </c>
      <c r="BP13" s="139">
        <f t="shared" si="9"/>
        <v>288</v>
      </c>
      <c r="BQ13" s="139">
        <f t="shared" si="9"/>
        <v>288</v>
      </c>
      <c r="BR13" s="139">
        <f t="shared" si="9"/>
        <v>288</v>
      </c>
      <c r="BS13" s="139">
        <f t="shared" si="9"/>
        <v>288</v>
      </c>
    </row>
    <row r="14" spans="2:71">
      <c r="C14" s="139">
        <f>노선구성!B55</f>
        <v>8</v>
      </c>
      <c r="D14" s="139">
        <f>노선구성!C55</f>
        <v>767</v>
      </c>
      <c r="E14" s="139" t="str">
        <f>노선구성!D55</f>
        <v>M31</v>
      </c>
      <c r="F14" s="139">
        <f>노선구성!M55</f>
        <v>95</v>
      </c>
      <c r="G14" s="139">
        <f t="shared" si="2"/>
        <v>4</v>
      </c>
      <c r="H14" s="139">
        <f>노선구성!N55*4</f>
        <v>80</v>
      </c>
      <c r="L14" s="139">
        <f t="shared" si="3"/>
        <v>0</v>
      </c>
      <c r="M14" s="139">
        <f t="shared" ref="M14:BS14" si="10">IF(L14&gt;0,$G14,IF($E14=M$4,$G14,0))*$H14</f>
        <v>0</v>
      </c>
      <c r="N14" s="139">
        <f t="shared" si="10"/>
        <v>0</v>
      </c>
      <c r="O14" s="139">
        <f t="shared" si="10"/>
        <v>0</v>
      </c>
      <c r="P14" s="139">
        <f t="shared" si="10"/>
        <v>0</v>
      </c>
      <c r="Q14" s="139">
        <f t="shared" si="10"/>
        <v>0</v>
      </c>
      <c r="R14" s="139">
        <f t="shared" si="10"/>
        <v>0</v>
      </c>
      <c r="S14" s="139">
        <f t="shared" si="10"/>
        <v>0</v>
      </c>
      <c r="T14" s="139">
        <f t="shared" si="10"/>
        <v>0</v>
      </c>
      <c r="U14" s="139">
        <f t="shared" si="10"/>
        <v>0</v>
      </c>
      <c r="V14" s="139">
        <f t="shared" si="10"/>
        <v>0</v>
      </c>
      <c r="W14" s="139">
        <f t="shared" si="10"/>
        <v>0</v>
      </c>
      <c r="X14" s="139">
        <f t="shared" si="10"/>
        <v>0</v>
      </c>
      <c r="Y14" s="139">
        <f t="shared" si="10"/>
        <v>0</v>
      </c>
      <c r="Z14" s="139">
        <f t="shared" si="10"/>
        <v>0</v>
      </c>
      <c r="AA14" s="139">
        <f t="shared" si="10"/>
        <v>0</v>
      </c>
      <c r="AB14" s="139">
        <f t="shared" si="10"/>
        <v>0</v>
      </c>
      <c r="AC14" s="139">
        <f t="shared" si="10"/>
        <v>0</v>
      </c>
      <c r="AD14" s="139">
        <f t="shared" si="10"/>
        <v>0</v>
      </c>
      <c r="AE14" s="139">
        <f t="shared" si="10"/>
        <v>0</v>
      </c>
      <c r="AF14" s="139">
        <f t="shared" si="10"/>
        <v>0</v>
      </c>
      <c r="AG14" s="139">
        <f t="shared" si="10"/>
        <v>0</v>
      </c>
      <c r="AH14" s="139">
        <f t="shared" si="10"/>
        <v>0</v>
      </c>
      <c r="AI14" s="139">
        <f t="shared" si="10"/>
        <v>0</v>
      </c>
      <c r="AJ14" s="139">
        <f t="shared" si="10"/>
        <v>0</v>
      </c>
      <c r="AK14" s="139">
        <f t="shared" si="10"/>
        <v>0</v>
      </c>
      <c r="AL14" s="139">
        <f t="shared" si="10"/>
        <v>0</v>
      </c>
      <c r="AM14" s="139">
        <f t="shared" si="10"/>
        <v>0</v>
      </c>
      <c r="AN14" s="139">
        <f t="shared" si="10"/>
        <v>0</v>
      </c>
      <c r="AO14" s="139">
        <f t="shared" si="10"/>
        <v>0</v>
      </c>
      <c r="AP14" s="139">
        <f t="shared" si="10"/>
        <v>320</v>
      </c>
      <c r="AQ14" s="139">
        <f t="shared" si="10"/>
        <v>320</v>
      </c>
      <c r="AR14" s="139">
        <f t="shared" si="10"/>
        <v>320</v>
      </c>
      <c r="AS14" s="139">
        <f t="shared" si="10"/>
        <v>320</v>
      </c>
      <c r="AT14" s="139">
        <f t="shared" si="10"/>
        <v>320</v>
      </c>
      <c r="AU14" s="139">
        <f t="shared" si="10"/>
        <v>320</v>
      </c>
      <c r="AV14" s="139">
        <f t="shared" si="10"/>
        <v>320</v>
      </c>
      <c r="AW14" s="139">
        <f t="shared" si="10"/>
        <v>320</v>
      </c>
      <c r="AX14" s="139">
        <f t="shared" si="10"/>
        <v>320</v>
      </c>
      <c r="AY14" s="139">
        <f t="shared" si="10"/>
        <v>320</v>
      </c>
      <c r="AZ14" s="139">
        <f t="shared" si="10"/>
        <v>320</v>
      </c>
      <c r="BA14" s="139">
        <f t="shared" si="10"/>
        <v>320</v>
      </c>
      <c r="BB14" s="139">
        <f t="shared" si="10"/>
        <v>320</v>
      </c>
      <c r="BC14" s="139">
        <f t="shared" si="10"/>
        <v>320</v>
      </c>
      <c r="BD14" s="139">
        <f t="shared" si="10"/>
        <v>320</v>
      </c>
      <c r="BE14" s="139">
        <f t="shared" si="10"/>
        <v>320</v>
      </c>
      <c r="BF14" s="139">
        <f t="shared" si="10"/>
        <v>320</v>
      </c>
      <c r="BG14" s="139">
        <f t="shared" si="10"/>
        <v>320</v>
      </c>
      <c r="BH14" s="139">
        <f t="shared" si="10"/>
        <v>320</v>
      </c>
      <c r="BI14" s="139">
        <f t="shared" si="10"/>
        <v>320</v>
      </c>
      <c r="BJ14" s="139">
        <f t="shared" si="10"/>
        <v>320</v>
      </c>
      <c r="BK14" s="139">
        <f t="shared" si="10"/>
        <v>320</v>
      </c>
      <c r="BL14" s="139">
        <f t="shared" si="10"/>
        <v>320</v>
      </c>
      <c r="BM14" s="139">
        <f t="shared" si="10"/>
        <v>320</v>
      </c>
      <c r="BN14" s="139">
        <f t="shared" si="10"/>
        <v>320</v>
      </c>
      <c r="BO14" s="139">
        <f t="shared" si="10"/>
        <v>320</v>
      </c>
      <c r="BP14" s="139">
        <f t="shared" si="10"/>
        <v>320</v>
      </c>
      <c r="BQ14" s="139">
        <f t="shared" si="10"/>
        <v>320</v>
      </c>
      <c r="BR14" s="139">
        <f t="shared" si="10"/>
        <v>320</v>
      </c>
      <c r="BS14" s="139">
        <f t="shared" si="10"/>
        <v>320</v>
      </c>
    </row>
    <row r="15" spans="2:71">
      <c r="C15" s="139">
        <f>노선구성!B56</f>
        <v>9</v>
      </c>
      <c r="D15" s="139">
        <f>노선구성!C56</f>
        <v>767</v>
      </c>
      <c r="E15" s="139" t="str">
        <f>노선구성!D56</f>
        <v>M37</v>
      </c>
      <c r="F15" s="139">
        <f>노선구성!M56</f>
        <v>88</v>
      </c>
      <c r="G15" s="139">
        <f t="shared" si="2"/>
        <v>4</v>
      </c>
      <c r="H15" s="139">
        <f>노선구성!N56*4</f>
        <v>32</v>
      </c>
      <c r="L15" s="139">
        <f t="shared" si="3"/>
        <v>0</v>
      </c>
      <c r="M15" s="139">
        <f t="shared" ref="M15:BS15" si="11">IF(L15&gt;0,$G15,IF($E15=M$4,$G15,0))*$H15</f>
        <v>0</v>
      </c>
      <c r="N15" s="139">
        <f t="shared" si="11"/>
        <v>0</v>
      </c>
      <c r="O15" s="139">
        <f t="shared" si="11"/>
        <v>0</v>
      </c>
      <c r="P15" s="139">
        <f t="shared" si="11"/>
        <v>0</v>
      </c>
      <c r="Q15" s="139">
        <f t="shared" si="11"/>
        <v>0</v>
      </c>
      <c r="R15" s="139">
        <f t="shared" si="11"/>
        <v>0</v>
      </c>
      <c r="S15" s="139">
        <f t="shared" si="11"/>
        <v>0</v>
      </c>
      <c r="T15" s="139">
        <f t="shared" si="11"/>
        <v>0</v>
      </c>
      <c r="U15" s="139">
        <f t="shared" si="11"/>
        <v>0</v>
      </c>
      <c r="V15" s="139">
        <f t="shared" si="11"/>
        <v>0</v>
      </c>
      <c r="W15" s="139">
        <f t="shared" si="11"/>
        <v>0</v>
      </c>
      <c r="X15" s="139">
        <f t="shared" si="11"/>
        <v>0</v>
      </c>
      <c r="Y15" s="139">
        <f t="shared" si="11"/>
        <v>0</v>
      </c>
      <c r="Z15" s="139">
        <f t="shared" si="11"/>
        <v>0</v>
      </c>
      <c r="AA15" s="139">
        <f t="shared" si="11"/>
        <v>0</v>
      </c>
      <c r="AB15" s="139">
        <f t="shared" si="11"/>
        <v>0</v>
      </c>
      <c r="AC15" s="139">
        <f t="shared" si="11"/>
        <v>0</v>
      </c>
      <c r="AD15" s="139">
        <f t="shared" si="11"/>
        <v>0</v>
      </c>
      <c r="AE15" s="139">
        <f t="shared" si="11"/>
        <v>0</v>
      </c>
      <c r="AF15" s="139">
        <f t="shared" si="11"/>
        <v>0</v>
      </c>
      <c r="AG15" s="139">
        <f t="shared" si="11"/>
        <v>0</v>
      </c>
      <c r="AH15" s="139">
        <f t="shared" si="11"/>
        <v>0</v>
      </c>
      <c r="AI15" s="139">
        <f t="shared" si="11"/>
        <v>0</v>
      </c>
      <c r="AJ15" s="139">
        <f t="shared" si="11"/>
        <v>0</v>
      </c>
      <c r="AK15" s="139">
        <f t="shared" si="11"/>
        <v>0</v>
      </c>
      <c r="AL15" s="139">
        <f t="shared" si="11"/>
        <v>0</v>
      </c>
      <c r="AM15" s="139">
        <f t="shared" si="11"/>
        <v>0</v>
      </c>
      <c r="AN15" s="139">
        <f t="shared" si="11"/>
        <v>0</v>
      </c>
      <c r="AO15" s="139">
        <f t="shared" si="11"/>
        <v>0</v>
      </c>
      <c r="AP15" s="139">
        <f t="shared" si="11"/>
        <v>0</v>
      </c>
      <c r="AQ15" s="139">
        <f t="shared" si="11"/>
        <v>0</v>
      </c>
      <c r="AR15" s="139">
        <f t="shared" si="11"/>
        <v>0</v>
      </c>
      <c r="AS15" s="139">
        <f t="shared" si="11"/>
        <v>0</v>
      </c>
      <c r="AT15" s="139">
        <f t="shared" si="11"/>
        <v>0</v>
      </c>
      <c r="AU15" s="139">
        <f t="shared" si="11"/>
        <v>0</v>
      </c>
      <c r="AV15" s="139">
        <f t="shared" si="11"/>
        <v>128</v>
      </c>
      <c r="AW15" s="139">
        <f t="shared" si="11"/>
        <v>128</v>
      </c>
      <c r="AX15" s="139">
        <f t="shared" si="11"/>
        <v>128</v>
      </c>
      <c r="AY15" s="139">
        <f t="shared" si="11"/>
        <v>128</v>
      </c>
      <c r="AZ15" s="139">
        <f t="shared" si="11"/>
        <v>128</v>
      </c>
      <c r="BA15" s="139">
        <f t="shared" si="11"/>
        <v>128</v>
      </c>
      <c r="BB15" s="139">
        <f t="shared" si="11"/>
        <v>128</v>
      </c>
      <c r="BC15" s="139">
        <f t="shared" si="11"/>
        <v>128</v>
      </c>
      <c r="BD15" s="139">
        <f t="shared" si="11"/>
        <v>128</v>
      </c>
      <c r="BE15" s="139">
        <f t="shared" si="11"/>
        <v>128</v>
      </c>
      <c r="BF15" s="139">
        <f t="shared" si="11"/>
        <v>128</v>
      </c>
      <c r="BG15" s="139">
        <f t="shared" si="11"/>
        <v>128</v>
      </c>
      <c r="BH15" s="139">
        <f t="shared" si="11"/>
        <v>128</v>
      </c>
      <c r="BI15" s="139">
        <f t="shared" si="11"/>
        <v>128</v>
      </c>
      <c r="BJ15" s="139">
        <f t="shared" si="11"/>
        <v>128</v>
      </c>
      <c r="BK15" s="139">
        <f t="shared" si="11"/>
        <v>128</v>
      </c>
      <c r="BL15" s="139">
        <f t="shared" si="11"/>
        <v>128</v>
      </c>
      <c r="BM15" s="139">
        <f t="shared" si="11"/>
        <v>128</v>
      </c>
      <c r="BN15" s="139">
        <f t="shared" si="11"/>
        <v>128</v>
      </c>
      <c r="BO15" s="139">
        <f t="shared" si="11"/>
        <v>128</v>
      </c>
      <c r="BP15" s="139">
        <f t="shared" si="11"/>
        <v>128</v>
      </c>
      <c r="BQ15" s="139">
        <f t="shared" si="11"/>
        <v>128</v>
      </c>
      <c r="BR15" s="139">
        <f t="shared" si="11"/>
        <v>128</v>
      </c>
      <c r="BS15" s="139">
        <f t="shared" si="11"/>
        <v>128</v>
      </c>
    </row>
    <row r="16" spans="2:71">
      <c r="C16" s="139">
        <f>노선구성!B57</f>
        <v>10</v>
      </c>
      <c r="D16" s="139">
        <f>노선구성!C57</f>
        <v>767</v>
      </c>
      <c r="E16" s="139" t="str">
        <f>노선구성!D57</f>
        <v>M43</v>
      </c>
      <c r="F16" s="139">
        <f>노선구성!M57</f>
        <v>100.8</v>
      </c>
      <c r="G16" s="139">
        <f t="shared" si="2"/>
        <v>5</v>
      </c>
      <c r="H16" s="139">
        <f>노선구성!N57*4</f>
        <v>64</v>
      </c>
      <c r="L16" s="139">
        <f t="shared" si="3"/>
        <v>0</v>
      </c>
      <c r="M16" s="139">
        <f t="shared" ref="M16:BS16" si="12">IF(L16&gt;0,$G16,IF($E16=M$4,$G16,0))*$H16</f>
        <v>0</v>
      </c>
      <c r="N16" s="139">
        <f t="shared" si="12"/>
        <v>0</v>
      </c>
      <c r="O16" s="139">
        <f t="shared" si="12"/>
        <v>0</v>
      </c>
      <c r="P16" s="139">
        <f t="shared" si="12"/>
        <v>0</v>
      </c>
      <c r="Q16" s="139">
        <f t="shared" si="12"/>
        <v>0</v>
      </c>
      <c r="R16" s="139">
        <f t="shared" si="12"/>
        <v>0</v>
      </c>
      <c r="S16" s="139">
        <f t="shared" si="12"/>
        <v>0</v>
      </c>
      <c r="T16" s="139">
        <f t="shared" si="12"/>
        <v>0</v>
      </c>
      <c r="U16" s="139">
        <f t="shared" si="12"/>
        <v>0</v>
      </c>
      <c r="V16" s="139">
        <f t="shared" si="12"/>
        <v>0</v>
      </c>
      <c r="W16" s="139">
        <f t="shared" si="12"/>
        <v>0</v>
      </c>
      <c r="X16" s="139">
        <f t="shared" si="12"/>
        <v>0</v>
      </c>
      <c r="Y16" s="139">
        <f t="shared" si="12"/>
        <v>0</v>
      </c>
      <c r="Z16" s="139">
        <f t="shared" si="12"/>
        <v>0</v>
      </c>
      <c r="AA16" s="139">
        <f t="shared" si="12"/>
        <v>0</v>
      </c>
      <c r="AB16" s="139">
        <f t="shared" si="12"/>
        <v>0</v>
      </c>
      <c r="AC16" s="139">
        <f t="shared" si="12"/>
        <v>0</v>
      </c>
      <c r="AD16" s="139">
        <f t="shared" si="12"/>
        <v>0</v>
      </c>
      <c r="AE16" s="139">
        <f t="shared" si="12"/>
        <v>0</v>
      </c>
      <c r="AF16" s="139">
        <f t="shared" si="12"/>
        <v>0</v>
      </c>
      <c r="AG16" s="139">
        <f t="shared" si="12"/>
        <v>0</v>
      </c>
      <c r="AH16" s="139">
        <f t="shared" si="12"/>
        <v>0</v>
      </c>
      <c r="AI16" s="139">
        <f t="shared" si="12"/>
        <v>0</v>
      </c>
      <c r="AJ16" s="139">
        <f t="shared" si="12"/>
        <v>0</v>
      </c>
      <c r="AK16" s="139">
        <f t="shared" si="12"/>
        <v>0</v>
      </c>
      <c r="AL16" s="139">
        <f t="shared" si="12"/>
        <v>0</v>
      </c>
      <c r="AM16" s="139">
        <f t="shared" si="12"/>
        <v>0</v>
      </c>
      <c r="AN16" s="139">
        <f t="shared" si="12"/>
        <v>0</v>
      </c>
      <c r="AO16" s="139">
        <f t="shared" si="12"/>
        <v>0</v>
      </c>
      <c r="AP16" s="139">
        <f t="shared" si="12"/>
        <v>0</v>
      </c>
      <c r="AQ16" s="139">
        <f t="shared" si="12"/>
        <v>0</v>
      </c>
      <c r="AR16" s="139">
        <f t="shared" si="12"/>
        <v>0</v>
      </c>
      <c r="AS16" s="139">
        <f t="shared" si="12"/>
        <v>0</v>
      </c>
      <c r="AT16" s="139">
        <f t="shared" si="12"/>
        <v>0</v>
      </c>
      <c r="AU16" s="139">
        <f t="shared" si="12"/>
        <v>0</v>
      </c>
      <c r="AV16" s="139">
        <f t="shared" si="12"/>
        <v>0</v>
      </c>
      <c r="AW16" s="139">
        <f t="shared" si="12"/>
        <v>0</v>
      </c>
      <c r="AX16" s="139">
        <f t="shared" si="12"/>
        <v>0</v>
      </c>
      <c r="AY16" s="139">
        <f t="shared" si="12"/>
        <v>0</v>
      </c>
      <c r="AZ16" s="139">
        <f t="shared" si="12"/>
        <v>0</v>
      </c>
      <c r="BA16" s="139">
        <f t="shared" si="12"/>
        <v>0</v>
      </c>
      <c r="BB16" s="139">
        <f t="shared" si="12"/>
        <v>320</v>
      </c>
      <c r="BC16" s="139">
        <f t="shared" si="12"/>
        <v>320</v>
      </c>
      <c r="BD16" s="139">
        <f t="shared" si="12"/>
        <v>320</v>
      </c>
      <c r="BE16" s="139">
        <f t="shared" si="12"/>
        <v>320</v>
      </c>
      <c r="BF16" s="139">
        <f t="shared" si="12"/>
        <v>320</v>
      </c>
      <c r="BG16" s="139">
        <f t="shared" si="12"/>
        <v>320</v>
      </c>
      <c r="BH16" s="139">
        <f t="shared" si="12"/>
        <v>320</v>
      </c>
      <c r="BI16" s="139">
        <f t="shared" si="12"/>
        <v>320</v>
      </c>
      <c r="BJ16" s="139">
        <f t="shared" si="12"/>
        <v>320</v>
      </c>
      <c r="BK16" s="139">
        <f t="shared" si="12"/>
        <v>320</v>
      </c>
      <c r="BL16" s="139">
        <f t="shared" si="12"/>
        <v>320</v>
      </c>
      <c r="BM16" s="139">
        <f t="shared" si="12"/>
        <v>320</v>
      </c>
      <c r="BN16" s="139">
        <f t="shared" si="12"/>
        <v>320</v>
      </c>
      <c r="BO16" s="139">
        <f t="shared" si="12"/>
        <v>320</v>
      </c>
      <c r="BP16" s="139">
        <f t="shared" si="12"/>
        <v>320</v>
      </c>
      <c r="BQ16" s="139">
        <f t="shared" si="12"/>
        <v>320</v>
      </c>
      <c r="BR16" s="139">
        <f t="shared" si="12"/>
        <v>320</v>
      </c>
      <c r="BS16" s="139">
        <f t="shared" si="12"/>
        <v>320</v>
      </c>
    </row>
    <row r="17" spans="3:71">
      <c r="C17" s="139">
        <f>노선구성!B58</f>
        <v>11</v>
      </c>
      <c r="D17" s="139">
        <f>노선구성!C58</f>
        <v>0</v>
      </c>
      <c r="E17" s="139">
        <f>노선구성!D58</f>
        <v>0</v>
      </c>
      <c r="F17" s="139">
        <f>노선구성!M58</f>
        <v>0</v>
      </c>
      <c r="G17" s="139">
        <f t="shared" si="2"/>
        <v>0</v>
      </c>
      <c r="H17" s="139">
        <f>노선구성!N58*4</f>
        <v>0</v>
      </c>
      <c r="L17" s="139">
        <f t="shared" si="3"/>
        <v>0</v>
      </c>
      <c r="M17" s="139">
        <f t="shared" ref="M17:BS17" si="13">IF(L17&gt;0,$G17,IF($E17=M$4,$G17,0))*$H17</f>
        <v>0</v>
      </c>
      <c r="N17" s="139">
        <f t="shared" si="13"/>
        <v>0</v>
      </c>
      <c r="O17" s="139">
        <f t="shared" si="13"/>
        <v>0</v>
      </c>
      <c r="P17" s="139">
        <f t="shared" si="13"/>
        <v>0</v>
      </c>
      <c r="Q17" s="139">
        <f t="shared" si="13"/>
        <v>0</v>
      </c>
      <c r="R17" s="139">
        <f t="shared" si="13"/>
        <v>0</v>
      </c>
      <c r="S17" s="139">
        <f t="shared" si="13"/>
        <v>0</v>
      </c>
      <c r="T17" s="139">
        <f t="shared" si="13"/>
        <v>0</v>
      </c>
      <c r="U17" s="139">
        <f t="shared" si="13"/>
        <v>0</v>
      </c>
      <c r="V17" s="139">
        <f t="shared" si="13"/>
        <v>0</v>
      </c>
      <c r="W17" s="139">
        <f t="shared" si="13"/>
        <v>0</v>
      </c>
      <c r="X17" s="139">
        <f t="shared" si="13"/>
        <v>0</v>
      </c>
      <c r="Y17" s="139">
        <f t="shared" si="13"/>
        <v>0</v>
      </c>
      <c r="Z17" s="139">
        <f t="shared" si="13"/>
        <v>0</v>
      </c>
      <c r="AA17" s="139">
        <f t="shared" si="13"/>
        <v>0</v>
      </c>
      <c r="AB17" s="139">
        <f t="shared" si="13"/>
        <v>0</v>
      </c>
      <c r="AC17" s="139">
        <f t="shared" si="13"/>
        <v>0</v>
      </c>
      <c r="AD17" s="139">
        <f t="shared" si="13"/>
        <v>0</v>
      </c>
      <c r="AE17" s="139">
        <f t="shared" si="13"/>
        <v>0</v>
      </c>
      <c r="AF17" s="139">
        <f t="shared" si="13"/>
        <v>0</v>
      </c>
      <c r="AG17" s="139">
        <f t="shared" si="13"/>
        <v>0</v>
      </c>
      <c r="AH17" s="139">
        <f t="shared" si="13"/>
        <v>0</v>
      </c>
      <c r="AI17" s="139">
        <f t="shared" si="13"/>
        <v>0</v>
      </c>
      <c r="AJ17" s="139">
        <f t="shared" si="13"/>
        <v>0</v>
      </c>
      <c r="AK17" s="139">
        <f t="shared" si="13"/>
        <v>0</v>
      </c>
      <c r="AL17" s="139">
        <f t="shared" si="13"/>
        <v>0</v>
      </c>
      <c r="AM17" s="139">
        <f t="shared" si="13"/>
        <v>0</v>
      </c>
      <c r="AN17" s="139">
        <f t="shared" si="13"/>
        <v>0</v>
      </c>
      <c r="AO17" s="139">
        <f t="shared" si="13"/>
        <v>0</v>
      </c>
      <c r="AP17" s="139">
        <f t="shared" si="13"/>
        <v>0</v>
      </c>
      <c r="AQ17" s="139">
        <f t="shared" si="13"/>
        <v>0</v>
      </c>
      <c r="AR17" s="139">
        <f t="shared" si="13"/>
        <v>0</v>
      </c>
      <c r="AS17" s="139">
        <f t="shared" si="13"/>
        <v>0</v>
      </c>
      <c r="AT17" s="139">
        <f t="shared" si="13"/>
        <v>0</v>
      </c>
      <c r="AU17" s="139">
        <f t="shared" si="13"/>
        <v>0</v>
      </c>
      <c r="AV17" s="139">
        <f t="shared" si="13"/>
        <v>0</v>
      </c>
      <c r="AW17" s="139">
        <f t="shared" si="13"/>
        <v>0</v>
      </c>
      <c r="AX17" s="139">
        <f t="shared" si="13"/>
        <v>0</v>
      </c>
      <c r="AY17" s="139">
        <f t="shared" si="13"/>
        <v>0</v>
      </c>
      <c r="AZ17" s="139">
        <f t="shared" si="13"/>
        <v>0</v>
      </c>
      <c r="BA17" s="139">
        <f t="shared" si="13"/>
        <v>0</v>
      </c>
      <c r="BB17" s="139">
        <f t="shared" si="13"/>
        <v>0</v>
      </c>
      <c r="BC17" s="139">
        <f t="shared" si="13"/>
        <v>0</v>
      </c>
      <c r="BD17" s="139">
        <f t="shared" si="13"/>
        <v>0</v>
      </c>
      <c r="BE17" s="139">
        <f t="shared" si="13"/>
        <v>0</v>
      </c>
      <c r="BF17" s="139">
        <f t="shared" si="13"/>
        <v>0</v>
      </c>
      <c r="BG17" s="139">
        <f t="shared" si="13"/>
        <v>0</v>
      </c>
      <c r="BH17" s="139">
        <f t="shared" si="13"/>
        <v>0</v>
      </c>
      <c r="BI17" s="139">
        <f t="shared" si="13"/>
        <v>0</v>
      </c>
      <c r="BJ17" s="139">
        <f t="shared" si="13"/>
        <v>0</v>
      </c>
      <c r="BK17" s="139">
        <f t="shared" si="13"/>
        <v>0</v>
      </c>
      <c r="BL17" s="139">
        <f t="shared" si="13"/>
        <v>0</v>
      </c>
      <c r="BM17" s="139">
        <f t="shared" si="13"/>
        <v>0</v>
      </c>
      <c r="BN17" s="139">
        <f t="shared" si="13"/>
        <v>0</v>
      </c>
      <c r="BO17" s="139">
        <f t="shared" si="13"/>
        <v>0</v>
      </c>
      <c r="BP17" s="139">
        <f t="shared" si="13"/>
        <v>0</v>
      </c>
      <c r="BQ17" s="139">
        <f t="shared" si="13"/>
        <v>0</v>
      </c>
      <c r="BR17" s="139">
        <f t="shared" si="13"/>
        <v>0</v>
      </c>
      <c r="BS17" s="139">
        <f t="shared" si="13"/>
        <v>0</v>
      </c>
    </row>
    <row r="18" spans="3:71">
      <c r="C18" s="139">
        <f>노선구성!B59</f>
        <v>12</v>
      </c>
      <c r="D18" s="139">
        <f>노선구성!C59</f>
        <v>0</v>
      </c>
      <c r="E18" s="139">
        <f>노선구성!D59</f>
        <v>0</v>
      </c>
      <c r="F18" s="139">
        <f>노선구성!M59</f>
        <v>0</v>
      </c>
      <c r="G18" s="139">
        <f t="shared" si="2"/>
        <v>0</v>
      </c>
      <c r="H18" s="139">
        <f>노선구성!N59*4</f>
        <v>0</v>
      </c>
      <c r="L18" s="139">
        <f t="shared" si="3"/>
        <v>0</v>
      </c>
      <c r="M18" s="139">
        <f t="shared" ref="M18:BS18" si="14">IF(L18&gt;0,$G18,IF($E18=M$4,$G18,0))*$H18</f>
        <v>0</v>
      </c>
      <c r="N18" s="139">
        <f t="shared" si="14"/>
        <v>0</v>
      </c>
      <c r="O18" s="139">
        <f t="shared" si="14"/>
        <v>0</v>
      </c>
      <c r="P18" s="139">
        <f t="shared" si="14"/>
        <v>0</v>
      </c>
      <c r="Q18" s="139">
        <f t="shared" si="14"/>
        <v>0</v>
      </c>
      <c r="R18" s="139">
        <f t="shared" si="14"/>
        <v>0</v>
      </c>
      <c r="S18" s="139">
        <f t="shared" si="14"/>
        <v>0</v>
      </c>
      <c r="T18" s="139">
        <f t="shared" si="14"/>
        <v>0</v>
      </c>
      <c r="U18" s="139">
        <f t="shared" si="14"/>
        <v>0</v>
      </c>
      <c r="V18" s="139">
        <f t="shared" si="14"/>
        <v>0</v>
      </c>
      <c r="W18" s="139">
        <f t="shared" si="14"/>
        <v>0</v>
      </c>
      <c r="X18" s="139">
        <f t="shared" si="14"/>
        <v>0</v>
      </c>
      <c r="Y18" s="139">
        <f t="shared" si="14"/>
        <v>0</v>
      </c>
      <c r="Z18" s="139">
        <f t="shared" si="14"/>
        <v>0</v>
      </c>
      <c r="AA18" s="139">
        <f t="shared" si="14"/>
        <v>0</v>
      </c>
      <c r="AB18" s="139">
        <f t="shared" si="14"/>
        <v>0</v>
      </c>
      <c r="AC18" s="139">
        <f t="shared" si="14"/>
        <v>0</v>
      </c>
      <c r="AD18" s="139">
        <f t="shared" si="14"/>
        <v>0</v>
      </c>
      <c r="AE18" s="139">
        <f t="shared" si="14"/>
        <v>0</v>
      </c>
      <c r="AF18" s="139">
        <f t="shared" si="14"/>
        <v>0</v>
      </c>
      <c r="AG18" s="139">
        <f t="shared" si="14"/>
        <v>0</v>
      </c>
      <c r="AH18" s="139">
        <f t="shared" si="14"/>
        <v>0</v>
      </c>
      <c r="AI18" s="139">
        <f t="shared" si="14"/>
        <v>0</v>
      </c>
      <c r="AJ18" s="139">
        <f t="shared" si="14"/>
        <v>0</v>
      </c>
      <c r="AK18" s="139">
        <f t="shared" si="14"/>
        <v>0</v>
      </c>
      <c r="AL18" s="139">
        <f t="shared" si="14"/>
        <v>0</v>
      </c>
      <c r="AM18" s="139">
        <f t="shared" si="14"/>
        <v>0</v>
      </c>
      <c r="AN18" s="139">
        <f t="shared" si="14"/>
        <v>0</v>
      </c>
      <c r="AO18" s="139">
        <f t="shared" si="14"/>
        <v>0</v>
      </c>
      <c r="AP18" s="139">
        <f t="shared" si="14"/>
        <v>0</v>
      </c>
      <c r="AQ18" s="139">
        <f t="shared" si="14"/>
        <v>0</v>
      </c>
      <c r="AR18" s="139">
        <f t="shared" si="14"/>
        <v>0</v>
      </c>
      <c r="AS18" s="139">
        <f t="shared" si="14"/>
        <v>0</v>
      </c>
      <c r="AT18" s="139">
        <f t="shared" si="14"/>
        <v>0</v>
      </c>
      <c r="AU18" s="139">
        <f t="shared" si="14"/>
        <v>0</v>
      </c>
      <c r="AV18" s="139">
        <f t="shared" si="14"/>
        <v>0</v>
      </c>
      <c r="AW18" s="139">
        <f t="shared" si="14"/>
        <v>0</v>
      </c>
      <c r="AX18" s="139">
        <f t="shared" si="14"/>
        <v>0</v>
      </c>
      <c r="AY18" s="139">
        <f t="shared" si="14"/>
        <v>0</v>
      </c>
      <c r="AZ18" s="139">
        <f t="shared" si="14"/>
        <v>0</v>
      </c>
      <c r="BA18" s="139">
        <f t="shared" si="14"/>
        <v>0</v>
      </c>
      <c r="BB18" s="139">
        <f t="shared" si="14"/>
        <v>0</v>
      </c>
      <c r="BC18" s="139">
        <f t="shared" si="14"/>
        <v>0</v>
      </c>
      <c r="BD18" s="139">
        <f t="shared" si="14"/>
        <v>0</v>
      </c>
      <c r="BE18" s="139">
        <f t="shared" si="14"/>
        <v>0</v>
      </c>
      <c r="BF18" s="139">
        <f t="shared" si="14"/>
        <v>0</v>
      </c>
      <c r="BG18" s="139">
        <f t="shared" si="14"/>
        <v>0</v>
      </c>
      <c r="BH18" s="139">
        <f t="shared" si="14"/>
        <v>0</v>
      </c>
      <c r="BI18" s="139">
        <f t="shared" si="14"/>
        <v>0</v>
      </c>
      <c r="BJ18" s="139">
        <f t="shared" si="14"/>
        <v>0</v>
      </c>
      <c r="BK18" s="139">
        <f t="shared" si="14"/>
        <v>0</v>
      </c>
      <c r="BL18" s="139">
        <f t="shared" si="14"/>
        <v>0</v>
      </c>
      <c r="BM18" s="139">
        <f t="shared" si="14"/>
        <v>0</v>
      </c>
      <c r="BN18" s="139">
        <f t="shared" si="14"/>
        <v>0</v>
      </c>
      <c r="BO18" s="139">
        <f t="shared" si="14"/>
        <v>0</v>
      </c>
      <c r="BP18" s="139">
        <f t="shared" si="14"/>
        <v>0</v>
      </c>
      <c r="BQ18" s="139">
        <f t="shared" si="14"/>
        <v>0</v>
      </c>
      <c r="BR18" s="139">
        <f t="shared" si="14"/>
        <v>0</v>
      </c>
      <c r="BS18" s="139">
        <f t="shared" si="14"/>
        <v>0</v>
      </c>
    </row>
    <row r="19" spans="3:71">
      <c r="C19" s="139">
        <f>노선구성!B60</f>
        <v>13</v>
      </c>
      <c r="D19" s="139">
        <f>노선구성!C60</f>
        <v>0</v>
      </c>
      <c r="E19" s="139">
        <f>노선구성!D60</f>
        <v>0</v>
      </c>
      <c r="F19" s="139">
        <f>노선구성!M60</f>
        <v>0</v>
      </c>
      <c r="G19" s="139">
        <f t="shared" si="2"/>
        <v>0</v>
      </c>
      <c r="H19" s="139">
        <f>노선구성!N60*4</f>
        <v>0</v>
      </c>
      <c r="L19" s="139">
        <f t="shared" si="3"/>
        <v>0</v>
      </c>
      <c r="M19" s="139">
        <f t="shared" ref="M19:BS19" si="15">IF(L19&gt;0,$G19,IF($E19=M$4,$G19,0))*$H19</f>
        <v>0</v>
      </c>
      <c r="N19" s="139">
        <f t="shared" si="15"/>
        <v>0</v>
      </c>
      <c r="O19" s="139">
        <f t="shared" si="15"/>
        <v>0</v>
      </c>
      <c r="P19" s="139">
        <f t="shared" si="15"/>
        <v>0</v>
      </c>
      <c r="Q19" s="139">
        <f t="shared" si="15"/>
        <v>0</v>
      </c>
      <c r="R19" s="139">
        <f t="shared" si="15"/>
        <v>0</v>
      </c>
      <c r="S19" s="139">
        <f t="shared" si="15"/>
        <v>0</v>
      </c>
      <c r="T19" s="139">
        <f t="shared" si="15"/>
        <v>0</v>
      </c>
      <c r="U19" s="139">
        <f t="shared" si="15"/>
        <v>0</v>
      </c>
      <c r="V19" s="139">
        <f t="shared" si="15"/>
        <v>0</v>
      </c>
      <c r="W19" s="139">
        <f t="shared" si="15"/>
        <v>0</v>
      </c>
      <c r="X19" s="139">
        <f t="shared" si="15"/>
        <v>0</v>
      </c>
      <c r="Y19" s="139">
        <f t="shared" si="15"/>
        <v>0</v>
      </c>
      <c r="Z19" s="139">
        <f t="shared" si="15"/>
        <v>0</v>
      </c>
      <c r="AA19" s="139">
        <f t="shared" si="15"/>
        <v>0</v>
      </c>
      <c r="AB19" s="139">
        <f t="shared" si="15"/>
        <v>0</v>
      </c>
      <c r="AC19" s="139">
        <f t="shared" si="15"/>
        <v>0</v>
      </c>
      <c r="AD19" s="139">
        <f t="shared" si="15"/>
        <v>0</v>
      </c>
      <c r="AE19" s="139">
        <f t="shared" si="15"/>
        <v>0</v>
      </c>
      <c r="AF19" s="139">
        <f t="shared" si="15"/>
        <v>0</v>
      </c>
      <c r="AG19" s="139">
        <f t="shared" si="15"/>
        <v>0</v>
      </c>
      <c r="AH19" s="139">
        <f t="shared" si="15"/>
        <v>0</v>
      </c>
      <c r="AI19" s="139">
        <f t="shared" si="15"/>
        <v>0</v>
      </c>
      <c r="AJ19" s="139">
        <f t="shared" si="15"/>
        <v>0</v>
      </c>
      <c r="AK19" s="139">
        <f t="shared" si="15"/>
        <v>0</v>
      </c>
      <c r="AL19" s="139">
        <f t="shared" si="15"/>
        <v>0</v>
      </c>
      <c r="AM19" s="139">
        <f t="shared" si="15"/>
        <v>0</v>
      </c>
      <c r="AN19" s="139">
        <f t="shared" si="15"/>
        <v>0</v>
      </c>
      <c r="AO19" s="139">
        <f t="shared" si="15"/>
        <v>0</v>
      </c>
      <c r="AP19" s="139">
        <f t="shared" si="15"/>
        <v>0</v>
      </c>
      <c r="AQ19" s="139">
        <f t="shared" si="15"/>
        <v>0</v>
      </c>
      <c r="AR19" s="139">
        <f t="shared" si="15"/>
        <v>0</v>
      </c>
      <c r="AS19" s="139">
        <f t="shared" si="15"/>
        <v>0</v>
      </c>
      <c r="AT19" s="139">
        <f t="shared" si="15"/>
        <v>0</v>
      </c>
      <c r="AU19" s="139">
        <f t="shared" si="15"/>
        <v>0</v>
      </c>
      <c r="AV19" s="139">
        <f t="shared" si="15"/>
        <v>0</v>
      </c>
      <c r="AW19" s="139">
        <f t="shared" si="15"/>
        <v>0</v>
      </c>
      <c r="AX19" s="139">
        <f t="shared" si="15"/>
        <v>0</v>
      </c>
      <c r="AY19" s="139">
        <f t="shared" si="15"/>
        <v>0</v>
      </c>
      <c r="AZ19" s="139">
        <f t="shared" si="15"/>
        <v>0</v>
      </c>
      <c r="BA19" s="139">
        <f t="shared" si="15"/>
        <v>0</v>
      </c>
      <c r="BB19" s="139">
        <f t="shared" si="15"/>
        <v>0</v>
      </c>
      <c r="BC19" s="139">
        <f t="shared" si="15"/>
        <v>0</v>
      </c>
      <c r="BD19" s="139">
        <f t="shared" si="15"/>
        <v>0</v>
      </c>
      <c r="BE19" s="139">
        <f t="shared" si="15"/>
        <v>0</v>
      </c>
      <c r="BF19" s="139">
        <f t="shared" si="15"/>
        <v>0</v>
      </c>
      <c r="BG19" s="139">
        <f t="shared" si="15"/>
        <v>0</v>
      </c>
      <c r="BH19" s="139">
        <f t="shared" si="15"/>
        <v>0</v>
      </c>
      <c r="BI19" s="139">
        <f t="shared" si="15"/>
        <v>0</v>
      </c>
      <c r="BJ19" s="139">
        <f t="shared" si="15"/>
        <v>0</v>
      </c>
      <c r="BK19" s="139">
        <f t="shared" si="15"/>
        <v>0</v>
      </c>
      <c r="BL19" s="139">
        <f t="shared" si="15"/>
        <v>0</v>
      </c>
      <c r="BM19" s="139">
        <f t="shared" si="15"/>
        <v>0</v>
      </c>
      <c r="BN19" s="139">
        <f t="shared" si="15"/>
        <v>0</v>
      </c>
      <c r="BO19" s="139">
        <f t="shared" si="15"/>
        <v>0</v>
      </c>
      <c r="BP19" s="139">
        <f t="shared" si="15"/>
        <v>0</v>
      </c>
      <c r="BQ19" s="139">
        <f t="shared" si="15"/>
        <v>0</v>
      </c>
      <c r="BR19" s="139">
        <f t="shared" si="15"/>
        <v>0</v>
      </c>
      <c r="BS19" s="139">
        <f t="shared" si="15"/>
        <v>0</v>
      </c>
    </row>
    <row r="20" spans="3:71">
      <c r="C20" s="139">
        <f>노선구성!B61</f>
        <v>14</v>
      </c>
      <c r="D20" s="139">
        <f>노선구성!C61</f>
        <v>0</v>
      </c>
      <c r="E20" s="139">
        <f>노선구성!D61</f>
        <v>0</v>
      </c>
      <c r="F20" s="139">
        <f>노선구성!M61</f>
        <v>0</v>
      </c>
      <c r="G20" s="139">
        <f t="shared" ref="G20" si="16">ROUNDUP(F20*4/100,0)</f>
        <v>0</v>
      </c>
      <c r="H20" s="139">
        <f>노선구성!N61*4</f>
        <v>0</v>
      </c>
      <c r="L20" s="139">
        <f t="shared" si="3"/>
        <v>0</v>
      </c>
      <c r="M20" s="139">
        <f t="shared" ref="M20:BS20" si="17">IF(L20&gt;0,$G20,IF($E20=M$4,$G20,0))*$H20</f>
        <v>0</v>
      </c>
      <c r="N20" s="139">
        <f t="shared" si="17"/>
        <v>0</v>
      </c>
      <c r="O20" s="139">
        <f t="shared" si="17"/>
        <v>0</v>
      </c>
      <c r="P20" s="139">
        <f t="shared" si="17"/>
        <v>0</v>
      </c>
      <c r="Q20" s="139">
        <f t="shared" si="17"/>
        <v>0</v>
      </c>
      <c r="R20" s="139">
        <f t="shared" si="17"/>
        <v>0</v>
      </c>
      <c r="S20" s="139">
        <f t="shared" si="17"/>
        <v>0</v>
      </c>
      <c r="T20" s="139">
        <f t="shared" si="17"/>
        <v>0</v>
      </c>
      <c r="U20" s="139">
        <f t="shared" si="17"/>
        <v>0</v>
      </c>
      <c r="V20" s="139">
        <f t="shared" si="17"/>
        <v>0</v>
      </c>
      <c r="W20" s="139">
        <f t="shared" si="17"/>
        <v>0</v>
      </c>
      <c r="X20" s="139">
        <f t="shared" si="17"/>
        <v>0</v>
      </c>
      <c r="Y20" s="139">
        <f t="shared" si="17"/>
        <v>0</v>
      </c>
      <c r="Z20" s="139">
        <f t="shared" si="17"/>
        <v>0</v>
      </c>
      <c r="AA20" s="139">
        <f t="shared" si="17"/>
        <v>0</v>
      </c>
      <c r="AB20" s="139">
        <f t="shared" si="17"/>
        <v>0</v>
      </c>
      <c r="AC20" s="139">
        <f t="shared" si="17"/>
        <v>0</v>
      </c>
      <c r="AD20" s="139">
        <f t="shared" si="17"/>
        <v>0</v>
      </c>
      <c r="AE20" s="139">
        <f t="shared" si="17"/>
        <v>0</v>
      </c>
      <c r="AF20" s="139">
        <f t="shared" si="17"/>
        <v>0</v>
      </c>
      <c r="AG20" s="139">
        <f t="shared" si="17"/>
        <v>0</v>
      </c>
      <c r="AH20" s="139">
        <f t="shared" si="17"/>
        <v>0</v>
      </c>
      <c r="AI20" s="139">
        <f t="shared" si="17"/>
        <v>0</v>
      </c>
      <c r="AJ20" s="139">
        <f t="shared" si="17"/>
        <v>0</v>
      </c>
      <c r="AK20" s="139">
        <f t="shared" si="17"/>
        <v>0</v>
      </c>
      <c r="AL20" s="139">
        <f t="shared" si="17"/>
        <v>0</v>
      </c>
      <c r="AM20" s="139">
        <f t="shared" si="17"/>
        <v>0</v>
      </c>
      <c r="AN20" s="139">
        <f t="shared" si="17"/>
        <v>0</v>
      </c>
      <c r="AO20" s="139">
        <f t="shared" si="17"/>
        <v>0</v>
      </c>
      <c r="AP20" s="139">
        <f t="shared" si="17"/>
        <v>0</v>
      </c>
      <c r="AQ20" s="139">
        <f t="shared" si="17"/>
        <v>0</v>
      </c>
      <c r="AR20" s="139">
        <f t="shared" si="17"/>
        <v>0</v>
      </c>
      <c r="AS20" s="139">
        <f t="shared" si="17"/>
        <v>0</v>
      </c>
      <c r="AT20" s="139">
        <f t="shared" si="17"/>
        <v>0</v>
      </c>
      <c r="AU20" s="139">
        <f t="shared" si="17"/>
        <v>0</v>
      </c>
      <c r="AV20" s="139">
        <f t="shared" si="17"/>
        <v>0</v>
      </c>
      <c r="AW20" s="139">
        <f t="shared" si="17"/>
        <v>0</v>
      </c>
      <c r="AX20" s="139">
        <f t="shared" si="17"/>
        <v>0</v>
      </c>
      <c r="AY20" s="139">
        <f t="shared" si="17"/>
        <v>0</v>
      </c>
      <c r="AZ20" s="139">
        <f t="shared" si="17"/>
        <v>0</v>
      </c>
      <c r="BA20" s="139">
        <f t="shared" si="17"/>
        <v>0</v>
      </c>
      <c r="BB20" s="139">
        <f t="shared" si="17"/>
        <v>0</v>
      </c>
      <c r="BC20" s="139">
        <f t="shared" si="17"/>
        <v>0</v>
      </c>
      <c r="BD20" s="139">
        <f t="shared" si="17"/>
        <v>0</v>
      </c>
      <c r="BE20" s="139">
        <f t="shared" si="17"/>
        <v>0</v>
      </c>
      <c r="BF20" s="139">
        <f t="shared" si="17"/>
        <v>0</v>
      </c>
      <c r="BG20" s="139">
        <f t="shared" si="17"/>
        <v>0</v>
      </c>
      <c r="BH20" s="139">
        <f t="shared" si="17"/>
        <v>0</v>
      </c>
      <c r="BI20" s="139">
        <f t="shared" si="17"/>
        <v>0</v>
      </c>
      <c r="BJ20" s="139">
        <f t="shared" si="17"/>
        <v>0</v>
      </c>
      <c r="BK20" s="139">
        <f t="shared" si="17"/>
        <v>0</v>
      </c>
      <c r="BL20" s="139">
        <f t="shared" si="17"/>
        <v>0</v>
      </c>
      <c r="BM20" s="139">
        <f t="shared" si="17"/>
        <v>0</v>
      </c>
      <c r="BN20" s="139">
        <f t="shared" si="17"/>
        <v>0</v>
      </c>
      <c r="BO20" s="139">
        <f t="shared" si="17"/>
        <v>0</v>
      </c>
      <c r="BP20" s="139">
        <f t="shared" si="17"/>
        <v>0</v>
      </c>
      <c r="BQ20" s="139">
        <f t="shared" si="17"/>
        <v>0</v>
      </c>
      <c r="BR20" s="139">
        <f t="shared" si="17"/>
        <v>0</v>
      </c>
      <c r="BS20" s="139">
        <f t="shared" si="17"/>
        <v>0</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70C0"/>
    <pageSetUpPr fitToPage="1"/>
  </sheetPr>
  <dimension ref="B8"/>
  <sheetViews>
    <sheetView tabSelected="1" workbookViewId="0">
      <selection activeCell="R17" sqref="R17"/>
    </sheetView>
  </sheetViews>
  <sheetFormatPr defaultColWidth="9.125" defaultRowHeight="12" customHeight="1"/>
  <cols>
    <col min="1" max="1" width="2" style="139" customWidth="1"/>
    <col min="2" max="2" width="107.75" style="139" bestFit="1" customWidth="1"/>
    <col min="3" max="16384" width="9.125" style="139"/>
  </cols>
  <sheetData>
    <row r="8" spans="2:2" ht="45.6">
      <c r="B8" s="399" t="s">
        <v>1422</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B0F0"/>
    <pageSetUpPr fitToPage="1"/>
  </sheetPr>
  <dimension ref="B1:P25"/>
  <sheetViews>
    <sheetView tabSelected="1" workbookViewId="0">
      <selection activeCell="R17" sqref="R17"/>
    </sheetView>
  </sheetViews>
  <sheetFormatPr defaultColWidth="9.125" defaultRowHeight="13.2"/>
  <cols>
    <col min="1" max="1" width="2" style="139" customWidth="1"/>
    <col min="2" max="3" width="2.25" style="139" customWidth="1"/>
    <col min="4" max="5" width="9.125" style="139" customWidth="1"/>
    <col min="6" max="7" width="9.125" style="139"/>
    <col min="8" max="9" width="10.75" style="139" bestFit="1" customWidth="1"/>
    <col min="10" max="10" width="3.25" style="139" customWidth="1"/>
    <col min="11" max="13" width="9.125" style="139"/>
    <col min="14" max="14" width="2.25" style="139" customWidth="1"/>
    <col min="15" max="16384" width="9.125" style="139"/>
  </cols>
  <sheetData>
    <row r="1" spans="2:16" ht="17.399999999999999">
      <c r="B1" s="153" t="s">
        <v>150</v>
      </c>
      <c r="C1" s="153"/>
      <c r="D1" s="153"/>
      <c r="E1" s="153"/>
    </row>
    <row r="4" spans="2:16" ht="13.8" thickBot="1">
      <c r="B4" s="364" t="s">
        <v>91</v>
      </c>
      <c r="C4" s="364"/>
      <c r="D4" s="304"/>
      <c r="E4" s="304"/>
      <c r="F4" s="304" t="s">
        <v>65</v>
      </c>
      <c r="G4" s="304"/>
      <c r="H4" s="304">
        <v>737</v>
      </c>
      <c r="I4" s="304">
        <v>767</v>
      </c>
      <c r="J4" s="304"/>
      <c r="K4" s="323" t="s">
        <v>135</v>
      </c>
      <c r="L4" s="304"/>
      <c r="M4" s="304"/>
      <c r="N4" s="304"/>
      <c r="O4" s="157" t="s">
        <v>153</v>
      </c>
      <c r="P4" s="304"/>
    </row>
    <row r="5" spans="2:16">
      <c r="B5" s="139" t="s">
        <v>64</v>
      </c>
      <c r="F5" s="139" t="s">
        <v>66</v>
      </c>
      <c r="H5" s="139">
        <v>79</v>
      </c>
      <c r="I5" s="139">
        <v>130</v>
      </c>
    </row>
    <row r="6" spans="2:16">
      <c r="F6" s="139" t="s">
        <v>67</v>
      </c>
      <c r="H6" s="139">
        <v>21000</v>
      </c>
      <c r="I6" s="139">
        <v>56653.7</v>
      </c>
    </row>
    <row r="8" spans="2:16">
      <c r="B8" s="139" t="s">
        <v>92</v>
      </c>
    </row>
    <row r="9" spans="2:16" s="155" customFormat="1">
      <c r="C9" s="155" t="s">
        <v>151</v>
      </c>
      <c r="F9" s="155" t="s">
        <v>95</v>
      </c>
      <c r="H9" s="337">
        <f>SUM(H10:H12)</f>
        <v>3.28</v>
      </c>
      <c r="I9" s="337">
        <f>SUM(I10:I12)</f>
        <v>6.8550000000000004</v>
      </c>
    </row>
    <row r="10" spans="2:16">
      <c r="C10" s="139" t="s">
        <v>90</v>
      </c>
      <c r="E10" s="139" t="s">
        <v>113</v>
      </c>
      <c r="F10" s="139" t="s">
        <v>95</v>
      </c>
      <c r="H10" s="363">
        <v>2.5499999999999998</v>
      </c>
      <c r="I10" s="363">
        <v>5.3250000000000002</v>
      </c>
    </row>
    <row r="11" spans="2:16">
      <c r="C11" s="139" t="s">
        <v>93</v>
      </c>
      <c r="E11" s="139" t="s">
        <v>114</v>
      </c>
      <c r="F11" s="139" t="s">
        <v>95</v>
      </c>
      <c r="H11" s="374">
        <v>0.7</v>
      </c>
      <c r="I11" s="374">
        <v>1.5</v>
      </c>
      <c r="K11" s="139" t="s">
        <v>133</v>
      </c>
      <c r="L11" s="139">
        <v>1486</v>
      </c>
      <c r="M11" s="139">
        <v>2440</v>
      </c>
      <c r="O11" s="139" t="s">
        <v>448</v>
      </c>
    </row>
    <row r="12" spans="2:16">
      <c r="C12" s="139" t="s">
        <v>94</v>
      </c>
      <c r="E12" s="139" t="s">
        <v>114</v>
      </c>
      <c r="F12" s="139" t="s">
        <v>136</v>
      </c>
      <c r="H12" s="363">
        <v>0.03</v>
      </c>
      <c r="I12" s="363">
        <v>0.03</v>
      </c>
    </row>
    <row r="13" spans="2:16">
      <c r="H13" s="363"/>
      <c r="I13" s="363"/>
    </row>
    <row r="14" spans="2:16" s="155" customFormat="1">
      <c r="C14" s="155" t="s">
        <v>105</v>
      </c>
      <c r="F14" s="155" t="s">
        <v>127</v>
      </c>
      <c r="H14" s="337"/>
      <c r="I14" s="337"/>
    </row>
    <row r="15" spans="2:16">
      <c r="C15" s="139" t="s">
        <v>102</v>
      </c>
      <c r="H15" s="363"/>
      <c r="I15" s="363"/>
    </row>
    <row r="16" spans="2:16">
      <c r="D16" s="139" t="s">
        <v>103</v>
      </c>
      <c r="E16" s="139" t="s">
        <v>114</v>
      </c>
      <c r="F16" s="139" t="s">
        <v>127</v>
      </c>
      <c r="H16" s="363">
        <v>2.2590370000000002</v>
      </c>
      <c r="I16" s="363">
        <v>2.3224399999999998</v>
      </c>
    </row>
    <row r="17" spans="3:15">
      <c r="D17" s="139" t="s">
        <v>104</v>
      </c>
      <c r="E17" s="139" t="s">
        <v>114</v>
      </c>
      <c r="F17" s="139" t="s">
        <v>126</v>
      </c>
      <c r="H17" s="363">
        <v>2.2590370000000002</v>
      </c>
      <c r="I17" s="363">
        <v>2.3224399999999998</v>
      </c>
    </row>
    <row r="18" spans="3:15">
      <c r="C18" s="139" t="s">
        <v>97</v>
      </c>
      <c r="E18" s="139" t="s">
        <v>113</v>
      </c>
      <c r="F18" s="139" t="s">
        <v>126</v>
      </c>
      <c r="H18" s="363">
        <v>0.7</v>
      </c>
      <c r="I18" s="363">
        <v>0.9</v>
      </c>
    </row>
    <row r="19" spans="3:15">
      <c r="C19" s="139" t="s">
        <v>100</v>
      </c>
    </row>
    <row r="20" spans="3:15">
      <c r="D20" s="139" t="s">
        <v>98</v>
      </c>
      <c r="E20" s="139" t="s">
        <v>113</v>
      </c>
      <c r="F20" s="139" t="s">
        <v>126</v>
      </c>
      <c r="H20" s="363">
        <v>1.4999999999999999E-2</v>
      </c>
      <c r="I20" s="363">
        <v>1.4999999999999999E-2</v>
      </c>
      <c r="O20" s="139" t="s">
        <v>152</v>
      </c>
    </row>
    <row r="21" spans="3:15">
      <c r="D21" s="139" t="s">
        <v>99</v>
      </c>
      <c r="E21" s="139" t="s">
        <v>113</v>
      </c>
      <c r="F21" s="139" t="s">
        <v>126</v>
      </c>
      <c r="H21" s="363">
        <v>0.01</v>
      </c>
      <c r="I21" s="363">
        <v>0.01</v>
      </c>
    </row>
    <row r="23" spans="3:15" s="155" customFormat="1">
      <c r="C23" s="155" t="s">
        <v>110</v>
      </c>
      <c r="F23" s="155" t="s">
        <v>129</v>
      </c>
    </row>
    <row r="24" spans="3:15">
      <c r="C24" s="139" t="s">
        <v>107</v>
      </c>
      <c r="E24" s="139" t="s">
        <v>111</v>
      </c>
      <c r="F24" s="139" t="s">
        <v>129</v>
      </c>
      <c r="H24" s="363">
        <f>L24*노선구성!$E15/1000000</f>
        <v>226.6</v>
      </c>
      <c r="I24" s="363">
        <f>M24*노선구성!$E15/1000000</f>
        <v>283.25</v>
      </c>
      <c r="K24" s="139" t="s">
        <v>132</v>
      </c>
      <c r="L24" s="139">
        <v>200000</v>
      </c>
      <c r="M24" s="139">
        <v>250000</v>
      </c>
    </row>
    <row r="25" spans="3:15">
      <c r="C25" s="139" t="s">
        <v>109</v>
      </c>
      <c r="E25" s="139" t="s">
        <v>112</v>
      </c>
      <c r="F25" s="139" t="s">
        <v>128</v>
      </c>
      <c r="H25" s="363">
        <v>13.3</v>
      </c>
      <c r="I25" s="363">
        <v>25</v>
      </c>
    </row>
  </sheetData>
  <phoneticPr fontId="24" type="noConversion"/>
  <pageMargins left="0.6" right="0.6" top="1" bottom="1" header="0.5" footer="0.5"/>
  <pageSetup scale="86" orientation="landscape" r:id="rId1"/>
  <headerFooter>
    <oddHeader>&amp;RDraft - Work in Progress</oddHeader>
    <oddFooter>&amp;L&amp;F
&amp;D, &amp;T&amp;CPage &amp;P of &amp;N&amp;R&amp;A</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B0F0"/>
    <pageSetUpPr fitToPage="1"/>
  </sheetPr>
  <dimension ref="B1:V37"/>
  <sheetViews>
    <sheetView tabSelected="1" workbookViewId="0">
      <selection activeCell="R17" sqref="R17"/>
    </sheetView>
  </sheetViews>
  <sheetFormatPr defaultColWidth="9.125" defaultRowHeight="13.2"/>
  <cols>
    <col min="1" max="1" width="2" style="139" customWidth="1"/>
    <col min="2" max="3" width="9.125" style="139" customWidth="1"/>
    <col min="4" max="6" width="9.125" style="139"/>
    <col min="7" max="8" width="9.25" style="139" bestFit="1" customWidth="1"/>
    <col min="9" max="9" width="9.125" style="139"/>
    <col min="10" max="10" width="9.25" style="139" bestFit="1" customWidth="1"/>
    <col min="11" max="12" width="8" style="139" bestFit="1" customWidth="1"/>
    <col min="13" max="13" width="9.25" style="139" bestFit="1" customWidth="1"/>
    <col min="14" max="14" width="11.375" style="139" customWidth="1"/>
    <col min="15" max="15" width="9.25" style="139" bestFit="1" customWidth="1"/>
    <col min="16" max="16" width="10.75" style="139" customWidth="1"/>
    <col min="17" max="17" width="9.25" style="139" bestFit="1" customWidth="1"/>
    <col min="18" max="18" width="9" style="139" bestFit="1" customWidth="1"/>
    <col min="19" max="19" width="10.375" style="139" customWidth="1"/>
    <col min="20" max="16384" width="9.125" style="139"/>
  </cols>
  <sheetData>
    <row r="1" spans="2:22" ht="17.399999999999999">
      <c r="B1" s="153" t="s">
        <v>145</v>
      </c>
      <c r="C1" s="153"/>
    </row>
    <row r="3" spans="2:22">
      <c r="D3" s="332" t="s">
        <v>137</v>
      </c>
      <c r="E3" s="332"/>
      <c r="F3" s="332"/>
      <c r="G3" s="332" t="s">
        <v>138</v>
      </c>
      <c r="H3" s="332"/>
      <c r="I3" s="332" t="s">
        <v>139</v>
      </c>
      <c r="J3" s="332"/>
      <c r="K3" s="332"/>
      <c r="L3" s="332"/>
      <c r="M3" s="332"/>
      <c r="N3" s="332"/>
      <c r="O3" s="332"/>
      <c r="P3" s="332"/>
      <c r="Q3" s="332" t="s">
        <v>140</v>
      </c>
      <c r="R3" s="332"/>
      <c r="S3" s="332"/>
    </row>
    <row r="4" spans="2:22" s="158" customFormat="1" ht="40.200000000000003" thickBot="1">
      <c r="B4" s="157" t="s">
        <v>141</v>
      </c>
      <c r="C4" s="157" t="s">
        <v>69</v>
      </c>
      <c r="D4" s="157" t="s">
        <v>1</v>
      </c>
      <c r="E4" s="157" t="s">
        <v>2</v>
      </c>
      <c r="F4" s="157" t="s">
        <v>10</v>
      </c>
      <c r="G4" s="157" t="s">
        <v>3</v>
      </c>
      <c r="H4" s="157" t="s">
        <v>4</v>
      </c>
      <c r="I4" s="157" t="s">
        <v>5</v>
      </c>
      <c r="J4" s="157" t="s">
        <v>6</v>
      </c>
      <c r="K4" s="154" t="s">
        <v>346</v>
      </c>
      <c r="L4" s="303" t="s">
        <v>348</v>
      </c>
      <c r="M4" s="303" t="s">
        <v>142</v>
      </c>
      <c r="N4" s="404" t="s">
        <v>143</v>
      </c>
      <c r="O4" s="157" t="s">
        <v>144</v>
      </c>
      <c r="P4" s="303" t="s">
        <v>148</v>
      </c>
      <c r="Q4" s="157" t="s">
        <v>12</v>
      </c>
      <c r="R4" s="157" t="s">
        <v>13</v>
      </c>
      <c r="S4" s="303" t="s">
        <v>14</v>
      </c>
      <c r="T4" s="303" t="s">
        <v>462</v>
      </c>
      <c r="V4" s="157" t="s">
        <v>69</v>
      </c>
    </row>
    <row r="5" spans="2:22">
      <c r="B5" s="139">
        <v>737</v>
      </c>
      <c r="C5" s="139" t="s">
        <v>70</v>
      </c>
      <c r="D5" s="139" t="s">
        <v>11</v>
      </c>
      <c r="E5" s="196" t="s">
        <v>7</v>
      </c>
      <c r="F5" s="139" t="s">
        <v>8</v>
      </c>
      <c r="G5" s="139">
        <v>290</v>
      </c>
      <c r="H5" s="139">
        <v>537.08000000000004</v>
      </c>
      <c r="I5" s="139" t="s">
        <v>9</v>
      </c>
      <c r="J5" s="139">
        <v>1</v>
      </c>
      <c r="K5" s="139">
        <f t="shared" ref="K5:K23" si="0">J5*2</f>
        <v>2</v>
      </c>
      <c r="L5" s="139">
        <f t="shared" ref="L5:L23" si="1">1*2</f>
        <v>2</v>
      </c>
      <c r="M5" s="139">
        <f>K5+L5</f>
        <v>4</v>
      </c>
      <c r="N5" s="370">
        <f>ROUNDDOWN((24/M5),0)</f>
        <v>6</v>
      </c>
      <c r="O5" s="139">
        <v>2</v>
      </c>
      <c r="P5" s="139">
        <f t="shared" ref="P5:P24" si="2">O5*2*4</f>
        <v>16</v>
      </c>
      <c r="Q5" s="405">
        <v>5.9999999999999995E-4</v>
      </c>
      <c r="R5" s="406">
        <v>0</v>
      </c>
      <c r="S5" s="406">
        <v>0</v>
      </c>
      <c r="V5" s="139" t="str">
        <f>C5</f>
        <v>C1</v>
      </c>
    </row>
    <row r="6" spans="2:22">
      <c r="B6" s="139">
        <v>737</v>
      </c>
      <c r="C6" s="139" t="s">
        <v>71</v>
      </c>
      <c r="D6" s="139" t="s">
        <v>11</v>
      </c>
      <c r="E6" s="196" t="s">
        <v>15</v>
      </c>
      <c r="F6" s="139" t="s">
        <v>16</v>
      </c>
      <c r="G6" s="139">
        <v>1918</v>
      </c>
      <c r="H6" s="139">
        <v>3552.136</v>
      </c>
      <c r="I6" s="139" t="s">
        <v>17</v>
      </c>
      <c r="J6" s="139">
        <v>5</v>
      </c>
      <c r="K6" s="139">
        <f t="shared" si="0"/>
        <v>10</v>
      </c>
      <c r="L6" s="139">
        <f t="shared" si="1"/>
        <v>2</v>
      </c>
      <c r="M6" s="139">
        <f t="shared" ref="M6:M24" si="3">K6+L6</f>
        <v>12</v>
      </c>
      <c r="N6" s="370">
        <f t="shared" ref="N6:N24" si="4">ROUNDDOWN((24/M6),0)</f>
        <v>2</v>
      </c>
      <c r="O6" s="139">
        <v>4</v>
      </c>
      <c r="P6" s="139">
        <f t="shared" si="2"/>
        <v>32</v>
      </c>
      <c r="Q6" s="405">
        <v>1.6999999999999999E-3</v>
      </c>
      <c r="R6" s="405">
        <v>2.2000000000000001E-3</v>
      </c>
      <c r="S6" s="405">
        <v>2.0999999999999999E-3</v>
      </c>
      <c r="V6" s="139" t="str">
        <f t="shared" ref="V6:V26" si="5">C6</f>
        <v>C2</v>
      </c>
    </row>
    <row r="7" spans="2:22">
      <c r="B7" s="139">
        <v>737</v>
      </c>
      <c r="C7" s="139" t="s">
        <v>72</v>
      </c>
      <c r="D7" s="139" t="s">
        <v>11</v>
      </c>
      <c r="E7" s="196" t="s">
        <v>21</v>
      </c>
      <c r="F7" s="139" t="s">
        <v>22</v>
      </c>
      <c r="G7" s="139">
        <v>284</v>
      </c>
      <c r="H7" s="139">
        <v>525.96800000000007</v>
      </c>
      <c r="I7" s="139" t="s">
        <v>23</v>
      </c>
      <c r="J7" s="139">
        <v>1.5</v>
      </c>
      <c r="K7" s="139">
        <f t="shared" si="0"/>
        <v>3</v>
      </c>
      <c r="L7" s="139">
        <f t="shared" si="1"/>
        <v>2</v>
      </c>
      <c r="M7" s="139">
        <f t="shared" si="3"/>
        <v>5</v>
      </c>
      <c r="N7" s="370">
        <f t="shared" si="4"/>
        <v>4</v>
      </c>
      <c r="O7" s="139">
        <v>4</v>
      </c>
      <c r="P7" s="139">
        <f t="shared" si="2"/>
        <v>32</v>
      </c>
      <c r="Q7" s="405">
        <v>1.1999999999999999E-3</v>
      </c>
      <c r="R7" s="405">
        <v>1.5529411764705883E-3</v>
      </c>
      <c r="S7" s="405">
        <v>1.4823529411764705E-3</v>
      </c>
      <c r="V7" s="139" t="str">
        <f t="shared" si="5"/>
        <v>C3</v>
      </c>
    </row>
    <row r="8" spans="2:22">
      <c r="B8" s="139">
        <v>737</v>
      </c>
      <c r="C8" s="139" t="s">
        <v>73</v>
      </c>
      <c r="D8" s="139" t="s">
        <v>11</v>
      </c>
      <c r="E8" s="196" t="s">
        <v>24</v>
      </c>
      <c r="F8" s="139" t="s">
        <v>22</v>
      </c>
      <c r="G8" s="139">
        <v>361</v>
      </c>
      <c r="H8" s="139">
        <v>668.572</v>
      </c>
      <c r="I8" s="139" t="s">
        <v>25</v>
      </c>
      <c r="J8" s="139">
        <v>1.5</v>
      </c>
      <c r="K8" s="139">
        <f t="shared" si="0"/>
        <v>3</v>
      </c>
      <c r="L8" s="139">
        <f t="shared" si="1"/>
        <v>2</v>
      </c>
      <c r="M8" s="139">
        <f t="shared" si="3"/>
        <v>5</v>
      </c>
      <c r="N8" s="370">
        <f t="shared" si="4"/>
        <v>4</v>
      </c>
      <c r="O8" s="139">
        <v>4</v>
      </c>
      <c r="P8" s="139">
        <f t="shared" si="2"/>
        <v>32</v>
      </c>
      <c r="Q8" s="405">
        <v>1.1999999999999999E-3</v>
      </c>
      <c r="R8" s="405">
        <v>1.5529411764705883E-3</v>
      </c>
      <c r="S8" s="405">
        <v>1.4823529411764705E-3</v>
      </c>
      <c r="V8" s="139" t="str">
        <f t="shared" si="5"/>
        <v>C4</v>
      </c>
    </row>
    <row r="9" spans="2:22">
      <c r="B9" s="139">
        <v>737</v>
      </c>
      <c r="C9" s="139" t="s">
        <v>74</v>
      </c>
      <c r="D9" s="139" t="s">
        <v>11</v>
      </c>
      <c r="E9" s="196" t="s">
        <v>33</v>
      </c>
      <c r="F9" s="139" t="s">
        <v>22</v>
      </c>
      <c r="G9" s="139">
        <v>482</v>
      </c>
      <c r="H9" s="139">
        <v>892.66399999999999</v>
      </c>
      <c r="I9" s="139" t="s">
        <v>30</v>
      </c>
      <c r="J9" s="139">
        <v>2</v>
      </c>
      <c r="K9" s="139">
        <f t="shared" si="0"/>
        <v>4</v>
      </c>
      <c r="L9" s="139">
        <f t="shared" si="1"/>
        <v>2</v>
      </c>
      <c r="M9" s="139">
        <f t="shared" si="3"/>
        <v>6</v>
      </c>
      <c r="N9" s="370">
        <f t="shared" si="4"/>
        <v>4</v>
      </c>
      <c r="O9" s="139">
        <v>4</v>
      </c>
      <c r="P9" s="139">
        <f t="shared" si="2"/>
        <v>32</v>
      </c>
      <c r="Q9" s="405">
        <v>1.1999999999999999E-3</v>
      </c>
      <c r="R9" s="405">
        <v>1.5529411764705883E-3</v>
      </c>
      <c r="S9" s="405">
        <v>1.4823529411764705E-3</v>
      </c>
      <c r="T9" s="139">
        <v>1.4E-3</v>
      </c>
      <c r="V9" s="139" t="str">
        <f t="shared" si="5"/>
        <v>C5</v>
      </c>
    </row>
    <row r="10" spans="2:22">
      <c r="B10" s="139">
        <v>737</v>
      </c>
      <c r="C10" s="139" t="s">
        <v>75</v>
      </c>
      <c r="D10" s="139" t="s">
        <v>11</v>
      </c>
      <c r="E10" s="196" t="s">
        <v>34</v>
      </c>
      <c r="F10" s="139" t="s">
        <v>22</v>
      </c>
      <c r="G10" s="139">
        <v>239</v>
      </c>
      <c r="H10" s="139">
        <v>442.62800000000004</v>
      </c>
      <c r="I10" s="139" t="s">
        <v>35</v>
      </c>
      <c r="J10" s="139">
        <v>1.5</v>
      </c>
      <c r="K10" s="139">
        <f t="shared" si="0"/>
        <v>3</v>
      </c>
      <c r="L10" s="139">
        <f t="shared" si="1"/>
        <v>2</v>
      </c>
      <c r="M10" s="139">
        <f t="shared" si="3"/>
        <v>5</v>
      </c>
      <c r="N10" s="370">
        <f t="shared" si="4"/>
        <v>4</v>
      </c>
      <c r="O10" s="139">
        <v>4</v>
      </c>
      <c r="P10" s="139">
        <f t="shared" si="2"/>
        <v>32</v>
      </c>
      <c r="Q10" s="347">
        <v>1.1999999999999999E-3</v>
      </c>
      <c r="R10" s="347">
        <v>1.5529411764705883E-3</v>
      </c>
      <c r="S10" s="347">
        <v>1.4823529411764705E-3</v>
      </c>
      <c r="V10" s="139" t="str">
        <f t="shared" si="5"/>
        <v>C6</v>
      </c>
    </row>
    <row r="11" spans="2:22">
      <c r="B11" s="139">
        <v>737</v>
      </c>
      <c r="C11" s="139" t="s">
        <v>76</v>
      </c>
      <c r="D11" s="139" t="s">
        <v>11</v>
      </c>
      <c r="E11" s="196" t="s">
        <v>36</v>
      </c>
      <c r="F11" s="139" t="s">
        <v>37</v>
      </c>
      <c r="G11" s="139">
        <v>1022</v>
      </c>
      <c r="H11" s="139">
        <v>1892.7440000000001</v>
      </c>
      <c r="I11" s="139" t="s">
        <v>38</v>
      </c>
      <c r="J11" s="139">
        <v>4</v>
      </c>
      <c r="K11" s="139">
        <f t="shared" si="0"/>
        <v>8</v>
      </c>
      <c r="L11" s="139">
        <f t="shared" si="1"/>
        <v>2</v>
      </c>
      <c r="M11" s="139">
        <f t="shared" si="3"/>
        <v>10</v>
      </c>
      <c r="N11" s="370">
        <f t="shared" si="4"/>
        <v>2</v>
      </c>
      <c r="O11" s="139">
        <v>4</v>
      </c>
      <c r="P11" s="139">
        <f t="shared" si="2"/>
        <v>32</v>
      </c>
      <c r="Q11" s="405">
        <v>1.1999999999999999E-3</v>
      </c>
      <c r="R11" s="405">
        <v>1.5529411764705883E-3</v>
      </c>
      <c r="S11" s="405">
        <v>1.4823529411764705E-3</v>
      </c>
      <c r="V11" s="139" t="str">
        <f t="shared" si="5"/>
        <v>C7</v>
      </c>
    </row>
    <row r="12" spans="2:22">
      <c r="B12" s="139">
        <v>737</v>
      </c>
      <c r="C12" s="139" t="s">
        <v>77</v>
      </c>
      <c r="D12" s="139" t="s">
        <v>11</v>
      </c>
      <c r="E12" s="196" t="s">
        <v>39</v>
      </c>
      <c r="F12" s="139" t="s">
        <v>37</v>
      </c>
      <c r="G12" s="139">
        <v>1382</v>
      </c>
      <c r="H12" s="139">
        <v>2559.4639999999999</v>
      </c>
      <c r="I12" s="139" t="s">
        <v>40</v>
      </c>
      <c r="J12" s="139">
        <v>4</v>
      </c>
      <c r="K12" s="139">
        <f t="shared" si="0"/>
        <v>8</v>
      </c>
      <c r="L12" s="139">
        <f t="shared" si="1"/>
        <v>2</v>
      </c>
      <c r="M12" s="139">
        <f t="shared" si="3"/>
        <v>10</v>
      </c>
      <c r="N12" s="370">
        <f t="shared" si="4"/>
        <v>2</v>
      </c>
      <c r="O12" s="139">
        <v>4</v>
      </c>
      <c r="P12" s="139">
        <f t="shared" si="2"/>
        <v>32</v>
      </c>
      <c r="Q12" s="405">
        <v>1.1999999999999999E-3</v>
      </c>
      <c r="R12" s="405">
        <v>1.5529411764705883E-3</v>
      </c>
      <c r="S12" s="405">
        <v>1.4823529411764705E-3</v>
      </c>
      <c r="V12" s="139" t="str">
        <f t="shared" si="5"/>
        <v>C8</v>
      </c>
    </row>
    <row r="13" spans="2:22">
      <c r="B13" s="139">
        <v>737</v>
      </c>
      <c r="C13" s="139" t="s">
        <v>78</v>
      </c>
      <c r="D13" s="139" t="s">
        <v>18</v>
      </c>
      <c r="E13" s="196" t="s">
        <v>19</v>
      </c>
      <c r="F13" s="139" t="s">
        <v>16</v>
      </c>
      <c r="G13" s="139">
        <v>2157</v>
      </c>
      <c r="H13" s="139">
        <v>3994.7640000000001</v>
      </c>
      <c r="I13" s="139" t="s">
        <v>20</v>
      </c>
      <c r="J13" s="139">
        <v>6</v>
      </c>
      <c r="K13" s="139">
        <f t="shared" si="0"/>
        <v>12</v>
      </c>
      <c r="L13" s="139">
        <f t="shared" si="1"/>
        <v>2</v>
      </c>
      <c r="M13" s="139">
        <f t="shared" si="3"/>
        <v>14</v>
      </c>
      <c r="N13" s="370">
        <f t="shared" si="4"/>
        <v>1</v>
      </c>
      <c r="O13" s="139">
        <v>4</v>
      </c>
      <c r="P13" s="139">
        <f t="shared" si="2"/>
        <v>32</v>
      </c>
      <c r="Q13" s="405">
        <v>1.6999999999999999E-3</v>
      </c>
      <c r="R13" s="405">
        <v>2.2000000000000001E-3</v>
      </c>
      <c r="S13" s="405">
        <v>2.0999999999999999E-3</v>
      </c>
      <c r="V13" s="139" t="str">
        <f t="shared" si="5"/>
        <v>I1</v>
      </c>
    </row>
    <row r="14" spans="2:22">
      <c r="B14" s="139">
        <v>737</v>
      </c>
      <c r="C14" s="139" t="s">
        <v>79</v>
      </c>
      <c r="D14" s="139" t="s">
        <v>18</v>
      </c>
      <c r="E14" s="196" t="s">
        <v>26</v>
      </c>
      <c r="F14" s="139" t="s">
        <v>16</v>
      </c>
      <c r="G14" s="139">
        <v>1834</v>
      </c>
      <c r="H14" s="139">
        <v>3396.5680000000002</v>
      </c>
      <c r="I14" s="139" t="s">
        <v>27</v>
      </c>
      <c r="J14" s="139">
        <v>4.5</v>
      </c>
      <c r="K14" s="139">
        <f t="shared" si="0"/>
        <v>9</v>
      </c>
      <c r="L14" s="139">
        <f t="shared" si="1"/>
        <v>2</v>
      </c>
      <c r="M14" s="139">
        <f t="shared" si="3"/>
        <v>11</v>
      </c>
      <c r="N14" s="370">
        <f t="shared" si="4"/>
        <v>2</v>
      </c>
      <c r="O14" s="139">
        <v>4</v>
      </c>
      <c r="P14" s="139">
        <f t="shared" si="2"/>
        <v>32</v>
      </c>
      <c r="Q14" s="405">
        <v>1.6999999999999999E-3</v>
      </c>
      <c r="R14" s="405">
        <v>2.2000000000000001E-3</v>
      </c>
      <c r="S14" s="405">
        <v>2.0999999999999999E-3</v>
      </c>
      <c r="V14" s="139" t="str">
        <f t="shared" si="5"/>
        <v>I2</v>
      </c>
    </row>
    <row r="15" spans="2:22">
      <c r="B15" s="139">
        <v>737</v>
      </c>
      <c r="C15" s="139" t="s">
        <v>80</v>
      </c>
      <c r="D15" s="139" t="s">
        <v>18</v>
      </c>
      <c r="E15" s="196" t="s">
        <v>28</v>
      </c>
      <c r="F15" s="139" t="s">
        <v>29</v>
      </c>
      <c r="G15" s="139">
        <v>831</v>
      </c>
      <c r="H15" s="139">
        <v>1539.0120000000002</v>
      </c>
      <c r="I15" s="139" t="s">
        <v>30</v>
      </c>
      <c r="J15" s="139">
        <v>2</v>
      </c>
      <c r="K15" s="139">
        <f t="shared" si="0"/>
        <v>4</v>
      </c>
      <c r="L15" s="139">
        <f t="shared" si="1"/>
        <v>2</v>
      </c>
      <c r="M15" s="139">
        <f t="shared" si="3"/>
        <v>6</v>
      </c>
      <c r="N15" s="370">
        <f t="shared" si="4"/>
        <v>4</v>
      </c>
      <c r="O15" s="139">
        <v>4</v>
      </c>
      <c r="P15" s="139">
        <f t="shared" si="2"/>
        <v>32</v>
      </c>
      <c r="Q15" s="405">
        <v>1.1999999999999999E-3</v>
      </c>
      <c r="R15" s="405">
        <v>1.5529411764705883E-3</v>
      </c>
      <c r="S15" s="405">
        <v>1.4823529411764705E-3</v>
      </c>
      <c r="V15" s="139" t="str">
        <f t="shared" si="5"/>
        <v>I3</v>
      </c>
    </row>
    <row r="16" spans="2:22">
      <c r="B16" s="139">
        <v>737</v>
      </c>
      <c r="C16" s="139" t="s">
        <v>81</v>
      </c>
      <c r="D16" s="139" t="s">
        <v>18</v>
      </c>
      <c r="E16" s="196" t="s">
        <v>31</v>
      </c>
      <c r="F16" s="139" t="s">
        <v>29</v>
      </c>
      <c r="G16" s="139">
        <v>516</v>
      </c>
      <c r="H16" s="139">
        <v>955.63200000000006</v>
      </c>
      <c r="I16" s="139" t="s">
        <v>32</v>
      </c>
      <c r="J16" s="139">
        <v>1.5</v>
      </c>
      <c r="K16" s="139">
        <f t="shared" si="0"/>
        <v>3</v>
      </c>
      <c r="L16" s="139">
        <f t="shared" si="1"/>
        <v>2</v>
      </c>
      <c r="M16" s="139">
        <f t="shared" si="3"/>
        <v>5</v>
      </c>
      <c r="N16" s="370">
        <f t="shared" si="4"/>
        <v>4</v>
      </c>
      <c r="O16" s="139">
        <v>4</v>
      </c>
      <c r="P16" s="139">
        <f t="shared" si="2"/>
        <v>32</v>
      </c>
      <c r="Q16" s="405">
        <v>1.1999999999999999E-3</v>
      </c>
      <c r="R16" s="405">
        <v>1.5529411764705883E-3</v>
      </c>
      <c r="S16" s="405">
        <v>1.4823529411764705E-3</v>
      </c>
      <c r="V16" s="139" t="str">
        <f t="shared" si="5"/>
        <v>I4</v>
      </c>
    </row>
    <row r="17" spans="2:22">
      <c r="B17" s="139">
        <v>737</v>
      </c>
      <c r="C17" s="139" t="s">
        <v>82</v>
      </c>
      <c r="D17" s="139" t="s">
        <v>18</v>
      </c>
      <c r="E17" s="196" t="s">
        <v>41</v>
      </c>
      <c r="F17" s="139" t="s">
        <v>42</v>
      </c>
      <c r="G17" s="139">
        <v>1720</v>
      </c>
      <c r="H17" s="139">
        <v>3185.44</v>
      </c>
      <c r="I17" s="139" t="s">
        <v>43</v>
      </c>
      <c r="J17" s="139">
        <v>4.5</v>
      </c>
      <c r="K17" s="139">
        <f t="shared" si="0"/>
        <v>9</v>
      </c>
      <c r="L17" s="139">
        <f t="shared" si="1"/>
        <v>2</v>
      </c>
      <c r="M17" s="139">
        <f t="shared" si="3"/>
        <v>11</v>
      </c>
      <c r="N17" s="370">
        <f t="shared" si="4"/>
        <v>2</v>
      </c>
      <c r="O17" s="139">
        <v>4</v>
      </c>
      <c r="P17" s="139">
        <f t="shared" si="2"/>
        <v>32</v>
      </c>
      <c r="Q17" s="405">
        <v>3.2000000000000002E-3</v>
      </c>
      <c r="R17" s="405">
        <v>4.1411764705882358E-3</v>
      </c>
      <c r="S17" s="405">
        <v>3.9529411764705888E-3</v>
      </c>
      <c r="V17" s="139" t="str">
        <f t="shared" si="5"/>
        <v>I5</v>
      </c>
    </row>
    <row r="18" spans="2:22">
      <c r="B18" s="139">
        <v>737</v>
      </c>
      <c r="C18" s="139" t="s">
        <v>83</v>
      </c>
      <c r="D18" s="139" t="s">
        <v>18</v>
      </c>
      <c r="E18" s="196" t="s">
        <v>44</v>
      </c>
      <c r="F18" s="139" t="s">
        <v>42</v>
      </c>
      <c r="G18" s="139">
        <v>1622</v>
      </c>
      <c r="H18" s="139">
        <v>3003.944</v>
      </c>
      <c r="I18" s="139" t="s">
        <v>45</v>
      </c>
      <c r="J18" s="139">
        <v>4</v>
      </c>
      <c r="K18" s="139">
        <f t="shared" si="0"/>
        <v>8</v>
      </c>
      <c r="L18" s="139">
        <f t="shared" si="1"/>
        <v>2</v>
      </c>
      <c r="M18" s="139">
        <f t="shared" si="3"/>
        <v>10</v>
      </c>
      <c r="N18" s="370">
        <f t="shared" si="4"/>
        <v>2</v>
      </c>
      <c r="O18" s="139">
        <v>4</v>
      </c>
      <c r="P18" s="139">
        <f t="shared" si="2"/>
        <v>32</v>
      </c>
      <c r="Q18" s="347">
        <v>1.5E-3</v>
      </c>
      <c r="R18" s="347">
        <v>1.9411764705882354E-3</v>
      </c>
      <c r="S18" s="347">
        <v>1.8529411764705882E-3</v>
      </c>
      <c r="V18" s="139" t="str">
        <f t="shared" si="5"/>
        <v>I6</v>
      </c>
    </row>
    <row r="19" spans="2:22">
      <c r="B19" s="139">
        <v>737</v>
      </c>
      <c r="C19" s="139" t="s">
        <v>84</v>
      </c>
      <c r="D19" s="139" t="s">
        <v>18</v>
      </c>
      <c r="E19" s="196" t="s">
        <v>46</v>
      </c>
      <c r="F19" s="139" t="s">
        <v>42</v>
      </c>
      <c r="G19" s="139">
        <v>1464</v>
      </c>
      <c r="H19" s="139">
        <v>2711.328</v>
      </c>
      <c r="I19" s="139" t="s">
        <v>47</v>
      </c>
      <c r="J19" s="139">
        <v>4</v>
      </c>
      <c r="K19" s="139">
        <f t="shared" si="0"/>
        <v>8</v>
      </c>
      <c r="L19" s="139">
        <f t="shared" si="1"/>
        <v>2</v>
      </c>
      <c r="M19" s="139">
        <f t="shared" si="3"/>
        <v>10</v>
      </c>
      <c r="N19" s="370">
        <f t="shared" si="4"/>
        <v>2</v>
      </c>
      <c r="O19" s="139">
        <v>4</v>
      </c>
      <c r="P19" s="139">
        <f t="shared" si="2"/>
        <v>32</v>
      </c>
      <c r="Q19" s="347">
        <v>1.5E-3</v>
      </c>
      <c r="R19" s="347">
        <v>1.9411764705882354E-3</v>
      </c>
      <c r="S19" s="347">
        <v>1.8529411764705882E-3</v>
      </c>
      <c r="V19" s="139" t="str">
        <f t="shared" si="5"/>
        <v>I7</v>
      </c>
    </row>
    <row r="20" spans="2:22">
      <c r="B20" s="139">
        <v>737</v>
      </c>
      <c r="C20" s="139" t="s">
        <v>85</v>
      </c>
      <c r="D20" s="139" t="s">
        <v>18</v>
      </c>
      <c r="E20" s="196" t="s">
        <v>48</v>
      </c>
      <c r="F20" s="139" t="s">
        <v>49</v>
      </c>
      <c r="G20" s="139">
        <v>1200</v>
      </c>
      <c r="H20" s="139">
        <v>2222.4</v>
      </c>
      <c r="I20" s="139" t="s">
        <v>50</v>
      </c>
      <c r="J20" s="139">
        <v>4</v>
      </c>
      <c r="K20" s="139">
        <f t="shared" si="0"/>
        <v>8</v>
      </c>
      <c r="L20" s="139">
        <f t="shared" si="1"/>
        <v>2</v>
      </c>
      <c r="M20" s="139">
        <f t="shared" si="3"/>
        <v>10</v>
      </c>
      <c r="N20" s="370">
        <f t="shared" si="4"/>
        <v>2</v>
      </c>
      <c r="O20" s="139">
        <v>1</v>
      </c>
      <c r="P20" s="139">
        <f t="shared" si="2"/>
        <v>8</v>
      </c>
      <c r="Q20" s="405">
        <v>5.0000000000000001E-3</v>
      </c>
      <c r="R20" s="405">
        <v>5.4999999999999997E-3</v>
      </c>
      <c r="S20" s="405">
        <v>5.3E-3</v>
      </c>
      <c r="V20" s="139" t="str">
        <f t="shared" si="5"/>
        <v>I8</v>
      </c>
    </row>
    <row r="21" spans="2:22">
      <c r="B21" s="139">
        <v>767</v>
      </c>
      <c r="C21" s="139" t="s">
        <v>86</v>
      </c>
      <c r="D21" s="139" t="s">
        <v>18</v>
      </c>
      <c r="E21" s="196" t="s">
        <v>51</v>
      </c>
      <c r="F21" s="139" t="s">
        <v>52</v>
      </c>
      <c r="G21" s="139">
        <v>2295</v>
      </c>
      <c r="H21" s="139">
        <v>4250.34</v>
      </c>
      <c r="I21" s="139" t="s">
        <v>53</v>
      </c>
      <c r="J21" s="139">
        <v>6</v>
      </c>
      <c r="K21" s="139">
        <f t="shared" si="0"/>
        <v>12</v>
      </c>
      <c r="L21" s="139">
        <f t="shared" si="1"/>
        <v>2</v>
      </c>
      <c r="M21" s="139">
        <f t="shared" si="3"/>
        <v>14</v>
      </c>
      <c r="N21" s="370">
        <f t="shared" si="4"/>
        <v>1</v>
      </c>
      <c r="O21" s="139">
        <v>4</v>
      </c>
      <c r="P21" s="139">
        <f t="shared" si="2"/>
        <v>32</v>
      </c>
      <c r="Q21" s="405">
        <v>1.6000000000000001E-3</v>
      </c>
      <c r="R21" s="405">
        <v>2.0705882352941179E-3</v>
      </c>
      <c r="S21" s="405">
        <v>1.9764705882352944E-3</v>
      </c>
      <c r="V21" s="139" t="str">
        <f t="shared" si="5"/>
        <v>I9</v>
      </c>
    </row>
    <row r="22" spans="2:22">
      <c r="B22" s="139">
        <v>767</v>
      </c>
      <c r="C22" s="139" t="s">
        <v>87</v>
      </c>
      <c r="D22" s="139" t="s">
        <v>18</v>
      </c>
      <c r="E22" s="196" t="s">
        <v>54</v>
      </c>
      <c r="F22" s="139" t="s">
        <v>55</v>
      </c>
      <c r="G22" s="139">
        <v>2982</v>
      </c>
      <c r="H22" s="139">
        <v>5522.6640000000007</v>
      </c>
      <c r="I22" s="139" t="s">
        <v>56</v>
      </c>
      <c r="J22" s="139">
        <v>7</v>
      </c>
      <c r="K22" s="139">
        <f t="shared" si="0"/>
        <v>14</v>
      </c>
      <c r="L22" s="139">
        <f t="shared" si="1"/>
        <v>2</v>
      </c>
      <c r="M22" s="139">
        <f t="shared" si="3"/>
        <v>16</v>
      </c>
      <c r="N22" s="370">
        <f t="shared" si="4"/>
        <v>1</v>
      </c>
      <c r="O22" s="139">
        <v>2</v>
      </c>
      <c r="P22" s="139">
        <f t="shared" si="2"/>
        <v>16</v>
      </c>
      <c r="Q22" s="405">
        <v>1.6000000000000001E-3</v>
      </c>
      <c r="R22" s="405">
        <v>2.0705882352941179E-3</v>
      </c>
      <c r="S22" s="405">
        <v>1.9764705882352944E-3</v>
      </c>
      <c r="V22" s="139" t="str">
        <f t="shared" si="5"/>
        <v>I10</v>
      </c>
    </row>
    <row r="23" spans="2:22">
      <c r="B23" s="139">
        <v>767</v>
      </c>
      <c r="C23" s="139" t="s">
        <v>88</v>
      </c>
      <c r="D23" s="139" t="s">
        <v>18</v>
      </c>
      <c r="E23" s="196" t="s">
        <v>57</v>
      </c>
      <c r="F23" s="139" t="s">
        <v>58</v>
      </c>
      <c r="G23" s="139">
        <v>2313</v>
      </c>
      <c r="H23" s="139">
        <v>4283.6760000000004</v>
      </c>
      <c r="I23" s="139" t="s">
        <v>59</v>
      </c>
      <c r="J23" s="139">
        <v>6</v>
      </c>
      <c r="K23" s="139">
        <f t="shared" si="0"/>
        <v>12</v>
      </c>
      <c r="L23" s="139">
        <f t="shared" si="1"/>
        <v>2</v>
      </c>
      <c r="M23" s="139">
        <f t="shared" si="3"/>
        <v>14</v>
      </c>
      <c r="N23" s="370">
        <f t="shared" si="4"/>
        <v>1</v>
      </c>
      <c r="O23" s="139">
        <v>1</v>
      </c>
      <c r="P23" s="139">
        <f t="shared" si="2"/>
        <v>8</v>
      </c>
      <c r="Q23" s="405">
        <v>1.2999999999999999E-3</v>
      </c>
      <c r="R23" s="405">
        <v>1.6823529411764708E-3</v>
      </c>
      <c r="S23" s="405">
        <v>1.6058823529411764E-3</v>
      </c>
      <c r="V23" s="139" t="str">
        <f t="shared" si="5"/>
        <v>I11</v>
      </c>
    </row>
    <row r="24" spans="2:22">
      <c r="B24" s="139">
        <v>767</v>
      </c>
      <c r="C24" s="139" t="s">
        <v>89</v>
      </c>
      <c r="D24" s="139" t="s">
        <v>18</v>
      </c>
      <c r="E24" s="196" t="s">
        <v>60</v>
      </c>
      <c r="F24" s="139" t="s">
        <v>61</v>
      </c>
      <c r="G24" s="139">
        <v>2982</v>
      </c>
      <c r="H24" s="139">
        <v>5522.6640000000007</v>
      </c>
      <c r="I24" s="139" t="s">
        <v>62</v>
      </c>
      <c r="J24" s="139">
        <v>9.5</v>
      </c>
      <c r="K24" s="139">
        <f>J24*2</f>
        <v>19</v>
      </c>
      <c r="L24" s="139">
        <f>1*2</f>
        <v>2</v>
      </c>
      <c r="M24" s="139">
        <f t="shared" si="3"/>
        <v>21</v>
      </c>
      <c r="N24" s="370">
        <f t="shared" si="4"/>
        <v>1</v>
      </c>
      <c r="O24" s="139">
        <v>1</v>
      </c>
      <c r="P24" s="139">
        <f t="shared" si="2"/>
        <v>8</v>
      </c>
      <c r="Q24" s="405">
        <v>2.7000000000000001E-3</v>
      </c>
      <c r="R24" s="405">
        <v>3.4941176470588242E-3</v>
      </c>
      <c r="S24" s="405">
        <v>3.3352941176470591E-3</v>
      </c>
      <c r="V24" s="139" t="str">
        <f t="shared" si="5"/>
        <v>I12</v>
      </c>
    </row>
    <row r="25" spans="2:22">
      <c r="B25" s="139">
        <v>737</v>
      </c>
      <c r="C25" s="139" t="s">
        <v>1072</v>
      </c>
      <c r="D25" s="139" t="s">
        <v>18</v>
      </c>
      <c r="E25" s="196" t="s">
        <v>1073</v>
      </c>
      <c r="F25" s="139" t="s">
        <v>1074</v>
      </c>
      <c r="G25" s="139">
        <v>900</v>
      </c>
      <c r="H25" s="139">
        <v>1666.8000000000002</v>
      </c>
      <c r="I25" s="139" t="s">
        <v>1075</v>
      </c>
      <c r="J25" s="139">
        <v>2.5</v>
      </c>
      <c r="K25" s="139">
        <v>5</v>
      </c>
      <c r="L25" s="139">
        <v>2</v>
      </c>
      <c r="M25" s="139">
        <v>7</v>
      </c>
      <c r="N25" s="370">
        <v>3</v>
      </c>
      <c r="O25" s="139">
        <v>6</v>
      </c>
      <c r="P25" s="139">
        <v>48</v>
      </c>
      <c r="Q25" s="347">
        <v>8.4999999999999995E-4</v>
      </c>
      <c r="R25" s="347">
        <v>8.4999999999999995E-4</v>
      </c>
      <c r="S25" s="347">
        <v>8.4999999999999995E-4</v>
      </c>
      <c r="V25" s="139" t="str">
        <f t="shared" si="5"/>
        <v>I13</v>
      </c>
    </row>
    <row r="26" spans="2:22">
      <c r="B26" s="139">
        <v>737</v>
      </c>
      <c r="C26" s="139" t="s">
        <v>1076</v>
      </c>
      <c r="D26" s="139" t="s">
        <v>18</v>
      </c>
      <c r="E26" s="196" t="s">
        <v>1077</v>
      </c>
      <c r="F26" s="139" t="s">
        <v>37</v>
      </c>
      <c r="G26" s="139">
        <v>1388</v>
      </c>
      <c r="H26" s="139">
        <v>2570.576</v>
      </c>
      <c r="I26" s="139" t="s">
        <v>1078</v>
      </c>
      <c r="J26" s="139">
        <v>4</v>
      </c>
      <c r="K26" s="139">
        <v>8</v>
      </c>
      <c r="L26" s="139">
        <v>2</v>
      </c>
      <c r="M26" s="139">
        <v>10</v>
      </c>
      <c r="N26" s="370">
        <v>2</v>
      </c>
      <c r="O26" s="139">
        <v>4</v>
      </c>
      <c r="P26" s="139">
        <v>32</v>
      </c>
      <c r="Q26" s="347">
        <v>1.15E-3</v>
      </c>
      <c r="R26" s="347">
        <v>1.15E-3</v>
      </c>
      <c r="S26" s="347">
        <v>1.15E-3</v>
      </c>
      <c r="V26" s="139" t="str">
        <f t="shared" si="5"/>
        <v>I14</v>
      </c>
    </row>
    <row r="27" spans="2:22">
      <c r="B27" s="139">
        <v>737</v>
      </c>
      <c r="C27" s="139" t="s">
        <v>1079</v>
      </c>
      <c r="D27" s="139" t="s">
        <v>18</v>
      </c>
      <c r="E27" s="196" t="s">
        <v>1080</v>
      </c>
      <c r="F27" s="139" t="s">
        <v>37</v>
      </c>
      <c r="G27" s="139">
        <v>1223</v>
      </c>
      <c r="H27" s="139">
        <v>2264.9960000000001</v>
      </c>
      <c r="I27" s="139" t="s">
        <v>1081</v>
      </c>
      <c r="J27" s="139">
        <v>3.5</v>
      </c>
      <c r="K27" s="139">
        <v>7</v>
      </c>
      <c r="L27" s="139">
        <v>2</v>
      </c>
      <c r="M27" s="139">
        <v>9</v>
      </c>
      <c r="N27" s="370">
        <v>2</v>
      </c>
      <c r="O27" s="139">
        <v>6</v>
      </c>
      <c r="P27" s="139">
        <v>48</v>
      </c>
      <c r="Q27" s="347">
        <v>1E-3</v>
      </c>
      <c r="R27" s="347">
        <v>1E-3</v>
      </c>
      <c r="S27" s="347">
        <v>1E-3</v>
      </c>
      <c r="V27" s="139" t="str">
        <f t="shared" ref="V27:V30" si="6">C27</f>
        <v>I15</v>
      </c>
    </row>
    <row r="28" spans="2:22">
      <c r="B28" s="139">
        <v>767</v>
      </c>
      <c r="C28" s="139" t="s">
        <v>1454</v>
      </c>
      <c r="D28" s="139" t="s">
        <v>587</v>
      </c>
      <c r="E28" s="196" t="s">
        <v>1455</v>
      </c>
      <c r="F28" s="139" t="s">
        <v>1456</v>
      </c>
      <c r="G28" s="139">
        <v>2660</v>
      </c>
      <c r="H28" s="139">
        <v>4926.3200000000006</v>
      </c>
      <c r="I28" s="139" t="s">
        <v>1457</v>
      </c>
      <c r="J28" s="139">
        <v>6.3</v>
      </c>
      <c r="K28" s="139">
        <f>J28*2</f>
        <v>12.6</v>
      </c>
      <c r="L28" s="139">
        <v>2</v>
      </c>
      <c r="M28" s="139">
        <f t="shared" ref="M28" si="7">K28+L28</f>
        <v>14.6</v>
      </c>
      <c r="N28" s="370">
        <f t="shared" ref="N28:N30" si="8">ROUNDDOWN((24/M28),0)</f>
        <v>1</v>
      </c>
      <c r="O28" s="139">
        <v>6</v>
      </c>
      <c r="P28" s="139">
        <f t="shared" ref="P28:P30" si="9">O28*2*4</f>
        <v>48</v>
      </c>
      <c r="Q28" s="347">
        <v>1.5499999999999999E-3</v>
      </c>
      <c r="R28" s="347">
        <v>1.5499999999999999E-3</v>
      </c>
      <c r="S28" s="347">
        <v>1.5499999999999999E-3</v>
      </c>
      <c r="V28" s="139" t="str">
        <f t="shared" si="6"/>
        <v>I16</v>
      </c>
    </row>
    <row r="29" spans="2:22">
      <c r="B29" s="139">
        <v>767</v>
      </c>
      <c r="C29" s="139" t="s">
        <v>1458</v>
      </c>
      <c r="D29" s="139" t="s">
        <v>587</v>
      </c>
      <c r="E29" s="196" t="s">
        <v>1459</v>
      </c>
      <c r="F29" s="139" t="s">
        <v>1460</v>
      </c>
      <c r="G29" s="139">
        <v>3356</v>
      </c>
      <c r="H29" s="139">
        <v>6215.3119999999999</v>
      </c>
      <c r="I29" s="139" t="s">
        <v>1461</v>
      </c>
      <c r="J29" s="139">
        <v>4.3</v>
      </c>
      <c r="K29" s="139">
        <f>J29*2</f>
        <v>8.6</v>
      </c>
      <c r="L29" s="139">
        <v>2</v>
      </c>
      <c r="M29" s="139">
        <f t="shared" ref="M29:M30" si="10">K29+L29</f>
        <v>10.6</v>
      </c>
      <c r="N29" s="370">
        <f t="shared" ref="N29" si="11">ROUNDDOWN((24/M29),0)</f>
        <v>2</v>
      </c>
      <c r="O29" s="139">
        <v>3</v>
      </c>
      <c r="P29" s="139">
        <f t="shared" ref="P29" si="12">O29*2*4</f>
        <v>24</v>
      </c>
      <c r="Q29" s="347">
        <v>2.3999999999999998E-3</v>
      </c>
      <c r="R29" s="347">
        <v>2.5999999999999999E-3</v>
      </c>
      <c r="S29" s="347">
        <v>2.3999999999999998E-3</v>
      </c>
      <c r="V29" s="139" t="str">
        <f t="shared" ref="V29" si="13">C29</f>
        <v>I17</v>
      </c>
    </row>
    <row r="30" spans="2:22">
      <c r="B30" s="139">
        <v>767</v>
      </c>
      <c r="C30" s="139" t="s">
        <v>1466</v>
      </c>
      <c r="D30" s="139" t="s">
        <v>587</v>
      </c>
      <c r="E30" s="196" t="s">
        <v>1464</v>
      </c>
      <c r="F30" s="139" t="s">
        <v>1465</v>
      </c>
      <c r="G30" s="139">
        <v>4147</v>
      </c>
      <c r="H30" s="139">
        <v>7680</v>
      </c>
      <c r="I30" s="139" t="s">
        <v>1462</v>
      </c>
      <c r="J30" s="139">
        <v>10</v>
      </c>
      <c r="K30" s="139">
        <f>J30*2</f>
        <v>20</v>
      </c>
      <c r="L30" s="139">
        <v>2</v>
      </c>
      <c r="M30" s="139">
        <f t="shared" si="10"/>
        <v>22</v>
      </c>
      <c r="N30" s="370">
        <f t="shared" si="8"/>
        <v>1</v>
      </c>
      <c r="O30" s="139">
        <v>3</v>
      </c>
      <c r="P30" s="139">
        <f t="shared" si="9"/>
        <v>24</v>
      </c>
      <c r="Q30" s="347">
        <v>4.5999999999999999E-3</v>
      </c>
      <c r="R30" s="347">
        <v>4.7999999999999996E-3</v>
      </c>
      <c r="S30" s="347">
        <v>4.7000000000000002E-3</v>
      </c>
      <c r="V30" s="139" t="str">
        <f t="shared" si="6"/>
        <v>I18</v>
      </c>
    </row>
    <row r="31" spans="2:22" ht="13.8" thickBot="1">
      <c r="B31" s="224"/>
      <c r="C31" s="224"/>
      <c r="D31" s="224"/>
      <c r="E31" s="543"/>
      <c r="F31" s="224"/>
      <c r="G31" s="224"/>
      <c r="H31" s="224"/>
      <c r="I31" s="224"/>
      <c r="J31" s="224"/>
      <c r="K31" s="224"/>
      <c r="L31" s="224"/>
      <c r="M31" s="224"/>
      <c r="N31" s="542"/>
      <c r="O31" s="224"/>
      <c r="P31" s="224"/>
      <c r="Q31" s="407"/>
      <c r="R31" s="407"/>
      <c r="S31" s="407"/>
      <c r="T31" s="224"/>
      <c r="V31" s="224"/>
    </row>
    <row r="32" spans="2:22">
      <c r="Q32" s="347"/>
      <c r="R32" s="347"/>
      <c r="S32" s="347"/>
    </row>
    <row r="33" spans="2:19">
      <c r="Q33" s="347"/>
      <c r="R33" s="347"/>
      <c r="S33" s="347"/>
    </row>
    <row r="34" spans="2:19" ht="13.8" thickBot="1">
      <c r="B34" s="157" t="s">
        <v>141</v>
      </c>
      <c r="C34" s="224"/>
      <c r="D34" s="157" t="s">
        <v>1</v>
      </c>
    </row>
    <row r="35" spans="2:19">
      <c r="B35" s="139">
        <v>737</v>
      </c>
      <c r="D35" s="139" t="s">
        <v>1045</v>
      </c>
    </row>
    <row r="36" spans="2:19">
      <c r="B36" s="139">
        <v>767</v>
      </c>
      <c r="D36" s="139" t="s">
        <v>1046</v>
      </c>
    </row>
    <row r="37" spans="2:19" ht="13.8" thickBot="1">
      <c r="B37" s="224"/>
      <c r="C37" s="224"/>
      <c r="D37" s="224"/>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B0F0"/>
    <pageSetUpPr fitToPage="1"/>
  </sheetPr>
  <dimension ref="B1:P79"/>
  <sheetViews>
    <sheetView tabSelected="1" workbookViewId="0">
      <selection activeCell="R17" sqref="R17"/>
    </sheetView>
  </sheetViews>
  <sheetFormatPr defaultColWidth="9.125" defaultRowHeight="13.2"/>
  <cols>
    <col min="1" max="1" width="2" style="139" customWidth="1"/>
    <col min="2" max="3" width="2.25" style="139" customWidth="1"/>
    <col min="4" max="4" width="21.875" style="139" bestFit="1" customWidth="1"/>
    <col min="5" max="5" width="9.125" style="139"/>
    <col min="6" max="6" width="26.75" style="139" bestFit="1" customWidth="1"/>
    <col min="7" max="7" width="9.125" style="139"/>
    <col min="8" max="8" width="20.875" style="139" bestFit="1" customWidth="1"/>
    <col min="9" max="9" width="17.625" style="139" customWidth="1"/>
    <col min="10" max="12" width="9.125" style="139"/>
    <col min="13" max="13" width="9.125" style="183"/>
    <col min="14" max="16384" width="9.125" style="139"/>
  </cols>
  <sheetData>
    <row r="1" spans="2:16" ht="17.399999999999999">
      <c r="B1" s="153" t="s">
        <v>1409</v>
      </c>
    </row>
    <row r="3" spans="2:16">
      <c r="I3" s="332" t="s">
        <v>1410</v>
      </c>
    </row>
    <row r="4" spans="2:16" ht="27" thickBot="1">
      <c r="B4" s="157" t="s">
        <v>1411</v>
      </c>
      <c r="C4" s="157"/>
      <c r="D4" s="157"/>
      <c r="E4" s="157"/>
      <c r="F4" s="303" t="s">
        <v>490</v>
      </c>
      <c r="G4" s="157"/>
      <c r="H4" s="157" t="s">
        <v>1412</v>
      </c>
      <c r="I4" s="157" t="s">
        <v>228</v>
      </c>
      <c r="J4" s="157" t="s">
        <v>229</v>
      </c>
      <c r="K4" s="157"/>
      <c r="L4" s="157" t="s">
        <v>284</v>
      </c>
      <c r="M4" s="323" t="s">
        <v>153</v>
      </c>
      <c r="N4" s="157"/>
      <c r="O4" s="157"/>
      <c r="P4" s="157"/>
    </row>
    <row r="5" spans="2:16">
      <c r="B5" s="139" t="s">
        <v>68</v>
      </c>
      <c r="H5" s="139" t="s">
        <v>215</v>
      </c>
      <c r="I5" s="139" t="s">
        <v>1413</v>
      </c>
      <c r="J5" s="139" t="s">
        <v>1414</v>
      </c>
    </row>
    <row r="6" spans="2:16">
      <c r="C6" s="139" t="s">
        <v>154</v>
      </c>
      <c r="H6" s="139" t="s">
        <v>216</v>
      </c>
      <c r="I6" s="139" t="s">
        <v>227</v>
      </c>
      <c r="J6" s="139" t="s">
        <v>1415</v>
      </c>
    </row>
    <row r="7" spans="2:16">
      <c r="D7" s="139" t="s">
        <v>155</v>
      </c>
      <c r="E7" s="139" t="s">
        <v>225</v>
      </c>
      <c r="H7" s="139" t="s">
        <v>217</v>
      </c>
      <c r="J7" s="139" t="s">
        <v>230</v>
      </c>
      <c r="M7" s="183" t="s">
        <v>1416</v>
      </c>
    </row>
    <row r="8" spans="2:16">
      <c r="D8" s="139" t="s">
        <v>96</v>
      </c>
      <c r="E8" s="139" t="s">
        <v>225</v>
      </c>
      <c r="H8" s="139" t="s">
        <v>218</v>
      </c>
      <c r="J8" s="139" t="s">
        <v>1414</v>
      </c>
      <c r="L8" s="403">
        <f>400/7000</f>
        <v>5.7142857142857141E-2</v>
      </c>
      <c r="M8" s="183" t="s">
        <v>1417</v>
      </c>
    </row>
    <row r="9" spans="2:16">
      <c r="D9" s="139" t="s">
        <v>156</v>
      </c>
      <c r="E9" s="139" t="s">
        <v>225</v>
      </c>
      <c r="H9" s="139" t="s">
        <v>219</v>
      </c>
      <c r="J9" s="139" t="s">
        <v>231</v>
      </c>
      <c r="L9" s="403">
        <f>800/20000</f>
        <v>0.04</v>
      </c>
      <c r="M9" s="183" t="s">
        <v>1417</v>
      </c>
    </row>
    <row r="10" spans="2:16">
      <c r="D10" s="139" t="s">
        <v>157</v>
      </c>
      <c r="E10" s="139" t="s">
        <v>225</v>
      </c>
      <c r="H10" s="139" t="s">
        <v>220</v>
      </c>
      <c r="J10" s="139" t="s">
        <v>1418</v>
      </c>
      <c r="M10" s="183" t="s">
        <v>1419</v>
      </c>
    </row>
    <row r="11" spans="2:16">
      <c r="D11" s="139" t="s">
        <v>158</v>
      </c>
      <c r="E11" s="139" t="s">
        <v>225</v>
      </c>
      <c r="H11" s="139" t="s">
        <v>221</v>
      </c>
      <c r="J11" s="139" t="s">
        <v>231</v>
      </c>
    </row>
    <row r="12" spans="2:16">
      <c r="D12" s="139" t="s">
        <v>159</v>
      </c>
      <c r="E12" s="139" t="s">
        <v>226</v>
      </c>
      <c r="F12" s="402" t="s">
        <v>477</v>
      </c>
      <c r="H12" s="139" t="s">
        <v>222</v>
      </c>
      <c r="J12" s="139" t="s">
        <v>231</v>
      </c>
    </row>
    <row r="13" spans="2:16">
      <c r="D13" s="139" t="s">
        <v>160</v>
      </c>
      <c r="E13" s="139" t="s">
        <v>226</v>
      </c>
      <c r="F13" s="402" t="s">
        <v>477</v>
      </c>
      <c r="H13" s="139" t="s">
        <v>223</v>
      </c>
      <c r="I13" s="139" t="s">
        <v>321</v>
      </c>
      <c r="J13" s="139" t="s">
        <v>231</v>
      </c>
    </row>
    <row r="14" spans="2:16">
      <c r="D14" s="139" t="s">
        <v>161</v>
      </c>
      <c r="E14" s="139" t="s">
        <v>225</v>
      </c>
      <c r="H14" s="139" t="s">
        <v>97</v>
      </c>
      <c r="J14" s="139" t="s">
        <v>231</v>
      </c>
    </row>
    <row r="15" spans="2:16">
      <c r="C15" s="139" t="s">
        <v>162</v>
      </c>
    </row>
    <row r="16" spans="2:16">
      <c r="D16" s="139" t="s">
        <v>163</v>
      </c>
      <c r="E16" s="139" t="s">
        <v>225</v>
      </c>
    </row>
    <row r="17" spans="3:5">
      <c r="D17" s="139" t="s">
        <v>164</v>
      </c>
      <c r="E17" s="139" t="s">
        <v>225</v>
      </c>
    </row>
    <row r="18" spans="3:5">
      <c r="D18" s="139" t="s">
        <v>165</v>
      </c>
      <c r="E18" s="139" t="s">
        <v>225</v>
      </c>
    </row>
    <row r="19" spans="3:5">
      <c r="D19" s="139" t="s">
        <v>166</v>
      </c>
      <c r="E19" s="139" t="s">
        <v>225</v>
      </c>
    </row>
    <row r="20" spans="3:5">
      <c r="D20" s="139" t="s">
        <v>167</v>
      </c>
      <c r="E20" s="139" t="s">
        <v>225</v>
      </c>
    </row>
    <row r="21" spans="3:5">
      <c r="C21" s="139" t="s">
        <v>168</v>
      </c>
    </row>
    <row r="22" spans="3:5">
      <c r="D22" s="139" t="s">
        <v>169</v>
      </c>
      <c r="E22" s="139" t="s">
        <v>225</v>
      </c>
    </row>
    <row r="23" spans="3:5">
      <c r="D23" s="139" t="s">
        <v>170</v>
      </c>
      <c r="E23" s="139" t="s">
        <v>225</v>
      </c>
    </row>
    <row r="24" spans="3:5">
      <c r="D24" s="139" t="s">
        <v>171</v>
      </c>
      <c r="E24" s="139" t="s">
        <v>225</v>
      </c>
    </row>
    <row r="25" spans="3:5">
      <c r="E25" s="139" t="s">
        <v>225</v>
      </c>
    </row>
    <row r="26" spans="3:5">
      <c r="D26" s="139" t="s">
        <v>172</v>
      </c>
      <c r="E26" s="139" t="s">
        <v>225</v>
      </c>
    </row>
    <row r="27" spans="3:5">
      <c r="D27" s="139" t="s">
        <v>173</v>
      </c>
      <c r="E27" s="139" t="s">
        <v>225</v>
      </c>
    </row>
    <row r="28" spans="3:5">
      <c r="E28" s="139" t="s">
        <v>225</v>
      </c>
    </row>
    <row r="29" spans="3:5">
      <c r="D29" s="139" t="s">
        <v>174</v>
      </c>
      <c r="E29" s="139" t="s">
        <v>225</v>
      </c>
    </row>
    <row r="30" spans="3:5">
      <c r="D30" s="139" t="s">
        <v>175</v>
      </c>
      <c r="E30" s="139" t="s">
        <v>225</v>
      </c>
    </row>
    <row r="31" spans="3:5">
      <c r="E31" s="139" t="s">
        <v>225</v>
      </c>
    </row>
    <row r="32" spans="3:5">
      <c r="D32" s="139" t="s">
        <v>176</v>
      </c>
      <c r="E32" s="139" t="s">
        <v>225</v>
      </c>
    </row>
    <row r="33" spans="3:6">
      <c r="D33" s="139" t="s">
        <v>177</v>
      </c>
      <c r="E33" s="139" t="s">
        <v>225</v>
      </c>
    </row>
    <row r="34" spans="3:6">
      <c r="E34" s="139" t="s">
        <v>225</v>
      </c>
    </row>
    <row r="35" spans="3:6">
      <c r="C35" s="139" t="s">
        <v>108</v>
      </c>
    </row>
    <row r="36" spans="3:6">
      <c r="D36" s="139" t="s">
        <v>178</v>
      </c>
      <c r="E36" s="139" t="s">
        <v>225</v>
      </c>
    </row>
    <row r="37" spans="3:6">
      <c r="D37" s="139" t="s">
        <v>63</v>
      </c>
      <c r="E37" s="139" t="s">
        <v>225</v>
      </c>
    </row>
    <row r="38" spans="3:6">
      <c r="D38" s="139" t="s">
        <v>179</v>
      </c>
      <c r="E38" s="139" t="s">
        <v>225</v>
      </c>
    </row>
    <row r="39" spans="3:6">
      <c r="C39" s="139" t="s">
        <v>106</v>
      </c>
    </row>
    <row r="40" spans="3:6">
      <c r="D40" s="139" t="s">
        <v>180</v>
      </c>
      <c r="E40" s="139" t="s">
        <v>225</v>
      </c>
    </row>
    <row r="41" spans="3:6">
      <c r="D41" s="139" t="s">
        <v>181</v>
      </c>
      <c r="E41" s="139" t="s">
        <v>225</v>
      </c>
    </row>
    <row r="42" spans="3:6">
      <c r="C42" s="139" t="s">
        <v>182</v>
      </c>
    </row>
    <row r="43" spans="3:6">
      <c r="D43" s="139" t="s">
        <v>183</v>
      </c>
      <c r="E43" s="139" t="s">
        <v>226</v>
      </c>
      <c r="F43" s="155" t="s">
        <v>471</v>
      </c>
    </row>
    <row r="44" spans="3:6">
      <c r="D44" s="139" t="s">
        <v>184</v>
      </c>
      <c r="E44" s="139" t="s">
        <v>226</v>
      </c>
      <c r="F44" s="155" t="s">
        <v>472</v>
      </c>
    </row>
    <row r="45" spans="3:6">
      <c r="D45" s="139" t="s">
        <v>185</v>
      </c>
      <c r="E45" s="139" t="s">
        <v>226</v>
      </c>
      <c r="F45" s="155" t="s">
        <v>473</v>
      </c>
    </row>
    <row r="46" spans="3:6">
      <c r="D46" s="139" t="s">
        <v>186</v>
      </c>
      <c r="E46" s="139" t="s">
        <v>225</v>
      </c>
      <c r="F46" s="402" t="s">
        <v>474</v>
      </c>
    </row>
    <row r="47" spans="3:6">
      <c r="D47" s="139" t="s">
        <v>187</v>
      </c>
      <c r="E47" s="139" t="s">
        <v>226</v>
      </c>
      <c r="F47" s="155" t="s">
        <v>1420</v>
      </c>
    </row>
    <row r="48" spans="3:6">
      <c r="C48" s="139" t="s">
        <v>188</v>
      </c>
    </row>
    <row r="49" spans="3:6">
      <c r="C49" s="183" t="s">
        <v>529</v>
      </c>
      <c r="D49" s="139" t="s">
        <v>97</v>
      </c>
      <c r="E49" s="139" t="s">
        <v>226</v>
      </c>
      <c r="F49" s="155" t="s">
        <v>475</v>
      </c>
    </row>
    <row r="50" spans="3:6">
      <c r="D50" s="139" t="s">
        <v>189</v>
      </c>
      <c r="E50" s="139" t="s">
        <v>225</v>
      </c>
    </row>
    <row r="51" spans="3:6">
      <c r="D51" s="139" t="s">
        <v>190</v>
      </c>
      <c r="E51" s="139" t="s">
        <v>225</v>
      </c>
    </row>
    <row r="52" spans="3:6">
      <c r="D52" s="139" t="s">
        <v>191</v>
      </c>
      <c r="E52" s="139" t="s">
        <v>225</v>
      </c>
    </row>
    <row r="53" spans="3:6">
      <c r="D53" s="139" t="s">
        <v>192</v>
      </c>
      <c r="E53" s="139" t="s">
        <v>225</v>
      </c>
    </row>
    <row r="54" spans="3:6">
      <c r="D54" s="139" t="s">
        <v>167</v>
      </c>
      <c r="E54" s="139" t="s">
        <v>225</v>
      </c>
    </row>
    <row r="55" spans="3:6">
      <c r="C55" s="139" t="s">
        <v>193</v>
      </c>
      <c r="E55" s="139" t="s">
        <v>225</v>
      </c>
    </row>
    <row r="56" spans="3:6">
      <c r="D56" s="139" t="s">
        <v>194</v>
      </c>
    </row>
    <row r="57" spans="3:6">
      <c r="D57" s="139" t="s">
        <v>195</v>
      </c>
    </row>
    <row r="58" spans="3:6">
      <c r="D58" s="139" t="s">
        <v>196</v>
      </c>
    </row>
    <row r="60" spans="3:6">
      <c r="C60" s="139" t="s">
        <v>167</v>
      </c>
    </row>
    <row r="61" spans="3:6">
      <c r="C61" s="183" t="s">
        <v>529</v>
      </c>
      <c r="D61" s="139" t="s">
        <v>97</v>
      </c>
      <c r="F61" s="139" t="s">
        <v>1421</v>
      </c>
    </row>
    <row r="62" spans="3:6">
      <c r="D62" s="139" t="s">
        <v>197</v>
      </c>
      <c r="E62" s="139" t="s">
        <v>225</v>
      </c>
    </row>
    <row r="63" spans="3:6">
      <c r="D63" s="139" t="s">
        <v>198</v>
      </c>
      <c r="E63" s="139" t="s">
        <v>225</v>
      </c>
    </row>
    <row r="64" spans="3:6">
      <c r="D64" s="139" t="s">
        <v>199</v>
      </c>
      <c r="E64" s="139" t="s">
        <v>225</v>
      </c>
    </row>
    <row r="65" spans="2:5">
      <c r="D65" s="139" t="s">
        <v>200</v>
      </c>
      <c r="E65" s="139" t="s">
        <v>225</v>
      </c>
    </row>
    <row r="66" spans="2:5">
      <c r="D66" s="139" t="s">
        <v>201</v>
      </c>
      <c r="E66" s="139" t="s">
        <v>225</v>
      </c>
    </row>
    <row r="67" spans="2:5">
      <c r="D67" s="139" t="s">
        <v>202</v>
      </c>
      <c r="E67" s="139" t="s">
        <v>225</v>
      </c>
    </row>
    <row r="68" spans="2:5">
      <c r="D68" s="139" t="s">
        <v>203</v>
      </c>
      <c r="E68" s="139" t="s">
        <v>225</v>
      </c>
    </row>
    <row r="69" spans="2:5">
      <c r="D69" s="139" t="s">
        <v>204</v>
      </c>
      <c r="E69" s="139" t="s">
        <v>225</v>
      </c>
    </row>
    <row r="70" spans="2:5">
      <c r="D70" s="139" t="s">
        <v>205</v>
      </c>
      <c r="E70" s="139" t="s">
        <v>225</v>
      </c>
    </row>
    <row r="71" spans="2:5">
      <c r="D71" s="139" t="s">
        <v>206</v>
      </c>
      <c r="E71" s="139" t="s">
        <v>225</v>
      </c>
    </row>
    <row r="72" spans="2:5">
      <c r="D72" s="139" t="s">
        <v>207</v>
      </c>
      <c r="E72" s="139" t="s">
        <v>225</v>
      </c>
    </row>
    <row r="73" spans="2:5">
      <c r="D73" s="139" t="s">
        <v>208</v>
      </c>
      <c r="E73" s="139" t="s">
        <v>225</v>
      </c>
    </row>
    <row r="74" spans="2:5">
      <c r="D74" s="139" t="s">
        <v>209</v>
      </c>
      <c r="E74" s="139" t="s">
        <v>225</v>
      </c>
    </row>
    <row r="75" spans="2:5">
      <c r="D75" s="139" t="s">
        <v>210</v>
      </c>
      <c r="E75" s="139" t="s">
        <v>225</v>
      </c>
    </row>
    <row r="76" spans="2:5">
      <c r="D76" s="139" t="s">
        <v>211</v>
      </c>
      <c r="E76" s="139" t="s">
        <v>225</v>
      </c>
    </row>
    <row r="77" spans="2:5">
      <c r="C77" s="139" t="s">
        <v>212</v>
      </c>
    </row>
    <row r="78" spans="2:5">
      <c r="C78" s="139" t="s">
        <v>213</v>
      </c>
    </row>
    <row r="79" spans="2:5">
      <c r="B79" s="139" t="s">
        <v>214</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B0F0"/>
    <pageSetUpPr fitToPage="1"/>
  </sheetPr>
  <dimension ref="B1:M130"/>
  <sheetViews>
    <sheetView tabSelected="1" workbookViewId="0">
      <selection activeCell="R17" sqref="R17"/>
    </sheetView>
  </sheetViews>
  <sheetFormatPr defaultColWidth="9.125" defaultRowHeight="13.2" outlineLevelRow="1"/>
  <cols>
    <col min="1" max="1" width="2" style="139" customWidth="1"/>
    <col min="2" max="2" width="2.25" style="139" customWidth="1"/>
    <col min="3" max="3" width="2.25" style="155" customWidth="1"/>
    <col min="4" max="4" width="2.25" style="139" customWidth="1"/>
    <col min="5" max="5" width="21.875" style="139" customWidth="1"/>
    <col min="6" max="6" width="24.75" style="139" bestFit="1" customWidth="1"/>
    <col min="7" max="16384" width="9.125" style="139"/>
  </cols>
  <sheetData>
    <row r="1" spans="2:13" ht="17.399999999999999">
      <c r="B1" s="153" t="s">
        <v>491</v>
      </c>
    </row>
    <row r="3" spans="2:13" ht="27" thickBot="1">
      <c r="B3" s="157" t="s">
        <v>554</v>
      </c>
      <c r="C3" s="157"/>
      <c r="D3" s="157"/>
      <c r="E3" s="157"/>
      <c r="F3" s="157" t="s">
        <v>1290</v>
      </c>
      <c r="G3" s="157" t="s">
        <v>497</v>
      </c>
      <c r="H3" s="303" t="s">
        <v>553</v>
      </c>
      <c r="I3" s="303"/>
      <c r="J3" s="157"/>
      <c r="K3" s="323" t="s">
        <v>510</v>
      </c>
      <c r="L3" s="157"/>
      <c r="M3" s="157"/>
    </row>
    <row r="4" spans="2:13">
      <c r="B4" s="155" t="s">
        <v>480</v>
      </c>
    </row>
    <row r="5" spans="2:13">
      <c r="C5" s="155" t="s">
        <v>478</v>
      </c>
      <c r="F5" s="139" t="s">
        <v>1291</v>
      </c>
    </row>
    <row r="6" spans="2:13">
      <c r="C6" s="155" t="s">
        <v>1292</v>
      </c>
      <c r="F6" s="139" t="s">
        <v>1293</v>
      </c>
    </row>
    <row r="7" spans="2:13">
      <c r="C7" s="155" t="s">
        <v>479</v>
      </c>
      <c r="F7" s="139" t="s">
        <v>492</v>
      </c>
    </row>
    <row r="9" spans="2:13">
      <c r="B9" s="155" t="s">
        <v>481</v>
      </c>
    </row>
    <row r="10" spans="2:13">
      <c r="C10" s="155" t="s">
        <v>482</v>
      </c>
    </row>
    <row r="11" spans="2:13">
      <c r="D11" s="139" t="s">
        <v>483</v>
      </c>
    </row>
    <row r="12" spans="2:13">
      <c r="E12" s="139" t="s">
        <v>494</v>
      </c>
      <c r="F12" s="139" t="s">
        <v>493</v>
      </c>
      <c r="G12" s="139">
        <v>1</v>
      </c>
      <c r="H12" s="139">
        <v>60</v>
      </c>
      <c r="K12" s="402" t="s">
        <v>559</v>
      </c>
    </row>
    <row r="13" spans="2:13">
      <c r="E13" s="139" t="s">
        <v>495</v>
      </c>
      <c r="F13" s="139" t="s">
        <v>493</v>
      </c>
      <c r="G13" s="139">
        <v>1</v>
      </c>
      <c r="H13" s="139">
        <v>50</v>
      </c>
      <c r="K13" s="402" t="s">
        <v>559</v>
      </c>
    </row>
    <row r="14" spans="2:13">
      <c r="E14" s="139" t="s">
        <v>496</v>
      </c>
      <c r="F14" s="139" t="s">
        <v>493</v>
      </c>
      <c r="G14" s="139">
        <v>1</v>
      </c>
      <c r="H14" s="139">
        <v>50</v>
      </c>
      <c r="K14" s="139" t="s">
        <v>1384</v>
      </c>
    </row>
    <row r="15" spans="2:13">
      <c r="D15" s="139" t="s">
        <v>484</v>
      </c>
    </row>
    <row r="16" spans="2:13">
      <c r="E16" s="139" t="s">
        <v>498</v>
      </c>
      <c r="F16" s="139" t="s">
        <v>493</v>
      </c>
      <c r="G16" s="165" t="s">
        <v>511</v>
      </c>
      <c r="H16" s="165"/>
      <c r="I16" s="165"/>
    </row>
    <row r="17" spans="3:11" s="221" customFormat="1">
      <c r="C17" s="310"/>
      <c r="E17" s="221" t="s">
        <v>98</v>
      </c>
      <c r="F17" s="221" t="s">
        <v>509</v>
      </c>
      <c r="G17" s="221" t="s">
        <v>1385</v>
      </c>
      <c r="H17" s="221">
        <f>CTRL!F134</f>
        <v>150</v>
      </c>
      <c r="K17" s="310" t="s">
        <v>1386</v>
      </c>
    </row>
    <row r="18" spans="3:11" s="221" customFormat="1">
      <c r="C18" s="310"/>
      <c r="E18" s="221" t="s">
        <v>99</v>
      </c>
      <c r="F18" s="221" t="s">
        <v>509</v>
      </c>
      <c r="H18" s="221">
        <f>CTRL!F135</f>
        <v>70</v>
      </c>
      <c r="K18" s="310" t="s">
        <v>1387</v>
      </c>
    </row>
    <row r="19" spans="3:11">
      <c r="E19" s="139" t="s">
        <v>499</v>
      </c>
      <c r="G19" s="165" t="s">
        <v>511</v>
      </c>
      <c r="H19" s="165">
        <v>50</v>
      </c>
      <c r="I19" s="165"/>
    </row>
    <row r="20" spans="3:11">
      <c r="E20" s="139" t="s">
        <v>500</v>
      </c>
      <c r="G20" s="165" t="s">
        <v>511</v>
      </c>
      <c r="H20" s="165">
        <v>40</v>
      </c>
      <c r="I20" s="165"/>
    </row>
    <row r="21" spans="3:11">
      <c r="E21" s="139" t="s">
        <v>501</v>
      </c>
      <c r="G21" s="165" t="s">
        <v>511</v>
      </c>
      <c r="H21" s="165">
        <v>25</v>
      </c>
      <c r="I21" s="165"/>
    </row>
    <row r="22" spans="3:11">
      <c r="E22" s="139" t="s">
        <v>502</v>
      </c>
      <c r="F22" s="139" t="s">
        <v>493</v>
      </c>
      <c r="G22" s="139">
        <v>1</v>
      </c>
      <c r="H22" s="139">
        <v>45</v>
      </c>
      <c r="K22" s="286"/>
    </row>
    <row r="23" spans="3:11">
      <c r="E23" s="139" t="s">
        <v>503</v>
      </c>
      <c r="G23" s="165" t="s">
        <v>1388</v>
      </c>
      <c r="H23" s="139">
        <v>30</v>
      </c>
      <c r="K23" s="286" t="s">
        <v>1389</v>
      </c>
    </row>
    <row r="24" spans="3:11">
      <c r="E24" s="139" t="s">
        <v>504</v>
      </c>
      <c r="G24" s="165" t="s">
        <v>511</v>
      </c>
      <c r="H24" s="165"/>
      <c r="I24" s="158" t="s">
        <v>558</v>
      </c>
      <c r="K24" s="286" t="s">
        <v>1390</v>
      </c>
    </row>
    <row r="25" spans="3:11">
      <c r="E25" s="139" t="s">
        <v>505</v>
      </c>
      <c r="F25" s="139" t="s">
        <v>493</v>
      </c>
      <c r="G25" s="139">
        <v>1</v>
      </c>
      <c r="H25" s="139">
        <v>60</v>
      </c>
      <c r="I25" s="139" t="s">
        <v>556</v>
      </c>
      <c r="K25" s="402" t="s">
        <v>559</v>
      </c>
    </row>
    <row r="26" spans="3:11">
      <c r="E26" s="139" t="s">
        <v>506</v>
      </c>
      <c r="H26" s="139">
        <v>40</v>
      </c>
      <c r="I26" s="139" t="s">
        <v>556</v>
      </c>
      <c r="K26" s="286" t="s">
        <v>1391</v>
      </c>
    </row>
    <row r="27" spans="3:11">
      <c r="E27" s="139" t="s">
        <v>507</v>
      </c>
      <c r="G27" s="165" t="s">
        <v>511</v>
      </c>
      <c r="H27" s="165"/>
      <c r="I27" s="158" t="s">
        <v>558</v>
      </c>
    </row>
    <row r="28" spans="3:11">
      <c r="E28" s="139" t="s">
        <v>508</v>
      </c>
      <c r="F28" s="139" t="s">
        <v>493</v>
      </c>
      <c r="G28" s="139">
        <v>1</v>
      </c>
      <c r="H28" s="139">
        <v>35</v>
      </c>
      <c r="I28" s="139" t="s">
        <v>556</v>
      </c>
      <c r="K28" s="402" t="s">
        <v>559</v>
      </c>
    </row>
    <row r="29" spans="3:11">
      <c r="D29" s="139" t="s">
        <v>485</v>
      </c>
    </row>
    <row r="30" spans="3:11">
      <c r="E30" s="139" t="s">
        <v>498</v>
      </c>
      <c r="G30" s="165" t="s">
        <v>511</v>
      </c>
      <c r="H30" s="165"/>
      <c r="I30" s="165"/>
    </row>
    <row r="31" spans="3:11">
      <c r="E31" s="139" t="s">
        <v>512</v>
      </c>
      <c r="F31" s="139" t="s">
        <v>492</v>
      </c>
      <c r="G31" s="139" t="s">
        <v>1392</v>
      </c>
      <c r="H31" s="139">
        <v>70</v>
      </c>
    </row>
    <row r="32" spans="3:11">
      <c r="E32" s="139" t="s">
        <v>513</v>
      </c>
      <c r="F32" s="139" t="s">
        <v>493</v>
      </c>
      <c r="H32" s="139">
        <v>60</v>
      </c>
      <c r="K32" s="286" t="s">
        <v>1393</v>
      </c>
    </row>
    <row r="33" spans="4:11">
      <c r="E33" s="139" t="s">
        <v>514</v>
      </c>
      <c r="F33" s="139" t="s">
        <v>516</v>
      </c>
      <c r="G33" s="139" t="s">
        <v>1388</v>
      </c>
      <c r="H33" s="139">
        <v>35</v>
      </c>
      <c r="K33" s="139" t="s">
        <v>1394</v>
      </c>
    </row>
    <row r="34" spans="4:11">
      <c r="E34" s="139" t="s">
        <v>515</v>
      </c>
      <c r="G34" s="165" t="s">
        <v>511</v>
      </c>
      <c r="H34" s="165"/>
      <c r="I34" s="165"/>
    </row>
    <row r="35" spans="4:11">
      <c r="D35" s="139" t="s">
        <v>486</v>
      </c>
      <c r="F35" s="139" t="s">
        <v>493</v>
      </c>
      <c r="K35" s="139" t="s">
        <v>1395</v>
      </c>
    </row>
    <row r="36" spans="4:11" outlineLevel="1">
      <c r="E36" s="139" t="s">
        <v>498</v>
      </c>
      <c r="H36" s="139">
        <v>60</v>
      </c>
    </row>
    <row r="37" spans="4:11" outlineLevel="1">
      <c r="E37" s="139" t="s">
        <v>517</v>
      </c>
      <c r="H37" s="139">
        <v>40</v>
      </c>
    </row>
    <row r="38" spans="4:11" outlineLevel="1">
      <c r="E38" s="139" t="s">
        <v>518</v>
      </c>
      <c r="H38" s="139">
        <v>38</v>
      </c>
    </row>
    <row r="39" spans="4:11" outlineLevel="1">
      <c r="E39" s="139" t="s">
        <v>519</v>
      </c>
      <c r="H39" s="139">
        <v>36</v>
      </c>
    </row>
    <row r="40" spans="4:11" outlineLevel="1">
      <c r="E40" s="139" t="s">
        <v>520</v>
      </c>
      <c r="H40" s="139">
        <v>34</v>
      </c>
    </row>
    <row r="41" spans="4:11" outlineLevel="1">
      <c r="E41" s="139" t="s">
        <v>521</v>
      </c>
      <c r="H41" s="139">
        <v>26</v>
      </c>
    </row>
    <row r="42" spans="4:11" outlineLevel="1">
      <c r="E42" s="139" t="s">
        <v>522</v>
      </c>
      <c r="H42" s="139">
        <v>18</v>
      </c>
    </row>
    <row r="43" spans="4:11" outlineLevel="1">
      <c r="E43" s="139" t="s">
        <v>523</v>
      </c>
      <c r="H43" s="139">
        <v>12</v>
      </c>
    </row>
    <row r="44" spans="4:11">
      <c r="D44" s="139" t="s">
        <v>487</v>
      </c>
      <c r="F44" s="139" t="s">
        <v>493</v>
      </c>
      <c r="K44" s="139" t="s">
        <v>1395</v>
      </c>
    </row>
    <row r="45" spans="4:11">
      <c r="E45" s="139" t="s">
        <v>498</v>
      </c>
      <c r="H45" s="139">
        <v>70</v>
      </c>
    </row>
    <row r="46" spans="4:11">
      <c r="E46" s="139" t="s">
        <v>517</v>
      </c>
      <c r="H46" s="139">
        <v>0</v>
      </c>
    </row>
    <row r="47" spans="4:11">
      <c r="E47" s="139" t="s">
        <v>518</v>
      </c>
      <c r="H47" s="139">
        <v>50</v>
      </c>
    </row>
    <row r="48" spans="4:11">
      <c r="E48" s="139" t="s">
        <v>519</v>
      </c>
      <c r="H48" s="139">
        <v>45</v>
      </c>
    </row>
    <row r="49" spans="3:11">
      <c r="E49" s="139" t="s">
        <v>520</v>
      </c>
      <c r="H49" s="139">
        <v>35</v>
      </c>
    </row>
    <row r="50" spans="3:11">
      <c r="E50" s="139" t="s">
        <v>521</v>
      </c>
      <c r="H50" s="139">
        <v>24</v>
      </c>
    </row>
    <row r="51" spans="3:11">
      <c r="E51" s="139" t="s">
        <v>522</v>
      </c>
      <c r="H51" s="139">
        <v>18</v>
      </c>
    </row>
    <row r="52" spans="3:11">
      <c r="E52" s="139" t="s">
        <v>524</v>
      </c>
      <c r="G52" s="139" t="s">
        <v>1396</v>
      </c>
      <c r="H52" s="139">
        <v>18</v>
      </c>
      <c r="K52" s="286" t="s">
        <v>1397</v>
      </c>
    </row>
    <row r="53" spans="3:11">
      <c r="D53" s="139" t="s">
        <v>488</v>
      </c>
      <c r="F53" s="139" t="s">
        <v>525</v>
      </c>
    </row>
    <row r="54" spans="3:11">
      <c r="C54" s="155" t="s">
        <v>489</v>
      </c>
    </row>
    <row r="55" spans="3:11">
      <c r="D55" s="139" t="s">
        <v>163</v>
      </c>
      <c r="F55" s="139" t="s">
        <v>1398</v>
      </c>
    </row>
    <row r="56" spans="3:11">
      <c r="D56" s="139" t="s">
        <v>164</v>
      </c>
      <c r="F56" s="139" t="s">
        <v>511</v>
      </c>
    </row>
    <row r="57" spans="3:11">
      <c r="D57" s="139" t="s">
        <v>165</v>
      </c>
      <c r="F57" s="139" t="s">
        <v>526</v>
      </c>
    </row>
    <row r="58" spans="3:11">
      <c r="D58" s="139" t="s">
        <v>166</v>
      </c>
      <c r="F58" s="139" t="s">
        <v>527</v>
      </c>
    </row>
    <row r="59" spans="3:11">
      <c r="D59" s="139" t="s">
        <v>167</v>
      </c>
      <c r="F59" s="139" t="s">
        <v>511</v>
      </c>
    </row>
    <row r="60" spans="3:11">
      <c r="C60" s="155" t="s">
        <v>168</v>
      </c>
      <c r="K60" s="139" t="s">
        <v>1395</v>
      </c>
    </row>
    <row r="61" spans="3:11" hidden="1" outlineLevel="1">
      <c r="D61" s="139" t="s">
        <v>169</v>
      </c>
    </row>
    <row r="62" spans="3:11" hidden="1" outlineLevel="1">
      <c r="D62" s="139" t="s">
        <v>170</v>
      </c>
    </row>
    <row r="63" spans="3:11" hidden="1" outlineLevel="1">
      <c r="D63" s="139" t="s">
        <v>171</v>
      </c>
    </row>
    <row r="64" spans="3:11" hidden="1" outlineLevel="1">
      <c r="D64" s="139" t="s">
        <v>172</v>
      </c>
    </row>
    <row r="65" spans="3:11" hidden="1" outlineLevel="1">
      <c r="D65" s="139" t="s">
        <v>173</v>
      </c>
    </row>
    <row r="66" spans="3:11" hidden="1" outlineLevel="1">
      <c r="D66" s="139" t="s">
        <v>174</v>
      </c>
    </row>
    <row r="67" spans="3:11" hidden="1" outlineLevel="1">
      <c r="D67" s="139" t="s">
        <v>175</v>
      </c>
    </row>
    <row r="68" spans="3:11" hidden="1" outlineLevel="1">
      <c r="D68" s="139" t="s">
        <v>176</v>
      </c>
    </row>
    <row r="69" spans="3:11" hidden="1" outlineLevel="1">
      <c r="D69" s="139" t="s">
        <v>177</v>
      </c>
    </row>
    <row r="70" spans="3:11" collapsed="1">
      <c r="C70" s="155" t="s">
        <v>108</v>
      </c>
    </row>
    <row r="71" spans="3:11">
      <c r="D71" s="139" t="s">
        <v>178</v>
      </c>
      <c r="F71" s="139" t="s">
        <v>528</v>
      </c>
      <c r="K71" s="139" t="s">
        <v>1395</v>
      </c>
    </row>
    <row r="72" spans="3:11">
      <c r="D72" s="139" t="s">
        <v>63</v>
      </c>
      <c r="F72" s="139" t="s">
        <v>1399</v>
      </c>
    </row>
    <row r="73" spans="3:11">
      <c r="D73" s="139" t="s">
        <v>179</v>
      </c>
      <c r="K73" s="286" t="s">
        <v>1400</v>
      </c>
    </row>
    <row r="74" spans="3:11">
      <c r="C74" s="155" t="s">
        <v>106</v>
      </c>
    </row>
    <row r="75" spans="3:11">
      <c r="D75" s="139" t="s">
        <v>180</v>
      </c>
      <c r="K75" s="286" t="s">
        <v>552</v>
      </c>
    </row>
    <row r="76" spans="3:11">
      <c r="D76" s="139" t="s">
        <v>181</v>
      </c>
      <c r="F76" s="139" t="s">
        <v>528</v>
      </c>
    </row>
    <row r="77" spans="3:11">
      <c r="C77" s="155" t="s">
        <v>188</v>
      </c>
      <c r="K77" s="286" t="s">
        <v>1401</v>
      </c>
    </row>
    <row r="78" spans="3:11" hidden="1" outlineLevel="1">
      <c r="D78" s="139" t="s">
        <v>189</v>
      </c>
    </row>
    <row r="79" spans="3:11" hidden="1" outlineLevel="1">
      <c r="D79" s="139" t="s">
        <v>190</v>
      </c>
    </row>
    <row r="80" spans="3:11" hidden="1" outlineLevel="1">
      <c r="D80" s="139" t="s">
        <v>191</v>
      </c>
    </row>
    <row r="81" spans="3:11" hidden="1" outlineLevel="1">
      <c r="D81" s="139" t="s">
        <v>192</v>
      </c>
    </row>
    <row r="82" spans="3:11" hidden="1" outlineLevel="1">
      <c r="D82" s="139" t="s">
        <v>167</v>
      </c>
    </row>
    <row r="83" spans="3:11" collapsed="1">
      <c r="C83" s="155" t="s">
        <v>193</v>
      </c>
      <c r="K83" s="139" t="s">
        <v>1395</v>
      </c>
    </row>
    <row r="84" spans="3:11" hidden="1" outlineLevel="1">
      <c r="D84" s="139" t="s">
        <v>194</v>
      </c>
    </row>
    <row r="85" spans="3:11" hidden="1" outlineLevel="1">
      <c r="D85" s="139" t="s">
        <v>195</v>
      </c>
    </row>
    <row r="86" spans="3:11" hidden="1" outlineLevel="1">
      <c r="D86" s="139" t="s">
        <v>196</v>
      </c>
    </row>
    <row r="87" spans="3:11" collapsed="1">
      <c r="C87" s="155" t="s">
        <v>167</v>
      </c>
      <c r="K87" s="139" t="s">
        <v>1395</v>
      </c>
    </row>
    <row r="88" spans="3:11" outlineLevel="1">
      <c r="D88" s="139" t="s">
        <v>97</v>
      </c>
      <c r="F88" s="183"/>
      <c r="K88" s="183" t="s">
        <v>1402</v>
      </c>
    </row>
    <row r="89" spans="3:11" outlineLevel="1">
      <c r="D89" s="139" t="s">
        <v>197</v>
      </c>
    </row>
    <row r="90" spans="3:11" outlineLevel="1">
      <c r="D90" s="139" t="s">
        <v>198</v>
      </c>
    </row>
    <row r="91" spans="3:11" outlineLevel="1">
      <c r="D91" s="139" t="s">
        <v>199</v>
      </c>
    </row>
    <row r="92" spans="3:11" outlineLevel="1">
      <c r="D92" s="139" t="s">
        <v>200</v>
      </c>
    </row>
    <row r="93" spans="3:11" outlineLevel="1">
      <c r="D93" s="139" t="s">
        <v>201</v>
      </c>
    </row>
    <row r="94" spans="3:11" outlineLevel="1">
      <c r="D94" s="139" t="s">
        <v>202</v>
      </c>
    </row>
    <row r="95" spans="3:11" outlineLevel="1">
      <c r="D95" s="139" t="s">
        <v>203</v>
      </c>
    </row>
    <row r="96" spans="3:11" outlineLevel="1">
      <c r="D96" s="139" t="s">
        <v>204</v>
      </c>
    </row>
    <row r="97" spans="2:11" outlineLevel="1">
      <c r="D97" s="139" t="s">
        <v>205</v>
      </c>
    </row>
    <row r="98" spans="2:11" outlineLevel="1">
      <c r="D98" s="139" t="s">
        <v>206</v>
      </c>
    </row>
    <row r="99" spans="2:11" outlineLevel="1">
      <c r="D99" s="139" t="s">
        <v>207</v>
      </c>
    </row>
    <row r="100" spans="2:11" outlineLevel="1">
      <c r="D100" s="139" t="s">
        <v>208</v>
      </c>
    </row>
    <row r="101" spans="2:11" outlineLevel="1">
      <c r="D101" s="139" t="s">
        <v>209</v>
      </c>
    </row>
    <row r="102" spans="2:11" outlineLevel="1">
      <c r="D102" s="139" t="s">
        <v>210</v>
      </c>
    </row>
    <row r="103" spans="2:11" outlineLevel="1">
      <c r="D103" s="139" t="s">
        <v>211</v>
      </c>
    </row>
    <row r="104" spans="2:11">
      <c r="C104" s="155" t="s">
        <v>212</v>
      </c>
      <c r="K104" s="155" t="s">
        <v>1403</v>
      </c>
    </row>
    <row r="105" spans="2:11">
      <c r="C105" s="155" t="s">
        <v>213</v>
      </c>
      <c r="K105" s="155" t="s">
        <v>1404</v>
      </c>
    </row>
    <row r="108" spans="2:11">
      <c r="B108" s="155" t="s">
        <v>551</v>
      </c>
      <c r="K108" s="139" t="s">
        <v>1405</v>
      </c>
    </row>
    <row r="109" spans="2:11">
      <c r="C109" s="155" t="s">
        <v>545</v>
      </c>
    </row>
    <row r="110" spans="2:11">
      <c r="D110" s="139" t="s">
        <v>545</v>
      </c>
      <c r="F110" s="139" t="s">
        <v>1406</v>
      </c>
    </row>
    <row r="111" spans="2:11">
      <c r="C111" s="155" t="s">
        <v>546</v>
      </c>
    </row>
    <row r="112" spans="2:11">
      <c r="D112" s="139" t="s">
        <v>530</v>
      </c>
    </row>
    <row r="113" spans="3:11">
      <c r="D113" s="139" t="s">
        <v>531</v>
      </c>
    </row>
    <row r="114" spans="3:11">
      <c r="D114" s="139" t="s">
        <v>532</v>
      </c>
    </row>
    <row r="115" spans="3:11">
      <c r="D115" s="139" t="s">
        <v>533</v>
      </c>
    </row>
    <row r="116" spans="3:11">
      <c r="D116" s="139" t="s">
        <v>534</v>
      </c>
    </row>
    <row r="117" spans="3:11">
      <c r="D117" s="139" t="s">
        <v>535</v>
      </c>
    </row>
    <row r="118" spans="3:11">
      <c r="C118" s="155" t="s">
        <v>547</v>
      </c>
    </row>
    <row r="119" spans="3:11">
      <c r="D119" s="139" t="s">
        <v>536</v>
      </c>
    </row>
    <row r="120" spans="3:11">
      <c r="D120" s="139" t="s">
        <v>537</v>
      </c>
    </row>
    <row r="121" spans="3:11">
      <c r="D121" s="139" t="s">
        <v>538</v>
      </c>
    </row>
    <row r="122" spans="3:11">
      <c r="D122" s="139" t="s">
        <v>539</v>
      </c>
    </row>
    <row r="123" spans="3:11">
      <c r="C123" s="155" t="s">
        <v>548</v>
      </c>
      <c r="K123" s="286" t="s">
        <v>1407</v>
      </c>
    </row>
    <row r="124" spans="3:11">
      <c r="D124" s="139" t="s">
        <v>540</v>
      </c>
    </row>
    <row r="125" spans="3:11">
      <c r="D125" s="139" t="s">
        <v>541</v>
      </c>
      <c r="F125" s="139" t="s">
        <v>1408</v>
      </c>
    </row>
    <row r="126" spans="3:11">
      <c r="D126" s="139" t="s">
        <v>542</v>
      </c>
    </row>
    <row r="127" spans="3:11">
      <c r="D127" s="139" t="s">
        <v>543</v>
      </c>
    </row>
    <row r="128" spans="3:11">
      <c r="C128" s="155" t="s">
        <v>549</v>
      </c>
    </row>
    <row r="129" spans="4:4">
      <c r="D129" s="139" t="s">
        <v>550</v>
      </c>
    </row>
    <row r="130" spans="4:4">
      <c r="D130" s="139" t="s">
        <v>544</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B0F0"/>
    <pageSetUpPr fitToPage="1"/>
  </sheetPr>
  <dimension ref="B1:I13"/>
  <sheetViews>
    <sheetView tabSelected="1" workbookViewId="0">
      <selection activeCell="R17" sqref="R17"/>
    </sheetView>
  </sheetViews>
  <sheetFormatPr defaultColWidth="9.125" defaultRowHeight="13.2"/>
  <cols>
    <col min="1" max="1" width="2" style="139" customWidth="1"/>
    <col min="2" max="2" width="9.125" style="139"/>
    <col min="3" max="3" width="15.375" style="139" customWidth="1"/>
    <col min="4" max="4" width="25.25" style="139" bestFit="1" customWidth="1"/>
    <col min="5" max="5" width="9.125" style="139"/>
    <col min="6" max="6" width="11.625" style="139" bestFit="1" customWidth="1"/>
    <col min="7" max="16384" width="9.125" style="139"/>
  </cols>
  <sheetData>
    <row r="1" spans="2:9" ht="17.399999999999999">
      <c r="B1" s="153" t="s">
        <v>232</v>
      </c>
    </row>
    <row r="3" spans="2:9" ht="13.8" thickBot="1">
      <c r="B3" s="154" t="s">
        <v>0</v>
      </c>
      <c r="C3" s="154"/>
      <c r="D3" s="154"/>
      <c r="E3" s="154"/>
      <c r="F3" s="154"/>
      <c r="G3" s="154"/>
      <c r="H3" s="154"/>
      <c r="I3" s="154"/>
    </row>
    <row r="4" spans="2:9" s="155" customFormat="1">
      <c r="B4" s="155">
        <v>1</v>
      </c>
      <c r="C4" s="155" t="s">
        <v>239</v>
      </c>
    </row>
    <row r="5" spans="2:9" s="155" customFormat="1"/>
    <row r="6" spans="2:9" ht="13.8" thickBot="1">
      <c r="C6" s="157" t="s">
        <v>134</v>
      </c>
      <c r="D6" s="364" t="s">
        <v>234</v>
      </c>
      <c r="E6" s="304">
        <v>737</v>
      </c>
      <c r="F6" s="304">
        <v>767</v>
      </c>
      <c r="G6" s="304" t="s">
        <v>233</v>
      </c>
    </row>
    <row r="7" spans="2:9">
      <c r="C7" s="139" t="s">
        <v>1378</v>
      </c>
      <c r="D7" s="139" t="s">
        <v>1379</v>
      </c>
      <c r="E7" s="363">
        <v>2.2590370000000002</v>
      </c>
      <c r="F7" s="363">
        <v>2.3224399999999998</v>
      </c>
      <c r="G7" s="139" t="s">
        <v>1380</v>
      </c>
    </row>
    <row r="9" spans="2:9">
      <c r="C9" s="139" t="s">
        <v>255</v>
      </c>
      <c r="D9" s="139" t="s">
        <v>236</v>
      </c>
      <c r="E9" s="363">
        <v>1.738E-2</v>
      </c>
      <c r="F9" s="363">
        <v>2.3400000000000001E-2</v>
      </c>
      <c r="G9" s="139" t="s">
        <v>333</v>
      </c>
    </row>
    <row r="10" spans="2:9">
      <c r="D10" s="363" t="s">
        <v>1381</v>
      </c>
      <c r="E10" s="363">
        <v>1.0387200000000001</v>
      </c>
      <c r="F10" s="363">
        <v>1.44672</v>
      </c>
      <c r="G10" s="139" t="s">
        <v>1382</v>
      </c>
    </row>
    <row r="11" spans="2:9">
      <c r="C11" s="326"/>
      <c r="D11" s="326" t="s">
        <v>235</v>
      </c>
      <c r="E11" s="400">
        <v>1.2</v>
      </c>
      <c r="F11" s="400">
        <v>1.2</v>
      </c>
      <c r="G11" s="326"/>
    </row>
    <row r="12" spans="2:9">
      <c r="C12" s="155" t="s">
        <v>105</v>
      </c>
      <c r="D12" s="155" t="s">
        <v>1383</v>
      </c>
      <c r="E12" s="337">
        <f>E10+E11</f>
        <v>2.2387199999999998</v>
      </c>
      <c r="F12" s="337">
        <f>F10+F11</f>
        <v>2.6467200000000002</v>
      </c>
      <c r="G12" s="155"/>
    </row>
    <row r="13" spans="2:9" s="183" customFormat="1">
      <c r="D13" s="183" t="s">
        <v>240</v>
      </c>
      <c r="E13" s="401">
        <f>E12-E7</f>
        <v>-2.0317000000000363E-2</v>
      </c>
      <c r="F13" s="401">
        <f>F12-F7</f>
        <v>0.32428000000000035</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B0F0"/>
    <pageSetUpPr fitToPage="1"/>
  </sheetPr>
  <dimension ref="B8"/>
  <sheetViews>
    <sheetView tabSelected="1" workbookViewId="0">
      <selection activeCell="R17" sqref="R17"/>
    </sheetView>
  </sheetViews>
  <sheetFormatPr defaultColWidth="9.125" defaultRowHeight="12" customHeight="1"/>
  <cols>
    <col min="1" max="1" width="2" style="139" customWidth="1"/>
    <col min="2" max="2" width="107.75" style="139" bestFit="1" customWidth="1"/>
    <col min="3" max="16384" width="9.125" style="139"/>
  </cols>
  <sheetData>
    <row r="8" spans="2:2" ht="45.6">
      <c r="B8" s="399" t="s">
        <v>1377</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03700A8FCC04EA8D57FAEFAFFB663" ma:contentTypeVersion="0" ma:contentTypeDescription="Create a new document." ma:contentTypeScope="" ma:versionID="0487784a98a71a3d2abb319eaa9f30ba">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C92527-A514-451E-9A80-A25E41251409}">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0E0C9CD0-5D04-48E3-8D84-E1586BEAE3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E0FD9ECE-25B8-4D5A-ADE7-16D1DCE63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28</vt:i4>
      </vt:variant>
    </vt:vector>
  </HeadingPairs>
  <TitlesOfParts>
    <vt:vector size="28" baseType="lpstr">
      <vt:lpstr>QnA</vt:lpstr>
      <vt:lpstr>TDL</vt:lpstr>
      <vt:lpstr>Modeling</vt:lpstr>
      <vt:lpstr>CTRL</vt:lpstr>
      <vt:lpstr>IRR &amp; FS</vt:lpstr>
      <vt:lpstr>노선구성</vt:lpstr>
      <vt:lpstr>IS</vt:lpstr>
      <vt:lpstr>CM</vt:lpstr>
      <vt:lpstr>DCF</vt:lpstr>
      <vt:lpstr>WACC</vt:lpstr>
      <vt:lpstr>FS</vt:lpstr>
      <vt:lpstr>Trading multiple</vt:lpstr>
      <vt:lpstr>Transaction multiple</vt:lpstr>
      <vt:lpstr>Debt_Schedule</vt:lpstr>
      <vt:lpstr>Others</vt:lpstr>
      <vt:lpstr>FI&gt;&gt;</vt:lpstr>
      <vt:lpstr>자산비용</vt:lpstr>
      <vt:lpstr>IS_Others</vt:lpstr>
      <vt:lpstr>IS_항공기</vt:lpstr>
      <vt:lpstr>IS_기장</vt:lpstr>
      <vt:lpstr>IS_LEG</vt:lpstr>
      <vt:lpstr>정리자료&gt;&gt;</vt:lpstr>
      <vt:lpstr>2.기초자료_정리</vt:lpstr>
      <vt:lpstr>노선정리</vt:lpstr>
      <vt:lpstr>비용정리</vt:lpstr>
      <vt:lpstr>기타비용분석</vt:lpstr>
      <vt:lpstr>Matching</vt:lpstr>
      <vt:lpstr>회사제시&gt;&gt;</vt:lpstr>
    </vt:vector>
  </TitlesOfParts>
  <Company>Asteria27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안상우</dc:creator>
  <dc:description/>
  <cp:lastModifiedBy>Seoho Kim</cp:lastModifiedBy>
  <cp:lastPrinted>2018-11-04T04:24:31Z</cp:lastPrinted>
  <dcterms:created xsi:type="dcterms:W3CDTF">2009-01-23T10:19:39Z</dcterms:created>
  <dcterms:modified xsi:type="dcterms:W3CDTF">2021-12-22T20:48:16Z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randFormat">
    <vt:lpwstr>1.0</vt:lpwstr>
  </property>
  <property fmtid="{D5CDD505-2E9C-101B-9397-08002B2CF9AE}" pid="3" name="Smart Base Template Version">
    <vt:lpwstr>20110718v3</vt:lpwstr>
  </property>
  <property fmtid="{D5CDD505-2E9C-101B-9397-08002B2CF9AE}" pid="4" name="ContentTypeId">
    <vt:lpwstr>0x01010079F03700A8FCC04EA8D57FAEFAFFB663</vt:lpwstr>
  </property>
  <property fmtid="{D5CDD505-2E9C-101B-9397-08002B2CF9AE}" pid="5" name="Smrt_NotesFontSize">
    <vt:lpwstr>8</vt:lpwstr>
  </property>
  <property fmtid="{D5CDD505-2E9C-101B-9397-08002B2CF9AE}" pid="6" name="Smrt_WorkbookThemeColor">
    <vt:lpwstr>Smart Report</vt:lpwstr>
  </property>
  <property fmtid="{D5CDD505-2E9C-101B-9397-08002B2CF9AE}" pid="7" name="Smrt_WorkbookNumberDisplay">
    <vt:lpwstr>0</vt:lpwstr>
  </property>
  <property fmtid="{D5CDD505-2E9C-101B-9397-08002B2CF9AE}" pid="8" name="Smrt_WorkbookPercentageDisplay">
    <vt:lpwstr>0</vt:lpwstr>
  </property>
</Properties>
</file>