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do\Downloads\"/>
    </mc:Choice>
  </mc:AlternateContent>
  <xr:revisionPtr revIDLastSave="0" documentId="8_{B51DAC70-2CBA-4796-97BB-28FBB5AD9F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s" sheetId="1" r:id="rId1"/>
    <sheet name="Benchmarks" sheetId="2" r:id="rId2"/>
    <sheet name="Packages" sheetId="3" r:id="rId3"/>
    <sheet name="RO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ePIjTEncjkVw3vbRL2sktTvZfrzurzc6B37Y+AKsHJU="/>
    </ext>
  </extLst>
</workbook>
</file>

<file path=xl/calcChain.xml><?xml version="1.0" encoding="utf-8"?>
<calcChain xmlns="http://schemas.openxmlformats.org/spreadsheetml/2006/main">
  <c r="J19" i="4" l="1"/>
  <c r="L9" i="4" s="1"/>
  <c r="B6" i="3"/>
  <c r="C6" i="3" s="1"/>
  <c r="D6" i="3" s="1"/>
  <c r="B5" i="3"/>
  <c r="C5" i="3" s="1"/>
  <c r="D5" i="3" s="1"/>
  <c r="B4" i="3"/>
  <c r="C4" i="3" s="1"/>
  <c r="D4" i="3" s="1"/>
  <c r="F20" i="2"/>
  <c r="F22" i="2" s="1"/>
  <c r="E10" i="3" s="1"/>
  <c r="F19" i="2"/>
  <c r="F21" i="2" s="1"/>
  <c r="F13" i="2"/>
  <c r="F12" i="2"/>
  <c r="F11" i="2"/>
  <c r="F15" i="2" s="1"/>
  <c r="B9" i="2"/>
  <c r="B10" i="2" s="1"/>
  <c r="B7" i="1"/>
  <c r="E9" i="3" l="1"/>
  <c r="E11" i="3"/>
  <c r="C5" i="4"/>
  <c r="D5" i="4" s="1"/>
  <c r="E5" i="4" s="1"/>
  <c r="C6" i="4"/>
  <c r="D6" i="4" s="1"/>
  <c r="E6" i="4" s="1"/>
  <c r="B20" i="2"/>
  <c r="B22" i="2" s="1"/>
  <c r="B23" i="2" s="1"/>
  <c r="C4" i="4"/>
  <c r="D4" i="4" s="1"/>
  <c r="E4" i="4" s="1"/>
  <c r="B11" i="2"/>
  <c r="B12" i="2" s="1"/>
  <c r="F14" i="2"/>
  <c r="B19" i="2" s="1"/>
  <c r="B21" i="2" s="1"/>
  <c r="G10" i="4" l="1"/>
  <c r="F10" i="4"/>
  <c r="E10" i="4"/>
  <c r="D10" i="4"/>
  <c r="C10" i="4"/>
  <c r="L10" i="4"/>
  <c r="K10" i="4"/>
  <c r="J10" i="4"/>
  <c r="I10" i="4"/>
  <c r="H10" i="4"/>
  <c r="I11" i="4"/>
  <c r="H11" i="4"/>
  <c r="G11" i="4"/>
  <c r="F11" i="4"/>
  <c r="E11" i="4"/>
  <c r="L11" i="4"/>
  <c r="D11" i="4"/>
  <c r="C11" i="4"/>
  <c r="K11" i="4"/>
  <c r="J11" i="4"/>
  <c r="E4" i="3"/>
  <c r="E5" i="3"/>
  <c r="E6" i="3"/>
  <c r="L12" i="4"/>
  <c r="K12" i="4"/>
  <c r="J12" i="4"/>
  <c r="I12" i="4"/>
  <c r="H12" i="4"/>
  <c r="D12" i="4"/>
  <c r="G12" i="4"/>
  <c r="C12" i="4"/>
  <c r="F12" i="4"/>
  <c r="E12" i="4"/>
  <c r="H6" i="3" l="1"/>
  <c r="I6" i="3" s="1"/>
  <c r="F6" i="3"/>
  <c r="G4" i="3"/>
  <c r="H4" i="3" s="1"/>
  <c r="I4" i="3" s="1"/>
  <c r="F4" i="3"/>
  <c r="H5" i="3"/>
  <c r="I5" i="3" s="1"/>
  <c r="F5" i="3"/>
  <c r="D12" i="3" l="1"/>
  <c r="D9" i="3"/>
  <c r="D11" i="3"/>
  <c r="J6" i="3"/>
  <c r="D10" i="3"/>
  <c r="B10" i="3"/>
  <c r="B11" i="3"/>
  <c r="B12" i="3"/>
  <c r="B9" i="3"/>
  <c r="J4" i="3"/>
  <c r="C10" i="3"/>
  <c r="J5" i="3"/>
  <c r="C12" i="3"/>
  <c r="C9" i="3"/>
  <c r="C11" i="3"/>
</calcChain>
</file>

<file path=xl/sharedStrings.xml><?xml version="1.0" encoding="utf-8"?>
<sst xmlns="http://schemas.openxmlformats.org/spreadsheetml/2006/main" count="165" uniqueCount="129">
  <si>
    <t>Orviko Conservative Pricing Model</t>
  </si>
  <si>
    <t>Commercial Inputs</t>
  </si>
  <si>
    <t>Value</t>
  </si>
  <si>
    <t>Notes</t>
  </si>
  <si>
    <t>Policy Inputs</t>
  </si>
  <si>
    <t>VAT included in public price</t>
  </si>
  <si>
    <t>PPN 11% sudah termasuk harga paket</t>
  </si>
  <si>
    <t>Operational safety reserve</t>
  </si>
  <si>
    <t>Cadangan tambahan sebelum menentukan sesi jual</t>
  </si>
  <si>
    <t>Bank fee</t>
  </si>
  <si>
    <t>Fee Mastercard BCA</t>
  </si>
  <si>
    <t>Target gross margin</t>
  </si>
  <si>
    <t>Margin target setelah VAT dikeluarkan</t>
  </si>
  <si>
    <t>Use conservative session mode</t>
  </si>
  <si>
    <t>No-cache 45-minute replay</t>
  </si>
  <si>
    <t>Baseline pricing yang dipakai untuk paket</t>
  </si>
  <si>
    <t>AI cost share</t>
  </si>
  <si>
    <t>Formula = 1 - target gross margin</t>
  </si>
  <si>
    <t>CV/JD policy</t>
  </si>
  <si>
    <t>Fair usage</t>
  </si>
  <si>
    <t>Tidak memakai hard cap kaku</t>
  </si>
  <si>
    <t>USD to IDR</t>
  </si>
  <si>
    <t>Asumsi kurs tetap</t>
  </si>
  <si>
    <t>Reference sample duration (minutes)</t>
  </si>
  <si>
    <t>Durasi audio nyata yang dipakai replay</t>
  </si>
  <si>
    <t>Mini public price</t>
  </si>
  <si>
    <t>Harga customer final</t>
  </si>
  <si>
    <t>Reference sample help clicks</t>
  </si>
  <si>
    <t>Jumlah klik Bantu Jawab dari sampel nyata</t>
  </si>
  <si>
    <t>Starter public price</t>
  </si>
  <si>
    <t>Primary help action</t>
  </si>
  <si>
    <t>Bantu Jawab</t>
  </si>
  <si>
    <t>Aksi terberat yang dipakai sebagai baseline</t>
  </si>
  <si>
    <t>Pro public price</t>
  </si>
  <si>
    <t>Production-like replay</t>
  </si>
  <si>
    <t>Sudah mencakup session prompt + CV + JD + domain</t>
  </si>
  <si>
    <t>Interview duration (minutes)</t>
  </si>
  <si>
    <t>Unit sesi utama untuk pricing</t>
  </si>
  <si>
    <t>Core formula drivers below are referenced by every other sheet.</t>
  </si>
  <si>
    <t>Measured Runtime Benchmarks</t>
  </si>
  <si>
    <t>Metric</t>
  </si>
  <si>
    <t>Pricing Metric</t>
  </si>
  <si>
    <t>Transcribe sample audio input tokens</t>
  </si>
  <si>
    <t>Measured from demo-orviko-awal.MP3</t>
  </si>
  <si>
    <t>Transcribe audio price per 1M tokens (USD)</t>
  </si>
  <si>
    <t>Official pricing</t>
  </si>
  <si>
    <t>Transcribe sample output tokens</t>
  </si>
  <si>
    <t>Transcribe output price per 1M tokens (USD)</t>
  </si>
  <si>
    <t>Realtime replay input tokens</t>
  </si>
  <si>
    <t>Corrected production-like replay total</t>
  </si>
  <si>
    <t>Realtime input price per 1M tokens (USD)</t>
  </si>
  <si>
    <t>Realtime replay cached input tokens</t>
  </si>
  <si>
    <t>Measured cached input in replay</t>
  </si>
  <si>
    <t>Realtime cached input price per 1M tokens (USD)</t>
  </si>
  <si>
    <t>Realtime replay output tokens</t>
  </si>
  <si>
    <t>Realtime output price per 1M tokens (USD)</t>
  </si>
  <si>
    <t>Sample duration (minutes)</t>
  </si>
  <si>
    <t>Linked from Inputs</t>
  </si>
  <si>
    <t>gpt-5-mini input price per 1M tokens (USD)</t>
  </si>
  <si>
    <t>45-minute scale factor</t>
  </si>
  <si>
    <t>Target duration / sample duration</t>
  </si>
  <si>
    <t>gpt-5-mini output price per 1M tokens (USD)</t>
  </si>
  <si>
    <t>Observed click rate per minute</t>
  </si>
  <si>
    <t>Sample clicks / sample duration</t>
  </si>
  <si>
    <t>Transcribe sample cost (USD)</t>
  </si>
  <si>
    <t>Measured sample priced from token counts</t>
  </si>
  <si>
    <t>Observed clicks per 45-minute session</t>
  </si>
  <si>
    <t>Click rate scaled to target duration</t>
  </si>
  <si>
    <t>Realtime sample cost with cache (USD)</t>
  </si>
  <si>
    <t>Uses cached-input discount</t>
  </si>
  <si>
    <t>CV benchmark input tokens</t>
  </si>
  <si>
    <t>Average measured gpt-5-mini CV preprocess input</t>
  </si>
  <si>
    <t>Realtime sample cost no-cache (USD)</t>
  </si>
  <si>
    <t>Conservative pricing baseline</t>
  </si>
  <si>
    <t>CV benchmark output tokens</t>
  </si>
  <si>
    <t>Average measured gpt-5-mini CV preprocess output</t>
  </si>
  <si>
    <t>Total sample cost with cache (USD)</t>
  </si>
  <si>
    <t>Transcribe + realtime with cache</t>
  </si>
  <si>
    <t>JD benchmark input tokens</t>
  </si>
  <si>
    <t>Average measured gpt-5-mini JD preprocess input</t>
  </si>
  <si>
    <t>Total sample cost no-cache (USD)</t>
  </si>
  <si>
    <t>Transcribe + realtime no-cache</t>
  </si>
  <si>
    <t>JD benchmark output tokens</t>
  </si>
  <si>
    <t>Average measured gpt-5-mini JD preprocess output</t>
  </si>
  <si>
    <t>Derived 45-minute costs</t>
  </si>
  <si>
    <t>Formula result</t>
  </si>
  <si>
    <t>Onboarding costs</t>
  </si>
  <si>
    <t>45-minute total cost with cache (USD)</t>
  </si>
  <si>
    <t>Sample total cost x scale factor</t>
  </si>
  <si>
    <t>CV preprocess cost (USD)</t>
  </si>
  <si>
    <t>Measured benchmark priced with gpt-5-mini</t>
  </si>
  <si>
    <t>45-minute total cost no-cache (USD)</t>
  </si>
  <si>
    <t>Conservative session baseline</t>
  </si>
  <si>
    <t>JD preprocess cost (USD)</t>
  </si>
  <si>
    <t>45-minute total cost with cache (IDR)</t>
  </si>
  <si>
    <t>USD x FX</t>
  </si>
  <si>
    <t>CV preprocess cost (IDR)</t>
  </si>
  <si>
    <t>45-minute total cost no-cache (IDR)</t>
  </si>
  <si>
    <t>JD preprocess cost (IDR)</t>
  </si>
  <si>
    <t>Rounded conservative session cost (IDR)</t>
  </si>
  <si>
    <t>Rounded for packaging</t>
  </si>
  <si>
    <t>Package Capacity Model</t>
  </si>
  <si>
    <t>Package</t>
  </si>
  <si>
    <t>Public Price</t>
  </si>
  <si>
    <t>Price ex VAT</t>
  </si>
  <si>
    <t>AI Budget</t>
  </si>
  <si>
    <t>Conservative Session Cost</t>
  </si>
  <si>
    <t>Theoretical Max Sessions</t>
  </si>
  <si>
    <t>Recommended Sessions</t>
  </si>
  <si>
    <t>Live Cost Used</t>
  </si>
  <si>
    <t>Remaining Onboarding Buffer</t>
  </si>
  <si>
    <t>Remaining Buffer Status</t>
  </si>
  <si>
    <t>Mini</t>
  </si>
  <si>
    <t>Starter</t>
  </si>
  <si>
    <t>Pro</t>
  </si>
  <si>
    <t>Onboarding capacity from remaining buffer</t>
  </si>
  <si>
    <t>Formula</t>
  </si>
  <si>
    <t>CV only capacity</t>
  </si>
  <si>
    <t>Theoretical fair-usage room</t>
  </si>
  <si>
    <t>JD only capacity</t>
  </si>
  <si>
    <t>CV+JD pair capacity</t>
  </si>
  <si>
    <t>Useful simple planning unit</t>
  </si>
  <si>
    <t>Implied target reserve % kept</t>
  </si>
  <si>
    <t>Checks policy reserve actually preserved</t>
  </si>
  <si>
    <t>Paket</t>
  </si>
  <si>
    <t>Harga</t>
  </si>
  <si>
    <t>Margin 30%</t>
  </si>
  <si>
    <t>Margin</t>
  </si>
  <si>
    <t>Jumlah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</si>
</sst>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&quot;Rp&quot;#,##0.00"/>
    <numFmt numFmtId="166" formatCode="&quot;Rp&quot;#,##0"/>
    <numFmt numFmtId="167" formatCode="&quot;$&quot;#,##0.0000"/>
    <numFmt numFmtId="168" formatCode="[$Rp]#,##0"/>
  </numFmts>
  <fonts count="9">
    <font>
      <sz val="11"/>
      <color rgb="FF000000"/>
      <name val="Carlito"/>
      <scheme val="minor"/>
    </font>
    <font>
      <b/>
      <sz val="14"/>
      <color rgb="FFFFFFFF"/>
      <name val="Carlito"/>
    </font>
    <font>
      <sz val="11"/>
      <color theme="1"/>
      <name val="Carlito"/>
      <scheme val="minor"/>
    </font>
    <font>
      <sz val="11"/>
      <color theme="1"/>
      <name val="Carlito"/>
    </font>
    <font>
      <b/>
      <sz val="11"/>
      <color rgb="FF123B3C"/>
      <name val="Carlito"/>
    </font>
    <font>
      <b/>
      <sz val="11"/>
      <color theme="1"/>
      <name val="Carlito"/>
    </font>
    <font>
      <i/>
      <sz val="11"/>
      <color rgb="FF374151"/>
      <name val="Carlito"/>
    </font>
    <font>
      <b/>
      <sz val="11"/>
      <color theme="1"/>
      <name val="Carlito"/>
      <scheme val="minor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3D3E"/>
        <bgColor rgb="FF0F3D3E"/>
      </patternFill>
    </fill>
    <fill>
      <patternFill patternType="solid">
        <fgColor rgb="FFD7ECEC"/>
        <bgColor rgb="FFD7ECEC"/>
      </patternFill>
    </fill>
    <fill>
      <patternFill patternType="solid">
        <fgColor rgb="FFF4F7F7"/>
        <bgColor rgb="FFF4F7F7"/>
      </patternFill>
    </fill>
    <fill>
      <patternFill patternType="solid">
        <fgColor rgb="FFFFF2CC"/>
        <bgColor rgb="FFFFF2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5" borderId="1" xfId="0" applyNumberFormat="1" applyFont="1" applyFill="1" applyBorder="1" applyAlignment="1">
      <alignment horizontal="center" vertical="center" wrapText="1"/>
    </xf>
    <xf numFmtId="168" fontId="2" fillId="5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6" fillId="4" borderId="0" xfId="0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8" fillId="0" borderId="3" xfId="0" applyFont="1" applyBorder="1"/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13</xdr:row>
      <xdr:rowOff>190500</xdr:rowOff>
    </xdr:from>
    <xdr:ext cx="5943600" cy="28956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showGridLines="0" tabSelected="1" workbookViewId="0">
      <selection sqref="A1:G1"/>
    </sheetView>
  </sheetViews>
  <sheetFormatPr defaultColWidth="12.59765625" defaultRowHeight="15" customHeight="1"/>
  <cols>
    <col min="1" max="2" width="19.5" customWidth="1"/>
    <col min="3" max="3" width="34.3984375" customWidth="1"/>
    <col min="4" max="4" width="5.69921875" customWidth="1"/>
    <col min="5" max="6" width="19.5" customWidth="1"/>
    <col min="7" max="7" width="34.3984375" customWidth="1"/>
    <col min="8" max="26" width="8.59765625" customWidth="1"/>
  </cols>
  <sheetData>
    <row r="1" spans="1:26" ht="13.8">
      <c r="A1" s="22" t="s">
        <v>0</v>
      </c>
      <c r="B1" s="23"/>
      <c r="C1" s="23"/>
      <c r="D1" s="23"/>
      <c r="E1" s="23"/>
      <c r="F1" s="23"/>
      <c r="G1" s="2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>
      <c r="A2" s="2"/>
      <c r="B2" s="2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8">
      <c r="A3" s="3" t="s">
        <v>1</v>
      </c>
      <c r="B3" s="3" t="s">
        <v>2</v>
      </c>
      <c r="C3" s="3" t="s">
        <v>3</v>
      </c>
      <c r="D3" s="2"/>
      <c r="E3" s="3" t="s">
        <v>4</v>
      </c>
      <c r="F3" s="3" t="s">
        <v>2</v>
      </c>
      <c r="G3" s="3" t="s">
        <v>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4" t="s">
        <v>5</v>
      </c>
      <c r="B4" s="5">
        <v>0.11</v>
      </c>
      <c r="C4" s="6" t="s">
        <v>6</v>
      </c>
      <c r="D4" s="2"/>
      <c r="E4" s="4" t="s">
        <v>7</v>
      </c>
      <c r="F4" s="5">
        <v>0.14000000000000001</v>
      </c>
      <c r="G4" s="6" t="s">
        <v>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8">
      <c r="A5" s="4" t="s">
        <v>9</v>
      </c>
      <c r="B5" s="7">
        <v>0.14000000000000001</v>
      </c>
      <c r="C5" s="6" t="s">
        <v>10</v>
      </c>
      <c r="D5" s="2"/>
      <c r="E5" s="4"/>
      <c r="F5" s="6"/>
      <c r="G5" s="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4" t="s">
        <v>11</v>
      </c>
      <c r="B6" s="5">
        <v>0.3</v>
      </c>
      <c r="C6" s="6" t="s">
        <v>12</v>
      </c>
      <c r="D6" s="2"/>
      <c r="E6" s="4" t="s">
        <v>13</v>
      </c>
      <c r="F6" s="6" t="s">
        <v>14</v>
      </c>
      <c r="G6" s="6" t="s">
        <v>15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8">
      <c r="A7" s="4" t="s">
        <v>16</v>
      </c>
      <c r="B7" s="5">
        <f>1/(1+B6)</f>
        <v>0.76923076923076916</v>
      </c>
      <c r="C7" s="6" t="s">
        <v>17</v>
      </c>
      <c r="D7" s="2"/>
      <c r="E7" s="4" t="s">
        <v>18</v>
      </c>
      <c r="F7" s="6" t="s">
        <v>19</v>
      </c>
      <c r="G7" s="6" t="s">
        <v>20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4" t="s">
        <v>21</v>
      </c>
      <c r="B8" s="8">
        <v>20000</v>
      </c>
      <c r="C8" s="6" t="s">
        <v>22</v>
      </c>
      <c r="D8" s="2"/>
      <c r="E8" s="4" t="s">
        <v>23</v>
      </c>
      <c r="F8" s="9">
        <v>8.4</v>
      </c>
      <c r="G8" s="6" t="s">
        <v>24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6">
      <c r="A9" s="4" t="s">
        <v>25</v>
      </c>
      <c r="B9" s="8">
        <v>29000</v>
      </c>
      <c r="C9" s="6" t="s">
        <v>26</v>
      </c>
      <c r="D9" s="2"/>
      <c r="E9" s="4" t="s">
        <v>27</v>
      </c>
      <c r="F9" s="9">
        <v>7</v>
      </c>
      <c r="G9" s="6" t="s">
        <v>28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6">
      <c r="A10" s="4" t="s">
        <v>29</v>
      </c>
      <c r="B10" s="8">
        <v>98000</v>
      </c>
      <c r="C10" s="6" t="s">
        <v>26</v>
      </c>
      <c r="D10" s="2"/>
      <c r="E10" s="4" t="s">
        <v>30</v>
      </c>
      <c r="F10" s="6" t="s">
        <v>31</v>
      </c>
      <c r="G10" s="6" t="s">
        <v>32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6">
      <c r="A11" s="4" t="s">
        <v>33</v>
      </c>
      <c r="B11" s="8">
        <v>379000</v>
      </c>
      <c r="C11" s="6" t="s">
        <v>26</v>
      </c>
      <c r="D11" s="2"/>
      <c r="E11" s="4" t="s">
        <v>3</v>
      </c>
      <c r="F11" s="6" t="s">
        <v>34</v>
      </c>
      <c r="G11" s="6" t="s">
        <v>35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6">
      <c r="A12" s="4" t="s">
        <v>36</v>
      </c>
      <c r="B12" s="9">
        <v>45</v>
      </c>
      <c r="C12" s="6" t="s">
        <v>37</v>
      </c>
      <c r="D12" s="2"/>
      <c r="E12" s="10"/>
      <c r="F12" s="2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4" spans="1:26" ht="13.8">
      <c r="A14" s="24" t="s">
        <v>38</v>
      </c>
      <c r="B14" s="23"/>
      <c r="C14" s="23"/>
      <c r="D14" s="23"/>
      <c r="E14" s="23"/>
      <c r="F14" s="23"/>
      <c r="G14" s="2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">
    <mergeCell ref="A1:G1"/>
    <mergeCell ref="A14:G1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showGridLines="0" workbookViewId="0"/>
  </sheetViews>
  <sheetFormatPr defaultColWidth="12.59765625" defaultRowHeight="15" customHeight="1"/>
  <cols>
    <col min="1" max="2" width="23.5" customWidth="1"/>
    <col min="3" max="3" width="37" customWidth="1"/>
    <col min="4" max="4" width="6.8984375" customWidth="1"/>
    <col min="5" max="6" width="23.5" customWidth="1"/>
    <col min="7" max="7" width="37" customWidth="1"/>
    <col min="8" max="8" width="23.5" customWidth="1"/>
    <col min="9" max="26" width="8.59765625" customWidth="1"/>
  </cols>
  <sheetData>
    <row r="1" spans="1:26" ht="13.8">
      <c r="A1" s="22" t="s">
        <v>39</v>
      </c>
      <c r="B1" s="23"/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8">
      <c r="A3" s="3" t="s">
        <v>40</v>
      </c>
      <c r="B3" s="3" t="s">
        <v>2</v>
      </c>
      <c r="C3" s="3" t="s">
        <v>3</v>
      </c>
      <c r="D3" s="2"/>
      <c r="E3" s="3" t="s">
        <v>41</v>
      </c>
      <c r="F3" s="3" t="s">
        <v>2</v>
      </c>
      <c r="G3" s="3" t="s">
        <v>3</v>
      </c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4" t="s">
        <v>42</v>
      </c>
      <c r="B4" s="6">
        <v>5047</v>
      </c>
      <c r="C4" s="6" t="s">
        <v>43</v>
      </c>
      <c r="D4" s="2"/>
      <c r="E4" s="4" t="s">
        <v>44</v>
      </c>
      <c r="F4" s="6">
        <v>3</v>
      </c>
      <c r="G4" s="6" t="s">
        <v>45</v>
      </c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4" t="s">
        <v>46</v>
      </c>
      <c r="B5" s="6">
        <v>1284</v>
      </c>
      <c r="C5" s="6" t="s">
        <v>43</v>
      </c>
      <c r="D5" s="2"/>
      <c r="E5" s="4" t="s">
        <v>47</v>
      </c>
      <c r="F5" s="6">
        <v>5</v>
      </c>
      <c r="G5" s="6" t="s">
        <v>45</v>
      </c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6">
      <c r="A6" s="4" t="s">
        <v>48</v>
      </c>
      <c r="B6" s="6">
        <v>39017</v>
      </c>
      <c r="C6" s="6" t="s">
        <v>49</v>
      </c>
      <c r="D6" s="2"/>
      <c r="E6" s="4" t="s">
        <v>50</v>
      </c>
      <c r="F6" s="6">
        <v>0.6</v>
      </c>
      <c r="G6" s="6" t="s">
        <v>45</v>
      </c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1.4">
      <c r="A7" s="4" t="s">
        <v>51</v>
      </c>
      <c r="B7" s="6">
        <v>27392</v>
      </c>
      <c r="C7" s="6" t="s">
        <v>52</v>
      </c>
      <c r="D7" s="2"/>
      <c r="E7" s="4" t="s">
        <v>53</v>
      </c>
      <c r="F7" s="6">
        <v>0.06</v>
      </c>
      <c r="G7" s="6" t="s">
        <v>45</v>
      </c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4" t="s">
        <v>54</v>
      </c>
      <c r="B8" s="6">
        <v>777</v>
      </c>
      <c r="C8" s="6" t="s">
        <v>49</v>
      </c>
      <c r="D8" s="2"/>
      <c r="E8" s="4" t="s">
        <v>55</v>
      </c>
      <c r="F8" s="6">
        <v>2.4</v>
      </c>
      <c r="G8" s="6" t="s">
        <v>45</v>
      </c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6">
      <c r="A9" s="4" t="s">
        <v>56</v>
      </c>
      <c r="B9" s="9">
        <f>Inputs!F8</f>
        <v>8.4</v>
      </c>
      <c r="C9" s="6" t="s">
        <v>57</v>
      </c>
      <c r="D9" s="2"/>
      <c r="E9" s="4" t="s">
        <v>58</v>
      </c>
      <c r="F9" s="6">
        <v>0.25</v>
      </c>
      <c r="G9" s="6" t="s">
        <v>45</v>
      </c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6">
      <c r="A10" s="4" t="s">
        <v>59</v>
      </c>
      <c r="B10" s="9">
        <f>Inputs!B12/B9</f>
        <v>5.3571428571428568</v>
      </c>
      <c r="C10" s="6" t="s">
        <v>60</v>
      </c>
      <c r="D10" s="2"/>
      <c r="E10" s="4" t="s">
        <v>61</v>
      </c>
      <c r="F10" s="6">
        <v>2</v>
      </c>
      <c r="G10" s="6" t="s">
        <v>45</v>
      </c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6">
      <c r="A11" s="4" t="s">
        <v>62</v>
      </c>
      <c r="B11" s="9">
        <f>Inputs!F9/B9</f>
        <v>0.83333333333333326</v>
      </c>
      <c r="C11" s="6" t="s">
        <v>63</v>
      </c>
      <c r="D11" s="2"/>
      <c r="E11" s="4" t="s">
        <v>64</v>
      </c>
      <c r="F11" s="11">
        <f>(B4/1000000)*F4 + (B5/1000000)*F5</f>
        <v>2.1561000000000004E-2</v>
      </c>
      <c r="G11" s="6" t="s">
        <v>65</v>
      </c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6">
      <c r="A12" s="4" t="s">
        <v>66</v>
      </c>
      <c r="B12" s="9">
        <f>B11*Inputs!B12</f>
        <v>37.5</v>
      </c>
      <c r="C12" s="6" t="s">
        <v>67</v>
      </c>
      <c r="D12" s="2"/>
      <c r="E12" s="4" t="s">
        <v>68</v>
      </c>
      <c r="F12" s="11">
        <f>((B6-B7)/1000000)*F6 + (B7/1000000)*F7 + (B8/1000000)*F8</f>
        <v>1.0483319999999999E-2</v>
      </c>
      <c r="G12" s="6" t="s">
        <v>69</v>
      </c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6">
      <c r="A13" s="4" t="s">
        <v>70</v>
      </c>
      <c r="B13" s="6">
        <v>2405</v>
      </c>
      <c r="C13" s="6" t="s">
        <v>71</v>
      </c>
      <c r="D13" s="2"/>
      <c r="E13" s="4" t="s">
        <v>72</v>
      </c>
      <c r="F13" s="11">
        <f>(B6/1000000)*F6 + (B8/1000000)*F8</f>
        <v>2.5275000000000002E-2</v>
      </c>
      <c r="G13" s="6" t="s">
        <v>73</v>
      </c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.6">
      <c r="A14" s="4" t="s">
        <v>74</v>
      </c>
      <c r="B14" s="6">
        <v>4747</v>
      </c>
      <c r="C14" s="6" t="s">
        <v>75</v>
      </c>
      <c r="D14" s="2"/>
      <c r="E14" s="4" t="s">
        <v>76</v>
      </c>
      <c r="F14" s="11">
        <f>F11+F12</f>
        <v>3.2044320000000001E-2</v>
      </c>
      <c r="G14" s="6" t="s">
        <v>77</v>
      </c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6">
      <c r="A15" s="4" t="s">
        <v>78</v>
      </c>
      <c r="B15" s="6">
        <v>1598</v>
      </c>
      <c r="C15" s="6" t="s">
        <v>79</v>
      </c>
      <c r="D15" s="2"/>
      <c r="E15" s="4" t="s">
        <v>80</v>
      </c>
      <c r="F15" s="11">
        <f>F11+F13</f>
        <v>4.6836000000000003E-2</v>
      </c>
      <c r="G15" s="6" t="s">
        <v>81</v>
      </c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6">
      <c r="A16" s="4" t="s">
        <v>82</v>
      </c>
      <c r="B16" s="6">
        <v>2915.4</v>
      </c>
      <c r="C16" s="6" t="s">
        <v>83</v>
      </c>
      <c r="D16" s="2"/>
      <c r="E16" s="10"/>
      <c r="F16" s="2"/>
      <c r="G16" s="2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8">
      <c r="A17" s="10"/>
      <c r="B17" s="2"/>
      <c r="C17" s="2"/>
      <c r="D17" s="2"/>
      <c r="E17" s="10"/>
      <c r="F17" s="2"/>
      <c r="G17" s="2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8">
      <c r="A18" s="3" t="s">
        <v>84</v>
      </c>
      <c r="B18" s="3" t="s">
        <v>85</v>
      </c>
      <c r="C18" s="3" t="s">
        <v>3</v>
      </c>
      <c r="D18" s="2"/>
      <c r="E18" s="3" t="s">
        <v>86</v>
      </c>
      <c r="F18" s="3" t="s">
        <v>85</v>
      </c>
      <c r="G18" s="3" t="s">
        <v>3</v>
      </c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6">
      <c r="A19" s="4" t="s">
        <v>87</v>
      </c>
      <c r="B19" s="11">
        <f>F14*B10</f>
        <v>0.17166599999999999</v>
      </c>
      <c r="C19" s="6" t="s">
        <v>88</v>
      </c>
      <c r="D19" s="2"/>
      <c r="E19" s="4" t="s">
        <v>89</v>
      </c>
      <c r="F19" s="11">
        <f>(B13/1000000)*F9 + (B14/1000000)*F10</f>
        <v>1.009525E-2</v>
      </c>
      <c r="G19" s="6" t="s">
        <v>90</v>
      </c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.6">
      <c r="A20" s="4" t="s">
        <v>91</v>
      </c>
      <c r="B20" s="11">
        <f>F15*B10</f>
        <v>0.25090714285714283</v>
      </c>
      <c r="C20" s="6" t="s">
        <v>92</v>
      </c>
      <c r="D20" s="2"/>
      <c r="E20" s="4" t="s">
        <v>93</v>
      </c>
      <c r="F20" s="11">
        <f>(B15/1000000)*F9 + (B16/1000000)*F10</f>
        <v>6.2303000000000002E-3</v>
      </c>
      <c r="G20" s="6" t="s">
        <v>90</v>
      </c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.6">
      <c r="A21" s="4" t="s">
        <v>94</v>
      </c>
      <c r="B21" s="8">
        <f>B19*Inputs!B8</f>
        <v>3433.3199999999997</v>
      </c>
      <c r="C21" s="6" t="s">
        <v>95</v>
      </c>
      <c r="D21" s="2"/>
      <c r="E21" s="4" t="s">
        <v>96</v>
      </c>
      <c r="F21" s="8">
        <f>F19*Inputs!B8</f>
        <v>201.905</v>
      </c>
      <c r="G21" s="6" t="s">
        <v>95</v>
      </c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4" t="s">
        <v>97</v>
      </c>
      <c r="B22" s="8">
        <f>B20*Inputs!B8</f>
        <v>5018.1428571428569</v>
      </c>
      <c r="C22" s="6" t="s">
        <v>95</v>
      </c>
      <c r="D22" s="2"/>
      <c r="E22" s="4" t="s">
        <v>98</v>
      </c>
      <c r="F22" s="8">
        <f>F20*Inputs!B8</f>
        <v>124.60600000000001</v>
      </c>
      <c r="G22" s="6" t="s">
        <v>95</v>
      </c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4" t="s">
        <v>99</v>
      </c>
      <c r="B23" s="8">
        <f>ROUND(B22,0)</f>
        <v>5018</v>
      </c>
      <c r="C23" s="6" t="s">
        <v>100</v>
      </c>
      <c r="D23" s="2"/>
      <c r="E23" s="2"/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A1:H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5"/>
  <sheetViews>
    <sheetView showGridLines="0" workbookViewId="0"/>
  </sheetViews>
  <sheetFormatPr defaultColWidth="12.59765625" defaultRowHeight="15" customHeight="1"/>
  <cols>
    <col min="1" max="3" width="21.5" customWidth="1"/>
    <col min="4" max="4" width="16.8984375" customWidth="1"/>
    <col min="5" max="9" width="21.5" customWidth="1"/>
    <col min="10" max="10" width="15.5" customWidth="1"/>
    <col min="11" max="26" width="8.59765625" customWidth="1"/>
  </cols>
  <sheetData>
    <row r="1" spans="1:26" ht="13.8">
      <c r="A1" s="22" t="s">
        <v>101</v>
      </c>
      <c r="B1" s="23"/>
      <c r="C1" s="23"/>
      <c r="D1" s="23"/>
      <c r="E1" s="23"/>
      <c r="F1" s="23"/>
      <c r="G1" s="23"/>
      <c r="H1" s="23"/>
      <c r="I1" s="23"/>
      <c r="J1" s="2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>
      <c r="A2" s="2"/>
      <c r="B2" s="2"/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6">
      <c r="A3" s="3" t="s">
        <v>102</v>
      </c>
      <c r="B3" s="3" t="s">
        <v>103</v>
      </c>
      <c r="C3" s="3" t="s">
        <v>104</v>
      </c>
      <c r="D3" s="3" t="s">
        <v>105</v>
      </c>
      <c r="E3" s="3" t="s">
        <v>106</v>
      </c>
      <c r="F3" s="3" t="s">
        <v>107</v>
      </c>
      <c r="G3" s="3" t="s">
        <v>108</v>
      </c>
      <c r="H3" s="3" t="s">
        <v>109</v>
      </c>
      <c r="I3" s="3" t="s">
        <v>110</v>
      </c>
      <c r="J3" s="3" t="s">
        <v>111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8">
      <c r="A4" s="6" t="s">
        <v>112</v>
      </c>
      <c r="B4" s="8">
        <f>Inputs!B9</f>
        <v>29000</v>
      </c>
      <c r="C4" s="8">
        <f>(B4-Inputs!$B$5)/(1+Inputs!$B$4)</f>
        <v>26126</v>
      </c>
      <c r="D4" s="8">
        <f>C4*Inputs!B7</f>
        <v>20096.923076923074</v>
      </c>
      <c r="E4" s="8">
        <f>Benchmarks!B23</f>
        <v>5018</v>
      </c>
      <c r="F4" s="9">
        <f t="shared" ref="F4:F6" si="0">D4/E4</f>
        <v>4.004966735138118</v>
      </c>
      <c r="G4" s="12">
        <f>ROUNDDOWN((D4*(1-Inputs!F4))/E4,0)</f>
        <v>3</v>
      </c>
      <c r="H4" s="8">
        <f t="shared" ref="H4:H6" si="1">G4*E4</f>
        <v>15054</v>
      </c>
      <c r="I4" s="8">
        <f t="shared" ref="I4:I6" si="2">D4-H4</f>
        <v>5042.9230769230744</v>
      </c>
      <c r="J4" s="6" t="str">
        <f>IF(I4&gt;=Benchmarks!F21+Benchmarks!F22,"Healthy","Tight")</f>
        <v>Healthy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8">
      <c r="A5" s="6" t="s">
        <v>113</v>
      </c>
      <c r="B5" s="8">
        <f>Inputs!B10</f>
        <v>98000</v>
      </c>
      <c r="C5" s="8">
        <f>(B5-Inputs!$B$5)/(1+Inputs!$B$4)</f>
        <v>88288.16216216216</v>
      </c>
      <c r="D5" s="8">
        <f>C5*Inputs!B7</f>
        <v>67913.97089397088</v>
      </c>
      <c r="E5" s="8">
        <f>Benchmarks!B23</f>
        <v>5018</v>
      </c>
      <c r="F5" s="9">
        <f t="shared" si="0"/>
        <v>13.534071521317433</v>
      </c>
      <c r="G5" s="12">
        <v>12</v>
      </c>
      <c r="H5" s="8">
        <f t="shared" si="1"/>
        <v>60216</v>
      </c>
      <c r="I5" s="8">
        <f t="shared" si="2"/>
        <v>7697.9708939708798</v>
      </c>
      <c r="J5" s="6" t="str">
        <f>IF(I5&gt;=Benchmarks!F21+Benchmarks!F22,"Healthy","Tight")</f>
        <v>Healthy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8">
      <c r="A6" s="6" t="s">
        <v>114</v>
      </c>
      <c r="B6" s="8">
        <f>Inputs!B11</f>
        <v>379000</v>
      </c>
      <c r="C6" s="8">
        <f>(B6-Inputs!$B$5)/(1+Inputs!$B$4)</f>
        <v>341441.31531531527</v>
      </c>
      <c r="D6" s="8">
        <f>C6*Inputs!B7</f>
        <v>262647.16562716558</v>
      </c>
      <c r="E6" s="8">
        <f>Benchmarks!B23</f>
        <v>5018</v>
      </c>
      <c r="F6" s="9">
        <f t="shared" si="0"/>
        <v>52.341005505612912</v>
      </c>
      <c r="G6" s="12">
        <v>50</v>
      </c>
      <c r="H6" s="8">
        <f t="shared" si="1"/>
        <v>250900</v>
      </c>
      <c r="I6" s="8">
        <f t="shared" si="2"/>
        <v>11747.165627165581</v>
      </c>
      <c r="J6" s="6" t="str">
        <f>IF(I6&gt;=Benchmarks!F21+Benchmarks!F22,"Healthy","Tight")</f>
        <v>Healthy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8">
      <c r="A7" s="2"/>
      <c r="B7" s="2"/>
      <c r="C7" s="2"/>
      <c r="D7" s="2"/>
      <c r="E7" s="2"/>
      <c r="F7" s="2"/>
      <c r="G7" s="2"/>
      <c r="H7" s="2"/>
      <c r="I7" s="2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3" t="s">
        <v>115</v>
      </c>
      <c r="B8" s="3" t="s">
        <v>112</v>
      </c>
      <c r="C8" s="3" t="s">
        <v>113</v>
      </c>
      <c r="D8" s="3" t="s">
        <v>114</v>
      </c>
      <c r="E8" s="3" t="s">
        <v>116</v>
      </c>
      <c r="F8" s="3" t="s">
        <v>3</v>
      </c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6" ht="27.6">
      <c r="A9" s="6" t="s">
        <v>117</v>
      </c>
      <c r="B9" s="9">
        <f>I4/Benchmarks!F21</f>
        <v>24.976712200901783</v>
      </c>
      <c r="C9" s="9">
        <f>I5/Benchmarks!F21</f>
        <v>38.12669767450474</v>
      </c>
      <c r="D9" s="9">
        <f>I6/Benchmarks!F21</f>
        <v>58.181647939206961</v>
      </c>
      <c r="E9" s="8">
        <f>Benchmarks!F21</f>
        <v>201.905</v>
      </c>
      <c r="F9" s="6" t="s">
        <v>118</v>
      </c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6" ht="27.6">
      <c r="A10" s="6" t="s">
        <v>119</v>
      </c>
      <c r="B10" s="9">
        <f>I4/Benchmarks!F22</f>
        <v>40.470949046780042</v>
      </c>
      <c r="C10" s="9">
        <f>I5/Benchmarks!F22</f>
        <v>61.778492961581939</v>
      </c>
      <c r="D10" s="9">
        <f>I6/Benchmarks!F22</f>
        <v>94.274478172524439</v>
      </c>
      <c r="E10" s="8">
        <f>Benchmarks!F22</f>
        <v>124.60600000000001</v>
      </c>
      <c r="F10" s="6" t="s">
        <v>118</v>
      </c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6" ht="27.6">
      <c r="A11" s="6" t="s">
        <v>120</v>
      </c>
      <c r="B11" s="9">
        <f>I4/(Benchmarks!F21+Benchmarks!F22)</f>
        <v>15.444879581156757</v>
      </c>
      <c r="C11" s="9">
        <f>I5/(Benchmarks!F21+Benchmarks!F22)</f>
        <v>23.57645192342947</v>
      </c>
      <c r="D11" s="9">
        <f>I6/(Benchmarks!F21+Benchmarks!F22)</f>
        <v>35.97785565314976</v>
      </c>
      <c r="E11" s="8">
        <f>Benchmarks!F21+Benchmarks!F22</f>
        <v>326.51100000000002</v>
      </c>
      <c r="F11" s="6" t="s">
        <v>121</v>
      </c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6" ht="27.6">
      <c r="A12" s="6" t="s">
        <v>122</v>
      </c>
      <c r="B12" s="5">
        <f>I4/D4</f>
        <v>0.250930107938452</v>
      </c>
      <c r="C12" s="5">
        <f>I5/D5</f>
        <v>0.1133488558044877</v>
      </c>
      <c r="D12" s="5">
        <f>I6/D6</f>
        <v>4.4726032352623922E-2</v>
      </c>
      <c r="E12" s="6">
        <v>1</v>
      </c>
      <c r="F12" s="6" t="s">
        <v>123</v>
      </c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6" ht="13.8">
      <c r="A13" s="2"/>
      <c r="B13" s="2"/>
      <c r="C13" s="2"/>
      <c r="D13" s="2"/>
      <c r="E13" s="2"/>
      <c r="F13" s="2"/>
      <c r="G13" s="2"/>
      <c r="H13" s="2"/>
      <c r="I13" s="2"/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1">
    <mergeCell ref="A1:J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4"/>
  <sheetViews>
    <sheetView workbookViewId="0"/>
  </sheetViews>
  <sheetFormatPr defaultColWidth="12.59765625" defaultRowHeight="15" customHeight="1"/>
  <cols>
    <col min="1" max="1" width="4.59765625" customWidth="1"/>
    <col min="6" max="8" width="11.09765625" customWidth="1"/>
    <col min="9" max="9" width="11.3984375" customWidth="1"/>
    <col min="10" max="11" width="12.3984375" customWidth="1"/>
    <col min="12" max="12" width="13.69921875" customWidth="1"/>
    <col min="13" max="13" width="11.09765625" customWidth="1"/>
  </cols>
  <sheetData>
    <row r="1" spans="1:26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3"/>
      <c r="B2" s="25" t="s">
        <v>124</v>
      </c>
      <c r="C2" s="27" t="s">
        <v>125</v>
      </c>
      <c r="D2" s="27" t="s">
        <v>126</v>
      </c>
      <c r="E2" s="27" t="s">
        <v>127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>
      <c r="A3" s="13"/>
      <c r="B3" s="26"/>
      <c r="C3" s="26"/>
      <c r="D3" s="26"/>
      <c r="E3" s="26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>
      <c r="A4" s="13"/>
      <c r="B4" s="14" t="s">
        <v>112</v>
      </c>
      <c r="C4" s="15">
        <f>Packages!D4*1.11</f>
        <v>22307.584615384614</v>
      </c>
      <c r="D4" s="15">
        <f t="shared" ref="D4:D6" si="0">C4*1.3</f>
        <v>28999.86</v>
      </c>
      <c r="E4" s="15">
        <f t="shared" ref="E4:E6" si="1">D4-C4</f>
        <v>6692.2753846153864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>
      <c r="A5" s="13"/>
      <c r="B5" s="14" t="s">
        <v>113</v>
      </c>
      <c r="C5" s="15">
        <f>Packages!D5*1.11</f>
        <v>75384.507692307685</v>
      </c>
      <c r="D5" s="15">
        <f t="shared" si="0"/>
        <v>97999.86</v>
      </c>
      <c r="E5" s="15">
        <f t="shared" si="1"/>
        <v>22615.352307692316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>
      <c r="A6" s="13"/>
      <c r="B6" s="14" t="s">
        <v>114</v>
      </c>
      <c r="C6" s="15">
        <f>Packages!D6*1.11</f>
        <v>291538.35384615383</v>
      </c>
      <c r="D6" s="15">
        <f t="shared" si="0"/>
        <v>378999.86</v>
      </c>
      <c r="E6" s="15">
        <f t="shared" si="1"/>
        <v>87461.50615384616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>
      <c r="A8" s="13"/>
      <c r="B8" s="25" t="s">
        <v>124</v>
      </c>
      <c r="C8" s="28" t="s">
        <v>128</v>
      </c>
      <c r="D8" s="29"/>
      <c r="E8" s="29"/>
      <c r="F8" s="29"/>
      <c r="G8" s="29"/>
      <c r="H8" s="29"/>
      <c r="I8" s="29"/>
      <c r="J8" s="29"/>
      <c r="K8" s="29"/>
      <c r="L8" s="30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>
      <c r="A9" s="13"/>
      <c r="B9" s="26"/>
      <c r="C9" s="16">
        <v>10</v>
      </c>
      <c r="D9" s="16">
        <v>20</v>
      </c>
      <c r="E9" s="16">
        <v>50</v>
      </c>
      <c r="F9" s="16">
        <v>75</v>
      </c>
      <c r="G9" s="16">
        <v>100</v>
      </c>
      <c r="H9" s="16">
        <v>300</v>
      </c>
      <c r="I9" s="16">
        <v>500</v>
      </c>
      <c r="J9" s="16">
        <v>1000</v>
      </c>
      <c r="K9" s="17">
        <v>3500</v>
      </c>
      <c r="L9" s="16">
        <f>J19</f>
        <v>70000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>
      <c r="A10" s="13"/>
      <c r="B10" s="18" t="s">
        <v>112</v>
      </c>
      <c r="C10" s="19">
        <f t="shared" ref="C10:C12" si="2">E4*C$9</f>
        <v>66922.753846153864</v>
      </c>
      <c r="D10" s="19">
        <f t="shared" ref="D10:D12" si="3">E4*D$9</f>
        <v>133845.50769230773</v>
      </c>
      <c r="E10" s="19">
        <f t="shared" ref="E10:E12" si="4">E4*E$9</f>
        <v>334613.76923076931</v>
      </c>
      <c r="F10" s="19">
        <f t="shared" ref="F10:F12" si="5">E4*F$9</f>
        <v>501920.65384615399</v>
      </c>
      <c r="G10" s="19">
        <f t="shared" ref="G10:G12" si="6">E4*G$9</f>
        <v>669227.53846153861</v>
      </c>
      <c r="H10" s="19">
        <f t="shared" ref="H10:H12" si="7">E4*H$9</f>
        <v>2007682.615384616</v>
      </c>
      <c r="I10" s="19">
        <f t="shared" ref="I10:I12" si="8">E4*I$9</f>
        <v>3346137.6923076934</v>
      </c>
      <c r="J10" s="19">
        <f t="shared" ref="J10:J12" si="9">E4*J$9</f>
        <v>6692275.3846153868</v>
      </c>
      <c r="K10" s="20">
        <f t="shared" ref="K10:K12" si="10">E4*K$9</f>
        <v>23422963.846153852</v>
      </c>
      <c r="L10" s="19">
        <f t="shared" ref="L10:L12" si="11">E4*L$9</f>
        <v>468459276.92307705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>
      <c r="A11" s="13"/>
      <c r="B11" s="18" t="s">
        <v>113</v>
      </c>
      <c r="C11" s="19">
        <f t="shared" si="2"/>
        <v>226153.52307692316</v>
      </c>
      <c r="D11" s="19">
        <f t="shared" si="3"/>
        <v>452307.04615384631</v>
      </c>
      <c r="E11" s="19">
        <f t="shared" si="4"/>
        <v>1130767.6153846157</v>
      </c>
      <c r="F11" s="19">
        <f t="shared" si="5"/>
        <v>1696151.4230769237</v>
      </c>
      <c r="G11" s="19">
        <f t="shared" si="6"/>
        <v>2261535.2307692314</v>
      </c>
      <c r="H11" s="19">
        <f t="shared" si="7"/>
        <v>6784605.6923076948</v>
      </c>
      <c r="I11" s="19">
        <f t="shared" si="8"/>
        <v>11307676.153846158</v>
      </c>
      <c r="J11" s="19">
        <f t="shared" si="9"/>
        <v>22615352.307692315</v>
      </c>
      <c r="K11" s="20">
        <f t="shared" si="10"/>
        <v>79153733.076923102</v>
      </c>
      <c r="L11" s="19">
        <f t="shared" si="11"/>
        <v>1583074661.5384622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>
      <c r="A12" s="13"/>
      <c r="B12" s="14" t="s">
        <v>114</v>
      </c>
      <c r="C12" s="15">
        <f t="shared" si="2"/>
        <v>874615.0615384616</v>
      </c>
      <c r="D12" s="15">
        <f t="shared" si="3"/>
        <v>1749230.1230769232</v>
      </c>
      <c r="E12" s="15">
        <f t="shared" si="4"/>
        <v>4373075.307692308</v>
      </c>
      <c r="F12" s="15">
        <f t="shared" si="5"/>
        <v>6559612.961538462</v>
      </c>
      <c r="G12" s="15">
        <f t="shared" si="6"/>
        <v>8746150.615384616</v>
      </c>
      <c r="H12" s="15">
        <f t="shared" si="7"/>
        <v>26238451.846153848</v>
      </c>
      <c r="I12" s="15">
        <f t="shared" si="8"/>
        <v>43730753.07692308</v>
      </c>
      <c r="J12" s="15">
        <f t="shared" si="9"/>
        <v>87461506.15384616</v>
      </c>
      <c r="K12" s="21">
        <f t="shared" si="10"/>
        <v>306115271.53846157</v>
      </c>
      <c r="L12" s="15">
        <f t="shared" si="11"/>
        <v>6122305430.7692308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>
      <c r="A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>
      <c r="A18" s="13"/>
      <c r="B18" s="13"/>
      <c r="C18" s="13"/>
      <c r="D18" s="13"/>
      <c r="E18" s="13"/>
      <c r="F18" s="13"/>
      <c r="G18" s="13"/>
      <c r="H18" s="13"/>
      <c r="I18" s="13"/>
      <c r="J18" s="13">
        <v>7000000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>
      <c r="A19" s="13"/>
      <c r="B19" s="13"/>
      <c r="C19" s="13"/>
      <c r="D19" s="13"/>
      <c r="E19" s="13"/>
      <c r="F19" s="13"/>
      <c r="G19" s="13"/>
      <c r="H19" s="13"/>
      <c r="I19" s="13"/>
      <c r="J19" s="13">
        <f>J18*0.01</f>
        <v>70000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</sheetData>
  <mergeCells count="6">
    <mergeCell ref="B2:B3"/>
    <mergeCell ref="C2:C3"/>
    <mergeCell ref="D2:D3"/>
    <mergeCell ref="E2:E3"/>
    <mergeCell ref="B8:B9"/>
    <mergeCell ref="C8:L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Benchmarks</vt:lpstr>
      <vt:lpstr>Packages</vt:lpstr>
      <vt:lpstr>ROI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steradian</dc:creator>
  <cp:lastModifiedBy>Donny Steradian</cp:lastModifiedBy>
  <dcterms:created xsi:type="dcterms:W3CDTF">2026-06-01T10:41:14Z</dcterms:created>
  <dcterms:modified xsi:type="dcterms:W3CDTF">2026-06-01T10:41:14Z</dcterms:modified>
</cp:coreProperties>
</file>